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BEDFF7DD-4245-45F3-8861-76741149C11F}" xr6:coauthVersionLast="47" xr6:coauthVersionMax="47" xr10:uidLastSave="{00000000-0000-0000-0000-000000000000}"/>
  <bookViews>
    <workbookView xWindow="-28920" yWindow="-120" windowWidth="29040" windowHeight="15720" xr2:uid="{B09D0213-C9F6-4124-9F01-01C40898ABCA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2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options">Data!$B$9:$B$13</definedName>
    <definedName name="output_dollars">Assumptions!$G$33</definedName>
    <definedName name="preferred">Summary!$C$18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update">Cover!$A$41</definedName>
    <definedName name="vcr_date">Assumptions!$G$29</definedName>
    <definedName name="vcr_esc">Misc_calcs!$D$23</definedName>
    <definedName name="years">Assumptions!$G$31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88" l="1"/>
  <c r="E23" i="88"/>
  <c r="E12" i="88"/>
  <c r="E24" i="88"/>
  <c r="E13" i="88"/>
  <c r="E25" i="88"/>
  <c r="E14" i="88"/>
  <c r="E26" i="88"/>
  <c r="E15" i="88"/>
  <c r="E27" i="88"/>
  <c r="E28" i="88"/>
  <c r="F11" i="88"/>
  <c r="F23" i="88"/>
  <c r="F12" i="88"/>
  <c r="F24" i="88"/>
  <c r="F13" i="88"/>
  <c r="F25" i="88"/>
  <c r="F14" i="88"/>
  <c r="F26" i="88"/>
  <c r="F15" i="88"/>
  <c r="F27" i="88"/>
  <c r="F28" i="88"/>
  <c r="G11" i="88"/>
  <c r="G23" i="88"/>
  <c r="G12" i="88"/>
  <c r="G24" i="88"/>
  <c r="G13" i="88"/>
  <c r="G25" i="88"/>
  <c r="G14" i="88"/>
  <c r="G26" i="88"/>
  <c r="G15" i="88"/>
  <c r="G27" i="88"/>
  <c r="G28" i="88"/>
  <c r="H11" i="88"/>
  <c r="H23" i="88"/>
  <c r="H12" i="88"/>
  <c r="H24" i="88"/>
  <c r="H13" i="88"/>
  <c r="H25" i="88"/>
  <c r="H14" i="88"/>
  <c r="H26" i="88"/>
  <c r="H15" i="88"/>
  <c r="H27" i="88"/>
  <c r="H28" i="88"/>
  <c r="I23" i="88"/>
  <c r="I24" i="88"/>
  <c r="I25" i="88"/>
  <c r="I26" i="88"/>
  <c r="I27" i="88"/>
  <c r="I28" i="88"/>
  <c r="J23" i="88"/>
  <c r="J24" i="88"/>
  <c r="J25" i="88"/>
  <c r="J26" i="88"/>
  <c r="J27" i="88"/>
  <c r="J28" i="88"/>
  <c r="K23" i="88"/>
  <c r="K24" i="88"/>
  <c r="K25" i="88"/>
  <c r="K26" i="88"/>
  <c r="K27" i="88"/>
  <c r="K28" i="88"/>
  <c r="L23" i="88"/>
  <c r="L24" i="88"/>
  <c r="L25" i="88"/>
  <c r="L26" i="88"/>
  <c r="L27" i="88"/>
  <c r="L28" i="88"/>
  <c r="M23" i="88"/>
  <c r="M24" i="88"/>
  <c r="M25" i="88"/>
  <c r="M26" i="88"/>
  <c r="M27" i="88"/>
  <c r="M28" i="88"/>
  <c r="N23" i="88"/>
  <c r="N24" i="88"/>
  <c r="N25" i="88"/>
  <c r="N26" i="88"/>
  <c r="N27" i="88"/>
  <c r="N28" i="88"/>
  <c r="O23" i="88"/>
  <c r="O24" i="88"/>
  <c r="O25" i="88"/>
  <c r="O26" i="88"/>
  <c r="O27" i="88"/>
  <c r="O28" i="88"/>
  <c r="P23" i="88"/>
  <c r="P24" i="88"/>
  <c r="P25" i="88"/>
  <c r="P26" i="88"/>
  <c r="P27" i="88"/>
  <c r="P28" i="88"/>
  <c r="Q23" i="88"/>
  <c r="Q24" i="88"/>
  <c r="Q25" i="88"/>
  <c r="Q26" i="88"/>
  <c r="Q27" i="88"/>
  <c r="Q28" i="88"/>
  <c r="R23" i="88"/>
  <c r="R24" i="88"/>
  <c r="R25" i="88"/>
  <c r="R26" i="88"/>
  <c r="R27" i="88"/>
  <c r="R28" i="88"/>
  <c r="S23" i="88"/>
  <c r="S24" i="88"/>
  <c r="S25" i="88"/>
  <c r="S26" i="88"/>
  <c r="S27" i="88"/>
  <c r="S28" i="88"/>
  <c r="T23" i="88"/>
  <c r="T24" i="88"/>
  <c r="T25" i="88"/>
  <c r="T26" i="88"/>
  <c r="T27" i="88"/>
  <c r="T28" i="88"/>
  <c r="U23" i="88"/>
  <c r="U24" i="88"/>
  <c r="U25" i="88"/>
  <c r="U26" i="88"/>
  <c r="U27" i="88"/>
  <c r="U28" i="88"/>
  <c r="V23" i="88"/>
  <c r="V24" i="88"/>
  <c r="V25" i="88"/>
  <c r="V26" i="88"/>
  <c r="V27" i="88"/>
  <c r="V28" i="88"/>
  <c r="W23" i="88"/>
  <c r="W24" i="88"/>
  <c r="W25" i="88"/>
  <c r="W26" i="88"/>
  <c r="W27" i="88"/>
  <c r="W28" i="88"/>
  <c r="X23" i="88"/>
  <c r="X24" i="88"/>
  <c r="X25" i="88"/>
  <c r="X26" i="88"/>
  <c r="X27" i="88"/>
  <c r="X28" i="88"/>
  <c r="Y23" i="88"/>
  <c r="Y24" i="88"/>
  <c r="Y25" i="88"/>
  <c r="Y26" i="88"/>
  <c r="Y27" i="88"/>
  <c r="Y28" i="88"/>
  <c r="Z23" i="88"/>
  <c r="Z24" i="88"/>
  <c r="Z25" i="88"/>
  <c r="Z26" i="88"/>
  <c r="Z27" i="88"/>
  <c r="Z28" i="88"/>
  <c r="AA23" i="88"/>
  <c r="AA24" i="88"/>
  <c r="AA25" i="88"/>
  <c r="AA26" i="88"/>
  <c r="AA27" i="88"/>
  <c r="AA28" i="88"/>
  <c r="AB23" i="88"/>
  <c r="AB24" i="88"/>
  <c r="AB25" i="88"/>
  <c r="AB26" i="88"/>
  <c r="AB27" i="88"/>
  <c r="AB28" i="88"/>
  <c r="AC23" i="88"/>
  <c r="AC24" i="88"/>
  <c r="AC25" i="88"/>
  <c r="AC26" i="88"/>
  <c r="AC27" i="88"/>
  <c r="AC28" i="88"/>
  <c r="I9" i="68"/>
  <c r="I9" i="75"/>
  <c r="I5" i="75"/>
  <c r="I6" i="68"/>
  <c r="I6" i="75"/>
  <c r="J6" i="68"/>
  <c r="K6" i="68"/>
  <c r="K6" i="81"/>
  <c r="I14" i="81"/>
  <c r="I17" i="81"/>
  <c r="J14" i="81"/>
  <c r="J17" i="81"/>
  <c r="K14" i="81"/>
  <c r="K17" i="81"/>
  <c r="L14" i="81"/>
  <c r="L17" i="81"/>
  <c r="M14" i="81"/>
  <c r="M17" i="81"/>
  <c r="N14" i="81"/>
  <c r="N17" i="81"/>
  <c r="O14" i="81"/>
  <c r="O17" i="81"/>
  <c r="P14" i="81"/>
  <c r="P17" i="81"/>
  <c r="Q14" i="81"/>
  <c r="Q17" i="81"/>
  <c r="R14" i="81"/>
  <c r="R17" i="81"/>
  <c r="S14" i="81"/>
  <c r="S17" i="81"/>
  <c r="T14" i="81"/>
  <c r="T17" i="81"/>
  <c r="U14" i="81"/>
  <c r="U17" i="81"/>
  <c r="V14" i="81"/>
  <c r="V17" i="81"/>
  <c r="W14" i="81"/>
  <c r="W17" i="81"/>
  <c r="X14" i="81"/>
  <c r="X17" i="81"/>
  <c r="Y14" i="81"/>
  <c r="Y17" i="81"/>
  <c r="Z14" i="81"/>
  <c r="Z17" i="81"/>
  <c r="AA14" i="81"/>
  <c r="AA17" i="81"/>
  <c r="AB14" i="81"/>
  <c r="AB17" i="81"/>
  <c r="AC14" i="81"/>
  <c r="AC17" i="81"/>
  <c r="AD14" i="81"/>
  <c r="AD17" i="81"/>
  <c r="AE14" i="81"/>
  <c r="AE17" i="81"/>
  <c r="AF14" i="81"/>
  <c r="AF17" i="81"/>
  <c r="AG14" i="81"/>
  <c r="AG17" i="81"/>
  <c r="G89" i="81" a="1"/>
  <c r="G89" i="81"/>
  <c r="G91" i="81"/>
  <c r="C32" i="62"/>
  <c r="K6" i="72"/>
  <c r="I14" i="72"/>
  <c r="I17" i="72"/>
  <c r="J14" i="72"/>
  <c r="J17" i="72"/>
  <c r="K14" i="72"/>
  <c r="K17" i="72"/>
  <c r="L14" i="72"/>
  <c r="L17" i="72"/>
  <c r="M14" i="72"/>
  <c r="M17" i="72"/>
  <c r="N14" i="72"/>
  <c r="N17" i="72"/>
  <c r="O14" i="72"/>
  <c r="O17" i="72"/>
  <c r="P14" i="72"/>
  <c r="P17" i="72"/>
  <c r="Q14" i="72"/>
  <c r="Q17" i="72"/>
  <c r="R14" i="72"/>
  <c r="R17" i="72"/>
  <c r="S14" i="72"/>
  <c r="S17" i="72"/>
  <c r="T14" i="72"/>
  <c r="T17" i="72"/>
  <c r="U14" i="72"/>
  <c r="U17" i="72"/>
  <c r="V14" i="72"/>
  <c r="V17" i="72"/>
  <c r="W14" i="72"/>
  <c r="W17" i="72"/>
  <c r="X14" i="72"/>
  <c r="X17" i="72"/>
  <c r="Y14" i="72"/>
  <c r="Y17" i="72"/>
  <c r="Z14" i="72"/>
  <c r="Z17" i="72"/>
  <c r="AA14" i="72"/>
  <c r="AA17" i="72"/>
  <c r="AB14" i="72"/>
  <c r="AB17" i="72"/>
  <c r="AC14" i="72"/>
  <c r="AC17" i="72"/>
  <c r="AD14" i="72"/>
  <c r="AD17" i="72"/>
  <c r="AE14" i="72"/>
  <c r="AE17" i="72"/>
  <c r="AF14" i="72"/>
  <c r="AF17" i="72"/>
  <c r="AG14" i="72"/>
  <c r="AG17" i="72"/>
  <c r="G89" i="72" a="1"/>
  <c r="G89" i="72"/>
  <c r="G91" i="72"/>
  <c r="C33" i="62"/>
  <c r="C10" i="47"/>
  <c r="D32" i="62"/>
  <c r="C11" i="47"/>
  <c r="D33" i="62"/>
  <c r="C38" i="62" a="1"/>
  <c r="C38" i="62"/>
  <c r="I7" i="75"/>
  <c r="J9" i="68"/>
  <c r="J9" i="75"/>
  <c r="J5" i="75"/>
  <c r="J6" i="75"/>
  <c r="J7" i="75"/>
  <c r="K9" i="68"/>
  <c r="K9" i="75"/>
  <c r="K5" i="75"/>
  <c r="L9" i="68"/>
  <c r="L9" i="75"/>
  <c r="L5" i="75"/>
  <c r="M9" i="68"/>
  <c r="M9" i="75"/>
  <c r="M5" i="75"/>
  <c r="N9" i="68"/>
  <c r="N9" i="75"/>
  <c r="N5" i="75"/>
  <c r="O9" i="68"/>
  <c r="O9" i="75"/>
  <c r="O5" i="75"/>
  <c r="P9" i="68"/>
  <c r="P9" i="75"/>
  <c r="P5" i="75"/>
  <c r="Q9" i="68"/>
  <c r="Q9" i="75"/>
  <c r="Q5" i="75"/>
  <c r="R9" i="68"/>
  <c r="R9" i="75"/>
  <c r="R5" i="75"/>
  <c r="S9" i="68"/>
  <c r="S9" i="75"/>
  <c r="S5" i="75"/>
  <c r="T9" i="68"/>
  <c r="T9" i="75"/>
  <c r="T5" i="75"/>
  <c r="U9" i="68"/>
  <c r="U9" i="75"/>
  <c r="U5" i="75"/>
  <c r="V9" i="68"/>
  <c r="V9" i="75"/>
  <c r="V5" i="75"/>
  <c r="W9" i="68"/>
  <c r="W9" i="75"/>
  <c r="W5" i="75"/>
  <c r="X9" i="68"/>
  <c r="X9" i="75"/>
  <c r="X5" i="75"/>
  <c r="Y9" i="68"/>
  <c r="Y9" i="75"/>
  <c r="Y5" i="75"/>
  <c r="Z9" i="68"/>
  <c r="Z9" i="75"/>
  <c r="Z5" i="75"/>
  <c r="AA9" i="68"/>
  <c r="AA9" i="75"/>
  <c r="AA5" i="75"/>
  <c r="AB9" i="68"/>
  <c r="AB9" i="75"/>
  <c r="AB5" i="75"/>
  <c r="AC9" i="68"/>
  <c r="AC9" i="75"/>
  <c r="AC5" i="75"/>
  <c r="AD9" i="68"/>
  <c r="AD9" i="75"/>
  <c r="AD5" i="75"/>
  <c r="AE9" i="68"/>
  <c r="AE9" i="75"/>
  <c r="AE5" i="75"/>
  <c r="AF9" i="68"/>
  <c r="AF9" i="75"/>
  <c r="AF5" i="75"/>
  <c r="AG9" i="68"/>
  <c r="AG9" i="75"/>
  <c r="AG5" i="75"/>
  <c r="K6" i="75"/>
  <c r="K7" i="75"/>
  <c r="L6" i="68"/>
  <c r="L6" i="75"/>
  <c r="L7" i="75"/>
  <c r="M6" i="68"/>
  <c r="M6" i="75"/>
  <c r="M7" i="75"/>
  <c r="N6" i="68"/>
  <c r="N6" i="75"/>
  <c r="N7" i="75"/>
  <c r="O6" i="68"/>
  <c r="O6" i="75"/>
  <c r="O7" i="75"/>
  <c r="P6" i="68"/>
  <c r="P6" i="75"/>
  <c r="P7" i="75"/>
  <c r="Q6" i="68"/>
  <c r="Q6" i="75"/>
  <c r="Q7" i="75"/>
  <c r="R6" i="68"/>
  <c r="R6" i="75"/>
  <c r="R7" i="75"/>
  <c r="S6" i="68"/>
  <c r="S6" i="75"/>
  <c r="S7" i="75"/>
  <c r="T6" i="68"/>
  <c r="T6" i="75"/>
  <c r="T7" i="75"/>
  <c r="U6" i="68"/>
  <c r="U6" i="75"/>
  <c r="U7" i="75"/>
  <c r="V6" i="68"/>
  <c r="V6" i="75"/>
  <c r="V7" i="75"/>
  <c r="W6" i="68"/>
  <c r="W6" i="75"/>
  <c r="W7" i="75"/>
  <c r="X6" i="68"/>
  <c r="X6" i="75"/>
  <c r="X7" i="75"/>
  <c r="Y6" i="68"/>
  <c r="Y6" i="75"/>
  <c r="Y7" i="75"/>
  <c r="Z6" i="68"/>
  <c r="Z6" i="75"/>
  <c r="Z7" i="75"/>
  <c r="AA6" i="68"/>
  <c r="AA6" i="75"/>
  <c r="AA7" i="75"/>
  <c r="AB6" i="68"/>
  <c r="AB6" i="75"/>
  <c r="AB7" i="75"/>
  <c r="AC6" i="68"/>
  <c r="AC6" i="75"/>
  <c r="AC7" i="75"/>
  <c r="AD6" i="68"/>
  <c r="AD6" i="75"/>
  <c r="AD7" i="75"/>
  <c r="AE6" i="68"/>
  <c r="AE6" i="75"/>
  <c r="AE7" i="75"/>
  <c r="AF6" i="68"/>
  <c r="AF6" i="75"/>
  <c r="AF7" i="75"/>
  <c r="AG6" i="68"/>
  <c r="AG6" i="75"/>
  <c r="AG7" i="75"/>
  <c r="E24" i="92" a="1"/>
  <c r="E24" i="9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I13" i="62"/>
  <c r="I15" i="62"/>
  <c r="J13" i="62"/>
  <c r="J15" i="62"/>
  <c r="K13" i="62"/>
  <c r="K15" i="62"/>
  <c r="L13" i="62"/>
  <c r="L15" i="62"/>
  <c r="M13" i="62"/>
  <c r="M15" i="62"/>
  <c r="G70" i="43"/>
  <c r="G71" i="43"/>
  <c r="AG30" i="82" a="1"/>
  <c r="AG30" i="82"/>
  <c r="AF30" i="82" a="1"/>
  <c r="AF30" i="82"/>
  <c r="AE30" i="82" a="1"/>
  <c r="AE30" i="82"/>
  <c r="AD30" i="82" a="1"/>
  <c r="AD30" i="82"/>
  <c r="AC30" i="82" a="1"/>
  <c r="AC30" i="82"/>
  <c r="AB30" i="82" a="1"/>
  <c r="AB30" i="82"/>
  <c r="AA30" i="82" a="1"/>
  <c r="AA30" i="82"/>
  <c r="Z30" i="82" a="1"/>
  <c r="Z30" i="82"/>
  <c r="Y30" i="82" a="1"/>
  <c r="Y30" i="82"/>
  <c r="X30" i="82" a="1"/>
  <c r="X30" i="82"/>
  <c r="W30" i="82" a="1"/>
  <c r="W30" i="82"/>
  <c r="V30" i="82" a="1"/>
  <c r="V30" i="82"/>
  <c r="U30" i="82" a="1"/>
  <c r="U30" i="82"/>
  <c r="T30" i="82" a="1"/>
  <c r="T30" i="82"/>
  <c r="S30" i="82" a="1"/>
  <c r="S30" i="82"/>
  <c r="R30" i="82" a="1"/>
  <c r="R30" i="82"/>
  <c r="Q30" i="82" a="1"/>
  <c r="Q30" i="82"/>
  <c r="P30" i="82" a="1"/>
  <c r="P30" i="82"/>
  <c r="O30" i="82" a="1"/>
  <c r="O30" i="82"/>
  <c r="N30" i="82" a="1"/>
  <c r="N30" i="82"/>
  <c r="M30" i="82" a="1"/>
  <c r="M30" i="82"/>
  <c r="L30" i="82" a="1"/>
  <c r="L30" i="82"/>
  <c r="K30" i="82" a="1"/>
  <c r="K30" i="82"/>
  <c r="J30" i="82" a="1"/>
  <c r="J30" i="82"/>
  <c r="I30" i="82" a="1"/>
  <c r="I30" i="82"/>
  <c r="W31" i="73" a="1"/>
  <c r="W31" i="73"/>
  <c r="V31" i="73" a="1"/>
  <c r="V31" i="73"/>
  <c r="U31" i="73" a="1"/>
  <c r="U31" i="73"/>
  <c r="T31" i="73" a="1"/>
  <c r="T31" i="73"/>
  <c r="S31" i="73" a="1"/>
  <c r="S31" i="73"/>
  <c r="R31" i="73" a="1"/>
  <c r="R31" i="73"/>
  <c r="Q31" i="73" a="1"/>
  <c r="Q31" i="73"/>
  <c r="P31" i="73" a="1"/>
  <c r="P31" i="73"/>
  <c r="O31" i="73" a="1"/>
  <c r="O31" i="73"/>
  <c r="N31" i="73" a="1"/>
  <c r="N31" i="73"/>
  <c r="M31" i="73" a="1"/>
  <c r="M31" i="73"/>
  <c r="L31" i="73" a="1"/>
  <c r="L31" i="73"/>
  <c r="K31" i="73" a="1"/>
  <c r="K31" i="73"/>
  <c r="J31" i="73" a="1"/>
  <c r="J31" i="73"/>
  <c r="I31" i="73" a="1"/>
  <c r="I31" i="73"/>
  <c r="AG30" i="73" a="1"/>
  <c r="AG30" i="73"/>
  <c r="AF30" i="73" a="1"/>
  <c r="AF30" i="73"/>
  <c r="AE30" i="73" a="1"/>
  <c r="AE30" i="73"/>
  <c r="AD30" i="73" a="1"/>
  <c r="AD30" i="73"/>
  <c r="AC30" i="73" a="1"/>
  <c r="AC30" i="73"/>
  <c r="AB30" i="73" a="1"/>
  <c r="AB30" i="73"/>
  <c r="AA30" i="73" a="1"/>
  <c r="AA30" i="73"/>
  <c r="Z30" i="73" a="1"/>
  <c r="Z30" i="73"/>
  <c r="Y30" i="73" a="1"/>
  <c r="Y30" i="73"/>
  <c r="X30" i="73" a="1"/>
  <c r="X30" i="73"/>
  <c r="W30" i="73" a="1"/>
  <c r="W30" i="73"/>
  <c r="V30" i="73" a="1"/>
  <c r="V30" i="73"/>
  <c r="U30" i="73" a="1"/>
  <c r="U30" i="73"/>
  <c r="T30" i="73" a="1"/>
  <c r="T30" i="73"/>
  <c r="S30" i="73" a="1"/>
  <c r="S30" i="73"/>
  <c r="R30" i="73" a="1"/>
  <c r="R30" i="73"/>
  <c r="Q30" i="73" a="1"/>
  <c r="Q30" i="73"/>
  <c r="P30" i="73" a="1"/>
  <c r="P30" i="73"/>
  <c r="O30" i="73" a="1"/>
  <c r="O30" i="73"/>
  <c r="N30" i="73" a="1"/>
  <c r="N30" i="73"/>
  <c r="M30" i="73" a="1"/>
  <c r="M30" i="73"/>
  <c r="L30" i="73" a="1"/>
  <c r="L30" i="73"/>
  <c r="K30" i="73" a="1"/>
  <c r="K30" i="73"/>
  <c r="J30" i="73" a="1"/>
  <c r="J30" i="73"/>
  <c r="I30" i="73" a="1"/>
  <c r="I30" i="73"/>
  <c r="AB28" i="81"/>
  <c r="AA28" i="81"/>
  <c r="Z28" i="81"/>
  <c r="Y28" i="81"/>
  <c r="X28" i="81"/>
  <c r="W28" i="81"/>
  <c r="V28" i="81"/>
  <c r="U28" i="81"/>
  <c r="T28" i="81"/>
  <c r="S28" i="81"/>
  <c r="R28" i="81"/>
  <c r="Q28" i="81"/>
  <c r="P28" i="81"/>
  <c r="O28" i="81"/>
  <c r="N28" i="81"/>
  <c r="M28" i="81"/>
  <c r="L28" i="81"/>
  <c r="K28" i="81"/>
  <c r="J28" i="81"/>
  <c r="I28" i="81"/>
  <c r="AG28" i="81"/>
  <c r="AF28" i="81"/>
  <c r="AE28" i="81"/>
  <c r="AD28" i="81"/>
  <c r="AC28" i="81"/>
  <c r="AG31" i="73" a="1"/>
  <c r="AG31" i="73"/>
  <c r="AF31" i="73" a="1"/>
  <c r="AF31" i="73"/>
  <c r="AE31" i="73" a="1"/>
  <c r="AE31" i="73"/>
  <c r="AD31" i="73" a="1"/>
  <c r="AD31" i="73"/>
  <c r="AC31" i="73" a="1"/>
  <c r="AC31" i="73"/>
  <c r="AB31" i="73" a="1"/>
  <c r="AB31" i="73"/>
  <c r="AA31" i="73" a="1"/>
  <c r="AA31" i="73"/>
  <c r="Z31" i="73" a="1"/>
  <c r="Z31" i="73"/>
  <c r="Y31" i="73" a="1"/>
  <c r="Y31" i="73"/>
  <c r="X31" i="73" a="1"/>
  <c r="X31" i="73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A25" i="75"/>
  <c r="D24" i="75"/>
  <c r="E19" i="92" a="1"/>
  <c r="E19" i="92"/>
  <c r="N13" i="62"/>
  <c r="N15" i="62"/>
  <c r="O13" i="62"/>
  <c r="O15" i="62"/>
  <c r="P13" i="62"/>
  <c r="P15" i="62"/>
  <c r="Q13" i="62"/>
  <c r="Q15" i="62"/>
  <c r="R13" i="62"/>
  <c r="R15" i="62"/>
  <c r="D17" i="62"/>
  <c r="D16" i="62"/>
  <c r="D19" i="62"/>
  <c r="E20" i="92" a="1"/>
  <c r="E20" i="92"/>
  <c r="E21" i="92" a="1"/>
  <c r="E21" i="92"/>
  <c r="E22" i="92" a="1"/>
  <c r="E22" i="92"/>
  <c r="E23" i="92" a="1"/>
  <c r="E23" i="92"/>
  <c r="E16" i="88"/>
  <c r="F16" i="88"/>
  <c r="H16" i="88"/>
  <c r="K14" i="88"/>
  <c r="K11" i="88"/>
  <c r="K12" i="88"/>
  <c r="K13" i="88"/>
  <c r="K15" i="88"/>
  <c r="K16" i="88"/>
  <c r="P14" i="88"/>
  <c r="P11" i="88"/>
  <c r="P12" i="88"/>
  <c r="P13" i="88"/>
  <c r="P15" i="88"/>
  <c r="P16" i="88"/>
  <c r="S12" i="88"/>
  <c r="S11" i="88"/>
  <c r="S13" i="88"/>
  <c r="S14" i="88"/>
  <c r="S15" i="88"/>
  <c r="S16" i="88"/>
  <c r="T11" i="88"/>
  <c r="T12" i="88"/>
  <c r="T13" i="88"/>
  <c r="T14" i="88"/>
  <c r="T15" i="88"/>
  <c r="T16" i="88"/>
  <c r="V11" i="88"/>
  <c r="V12" i="88"/>
  <c r="V13" i="88"/>
  <c r="V14" i="88"/>
  <c r="V15" i="88"/>
  <c r="V16" i="88"/>
  <c r="X11" i="88"/>
  <c r="X14" i="88"/>
  <c r="X12" i="88"/>
  <c r="X13" i="88"/>
  <c r="X15" i="88"/>
  <c r="X16" i="88"/>
  <c r="G16" i="88"/>
  <c r="I11" i="88"/>
  <c r="I12" i="88"/>
  <c r="I13" i="88"/>
  <c r="I14" i="88"/>
  <c r="I15" i="88"/>
  <c r="I16" i="88"/>
  <c r="J11" i="88"/>
  <c r="J12" i="88"/>
  <c r="J13" i="88"/>
  <c r="J14" i="88"/>
  <c r="J15" i="88"/>
  <c r="J16" i="88"/>
  <c r="L11" i="88"/>
  <c r="L12" i="88"/>
  <c r="L13" i="88"/>
  <c r="L14" i="88"/>
  <c r="L15" i="88"/>
  <c r="L16" i="88"/>
  <c r="M11" i="88"/>
  <c r="M12" i="88"/>
  <c r="M13" i="88"/>
  <c r="M14" i="88"/>
  <c r="M15" i="88"/>
  <c r="M16" i="88"/>
  <c r="N11" i="88"/>
  <c r="N12" i="88"/>
  <c r="N13" i="88"/>
  <c r="N14" i="88"/>
  <c r="N15" i="88"/>
  <c r="N16" i="88"/>
  <c r="O11" i="88"/>
  <c r="O12" i="88"/>
  <c r="O13" i="88"/>
  <c r="O14" i="88"/>
  <c r="O15" i="88"/>
  <c r="O16" i="88"/>
  <c r="Q11" i="88"/>
  <c r="Q12" i="88"/>
  <c r="Q13" i="88"/>
  <c r="Q14" i="88"/>
  <c r="Q15" i="88"/>
  <c r="Q16" i="88"/>
  <c r="R11" i="88"/>
  <c r="R12" i="88"/>
  <c r="R13" i="88"/>
  <c r="R14" i="88"/>
  <c r="R15" i="88"/>
  <c r="R16" i="88"/>
  <c r="U11" i="88"/>
  <c r="U12" i="88"/>
  <c r="U13" i="88"/>
  <c r="U14" i="88"/>
  <c r="U15" i="88"/>
  <c r="U16" i="88"/>
  <c r="W11" i="88"/>
  <c r="W12" i="88"/>
  <c r="W13" i="88"/>
  <c r="W14" i="88"/>
  <c r="W15" i="88"/>
  <c r="W16" i="88"/>
  <c r="Y11" i="88"/>
  <c r="Y12" i="88"/>
  <c r="Y13" i="88"/>
  <c r="Y14" i="88"/>
  <c r="Y15" i="88"/>
  <c r="Y16" i="88"/>
  <c r="Z11" i="88"/>
  <c r="Z12" i="88"/>
  <c r="Z13" i="88"/>
  <c r="Z14" i="88"/>
  <c r="Z15" i="88"/>
  <c r="Z16" i="88"/>
  <c r="AA11" i="88"/>
  <c r="AA12" i="88"/>
  <c r="AA13" i="88"/>
  <c r="AA14" i="88"/>
  <c r="AA15" i="88"/>
  <c r="AA16" i="88"/>
  <c r="AB11" i="88"/>
  <c r="AB12" i="88"/>
  <c r="AB13" i="88"/>
  <c r="AB14" i="88"/>
  <c r="AB15" i="88"/>
  <c r="AB16" i="88"/>
  <c r="AC11" i="88"/>
  <c r="AC12" i="88"/>
  <c r="AC13" i="88"/>
  <c r="AC14" i="88"/>
  <c r="AC15" i="88"/>
  <c r="AC16" i="88"/>
  <c r="E13" i="92" a="1"/>
  <c r="E13" i="92"/>
  <c r="E8" i="92" a="1"/>
  <c r="E8" i="92"/>
  <c r="E9" i="92" a="1"/>
  <c r="E9" i="92"/>
  <c r="E10" i="92" a="1"/>
  <c r="E11" i="92" a="1"/>
  <c r="E12" i="92" a="1"/>
  <c r="E10" i="92"/>
  <c r="E11" i="92"/>
  <c r="E12" i="92"/>
  <c r="D13" i="33"/>
  <c r="I35" i="88"/>
  <c r="J35" i="88"/>
  <c r="N28" i="72"/>
  <c r="K35" i="88"/>
  <c r="L35" i="88"/>
  <c r="M35" i="88"/>
  <c r="Q28" i="72"/>
  <c r="N35" i="88"/>
  <c r="R28" i="72"/>
  <c r="O35" i="88"/>
  <c r="P35" i="88"/>
  <c r="Q35" i="88"/>
  <c r="R35" i="88"/>
  <c r="V28" i="72"/>
  <c r="H11" i="62"/>
  <c r="I11" i="62"/>
  <c r="I12" i="62"/>
  <c r="I6" i="62"/>
  <c r="J11" i="62"/>
  <c r="J12" i="62"/>
  <c r="K11" i="62"/>
  <c r="K12" i="62"/>
  <c r="J6" i="62"/>
  <c r="L11" i="62"/>
  <c r="L12" i="62"/>
  <c r="M11" i="62"/>
  <c r="M12" i="62"/>
  <c r="K6" i="62"/>
  <c r="N11" i="62"/>
  <c r="N12" i="62"/>
  <c r="O11" i="62"/>
  <c r="O12" i="62"/>
  <c r="L6" i="62"/>
  <c r="P11" i="62"/>
  <c r="P12" i="62"/>
  <c r="Q11" i="62"/>
  <c r="Q12" i="62"/>
  <c r="M6" i="62"/>
  <c r="R11" i="62"/>
  <c r="R12" i="62"/>
  <c r="C17" i="62"/>
  <c r="C16" i="62"/>
  <c r="V42" i="75"/>
  <c r="S35" i="88"/>
  <c r="W28" i="72"/>
  <c r="W42" i="75"/>
  <c r="T35" i="88"/>
  <c r="U35" i="88"/>
  <c r="V35" i="88"/>
  <c r="W35" i="88"/>
  <c r="AA28" i="72"/>
  <c r="AA42" i="75"/>
  <c r="X35" i="88"/>
  <c r="Y35" i="88"/>
  <c r="Z35" i="88"/>
  <c r="AA35" i="88"/>
  <c r="AE28" i="72"/>
  <c r="AE42" i="75"/>
  <c r="AB35" i="88"/>
  <c r="AF28" i="72"/>
  <c r="AF42" i="75"/>
  <c r="AC35" i="88"/>
  <c r="I36" i="88"/>
  <c r="M30" i="72"/>
  <c r="J36" i="88"/>
  <c r="N30" i="72"/>
  <c r="K36" i="88"/>
  <c r="O30" i="72"/>
  <c r="L36" i="88"/>
  <c r="P30" i="72"/>
  <c r="M36" i="88"/>
  <c r="Q30" i="72"/>
  <c r="N36" i="88"/>
  <c r="R30" i="72"/>
  <c r="O36" i="88"/>
  <c r="P36" i="88"/>
  <c r="Q36" i="88"/>
  <c r="U30" i="72"/>
  <c r="R36" i="88"/>
  <c r="V30" i="72"/>
  <c r="S36" i="88"/>
  <c r="W30" i="72"/>
  <c r="T36" i="88"/>
  <c r="X30" i="72"/>
  <c r="U36" i="88"/>
  <c r="Y30" i="72"/>
  <c r="V36" i="88"/>
  <c r="Z30" i="72"/>
  <c r="W36" i="88"/>
  <c r="X36" i="88"/>
  <c r="AB30" i="72"/>
  <c r="Y36" i="88"/>
  <c r="Z36" i="88"/>
  <c r="AD30" i="72"/>
  <c r="AA36" i="88"/>
  <c r="AE30" i="72"/>
  <c r="AB36" i="88"/>
  <c r="AF30" i="72"/>
  <c r="AC36" i="88"/>
  <c r="I37" i="88"/>
  <c r="M31" i="72"/>
  <c r="J37" i="88"/>
  <c r="N31" i="72"/>
  <c r="K37" i="88"/>
  <c r="O31" i="72"/>
  <c r="L37" i="88"/>
  <c r="P31" i="72"/>
  <c r="M37" i="88"/>
  <c r="Q31" i="72"/>
  <c r="N37" i="88"/>
  <c r="R31" i="72"/>
  <c r="O37" i="88"/>
  <c r="S31" i="72"/>
  <c r="P37" i="88"/>
  <c r="T31" i="72"/>
  <c r="Q37" i="88"/>
  <c r="U31" i="72"/>
  <c r="R37" i="88"/>
  <c r="V31" i="72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AC31" i="72"/>
  <c r="Z37" i="88"/>
  <c r="AD31" i="72"/>
  <c r="AA37" i="88"/>
  <c r="AE31" i="72"/>
  <c r="AB37" i="88"/>
  <c r="AF31" i="72"/>
  <c r="AC37" i="88"/>
  <c r="AG31" i="72"/>
  <c r="I38" i="88"/>
  <c r="M32" i="72"/>
  <c r="J38" i="88"/>
  <c r="N32" i="72"/>
  <c r="K38" i="88"/>
  <c r="O32" i="72"/>
  <c r="L38" i="88"/>
  <c r="P32" i="72"/>
  <c r="M38" i="88"/>
  <c r="Q32" i="72"/>
  <c r="N38" i="88"/>
  <c r="R32" i="72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Z32" i="72"/>
  <c r="W38" i="88"/>
  <c r="AA32" i="72"/>
  <c r="X38" i="88"/>
  <c r="AB32" i="72"/>
  <c r="Y38" i="88"/>
  <c r="AC32" i="72"/>
  <c r="Z38" i="88"/>
  <c r="AD32" i="72"/>
  <c r="AA38" i="88"/>
  <c r="AE32" i="72"/>
  <c r="AB38" i="88"/>
  <c r="AF32" i="72"/>
  <c r="AC38" i="88"/>
  <c r="AG32" i="72"/>
  <c r="I39" i="88"/>
  <c r="M33" i="72"/>
  <c r="J39" i="88"/>
  <c r="N33" i="72"/>
  <c r="K39" i="88"/>
  <c r="O33" i="72"/>
  <c r="L39" i="88"/>
  <c r="M39" i="88"/>
  <c r="Q33" i="72"/>
  <c r="N39" i="88"/>
  <c r="R33" i="72"/>
  <c r="O39" i="88"/>
  <c r="S33" i="72"/>
  <c r="P39" i="88"/>
  <c r="T33" i="72"/>
  <c r="Q39" i="88"/>
  <c r="U33" i="72"/>
  <c r="R39" i="88"/>
  <c r="V33" i="72"/>
  <c r="S39" i="88"/>
  <c r="T39" i="88"/>
  <c r="X33" i="72"/>
  <c r="U39" i="88"/>
  <c r="Y33" i="72"/>
  <c r="V39" i="88"/>
  <c r="Z33" i="72"/>
  <c r="W39" i="88"/>
  <c r="AA33" i="72"/>
  <c r="X39" i="88"/>
  <c r="AB33" i="72"/>
  <c r="Y39" i="88"/>
  <c r="AC33" i="72"/>
  <c r="Z39" i="88"/>
  <c r="AD33" i="72"/>
  <c r="AA39" i="88"/>
  <c r="AE33" i="72"/>
  <c r="AB39" i="88"/>
  <c r="AF33" i="72"/>
  <c r="AC39" i="88"/>
  <c r="AG33" i="72"/>
  <c r="H36" i="88"/>
  <c r="L30" i="72"/>
  <c r="H37" i="88"/>
  <c r="L31" i="72"/>
  <c r="H38" i="88"/>
  <c r="L32" i="72"/>
  <c r="H39" i="88"/>
  <c r="L33" i="72"/>
  <c r="H35" i="88"/>
  <c r="J33" i="81"/>
  <c r="K33" i="81"/>
  <c r="L33" i="81"/>
  <c r="N33" i="81"/>
  <c r="O33" i="81"/>
  <c r="P33" i="81"/>
  <c r="Q33" i="81"/>
  <c r="R33" i="81"/>
  <c r="T33" i="81"/>
  <c r="U33" i="81"/>
  <c r="V33" i="81"/>
  <c r="W33" i="81"/>
  <c r="X33" i="81"/>
  <c r="Y33" i="81"/>
  <c r="Z33" i="81"/>
  <c r="AA33" i="81"/>
  <c r="AB33" i="81"/>
  <c r="AC33" i="81"/>
  <c r="AD33" i="81"/>
  <c r="AE33" i="81"/>
  <c r="AF33" i="81"/>
  <c r="I33" i="81"/>
  <c r="F35" i="88"/>
  <c r="J28" i="72"/>
  <c r="J42" i="75"/>
  <c r="L28" i="68"/>
  <c r="N28" i="68"/>
  <c r="N99" i="75"/>
  <c r="S28" i="68"/>
  <c r="T28" i="68"/>
  <c r="U28" i="68"/>
  <c r="U14" i="75"/>
  <c r="V28" i="68"/>
  <c r="W28" i="68"/>
  <c r="X28" i="68"/>
  <c r="Y28" i="68"/>
  <c r="Z28" i="68"/>
  <c r="Z99" i="75"/>
  <c r="AA28" i="68"/>
  <c r="AA99" i="75"/>
  <c r="AB28" i="68"/>
  <c r="AE28" i="68"/>
  <c r="AF28" i="68"/>
  <c r="AG28" i="68"/>
  <c r="F36" i="88"/>
  <c r="J30" i="72"/>
  <c r="G36" i="88"/>
  <c r="K30" i="72"/>
  <c r="L30" i="68"/>
  <c r="M30" i="68"/>
  <c r="N30" i="68"/>
  <c r="O30" i="68"/>
  <c r="P30" i="68"/>
  <c r="Q30" i="68"/>
  <c r="R30" i="68"/>
  <c r="S30" i="68"/>
  <c r="T30" i="68"/>
  <c r="U30" i="68"/>
  <c r="V30" i="68"/>
  <c r="W30" i="68"/>
  <c r="Y30" i="68"/>
  <c r="Z30" i="68"/>
  <c r="AA30" i="68"/>
  <c r="AB30" i="68"/>
  <c r="AC30" i="68"/>
  <c r="AD30" i="68"/>
  <c r="AE30" i="68"/>
  <c r="AF30" i="68"/>
  <c r="AG30" i="68"/>
  <c r="F37" i="88"/>
  <c r="J31" i="72"/>
  <c r="G37" i="88"/>
  <c r="K31" i="72"/>
  <c r="L31" i="68"/>
  <c r="M31" i="68"/>
  <c r="N31" i="68"/>
  <c r="O31" i="68"/>
  <c r="P31" i="68"/>
  <c r="Q31" i="68"/>
  <c r="R31" i="68"/>
  <c r="V31" i="68"/>
  <c r="W31" i="68"/>
  <c r="X31" i="68"/>
  <c r="Y31" i="68"/>
  <c r="Z31" i="68"/>
  <c r="AA31" i="68"/>
  <c r="AC31" i="68"/>
  <c r="AD31" i="68"/>
  <c r="AE31" i="68"/>
  <c r="AF31" i="68"/>
  <c r="AG31" i="68"/>
  <c r="F38" i="88"/>
  <c r="J32" i="72"/>
  <c r="G38" i="88"/>
  <c r="K32" i="72"/>
  <c r="L32" i="68"/>
  <c r="M32" i="68"/>
  <c r="N32" i="68"/>
  <c r="O32" i="68"/>
  <c r="P32" i="68"/>
  <c r="Q32" i="68"/>
  <c r="R32" i="68"/>
  <c r="S32" i="68"/>
  <c r="T32" i="68"/>
  <c r="U32" i="68"/>
  <c r="V32" i="68"/>
  <c r="W32" i="68"/>
  <c r="X32" i="68"/>
  <c r="Y32" i="68"/>
  <c r="Z32" i="68"/>
  <c r="AA32" i="68"/>
  <c r="AB32" i="68"/>
  <c r="AC32" i="68"/>
  <c r="AD32" i="68"/>
  <c r="AE32" i="68"/>
  <c r="AF32" i="68"/>
  <c r="AG32" i="68"/>
  <c r="G39" i="88"/>
  <c r="K33" i="72"/>
  <c r="L33" i="68"/>
  <c r="M33" i="68"/>
  <c r="N33" i="68"/>
  <c r="O33" i="68"/>
  <c r="P33" i="68"/>
  <c r="Q33" i="68"/>
  <c r="R33" i="68"/>
  <c r="S33" i="68"/>
  <c r="T33" i="68"/>
  <c r="U33" i="68"/>
  <c r="V33" i="68"/>
  <c r="W33" i="68"/>
  <c r="X33" i="68"/>
  <c r="Y33" i="68"/>
  <c r="Z33" i="68"/>
  <c r="AA33" i="68"/>
  <c r="AB33" i="68"/>
  <c r="AC33" i="68"/>
  <c r="AD33" i="68"/>
  <c r="AE33" i="68"/>
  <c r="AF33" i="68"/>
  <c r="AG33" i="68"/>
  <c r="I30" i="68"/>
  <c r="E37" i="88"/>
  <c r="I31" i="72"/>
  <c r="E38" i="88"/>
  <c r="I32" i="72"/>
  <c r="I33" i="68"/>
  <c r="B31" i="88"/>
  <c r="B19" i="88"/>
  <c r="B29" i="87"/>
  <c r="AC39" i="87"/>
  <c r="AB39" i="87"/>
  <c r="AA39" i="87"/>
  <c r="Z39" i="87"/>
  <c r="Y39" i="87"/>
  <c r="X39" i="87"/>
  <c r="W39" i="87"/>
  <c r="V39" i="87"/>
  <c r="U39" i="87"/>
  <c r="T39" i="87"/>
  <c r="S39" i="87"/>
  <c r="R39" i="87"/>
  <c r="Q39" i="87"/>
  <c r="P39" i="87"/>
  <c r="O39" i="87"/>
  <c r="N39" i="87"/>
  <c r="M39" i="87"/>
  <c r="L39" i="87"/>
  <c r="K39" i="87"/>
  <c r="J39" i="87"/>
  <c r="I39" i="87"/>
  <c r="H39" i="87"/>
  <c r="G39" i="87"/>
  <c r="F39" i="87"/>
  <c r="E39" i="87"/>
  <c r="AC34" i="87"/>
  <c r="AB34" i="87"/>
  <c r="AA34" i="87"/>
  <c r="Z34" i="87"/>
  <c r="Y34" i="87"/>
  <c r="X34" i="87"/>
  <c r="W34" i="87"/>
  <c r="V34" i="87"/>
  <c r="U34" i="87"/>
  <c r="T34" i="87"/>
  <c r="S34" i="87"/>
  <c r="R34" i="87"/>
  <c r="Q34" i="87"/>
  <c r="P34" i="87"/>
  <c r="O34" i="87"/>
  <c r="N34" i="87"/>
  <c r="M34" i="87"/>
  <c r="L34" i="87"/>
  <c r="K34" i="87"/>
  <c r="J34" i="87"/>
  <c r="I34" i="87"/>
  <c r="H34" i="87"/>
  <c r="G34" i="87"/>
  <c r="F34" i="87"/>
  <c r="E34" i="87"/>
  <c r="S30" i="72"/>
  <c r="AD28" i="72"/>
  <c r="P28" i="72"/>
  <c r="P42" i="75"/>
  <c r="AC28" i="72"/>
  <c r="AC42" i="75"/>
  <c r="AB28" i="72"/>
  <c r="AB42" i="75"/>
  <c r="AG30" i="72"/>
  <c r="T30" i="72"/>
  <c r="C71" i="81"/>
  <c r="C29" i="92"/>
  <c r="B5" i="92"/>
  <c r="A2" i="89"/>
  <c r="A1" i="89"/>
  <c r="C31" i="68"/>
  <c r="C32" i="68"/>
  <c r="C33" i="68"/>
  <c r="C30" i="68"/>
  <c r="M33" i="81"/>
  <c r="AB31" i="68"/>
  <c r="X30" i="68"/>
  <c r="A2" i="88"/>
  <c r="A1" i="88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J21" i="87"/>
  <c r="I21" i="87"/>
  <c r="H21" i="87"/>
  <c r="E21" i="87"/>
  <c r="G21" i="87"/>
  <c r="F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1" i="87"/>
  <c r="A40" i="86"/>
  <c r="C31" i="72"/>
  <c r="C31" i="81"/>
  <c r="C30" i="72"/>
  <c r="C30" i="81"/>
  <c r="C33" i="72"/>
  <c r="C33" i="81"/>
  <c r="C32" i="81"/>
  <c r="C32" i="72"/>
  <c r="J30" i="68"/>
  <c r="H9" i="68"/>
  <c r="H9" i="75"/>
  <c r="H5" i="75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5" i="72"/>
  <c r="G105" i="81"/>
  <c r="G105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C109" i="72"/>
  <c r="A109" i="72"/>
  <c r="G109" i="72"/>
  <c r="E108" i="72"/>
  <c r="D108" i="72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C109" i="68"/>
  <c r="A109" i="68"/>
  <c r="G109" i="68"/>
  <c r="E108" i="68"/>
  <c r="D108" i="68"/>
  <c r="A110" i="81"/>
  <c r="A111" i="81"/>
  <c r="A112" i="81"/>
  <c r="A113" i="81"/>
  <c r="A114" i="81"/>
  <c r="A115" i="81"/>
  <c r="A116" i="81"/>
  <c r="A109" i="81"/>
  <c r="E108" i="81"/>
  <c r="D108" i="81"/>
  <c r="C116" i="81"/>
  <c r="C115" i="81"/>
  <c r="C114" i="81"/>
  <c r="D114" i="81"/>
  <c r="E114" i="81"/>
  <c r="D115" i="81"/>
  <c r="E115" i="81"/>
  <c r="D116" i="81"/>
  <c r="E116" i="81"/>
  <c r="E113" i="81"/>
  <c r="D113" i="81"/>
  <c r="E112" i="81"/>
  <c r="D112" i="81"/>
  <c r="E111" i="81"/>
  <c r="D111" i="81"/>
  <c r="E110" i="81"/>
  <c r="D110" i="81"/>
  <c r="E109" i="81"/>
  <c r="D109" i="81"/>
  <c r="J77" i="68"/>
  <c r="K77" i="68"/>
  <c r="L77" i="68"/>
  <c r="M77" i="68"/>
  <c r="N77" i="68"/>
  <c r="O77" i="68"/>
  <c r="P77" i="68"/>
  <c r="Q77" i="68"/>
  <c r="R77" i="68"/>
  <c r="S77" i="68"/>
  <c r="T77" i="68"/>
  <c r="U77" i="68"/>
  <c r="V77" i="68"/>
  <c r="W77" i="68"/>
  <c r="X77" i="68"/>
  <c r="Y77" i="68"/>
  <c r="Z77" i="68"/>
  <c r="AA77" i="68"/>
  <c r="AB77" i="68"/>
  <c r="AC77" i="68"/>
  <c r="AD77" i="68"/>
  <c r="AE77" i="68"/>
  <c r="AF77" i="68"/>
  <c r="AG77" i="68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I78" i="68"/>
  <c r="I77" i="68"/>
  <c r="I76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7" i="73"/>
  <c r="K77" i="73"/>
  <c r="L77" i="73"/>
  <c r="M77" i="73"/>
  <c r="N77" i="73"/>
  <c r="O77" i="73"/>
  <c r="P77" i="73"/>
  <c r="Q77" i="73"/>
  <c r="R77" i="73"/>
  <c r="S77" i="73"/>
  <c r="T77" i="73"/>
  <c r="U77" i="73"/>
  <c r="V77" i="73"/>
  <c r="W77" i="73"/>
  <c r="X77" i="73"/>
  <c r="Y77" i="73"/>
  <c r="Z77" i="73"/>
  <c r="AA77" i="73"/>
  <c r="AB77" i="73"/>
  <c r="AC77" i="73"/>
  <c r="AD77" i="73"/>
  <c r="AE77" i="73"/>
  <c r="AF77" i="73"/>
  <c r="AG77" i="73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J78" i="72"/>
  <c r="K78" i="72"/>
  <c r="L78" i="72"/>
  <c r="M78" i="72"/>
  <c r="N78" i="72"/>
  <c r="O78" i="72"/>
  <c r="P78" i="72"/>
  <c r="Q78" i="72"/>
  <c r="R78" i="72"/>
  <c r="S78" i="72"/>
  <c r="T78" i="72"/>
  <c r="U78" i="72"/>
  <c r="V78" i="72"/>
  <c r="W78" i="72"/>
  <c r="X78" i="72"/>
  <c r="Y78" i="72"/>
  <c r="Z78" i="72"/>
  <c r="AA78" i="72"/>
  <c r="AB78" i="72"/>
  <c r="AC78" i="72"/>
  <c r="AD78" i="72"/>
  <c r="AE78" i="72"/>
  <c r="AF78" i="72"/>
  <c r="AG78" i="72"/>
  <c r="I78" i="72"/>
  <c r="I77" i="72"/>
  <c r="I76" i="72"/>
  <c r="J78" i="81"/>
  <c r="K78" i="81"/>
  <c r="L78" i="81"/>
  <c r="M78" i="81"/>
  <c r="N78" i="81"/>
  <c r="O78" i="81"/>
  <c r="P78" i="81"/>
  <c r="Q78" i="81"/>
  <c r="R78" i="81"/>
  <c r="S78" i="81"/>
  <c r="T78" i="81"/>
  <c r="U78" i="81"/>
  <c r="V78" i="81"/>
  <c r="W78" i="81"/>
  <c r="X78" i="81"/>
  <c r="Y78" i="81"/>
  <c r="Z78" i="81"/>
  <c r="AA78" i="81"/>
  <c r="AB78" i="81"/>
  <c r="AC78" i="81"/>
  <c r="AD78" i="81"/>
  <c r="AE78" i="81"/>
  <c r="AF78" i="81"/>
  <c r="AG78" i="81"/>
  <c r="I78" i="81"/>
  <c r="I77" i="81"/>
  <c r="I76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1" i="81"/>
  <c r="C113" i="81"/>
  <c r="C36" i="85"/>
  <c r="C109" i="81"/>
  <c r="C23" i="85"/>
  <c r="C21" i="85"/>
  <c r="C30" i="85"/>
  <c r="C32" i="85"/>
  <c r="C34" i="85"/>
  <c r="C19" i="85"/>
  <c r="C110" i="81"/>
  <c r="C17" i="85"/>
  <c r="C68" i="33"/>
  <c r="C70" i="33"/>
  <c r="C112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C9" i="33" a="1"/>
  <c r="C9" i="33"/>
  <c r="D92" i="75"/>
  <c r="D9" i="47"/>
  <c r="A6" i="75"/>
  <c r="I6" i="85"/>
  <c r="H6" i="75"/>
  <c r="H6" i="85"/>
  <c r="H11" i="85" a="1"/>
  <c r="H11" i="85"/>
  <c r="G17" i="33"/>
  <c r="D29" i="33"/>
  <c r="I8" i="33"/>
  <c r="H8" i="33"/>
  <c r="A15" i="75"/>
  <c r="A29" i="75"/>
  <c r="A43" i="75"/>
  <c r="A57" i="75"/>
  <c r="A71" i="75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2" i="81"/>
  <c r="AG68" i="81"/>
  <c r="AG67" i="81"/>
  <c r="AG66" i="81"/>
  <c r="AG82" i="72"/>
  <c r="AG68" i="72"/>
  <c r="AG67" i="72"/>
  <c r="AG66" i="72"/>
  <c r="AG83" i="73"/>
  <c r="AG69" i="73"/>
  <c r="AG68" i="73"/>
  <c r="AG67" i="73"/>
  <c r="AG83" i="82"/>
  <c r="AG69" i="82"/>
  <c r="AG68" i="82"/>
  <c r="AG67" i="82"/>
  <c r="AG83" i="68"/>
  <c r="AG82" i="68"/>
  <c r="AG68" i="68"/>
  <c r="AG67" i="68"/>
  <c r="AG66" i="68"/>
  <c r="AG98" i="75"/>
  <c r="AG17" i="68"/>
  <c r="AF82" i="81"/>
  <c r="AF68" i="81"/>
  <c r="AF67" i="81"/>
  <c r="AF66" i="81"/>
  <c r="AF82" i="72"/>
  <c r="AF68" i="72"/>
  <c r="AF67" i="72"/>
  <c r="AF66" i="72"/>
  <c r="AF83" i="73"/>
  <c r="AF69" i="73"/>
  <c r="AF68" i="73"/>
  <c r="AF67" i="73"/>
  <c r="AF83" i="82"/>
  <c r="AF69" i="82"/>
  <c r="AF68" i="82"/>
  <c r="AF67" i="82"/>
  <c r="AF83" i="68"/>
  <c r="AF82" i="68"/>
  <c r="AF68" i="68"/>
  <c r="AF67" i="68"/>
  <c r="AF66" i="68"/>
  <c r="AF98" i="75"/>
  <c r="AF17" i="68"/>
  <c r="AE82" i="81"/>
  <c r="AE68" i="81"/>
  <c r="AE67" i="81"/>
  <c r="AE66" i="81"/>
  <c r="AE82" i="72"/>
  <c r="AE68" i="72"/>
  <c r="AE67" i="72"/>
  <c r="AE66" i="72"/>
  <c r="AE83" i="73"/>
  <c r="AE69" i="73"/>
  <c r="AE68" i="73"/>
  <c r="AE67" i="73"/>
  <c r="AE83" i="82"/>
  <c r="AE69" i="82"/>
  <c r="AE68" i="82"/>
  <c r="AE67" i="82"/>
  <c r="AE83" i="68"/>
  <c r="AE82" i="68"/>
  <c r="AE68" i="68"/>
  <c r="AE67" i="68"/>
  <c r="AE66" i="68"/>
  <c r="AE98" i="75"/>
  <c r="AE17" i="68"/>
  <c r="AD82" i="81"/>
  <c r="AD68" i="81"/>
  <c r="AD67" i="81"/>
  <c r="AD66" i="81"/>
  <c r="AD82" i="72"/>
  <c r="AD68" i="72"/>
  <c r="AD67" i="72"/>
  <c r="AD66" i="72"/>
  <c r="AD83" i="73"/>
  <c r="AD69" i="73"/>
  <c r="AD68" i="73"/>
  <c r="AD67" i="73"/>
  <c r="AD83" i="82"/>
  <c r="AD69" i="82"/>
  <c r="AD68" i="82"/>
  <c r="AD67" i="82"/>
  <c r="AD83" i="68"/>
  <c r="AD82" i="68"/>
  <c r="AD68" i="68"/>
  <c r="AD67" i="68"/>
  <c r="AD66" i="68"/>
  <c r="AD98" i="75"/>
  <c r="AD17" i="68"/>
  <c r="AC82" i="81"/>
  <c r="AC68" i="81"/>
  <c r="AC67" i="81"/>
  <c r="AC66" i="81"/>
  <c r="AC82" i="72"/>
  <c r="AC68" i="72"/>
  <c r="AC67" i="72"/>
  <c r="AC66" i="72"/>
  <c r="AC83" i="73"/>
  <c r="AC69" i="73"/>
  <c r="AC68" i="73"/>
  <c r="AC67" i="73"/>
  <c r="AC83" i="82"/>
  <c r="AC69" i="82"/>
  <c r="AC68" i="82"/>
  <c r="AC67" i="82"/>
  <c r="AC83" i="68"/>
  <c r="AC82" i="68"/>
  <c r="AC68" i="68"/>
  <c r="AC67" i="68"/>
  <c r="AC66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5" i="85"/>
  <c r="H11" i="75" a="1"/>
  <c r="H11" i="75"/>
  <c r="G90" i="73" a="1"/>
  <c r="G90" i="73"/>
  <c r="AF15" i="75"/>
  <c r="AG15" i="75"/>
  <c r="AE15" i="75"/>
  <c r="AD15" i="75"/>
  <c r="AC15" i="75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1" i="81"/>
  <c r="AC7" i="73"/>
  <c r="AC42" i="73"/>
  <c r="AD7" i="68"/>
  <c r="AC7" i="82"/>
  <c r="AC41" i="68"/>
  <c r="AC7" i="72"/>
  <c r="AC41" i="72"/>
  <c r="AC42" i="82"/>
  <c r="AD7" i="81"/>
  <c r="AD41" i="81"/>
  <c r="AD7" i="73"/>
  <c r="AD42" i="73"/>
  <c r="AD41" i="68"/>
  <c r="AE7" i="68"/>
  <c r="AD7" i="82"/>
  <c r="AD7" i="72"/>
  <c r="AD41" i="72"/>
  <c r="AE7" i="81"/>
  <c r="AE41" i="81"/>
  <c r="AF7" i="68"/>
  <c r="AE7" i="82"/>
  <c r="AE41" i="68"/>
  <c r="AE7" i="73"/>
  <c r="AE7" i="72"/>
  <c r="AE41" i="72"/>
  <c r="AD42" i="82"/>
  <c r="G44" i="75"/>
  <c r="C44" i="75"/>
  <c r="G58" i="75"/>
  <c r="C58" i="75"/>
  <c r="G72" i="75"/>
  <c r="C72" i="75"/>
  <c r="AE42" i="73"/>
  <c r="AE42" i="82"/>
  <c r="AF7" i="81"/>
  <c r="AF41" i="81"/>
  <c r="AG7" i="68"/>
  <c r="AF7" i="73"/>
  <c r="AF42" i="73"/>
  <c r="AF7" i="82"/>
  <c r="AF41" i="68"/>
  <c r="AF7" i="72"/>
  <c r="AF41" i="72"/>
  <c r="G30" i="75"/>
  <c r="C30" i="75"/>
  <c r="C16" i="75"/>
  <c r="G16" i="75"/>
  <c r="AG7" i="81"/>
  <c r="AG41" i="81"/>
  <c r="AG7" i="73"/>
  <c r="AG7" i="82"/>
  <c r="AG41" i="68"/>
  <c r="AG7" i="72"/>
  <c r="AG41" i="72"/>
  <c r="AF42" i="82"/>
  <c r="D17" i="75"/>
  <c r="H92" i="75"/>
  <c r="D16" i="75"/>
  <c r="AG42" i="73"/>
  <c r="AG42" i="82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2" i="68"/>
  <c r="AA82" i="68"/>
  <c r="Z82" i="68"/>
  <c r="Y82" i="68"/>
  <c r="X82" i="68"/>
  <c r="W82" i="68"/>
  <c r="V82" i="68"/>
  <c r="U82" i="68"/>
  <c r="T82" i="68"/>
  <c r="S82" i="68"/>
  <c r="R82" i="68"/>
  <c r="Q82" i="68"/>
  <c r="P82" i="68"/>
  <c r="O82" i="68"/>
  <c r="N82" i="68"/>
  <c r="M82" i="68"/>
  <c r="L82" i="68"/>
  <c r="K82" i="68"/>
  <c r="J82" i="68"/>
  <c r="I82" i="68"/>
  <c r="AB82" i="81"/>
  <c r="AA82" i="81"/>
  <c r="Z82" i="81"/>
  <c r="Y82" i="81"/>
  <c r="X82" i="81"/>
  <c r="W82" i="81"/>
  <c r="V82" i="81"/>
  <c r="U82" i="81"/>
  <c r="T82" i="81"/>
  <c r="S82" i="81"/>
  <c r="R82" i="81"/>
  <c r="Q82" i="81"/>
  <c r="P82" i="81"/>
  <c r="O82" i="81"/>
  <c r="N82" i="81"/>
  <c r="M82" i="81"/>
  <c r="L82" i="81"/>
  <c r="K82" i="81"/>
  <c r="J82" i="81"/>
  <c r="I82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2" i="72"/>
  <c r="K82" i="72"/>
  <c r="L82" i="72"/>
  <c r="M82" i="72"/>
  <c r="N82" i="72"/>
  <c r="O82" i="72"/>
  <c r="P82" i="72"/>
  <c r="Q82" i="72"/>
  <c r="R82" i="72"/>
  <c r="S82" i="72"/>
  <c r="T82" i="72"/>
  <c r="U82" i="72"/>
  <c r="V82" i="72"/>
  <c r="W82" i="72"/>
  <c r="X82" i="72"/>
  <c r="Y82" i="72"/>
  <c r="Z82" i="72"/>
  <c r="AA82" i="72"/>
  <c r="AB82" i="72"/>
  <c r="I82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6" i="81"/>
  <c r="L66" i="81"/>
  <c r="I66" i="81"/>
  <c r="J66" i="81"/>
  <c r="K66" i="81"/>
  <c r="N66" i="81"/>
  <c r="O66" i="81"/>
  <c r="P66" i="81"/>
  <c r="Q66" i="81"/>
  <c r="R66" i="81"/>
  <c r="S66" i="81"/>
  <c r="T66" i="81"/>
  <c r="U66" i="81"/>
  <c r="V66" i="81"/>
  <c r="W66" i="81"/>
  <c r="X66" i="81"/>
  <c r="Y66" i="81"/>
  <c r="Z66" i="81"/>
  <c r="AA66" i="81"/>
  <c r="AB66" i="81"/>
  <c r="J67" i="81"/>
  <c r="K67" i="81"/>
  <c r="L67" i="81"/>
  <c r="M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6" i="72"/>
  <c r="L66" i="72"/>
  <c r="M66" i="72"/>
  <c r="N66" i="72"/>
  <c r="O66" i="72"/>
  <c r="P66" i="72"/>
  <c r="Q66" i="72"/>
  <c r="R66" i="72"/>
  <c r="S66" i="72"/>
  <c r="T66" i="72"/>
  <c r="U66" i="72"/>
  <c r="V66" i="72"/>
  <c r="W66" i="72"/>
  <c r="X66" i="72"/>
  <c r="Y66" i="72"/>
  <c r="Z66" i="72"/>
  <c r="AA66" i="72"/>
  <c r="AB66" i="72"/>
  <c r="J67" i="72"/>
  <c r="K67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6" i="68"/>
  <c r="K66" i="68"/>
  <c r="L66" i="68"/>
  <c r="M66" i="68"/>
  <c r="N66" i="68"/>
  <c r="O66" i="68"/>
  <c r="P66" i="68"/>
  <c r="Q66" i="68"/>
  <c r="R66" i="68"/>
  <c r="S66" i="68"/>
  <c r="T66" i="68"/>
  <c r="U66" i="68"/>
  <c r="V66" i="68"/>
  <c r="W66" i="68"/>
  <c r="X66" i="68"/>
  <c r="Y66" i="68"/>
  <c r="Z66" i="68"/>
  <c r="AA66" i="68"/>
  <c r="AB66" i="68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I68" i="81"/>
  <c r="I67" i="81"/>
  <c r="I68" i="72"/>
  <c r="I67" i="72"/>
  <c r="I66" i="72"/>
  <c r="I69" i="73"/>
  <c r="I68" i="73"/>
  <c r="I67" i="73"/>
  <c r="I69" i="82"/>
  <c r="I68" i="82"/>
  <c r="I67" i="82"/>
  <c r="I68" i="68"/>
  <c r="I67" i="68"/>
  <c r="I66" i="68"/>
  <c r="C78" i="81"/>
  <c r="C77" i="81"/>
  <c r="C76" i="81"/>
  <c r="C73" i="81"/>
  <c r="C72" i="81"/>
  <c r="C68" i="81"/>
  <c r="C67" i="81"/>
  <c r="C66" i="81"/>
  <c r="C78" i="72"/>
  <c r="C77" i="72"/>
  <c r="C76" i="72"/>
  <c r="C73" i="72"/>
  <c r="C72" i="72"/>
  <c r="C71" i="72"/>
  <c r="C68" i="72"/>
  <c r="C67" i="72"/>
  <c r="C66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8" i="68"/>
  <c r="C77" i="68"/>
  <c r="C76" i="68"/>
  <c r="C73" i="68"/>
  <c r="C72" i="68"/>
  <c r="C71" i="68"/>
  <c r="C68" i="68"/>
  <c r="C67" i="68"/>
  <c r="C66" i="68"/>
  <c r="I71" i="68" a="1"/>
  <c r="I71" i="68"/>
  <c r="J76" i="68"/>
  <c r="I72" i="68" a="1"/>
  <c r="I72" i="68"/>
  <c r="I79" i="68"/>
  <c r="I81" i="68"/>
  <c r="I106" i="68"/>
  <c r="I73" i="68" a="1"/>
  <c r="I73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3" i="72"/>
  <c r="F13" i="47"/>
  <c r="D35" i="62"/>
  <c r="D13" i="47"/>
  <c r="A4" i="8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1" i="81" a="1"/>
  <c r="I71" i="81"/>
  <c r="J76" i="81"/>
  <c r="I72" i="81" a="1"/>
  <c r="I72" i="81"/>
  <c r="J77" i="81"/>
  <c r="I73" i="81" a="1"/>
  <c r="I73" i="81"/>
  <c r="D72" i="75"/>
  <c r="D58" i="75"/>
  <c r="D46" i="75"/>
  <c r="D30" i="75"/>
  <c r="F10" i="47"/>
  <c r="D10" i="47"/>
  <c r="A4" i="81"/>
  <c r="I79" i="81"/>
  <c r="D65" i="75"/>
  <c r="D79" i="75"/>
  <c r="D37" i="75"/>
  <c r="D47" i="75"/>
  <c r="I81" i="81"/>
  <c r="I106" i="81"/>
  <c r="D81" i="75"/>
  <c r="D80" i="75"/>
  <c r="D39" i="75"/>
  <c r="D38" i="75"/>
  <c r="D67" i="75"/>
  <c r="D66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I73" i="73" a="1"/>
  <c r="I73" i="73"/>
  <c r="I71" i="72" a="1"/>
  <c r="I71" i="72"/>
  <c r="J76" i="72"/>
  <c r="J77" i="72"/>
  <c r="J79" i="72"/>
  <c r="J81" i="72"/>
  <c r="I73" i="72" a="1"/>
  <c r="I73" i="72"/>
  <c r="I72" i="72" a="1"/>
  <c r="I72" i="72"/>
  <c r="D49" i="75"/>
  <c r="I80" i="73"/>
  <c r="D51" i="75"/>
  <c r="D50" i="75"/>
  <c r="I82" i="73"/>
  <c r="I107" i="73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2" i="47"/>
  <c r="I98" i="75"/>
  <c r="F12" i="47"/>
  <c r="D34" i="62"/>
  <c r="D12" i="47"/>
  <c r="A4" i="73"/>
  <c r="G92" i="73"/>
  <c r="J7" i="82"/>
  <c r="J42" i="82"/>
  <c r="K7" i="82"/>
  <c r="K42" i="82"/>
  <c r="L7" i="82"/>
  <c r="L42" i="82"/>
  <c r="M7" i="82"/>
  <c r="M42" i="82"/>
  <c r="N7" i="82"/>
  <c r="N42" i="82"/>
  <c r="I7" i="82"/>
  <c r="I42" i="82"/>
  <c r="C34" i="62"/>
  <c r="L7" i="81"/>
  <c r="L41" i="81"/>
  <c r="N7" i="81"/>
  <c r="N41" i="81"/>
  <c r="M7" i="81"/>
  <c r="M41" i="81"/>
  <c r="K7" i="81"/>
  <c r="K41" i="81"/>
  <c r="I7" i="81"/>
  <c r="I41" i="81"/>
  <c r="J7" i="81"/>
  <c r="J41" i="81"/>
  <c r="N41" i="68"/>
  <c r="N7" i="73"/>
  <c r="N42" i="73"/>
  <c r="N7" i="72"/>
  <c r="N41" i="72"/>
  <c r="M41" i="68"/>
  <c r="M7" i="72"/>
  <c r="M41" i="72"/>
  <c r="M7" i="73"/>
  <c r="M42" i="73"/>
  <c r="K41" i="68"/>
  <c r="K7" i="73"/>
  <c r="K42" i="73"/>
  <c r="K7" i="72"/>
  <c r="K41" i="72"/>
  <c r="L41" i="68"/>
  <c r="L7" i="73"/>
  <c r="L42" i="73"/>
  <c r="L7" i="72"/>
  <c r="L41" i="72"/>
  <c r="I41" i="68"/>
  <c r="I7" i="73"/>
  <c r="I42" i="73"/>
  <c r="I7" i="72"/>
  <c r="I41" i="72"/>
  <c r="J41" i="68"/>
  <c r="J7" i="73"/>
  <c r="J42" i="73"/>
  <c r="J7" i="72"/>
  <c r="J41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85"/>
  <c r="J73" i="68" a="1"/>
  <c r="J73" i="68"/>
  <c r="J71" i="68" a="1"/>
  <c r="J71" i="68"/>
  <c r="K76" i="68"/>
  <c r="J72" i="68" a="1"/>
  <c r="J72" i="68"/>
  <c r="J6" i="82"/>
  <c r="K6" i="85"/>
  <c r="J6" i="81"/>
  <c r="J6" i="73"/>
  <c r="J6" i="72"/>
  <c r="O7" i="81"/>
  <c r="O41" i="81"/>
  <c r="O7" i="73"/>
  <c r="O42" i="73"/>
  <c r="O7" i="72"/>
  <c r="O41" i="72"/>
  <c r="P7" i="82"/>
  <c r="P42" i="82"/>
  <c r="O41" i="68"/>
  <c r="K6" i="82"/>
  <c r="K71" i="68" a="1"/>
  <c r="K71" i="68"/>
  <c r="L76" i="68"/>
  <c r="K72" i="68" a="1"/>
  <c r="K72" i="68"/>
  <c r="K73" i="68" a="1"/>
  <c r="K73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J72" i="81" a="1"/>
  <c r="J72" i="81"/>
  <c r="K77" i="81"/>
  <c r="J71" i="81" a="1"/>
  <c r="J71" i="81"/>
  <c r="K76" i="81"/>
  <c r="J73" i="81" a="1"/>
  <c r="J73" i="81"/>
  <c r="J72" i="72" a="1"/>
  <c r="J72" i="72"/>
  <c r="K77" i="72"/>
  <c r="J71" i="72" a="1"/>
  <c r="J71" i="72"/>
  <c r="K76" i="72"/>
  <c r="K79" i="72"/>
  <c r="K81" i="72"/>
  <c r="J73" i="72" a="1"/>
  <c r="J73" i="72"/>
  <c r="J79" i="68"/>
  <c r="J81" i="68"/>
  <c r="J106" i="68"/>
  <c r="L6" i="85"/>
  <c r="K6" i="73"/>
  <c r="P7" i="81"/>
  <c r="P41" i="81"/>
  <c r="P7" i="73"/>
  <c r="P42" i="73"/>
  <c r="P7" i="72"/>
  <c r="P41" i="72"/>
  <c r="Q7" i="82"/>
  <c r="Q42" i="82"/>
  <c r="P41" i="68"/>
  <c r="K72" i="72" a="1"/>
  <c r="K72" i="72"/>
  <c r="L77" i="72"/>
  <c r="K73" i="72" a="1"/>
  <c r="K73" i="72"/>
  <c r="L71" i="68" a="1"/>
  <c r="L71" i="68"/>
  <c r="M76" i="68"/>
  <c r="L72" i="68" a="1"/>
  <c r="L72" i="68"/>
  <c r="L73" i="68" a="1"/>
  <c r="L73" i="68"/>
  <c r="K74" i="73" a="1"/>
  <c r="K74" i="73"/>
  <c r="K72" i="73" a="1"/>
  <c r="K72" i="73"/>
  <c r="K73" i="73" a="1"/>
  <c r="K73" i="73"/>
  <c r="K72" i="81" a="1"/>
  <c r="K72" i="81"/>
  <c r="L77" i="81"/>
  <c r="K71" i="81" a="1"/>
  <c r="K71" i="81"/>
  <c r="L76" i="81"/>
  <c r="K73" i="81" a="1"/>
  <c r="K73" i="81"/>
  <c r="K73" i="82" a="1"/>
  <c r="K73" i="82"/>
  <c r="K72" i="82" a="1"/>
  <c r="K72" i="82"/>
  <c r="K80" i="82"/>
  <c r="K82" i="82"/>
  <c r="K107" i="82"/>
  <c r="K74" i="82" a="1"/>
  <c r="K74" i="82"/>
  <c r="J79" i="81"/>
  <c r="K79" i="68"/>
  <c r="K81" i="68"/>
  <c r="K106" i="68"/>
  <c r="J80" i="82"/>
  <c r="J82" i="82"/>
  <c r="J107" i="82"/>
  <c r="J80" i="73"/>
  <c r="L6" i="82"/>
  <c r="M6" i="85"/>
  <c r="L6" i="81"/>
  <c r="L6" i="72"/>
  <c r="L6" i="73"/>
  <c r="Q7" i="81"/>
  <c r="Q41" i="81"/>
  <c r="Q7" i="73"/>
  <c r="Q42" i="73"/>
  <c r="Q7" i="72"/>
  <c r="Q41" i="72"/>
  <c r="R7" i="82"/>
  <c r="R42" i="82"/>
  <c r="Q41" i="68"/>
  <c r="J82" i="73"/>
  <c r="J107" i="73"/>
  <c r="J81" i="81"/>
  <c r="J106" i="81"/>
  <c r="L74" i="82" a="1"/>
  <c r="L74" i="82"/>
  <c r="L72" i="82" a="1"/>
  <c r="L72" i="82"/>
  <c r="L73" i="82" a="1"/>
  <c r="L73" i="82"/>
  <c r="M71" i="68" a="1"/>
  <c r="M71" i="68"/>
  <c r="N76" i="68"/>
  <c r="M73" i="68" a="1"/>
  <c r="M73" i="68"/>
  <c r="M72" i="68" a="1"/>
  <c r="M72" i="68"/>
  <c r="L72" i="73" a="1"/>
  <c r="L72" i="73"/>
  <c r="L73" i="73" a="1"/>
  <c r="L73" i="73"/>
  <c r="L74" i="73" a="1"/>
  <c r="L74" i="73"/>
  <c r="L72" i="72" a="1"/>
  <c r="L72" i="72"/>
  <c r="M77" i="72"/>
  <c r="L73" i="72" a="1"/>
  <c r="L73" i="72"/>
  <c r="L73" i="81" a="1"/>
  <c r="L73" i="81"/>
  <c r="L71" i="81" a="1"/>
  <c r="L71" i="81"/>
  <c r="M76" i="81"/>
  <c r="L72" i="81" a="1"/>
  <c r="L72" i="81"/>
  <c r="M77" i="81"/>
  <c r="K79" i="81"/>
  <c r="L79" i="68"/>
  <c r="L81" i="68"/>
  <c r="L106" i="68"/>
  <c r="K80" i="73"/>
  <c r="M6" i="82"/>
  <c r="N6" i="85"/>
  <c r="M6" i="81"/>
  <c r="M6" i="72"/>
  <c r="M6" i="73"/>
  <c r="R7" i="81"/>
  <c r="R41" i="81"/>
  <c r="R7" i="73"/>
  <c r="R42" i="73"/>
  <c r="R7" i="72"/>
  <c r="R41" i="72"/>
  <c r="S7" i="82"/>
  <c r="S42" i="82"/>
  <c r="R41" i="68"/>
  <c r="K82" i="73"/>
  <c r="K107" i="73"/>
  <c r="K81" i="81"/>
  <c r="K106" i="81"/>
  <c r="M74" i="82" a="1"/>
  <c r="M74" i="82"/>
  <c r="M72" i="82" a="1"/>
  <c r="M72" i="82"/>
  <c r="M73" i="82" a="1"/>
  <c r="M73" i="82"/>
  <c r="M72" i="73" a="1"/>
  <c r="M72" i="73"/>
  <c r="M73" i="73" a="1"/>
  <c r="M73" i="73"/>
  <c r="M74" i="73" a="1"/>
  <c r="M74" i="73"/>
  <c r="M73" i="81" a="1"/>
  <c r="M73" i="81"/>
  <c r="M72" i="81" a="1"/>
  <c r="M72" i="81"/>
  <c r="N77" i="81"/>
  <c r="M71" i="81" a="1"/>
  <c r="M71" i="81"/>
  <c r="N76" i="81"/>
  <c r="M72" i="72" a="1"/>
  <c r="M72" i="72"/>
  <c r="N77" i="72"/>
  <c r="M73" i="72" a="1"/>
  <c r="M73" i="72"/>
  <c r="N73" i="68" a="1"/>
  <c r="N73" i="68"/>
  <c r="N72" i="68" a="1"/>
  <c r="N72" i="68"/>
  <c r="N71" i="68" a="1"/>
  <c r="N71" i="68"/>
  <c r="O76" i="68"/>
  <c r="L79" i="81"/>
  <c r="M79" i="68"/>
  <c r="M81" i="68"/>
  <c r="M106" i="68"/>
  <c r="L80" i="82"/>
  <c r="L82" i="82"/>
  <c r="L107" i="82"/>
  <c r="L80" i="73"/>
  <c r="N6" i="82"/>
  <c r="O6" i="85"/>
  <c r="N6" i="81"/>
  <c r="N6" i="72"/>
  <c r="N6" i="73"/>
  <c r="S7" i="81"/>
  <c r="S41" i="81"/>
  <c r="S7" i="73"/>
  <c r="S42" i="73"/>
  <c r="S7" i="72"/>
  <c r="S41" i="72"/>
  <c r="T7" i="82"/>
  <c r="T42" i="82"/>
  <c r="S41" i="68"/>
  <c r="L82" i="73"/>
  <c r="L107" i="73"/>
  <c r="L81" i="81"/>
  <c r="L106" i="81"/>
  <c r="N72" i="72" a="1"/>
  <c r="N72" i="72"/>
  <c r="O77" i="72"/>
  <c r="N73" i="72" a="1"/>
  <c r="N73" i="72"/>
  <c r="N74" i="73" a="1"/>
  <c r="N74" i="73"/>
  <c r="N72" i="73" a="1"/>
  <c r="N72" i="73"/>
  <c r="N73" i="73" a="1"/>
  <c r="N73" i="73"/>
  <c r="N72" i="81" a="1"/>
  <c r="N72" i="81"/>
  <c r="O77" i="81"/>
  <c r="N73" i="81" a="1"/>
  <c r="N73" i="81"/>
  <c r="N71" i="81" a="1"/>
  <c r="N71" i="81"/>
  <c r="O76" i="81"/>
  <c r="O71" i="68" a="1"/>
  <c r="O71" i="68"/>
  <c r="P76" i="68"/>
  <c r="O73" i="68" a="1"/>
  <c r="O73" i="68"/>
  <c r="O72" i="68" a="1"/>
  <c r="O72" i="68"/>
  <c r="N73" i="82" a="1"/>
  <c r="N73" i="82"/>
  <c r="N74" i="82" a="1"/>
  <c r="N74" i="82"/>
  <c r="N72" i="82" a="1"/>
  <c r="N72" i="82"/>
  <c r="M79" i="81"/>
  <c r="N79" i="68"/>
  <c r="N81" i="68"/>
  <c r="N106" i="68"/>
  <c r="M80" i="82"/>
  <c r="M82" i="82"/>
  <c r="M107" i="82"/>
  <c r="M80" i="73"/>
  <c r="O6" i="82"/>
  <c r="P6" i="85"/>
  <c r="O6" i="81"/>
  <c r="O6" i="72"/>
  <c r="O6" i="73"/>
  <c r="T7" i="81"/>
  <c r="T41" i="81"/>
  <c r="T7" i="73"/>
  <c r="T42" i="73"/>
  <c r="T7" i="72"/>
  <c r="T41" i="72"/>
  <c r="T41" i="68"/>
  <c r="U7" i="82"/>
  <c r="U42" i="82"/>
  <c r="M82" i="73"/>
  <c r="M107" i="73"/>
  <c r="M81" i="81"/>
  <c r="M106" i="81"/>
  <c r="O73" i="72" a="1"/>
  <c r="O73" i="72"/>
  <c r="O72" i="72" a="1"/>
  <c r="O72" i="72"/>
  <c r="P77" i="72"/>
  <c r="O71" i="81" a="1"/>
  <c r="O71" i="81"/>
  <c r="P76" i="81"/>
  <c r="O73" i="81" a="1"/>
  <c r="O73" i="81"/>
  <c r="O72" i="81" a="1"/>
  <c r="O72" i="81"/>
  <c r="P77" i="81"/>
  <c r="O73" i="73" a="1"/>
  <c r="O73" i="73"/>
  <c r="O72" i="73" a="1"/>
  <c r="O72" i="73"/>
  <c r="O74" i="73" a="1"/>
  <c r="O74" i="73"/>
  <c r="P72" i="68" a="1"/>
  <c r="P72" i="68"/>
  <c r="P73" i="68" a="1"/>
  <c r="P73" i="68"/>
  <c r="P71" i="68" a="1"/>
  <c r="P71" i="68"/>
  <c r="Q76" i="68"/>
  <c r="O72" i="82" a="1"/>
  <c r="O72" i="82"/>
  <c r="O73" i="82" a="1"/>
  <c r="O73" i="82"/>
  <c r="O74" i="82" a="1"/>
  <c r="O74" i="82"/>
  <c r="N79" i="81"/>
  <c r="O79" i="68"/>
  <c r="O81" i="68"/>
  <c r="O106" i="68"/>
  <c r="N80" i="73"/>
  <c r="N80" i="82"/>
  <c r="N82" i="82"/>
  <c r="N107" i="82"/>
  <c r="P6" i="82"/>
  <c r="Q6" i="85"/>
  <c r="P6" i="81"/>
  <c r="P6" i="72"/>
  <c r="P6" i="73"/>
  <c r="U7" i="81"/>
  <c r="U41" i="81"/>
  <c r="U7" i="72"/>
  <c r="U41" i="72"/>
  <c r="U7" i="73"/>
  <c r="U42" i="73"/>
  <c r="U41" i="68"/>
  <c r="V7" i="82"/>
  <c r="V42" i="82"/>
  <c r="N82" i="73"/>
  <c r="N107" i="73"/>
  <c r="N81" i="81"/>
  <c r="N106" i="81"/>
  <c r="P72" i="72" a="1"/>
  <c r="P72" i="72"/>
  <c r="Q77" i="72"/>
  <c r="P73" i="72" a="1"/>
  <c r="P73" i="72"/>
  <c r="P71" i="81" a="1"/>
  <c r="P71" i="81"/>
  <c r="Q76" i="81"/>
  <c r="P73" i="81" a="1"/>
  <c r="P73" i="81"/>
  <c r="P72" i="81" a="1"/>
  <c r="P72" i="81"/>
  <c r="Q77" i="81"/>
  <c r="P74" i="73" a="1"/>
  <c r="P74" i="73"/>
  <c r="P73" i="73" a="1"/>
  <c r="P73" i="73"/>
  <c r="P72" i="73" a="1"/>
  <c r="P72" i="73"/>
  <c r="P74" i="82" a="1"/>
  <c r="P74" i="82"/>
  <c r="P73" i="82" a="1"/>
  <c r="P73" i="82"/>
  <c r="P72" i="82" a="1"/>
  <c r="P72" i="82"/>
  <c r="Q71" i="68" a="1"/>
  <c r="Q71" i="68"/>
  <c r="R76" i="68"/>
  <c r="Q73" i="68" a="1"/>
  <c r="Q73" i="68"/>
  <c r="Q72" i="68" a="1"/>
  <c r="Q72" i="68"/>
  <c r="O79" i="81"/>
  <c r="P79" i="68"/>
  <c r="P81" i="68"/>
  <c r="P106" i="68"/>
  <c r="O80" i="82"/>
  <c r="O82" i="82"/>
  <c r="O107" i="82"/>
  <c r="O80" i="73"/>
  <c r="Q6" i="82"/>
  <c r="R6" i="85"/>
  <c r="Q6" i="81"/>
  <c r="Q6" i="73"/>
  <c r="Q6" i="72"/>
  <c r="V7" i="81"/>
  <c r="V41" i="81"/>
  <c r="V7" i="73"/>
  <c r="V42" i="73"/>
  <c r="V7" i="72"/>
  <c r="V41" i="72"/>
  <c r="V41" i="68"/>
  <c r="W7" i="82"/>
  <c r="W42" i="82"/>
  <c r="O82" i="73"/>
  <c r="O107" i="73"/>
  <c r="O81" i="81"/>
  <c r="O106" i="81"/>
  <c r="Q72" i="72" a="1"/>
  <c r="Q72" i="72"/>
  <c r="R77" i="72"/>
  <c r="Q73" i="72" a="1"/>
  <c r="Q73" i="72"/>
  <c r="Q72" i="73" a="1"/>
  <c r="Q72" i="73"/>
  <c r="Q74" i="73" a="1"/>
  <c r="Q74" i="73"/>
  <c r="Q73" i="73" a="1"/>
  <c r="Q73" i="73"/>
  <c r="Q73" i="82" a="1"/>
  <c r="Q73" i="82"/>
  <c r="Q72" i="82" a="1"/>
  <c r="Q72" i="82"/>
  <c r="Q74" i="82" a="1"/>
  <c r="Q74" i="82"/>
  <c r="Q72" i="81" a="1"/>
  <c r="Q72" i="81"/>
  <c r="R77" i="81"/>
  <c r="Q73" i="81" a="1"/>
  <c r="Q73" i="81"/>
  <c r="Q71" i="81" a="1"/>
  <c r="Q71" i="81"/>
  <c r="R76" i="81"/>
  <c r="R73" i="68" a="1"/>
  <c r="R73" i="68"/>
  <c r="R71" i="68" a="1"/>
  <c r="R71" i="68"/>
  <c r="S76" i="68"/>
  <c r="R72" i="68" a="1"/>
  <c r="R72" i="68"/>
  <c r="P79" i="81"/>
  <c r="Q79" i="68"/>
  <c r="Q81" i="68"/>
  <c r="Q106" i="68"/>
  <c r="P80" i="73"/>
  <c r="P80" i="82"/>
  <c r="P82" i="82"/>
  <c r="P107" i="82"/>
  <c r="R6" i="82"/>
  <c r="S6" i="85"/>
  <c r="R6" i="81"/>
  <c r="R6" i="73"/>
  <c r="R6" i="72"/>
  <c r="W7" i="81"/>
  <c r="W41" i="81"/>
  <c r="W7" i="73"/>
  <c r="W42" i="73"/>
  <c r="W7" i="72"/>
  <c r="W41" i="72"/>
  <c r="W41" i="68"/>
  <c r="X7" i="82"/>
  <c r="X42" i="82"/>
  <c r="P82" i="73"/>
  <c r="P107" i="73"/>
  <c r="P81" i="81"/>
  <c r="P106" i="81"/>
  <c r="R72" i="82" a="1"/>
  <c r="R72" i="82"/>
  <c r="R73" i="82" a="1"/>
  <c r="R73" i="82"/>
  <c r="R74" i="82" a="1"/>
  <c r="R74" i="82"/>
  <c r="R72" i="73" a="1"/>
  <c r="R72" i="73"/>
  <c r="R74" i="73" a="1"/>
  <c r="R74" i="73"/>
  <c r="R73" i="73" a="1"/>
  <c r="R73" i="73"/>
  <c r="R71" i="81" a="1"/>
  <c r="R71" i="81"/>
  <c r="S76" i="81"/>
  <c r="R72" i="81" a="1"/>
  <c r="R72" i="81"/>
  <c r="S77" i="81"/>
  <c r="R73" i="81" a="1"/>
  <c r="R73" i="81"/>
  <c r="R72" i="72" a="1"/>
  <c r="R72" i="72"/>
  <c r="S77" i="72"/>
  <c r="R73" i="72" a="1"/>
  <c r="R73" i="72"/>
  <c r="S71" i="68" a="1"/>
  <c r="S71" i="68"/>
  <c r="T76" i="68"/>
  <c r="S73" i="68" a="1"/>
  <c r="S73" i="68"/>
  <c r="S72" i="68" a="1"/>
  <c r="S72" i="68"/>
  <c r="Q79" i="81"/>
  <c r="R79" i="68"/>
  <c r="Q80" i="73"/>
  <c r="Q80" i="82"/>
  <c r="Q82" i="82"/>
  <c r="Q107" i="82"/>
  <c r="S6" i="82"/>
  <c r="T6" i="85"/>
  <c r="S6" i="81"/>
  <c r="S6" i="73"/>
  <c r="S6" i="72"/>
  <c r="X7" i="81"/>
  <c r="X41" i="81"/>
  <c r="X7" i="73"/>
  <c r="X42" i="73"/>
  <c r="X7" i="72"/>
  <c r="X41" i="72"/>
  <c r="X41" i="68"/>
  <c r="Y7" i="82"/>
  <c r="Y42" i="82"/>
  <c r="R81" i="68"/>
  <c r="R106" i="68"/>
  <c r="Q82" i="73"/>
  <c r="Q107" i="73"/>
  <c r="Q81" i="81"/>
  <c r="Q106" i="81"/>
  <c r="S74" i="82" a="1"/>
  <c r="S74" i="82"/>
  <c r="S73" i="82" a="1"/>
  <c r="S73" i="82"/>
  <c r="S72" i="82" a="1"/>
  <c r="S72" i="82"/>
  <c r="S73" i="72" a="1"/>
  <c r="S73" i="72"/>
  <c r="S72" i="72" a="1"/>
  <c r="S72" i="72"/>
  <c r="T77" i="72"/>
  <c r="S72" i="73" a="1"/>
  <c r="S72" i="73"/>
  <c r="S74" i="73" a="1"/>
  <c r="S74" i="73"/>
  <c r="S73" i="73" a="1"/>
  <c r="S73" i="73"/>
  <c r="S72" i="81" a="1"/>
  <c r="S72" i="81"/>
  <c r="T77" i="81"/>
  <c r="S73" i="81" a="1"/>
  <c r="S73" i="81"/>
  <c r="S71" i="81" a="1"/>
  <c r="S71" i="81"/>
  <c r="T76" i="81"/>
  <c r="T72" i="68" a="1"/>
  <c r="T72" i="68"/>
  <c r="T73" i="68" a="1"/>
  <c r="T73" i="68"/>
  <c r="T71" i="68" a="1"/>
  <c r="T71" i="68"/>
  <c r="U76" i="68"/>
  <c r="R79" i="81"/>
  <c r="S79" i="68"/>
  <c r="R80" i="73"/>
  <c r="R80" i="82"/>
  <c r="T6" i="82"/>
  <c r="U6" i="85"/>
  <c r="T6" i="81"/>
  <c r="T6" i="72"/>
  <c r="T6" i="73"/>
  <c r="Y7" i="81"/>
  <c r="Y41" i="81"/>
  <c r="Y7" i="73"/>
  <c r="Y42" i="73"/>
  <c r="Y7" i="72"/>
  <c r="Y41" i="72"/>
  <c r="Y41" i="68"/>
  <c r="Z7" i="82"/>
  <c r="Z42" i="82"/>
  <c r="R82" i="82"/>
  <c r="R107" i="82"/>
  <c r="S81" i="68"/>
  <c r="S106" i="68"/>
  <c r="R82" i="73"/>
  <c r="R107" i="73"/>
  <c r="R81" i="81"/>
  <c r="R106" i="81"/>
  <c r="U71" i="68" a="1"/>
  <c r="U71" i="68"/>
  <c r="V76" i="68"/>
  <c r="U73" i="68" a="1"/>
  <c r="U73" i="68"/>
  <c r="U72" i="68" a="1"/>
  <c r="U72" i="68"/>
  <c r="T74" i="73" a="1"/>
  <c r="T74" i="73"/>
  <c r="T72" i="73" a="1"/>
  <c r="T72" i="73"/>
  <c r="T73" i="73" a="1"/>
  <c r="T73" i="73"/>
  <c r="T72" i="72" a="1"/>
  <c r="T72" i="72"/>
  <c r="U77" i="72"/>
  <c r="T73" i="72" a="1"/>
  <c r="T73" i="72"/>
  <c r="T71" i="81" a="1"/>
  <c r="T71" i="81"/>
  <c r="U76" i="81"/>
  <c r="T72" i="81" a="1"/>
  <c r="T72" i="81"/>
  <c r="U77" i="81"/>
  <c r="T73" i="81" a="1"/>
  <c r="T73" i="81"/>
  <c r="T72" i="82" a="1"/>
  <c r="T72" i="82"/>
  <c r="T73" i="82" a="1"/>
  <c r="T73" i="82"/>
  <c r="T74" i="82" a="1"/>
  <c r="T74" i="82"/>
  <c r="S79" i="81"/>
  <c r="T79" i="68"/>
  <c r="S80" i="82"/>
  <c r="S80" i="73"/>
  <c r="U6" i="82"/>
  <c r="G90" i="82" a="1"/>
  <c r="G90" i="82"/>
  <c r="G92" i="82"/>
  <c r="C35" i="62"/>
  <c r="V6" i="85"/>
  <c r="U6" i="81"/>
  <c r="U6" i="72"/>
  <c r="U6" i="73"/>
  <c r="Z7" i="81"/>
  <c r="Z41" i="81"/>
  <c r="Z7" i="73"/>
  <c r="Z42" i="73"/>
  <c r="Z7" i="72"/>
  <c r="Z41" i="72"/>
  <c r="Z41" i="68"/>
  <c r="AA7" i="82"/>
  <c r="AA42" i="82"/>
  <c r="S82" i="82"/>
  <c r="S107" i="82"/>
  <c r="T81" i="68"/>
  <c r="T106" i="68"/>
  <c r="S82" i="73"/>
  <c r="S107" i="73"/>
  <c r="S81" i="81"/>
  <c r="S106" i="81"/>
  <c r="U74" i="73" a="1"/>
  <c r="U74" i="73"/>
  <c r="U72" i="73" a="1"/>
  <c r="U72" i="73"/>
  <c r="U73" i="73" a="1"/>
  <c r="U73" i="73"/>
  <c r="U73" i="72" a="1"/>
  <c r="U73" i="72"/>
  <c r="U72" i="72" a="1"/>
  <c r="U72" i="72"/>
  <c r="V77" i="72"/>
  <c r="U74" i="82" a="1"/>
  <c r="U74" i="82"/>
  <c r="U73" i="82" a="1"/>
  <c r="U73" i="82"/>
  <c r="U72" i="82" a="1"/>
  <c r="U72" i="82"/>
  <c r="U71" i="81" a="1"/>
  <c r="U71" i="81"/>
  <c r="V76" i="81"/>
  <c r="U72" i="81" a="1"/>
  <c r="U72" i="81"/>
  <c r="V77" i="81"/>
  <c r="U73" i="81" a="1"/>
  <c r="U73" i="81"/>
  <c r="V71" i="68" a="1"/>
  <c r="V71" i="68"/>
  <c r="W76" i="68"/>
  <c r="V72" i="68" a="1"/>
  <c r="V72" i="68"/>
  <c r="V73" i="68" a="1"/>
  <c r="V73" i="68"/>
  <c r="T79" i="81"/>
  <c r="U79" i="68"/>
  <c r="T80" i="73"/>
  <c r="T80" i="82"/>
  <c r="V6" i="82"/>
  <c r="W6" i="85"/>
  <c r="V6" i="81"/>
  <c r="V6" i="72"/>
  <c r="V6" i="73"/>
  <c r="AA7" i="81"/>
  <c r="AA41" i="81"/>
  <c r="AA7" i="73"/>
  <c r="AA42" i="73"/>
  <c r="AA7" i="72"/>
  <c r="AA41" i="72"/>
  <c r="AA41" i="68"/>
  <c r="AB7" i="82"/>
  <c r="AB42" i="82"/>
  <c r="T82" i="82"/>
  <c r="T107" i="82"/>
  <c r="U81" i="68"/>
  <c r="U106" i="68"/>
  <c r="T82" i="73"/>
  <c r="T107" i="73"/>
  <c r="T81" i="81"/>
  <c r="T106" i="81"/>
  <c r="V72" i="72" a="1"/>
  <c r="V72" i="72"/>
  <c r="W77" i="72"/>
  <c r="V73" i="72" a="1"/>
  <c r="V73" i="72"/>
  <c r="V72" i="82" a="1"/>
  <c r="V72" i="82"/>
  <c r="V73" i="82" a="1"/>
  <c r="V73" i="82"/>
  <c r="V74" i="82" a="1"/>
  <c r="V74" i="82"/>
  <c r="V73" i="73" a="1"/>
  <c r="V73" i="73"/>
  <c r="V72" i="73" a="1"/>
  <c r="V72" i="73"/>
  <c r="V74" i="73" a="1"/>
  <c r="V74" i="73"/>
  <c r="V73" i="81" a="1"/>
  <c r="V73" i="81"/>
  <c r="V71" i="81" a="1"/>
  <c r="V71" i="81"/>
  <c r="W76" i="81"/>
  <c r="V72" i="81" a="1"/>
  <c r="V72" i="81"/>
  <c r="W77" i="81"/>
  <c r="W72" i="68" a="1"/>
  <c r="W72" i="68"/>
  <c r="W73" i="68" a="1"/>
  <c r="W73" i="68"/>
  <c r="W71" i="68" a="1"/>
  <c r="W71" i="68"/>
  <c r="X76" i="68"/>
  <c r="U79" i="81"/>
  <c r="V79" i="68"/>
  <c r="V81" i="68"/>
  <c r="V106" i="68"/>
  <c r="U80" i="73"/>
  <c r="U80" i="82"/>
  <c r="W6" i="82"/>
  <c r="W6" i="81"/>
  <c r="W6" i="72"/>
  <c r="W6" i="73"/>
  <c r="AB7" i="81"/>
  <c r="AB41" i="81"/>
  <c r="AB7" i="73"/>
  <c r="AB42" i="73"/>
  <c r="AB7" i="72"/>
  <c r="AB41" i="72"/>
  <c r="AB41" i="68"/>
  <c r="U82" i="82"/>
  <c r="U107" i="82"/>
  <c r="X6" i="85"/>
  <c r="U82" i="73"/>
  <c r="U107" i="73"/>
  <c r="U81" i="81"/>
  <c r="U106" i="81"/>
  <c r="W74" i="82" a="1"/>
  <c r="W74" i="82"/>
  <c r="W73" i="82" a="1"/>
  <c r="W73" i="82"/>
  <c r="W72" i="82" a="1"/>
  <c r="W72" i="82"/>
  <c r="W72" i="72" a="1"/>
  <c r="W72" i="72"/>
  <c r="X77" i="72"/>
  <c r="W73" i="72" a="1"/>
  <c r="W73" i="72"/>
  <c r="W72" i="81" a="1"/>
  <c r="W72" i="81"/>
  <c r="X77" i="81"/>
  <c r="W71" i="81" a="1"/>
  <c r="W71" i="81"/>
  <c r="X76" i="81"/>
  <c r="W73" i="81" a="1"/>
  <c r="W73" i="81"/>
  <c r="X72" i="68" a="1"/>
  <c r="X72" i="68"/>
  <c r="X71" i="68" a="1"/>
  <c r="X71" i="68"/>
  <c r="Y76" i="68"/>
  <c r="X73" i="68" a="1"/>
  <c r="X73" i="68"/>
  <c r="W72" i="73" a="1"/>
  <c r="W72" i="73"/>
  <c r="W74" i="73" a="1"/>
  <c r="W74" i="73"/>
  <c r="W73" i="73" a="1"/>
  <c r="W73" i="73"/>
  <c r="V79" i="81"/>
  <c r="W79" i="68"/>
  <c r="W81" i="68"/>
  <c r="W106" i="68"/>
  <c r="V80" i="82"/>
  <c r="V82" i="82"/>
  <c r="V107" i="82"/>
  <c r="V80" i="73"/>
  <c r="X6" i="82"/>
  <c r="X6" i="81"/>
  <c r="X6" i="72"/>
  <c r="X6" i="73"/>
  <c r="Y6" i="85"/>
  <c r="V82" i="73"/>
  <c r="V107" i="73"/>
  <c r="V81" i="81"/>
  <c r="V106" i="81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X72" i="72" a="1"/>
  <c r="X72" i="72"/>
  <c r="Y77" i="72"/>
  <c r="X73" i="72" a="1"/>
  <c r="X73" i="72"/>
  <c r="Y73" i="68" a="1"/>
  <c r="Y73" i="68"/>
  <c r="Y72" i="68" a="1"/>
  <c r="Y72" i="68"/>
  <c r="Y71" i="68" a="1"/>
  <c r="Y71" i="68"/>
  <c r="Z76" i="68"/>
  <c r="X71" i="81" a="1"/>
  <c r="X71" i="81"/>
  <c r="Y76" i="81"/>
  <c r="X73" i="81" a="1"/>
  <c r="X73" i="81"/>
  <c r="X72" i="81" a="1"/>
  <c r="X72" i="81"/>
  <c r="Y77" i="81"/>
  <c r="W79" i="81"/>
  <c r="X79" i="68"/>
  <c r="X81" i="68"/>
  <c r="X106" i="68"/>
  <c r="W80" i="73"/>
  <c r="W80" i="82"/>
  <c r="W82" i="82"/>
  <c r="W107" i="82"/>
  <c r="Y6" i="82"/>
  <c r="Y6" i="81"/>
  <c r="Y6" i="73"/>
  <c r="Y6" i="72"/>
  <c r="Z6" i="85"/>
  <c r="W82" i="73"/>
  <c r="W107" i="73"/>
  <c r="W81" i="81"/>
  <c r="W106" i="81"/>
  <c r="Y72" i="82" a="1"/>
  <c r="Y72" i="82"/>
  <c r="Y73" i="82" a="1"/>
  <c r="Y73" i="82"/>
  <c r="Y74" i="82" a="1"/>
  <c r="Y74" i="82"/>
  <c r="Y72" i="72" a="1"/>
  <c r="Y72" i="72"/>
  <c r="Z77" i="72"/>
  <c r="Y73" i="72" a="1"/>
  <c r="Y73" i="72"/>
  <c r="Y72" i="73" a="1"/>
  <c r="Y72" i="73"/>
  <c r="Y73" i="73" a="1"/>
  <c r="Y73" i="73"/>
  <c r="Y74" i="73" a="1"/>
  <c r="Y74" i="73"/>
  <c r="Y72" i="81" a="1"/>
  <c r="Y72" i="81"/>
  <c r="Z77" i="81"/>
  <c r="Y71" i="81" a="1"/>
  <c r="Y71" i="81"/>
  <c r="Z76" i="81"/>
  <c r="Y73" i="81" a="1"/>
  <c r="Y73" i="81"/>
  <c r="Z71" i="68" a="1"/>
  <c r="Z71" i="68"/>
  <c r="AA76" i="68"/>
  <c r="Z72" i="68" a="1"/>
  <c r="Z72" i="68"/>
  <c r="Z73" i="68" a="1"/>
  <c r="Z73" i="68"/>
  <c r="X79" i="81"/>
  <c r="Y79" i="68"/>
  <c r="Y81" i="68"/>
  <c r="Y106" i="68"/>
  <c r="X80" i="73"/>
  <c r="X80" i="82"/>
  <c r="X82" i="82"/>
  <c r="X107" i="82"/>
  <c r="Z6" i="82"/>
  <c r="Z6" i="81"/>
  <c r="Z6" i="73"/>
  <c r="Z6" i="72"/>
  <c r="AA6" i="85"/>
  <c r="X82" i="73"/>
  <c r="X107" i="73"/>
  <c r="X81" i="81"/>
  <c r="X106" i="81"/>
  <c r="Z73" i="72" a="1"/>
  <c r="Z73" i="72"/>
  <c r="Z72" i="72" a="1"/>
  <c r="Z72" i="72"/>
  <c r="AA77" i="72"/>
  <c r="Z72" i="82" a="1"/>
  <c r="Z72" i="82"/>
  <c r="Z73" i="82" a="1"/>
  <c r="Z73" i="82"/>
  <c r="Z74" i="82" a="1"/>
  <c r="Z74" i="82"/>
  <c r="Z74" i="73" a="1"/>
  <c r="Z74" i="73"/>
  <c r="Z72" i="73" a="1"/>
  <c r="Z72" i="73"/>
  <c r="Z73" i="73" a="1"/>
  <c r="Z73" i="73"/>
  <c r="Z73" i="81" a="1"/>
  <c r="Z73" i="81"/>
  <c r="Z71" i="81" a="1"/>
  <c r="Z71" i="81"/>
  <c r="AA76" i="81"/>
  <c r="Z72" i="81" a="1"/>
  <c r="Z72" i="81"/>
  <c r="AA77" i="81"/>
  <c r="AA71" i="68" a="1"/>
  <c r="AA71" i="68"/>
  <c r="AB76" i="68"/>
  <c r="AA72" i="68" a="1"/>
  <c r="AA72" i="68"/>
  <c r="AA73" i="68" a="1"/>
  <c r="AA73" i="68"/>
  <c r="Y79" i="81"/>
  <c r="Z79" i="68"/>
  <c r="Z81" i="68"/>
  <c r="Z106" i="68"/>
  <c r="Y80" i="73"/>
  <c r="Y80" i="82"/>
  <c r="Y82" i="82"/>
  <c r="Y107" i="82"/>
  <c r="AA6" i="82"/>
  <c r="AA6" i="81"/>
  <c r="AA6" i="73"/>
  <c r="AA6" i="72"/>
  <c r="AB6" i="85"/>
  <c r="Y82" i="73"/>
  <c r="Y107" i="73"/>
  <c r="Y81" i="81"/>
  <c r="Y106" i="81"/>
  <c r="AA72" i="73" a="1"/>
  <c r="AA72" i="73"/>
  <c r="AA74" i="73" a="1"/>
  <c r="AA74" i="73"/>
  <c r="AA73" i="73" a="1"/>
  <c r="AA73" i="73"/>
  <c r="AA72" i="81" a="1"/>
  <c r="AA72" i="81"/>
  <c r="AB77" i="81"/>
  <c r="AA73" i="81" a="1"/>
  <c r="AA73" i="81"/>
  <c r="AA71" i="81" a="1"/>
  <c r="AA71" i="81"/>
  <c r="AB76" i="81"/>
  <c r="AB73" i="68" a="1"/>
  <c r="AB73" i="68"/>
  <c r="AB72" i="68" a="1"/>
  <c r="AB72" i="68"/>
  <c r="AB71" i="68" a="1"/>
  <c r="AB71" i="68"/>
  <c r="AC76" i="68"/>
  <c r="AA73" i="72" a="1"/>
  <c r="AA73" i="72"/>
  <c r="AA72" i="72" a="1"/>
  <c r="AA72" i="72"/>
  <c r="AB77" i="72"/>
  <c r="AA74" i="82" a="1"/>
  <c r="AA74" i="82"/>
  <c r="AA73" i="82" a="1"/>
  <c r="AA73" i="82"/>
  <c r="AA72" i="82" a="1"/>
  <c r="AA72" i="82"/>
  <c r="Z79" i="81"/>
  <c r="AA79" i="68"/>
  <c r="AA81" i="68"/>
  <c r="AA106" i="68"/>
  <c r="Z80" i="82"/>
  <c r="Z82" i="82"/>
  <c r="Z107" i="82"/>
  <c r="Z80" i="73"/>
  <c r="AB6" i="82"/>
  <c r="AB6" i="81"/>
  <c r="AB6" i="72"/>
  <c r="AB6" i="73"/>
  <c r="Z82" i="73"/>
  <c r="Z107" i="73"/>
  <c r="Z81" i="81"/>
  <c r="Z106" i="81"/>
  <c r="AC6" i="73"/>
  <c r="AC6" i="82"/>
  <c r="AC73" i="82" a="1"/>
  <c r="AC73" i="82"/>
  <c r="AC72" i="73" a="1"/>
  <c r="AC72" i="73"/>
  <c r="AC80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1" i="68" a="1"/>
  <c r="AC71" i="68"/>
  <c r="AD76" i="68"/>
  <c r="AC73" i="68" a="1"/>
  <c r="AC73" i="68"/>
  <c r="AC72" i="68" a="1"/>
  <c r="AC72" i="68"/>
  <c r="AC79" i="68"/>
  <c r="AC81" i="68"/>
  <c r="AC106" i="68"/>
  <c r="AC6" i="81"/>
  <c r="AB74" i="73" a="1"/>
  <c r="AB74" i="73"/>
  <c r="AB73" i="73" a="1"/>
  <c r="AB73" i="73"/>
  <c r="AB72" i="73" a="1"/>
  <c r="AB72" i="73"/>
  <c r="AB73" i="72" a="1"/>
  <c r="AB73" i="72"/>
  <c r="AB72" i="72" a="1"/>
  <c r="AB72" i="72"/>
  <c r="AC77" i="72"/>
  <c r="AB73" i="81" a="1"/>
  <c r="AB73" i="81"/>
  <c r="AB71" i="81" a="1"/>
  <c r="AB71" i="81"/>
  <c r="AC76" i="81"/>
  <c r="AB72" i="81" a="1"/>
  <c r="AB72" i="81"/>
  <c r="AC77" i="81"/>
  <c r="AA79" i="81"/>
  <c r="AB79" i="68"/>
  <c r="AB81" i="68"/>
  <c r="AB106" i="68"/>
  <c r="AD6" i="73"/>
  <c r="AA80" i="82"/>
  <c r="AA82" i="82"/>
  <c r="AA107" i="82"/>
  <c r="AA80" i="73"/>
  <c r="I9" i="85"/>
  <c r="AC6" i="85"/>
  <c r="AA82" i="73"/>
  <c r="AA107" i="73"/>
  <c r="AC82" i="73"/>
  <c r="AC107" i="73"/>
  <c r="AA81" i="81"/>
  <c r="AA106" i="81"/>
  <c r="AD6" i="81"/>
  <c r="AD72" i="81" a="1"/>
  <c r="AD72" i="81"/>
  <c r="AE77" i="81"/>
  <c r="AD6" i="82"/>
  <c r="AD73" i="82" a="1"/>
  <c r="AD73" i="82"/>
  <c r="AD6" i="72"/>
  <c r="AD73" i="72" a="1"/>
  <c r="AD73" i="72"/>
  <c r="AC72" i="81" a="1"/>
  <c r="AC72" i="81"/>
  <c r="AD77" i="81"/>
  <c r="AC73" i="81" a="1"/>
  <c r="AC73" i="81"/>
  <c r="AC71" i="81" a="1"/>
  <c r="AC71" i="81"/>
  <c r="AD76" i="81"/>
  <c r="AE73" i="68" a="1"/>
  <c r="AE73" i="68"/>
  <c r="AE71" i="68" a="1"/>
  <c r="AE71" i="68"/>
  <c r="AF76" i="68"/>
  <c r="AE72" i="68" a="1"/>
  <c r="AE72" i="68"/>
  <c r="AC72" i="72" a="1"/>
  <c r="AC72" i="72"/>
  <c r="AD77" i="72"/>
  <c r="AC73" i="72" a="1"/>
  <c r="AC73" i="72"/>
  <c r="AD73" i="73" a="1"/>
  <c r="AD73" i="73"/>
  <c r="AD74" i="73" a="1"/>
  <c r="AD74" i="73"/>
  <c r="AD72" i="73" a="1"/>
  <c r="AD72" i="73"/>
  <c r="AD80" i="73"/>
  <c r="AD72" i="68" a="1"/>
  <c r="AD72" i="68"/>
  <c r="AD79" i="68"/>
  <c r="AD81" i="68"/>
  <c r="AD106" i="68"/>
  <c r="AD71" i="68" a="1"/>
  <c r="AD71" i="68"/>
  <c r="AE76" i="68"/>
  <c r="AD73" i="68" a="1"/>
  <c r="AD73" i="68"/>
  <c r="AB79" i="81"/>
  <c r="AE6" i="73"/>
  <c r="AE6" i="81"/>
  <c r="AE6" i="72"/>
  <c r="AE6" i="82"/>
  <c r="AB80" i="73"/>
  <c r="AB80" i="82"/>
  <c r="AB82" i="82"/>
  <c r="AB107" i="82"/>
  <c r="I9" i="82"/>
  <c r="I9" i="81"/>
  <c r="I9" i="73"/>
  <c r="I9" i="72"/>
  <c r="AE79" i="68"/>
  <c r="AE81" i="68"/>
  <c r="AE106" i="68"/>
  <c r="J9" i="85"/>
  <c r="AF6" i="85"/>
  <c r="AE6" i="85"/>
  <c r="AD6" i="85"/>
  <c r="AB82" i="73"/>
  <c r="AB107" i="73"/>
  <c r="AD82" i="73"/>
  <c r="AD107" i="73"/>
  <c r="I5" i="85"/>
  <c r="AB81" i="81"/>
  <c r="AB106" i="81"/>
  <c r="AD74" i="82" a="1"/>
  <c r="AD74" i="82"/>
  <c r="AD73" i="81" a="1"/>
  <c r="AD73" i="81"/>
  <c r="AD71" i="81" a="1"/>
  <c r="AD71" i="81"/>
  <c r="AE76" i="81"/>
  <c r="AD72" i="72" a="1"/>
  <c r="AD72" i="72"/>
  <c r="AE77" i="72"/>
  <c r="AC79" i="81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1" i="81" a="1"/>
  <c r="AE71" i="81"/>
  <c r="AF76" i="81"/>
  <c r="AE73" i="81" a="1"/>
  <c r="AE73" i="81"/>
  <c r="AE72" i="81" a="1"/>
  <c r="AE72" i="81"/>
  <c r="AF77" i="81"/>
  <c r="AF72" i="68" a="1"/>
  <c r="AF72" i="68"/>
  <c r="AF79" i="68"/>
  <c r="AF81" i="68"/>
  <c r="AF106" i="68"/>
  <c r="AF71" i="68" a="1"/>
  <c r="AF71" i="68"/>
  <c r="AG76" i="68"/>
  <c r="AF73" i="68" a="1"/>
  <c r="AF73" i="68"/>
  <c r="AE73" i="73" a="1"/>
  <c r="AE73" i="73"/>
  <c r="AE72" i="73" a="1"/>
  <c r="AE72" i="73"/>
  <c r="AE80" i="73"/>
  <c r="AE74" i="73" a="1"/>
  <c r="AE74" i="73"/>
  <c r="AE73" i="72" a="1"/>
  <c r="AE73" i="72"/>
  <c r="AE72" i="72" a="1"/>
  <c r="AE72" i="72"/>
  <c r="AF77" i="72"/>
  <c r="AF6" i="73"/>
  <c r="AF6" i="81"/>
  <c r="AF6" i="72"/>
  <c r="AF6" i="82"/>
  <c r="I88" i="75"/>
  <c r="I97" i="75"/>
  <c r="J9" i="82"/>
  <c r="J9" i="81"/>
  <c r="J9" i="72"/>
  <c r="J9" i="73"/>
  <c r="K9" i="85"/>
  <c r="AG6" i="85"/>
  <c r="AE82" i="73"/>
  <c r="AE107" i="73"/>
  <c r="J5" i="85"/>
  <c r="AC81" i="81"/>
  <c r="AC106" i="81"/>
  <c r="AD79" i="81"/>
  <c r="AF72" i="82" a="1"/>
  <c r="AF72" i="82"/>
  <c r="AF80" i="82"/>
  <c r="AF82" i="82"/>
  <c r="AF107" i="82"/>
  <c r="AF74" i="82" a="1"/>
  <c r="AF74" i="82"/>
  <c r="AF73" i="82" a="1"/>
  <c r="AF73" i="82"/>
  <c r="AF73" i="72" a="1"/>
  <c r="AF73" i="72"/>
  <c r="AF72" i="72" a="1"/>
  <c r="AF72" i="72"/>
  <c r="AG77" i="72"/>
  <c r="AF71" i="81" a="1"/>
  <c r="AF71" i="81"/>
  <c r="AG76" i="81"/>
  <c r="AF72" i="81" a="1"/>
  <c r="AF72" i="81"/>
  <c r="AG77" i="81"/>
  <c r="AF73" i="81" a="1"/>
  <c r="AF73" i="81"/>
  <c r="AG73" i="68" a="1"/>
  <c r="AG73" i="68"/>
  <c r="AG72" i="68" a="1"/>
  <c r="AG72" i="68"/>
  <c r="AG79" i="68"/>
  <c r="AG81" i="68"/>
  <c r="AG106" i="68"/>
  <c r="AG71" i="68" a="1"/>
  <c r="AG71" i="68"/>
  <c r="AF74" i="73" a="1"/>
  <c r="AF74" i="73"/>
  <c r="AF73" i="73" a="1"/>
  <c r="AF73" i="73"/>
  <c r="AF72" i="73" a="1"/>
  <c r="AF72" i="73"/>
  <c r="AF80" i="73"/>
  <c r="AE79" i="81"/>
  <c r="AG6" i="73"/>
  <c r="AG6" i="81"/>
  <c r="AG6" i="72"/>
  <c r="AG6" i="82"/>
  <c r="J88" i="75"/>
  <c r="J97" i="75"/>
  <c r="K9" i="82"/>
  <c r="K9" i="81"/>
  <c r="K9" i="72"/>
  <c r="K9" i="73"/>
  <c r="L9" i="85"/>
  <c r="AF82" i="73"/>
  <c r="AF107" i="73"/>
  <c r="K5" i="85"/>
  <c r="AD81" i="81"/>
  <c r="AD106" i="81"/>
  <c r="AE81" i="81"/>
  <c r="AE106" i="81"/>
  <c r="AG74" i="82" a="1"/>
  <c r="AG74" i="82"/>
  <c r="AG72" i="82" a="1"/>
  <c r="AG72" i="82"/>
  <c r="AG80" i="82"/>
  <c r="AG82" i="82"/>
  <c r="AG107" i="82"/>
  <c r="AG73" i="82" a="1"/>
  <c r="AG73" i="82"/>
  <c r="AG72" i="72" a="1"/>
  <c r="AG72" i="72"/>
  <c r="AG73" i="72" a="1"/>
  <c r="AG73" i="72"/>
  <c r="AG71" i="81" a="1"/>
  <c r="AG71" i="81"/>
  <c r="AG72" i="81" a="1"/>
  <c r="AG72" i="81"/>
  <c r="AG73" i="81" a="1"/>
  <c r="AG73" i="81"/>
  <c r="AG73" i="73" a="1"/>
  <c r="AG73" i="73"/>
  <c r="AG74" i="73" a="1"/>
  <c r="AG74" i="73"/>
  <c r="AG72" i="73" a="1"/>
  <c r="AG72" i="73"/>
  <c r="AG80" i="73"/>
  <c r="AF79" i="81"/>
  <c r="K88" i="75"/>
  <c r="K97" i="75"/>
  <c r="L9" i="82"/>
  <c r="L9" i="81"/>
  <c r="L9" i="73"/>
  <c r="L9" i="72"/>
  <c r="M9" i="85"/>
  <c r="AG82" i="73"/>
  <c r="AG107" i="73"/>
  <c r="L5" i="85"/>
  <c r="AF81" i="81"/>
  <c r="AF106" i="81"/>
  <c r="AG79" i="81"/>
  <c r="L88" i="75"/>
  <c r="L97" i="75"/>
  <c r="M9" i="82"/>
  <c r="M9" i="81"/>
  <c r="M9" i="73"/>
  <c r="M9" i="72"/>
  <c r="N9" i="85"/>
  <c r="M5" i="85"/>
  <c r="AG81" i="81"/>
  <c r="AG106" i="81"/>
  <c r="M88" i="75"/>
  <c r="M97" i="75"/>
  <c r="N9" i="82"/>
  <c r="N9" i="81"/>
  <c r="N9" i="73"/>
  <c r="N9" i="72"/>
  <c r="O9" i="85"/>
  <c r="N5" i="85"/>
  <c r="N88" i="75"/>
  <c r="N97" i="75"/>
  <c r="O9" i="82"/>
  <c r="O9" i="81"/>
  <c r="O9" i="73"/>
  <c r="O9" i="72"/>
  <c r="P9" i="85"/>
  <c r="O5" i="85"/>
  <c r="O88" i="75"/>
  <c r="O97" i="75"/>
  <c r="P9" i="82"/>
  <c r="P9" i="81"/>
  <c r="P9" i="73"/>
  <c r="P9" i="72"/>
  <c r="Q9" i="85"/>
  <c r="P5" i="85"/>
  <c r="P88" i="75"/>
  <c r="P97" i="75"/>
  <c r="Q9" i="82"/>
  <c r="Q9" i="81"/>
  <c r="Q9" i="73"/>
  <c r="Q9" i="72"/>
  <c r="R9" i="85"/>
  <c r="Q5" i="85"/>
  <c r="Q88" i="75"/>
  <c r="Q97" i="75"/>
  <c r="R9" i="82"/>
  <c r="R9" i="81"/>
  <c r="R9" i="72"/>
  <c r="R9" i="73"/>
  <c r="S9" i="85"/>
  <c r="R5" i="85"/>
  <c r="R88" i="75"/>
  <c r="R97" i="75"/>
  <c r="S9" i="82"/>
  <c r="S9" i="81"/>
  <c r="S9" i="72"/>
  <c r="S9" i="73"/>
  <c r="T9" i="85"/>
  <c r="S5" i="85"/>
  <c r="S88" i="75"/>
  <c r="S97" i="75"/>
  <c r="T9" i="82"/>
  <c r="T9" i="81"/>
  <c r="T9" i="73"/>
  <c r="T9" i="72"/>
  <c r="U9" i="85"/>
  <c r="T5" i="85"/>
  <c r="T88" i="75"/>
  <c r="T97" i="75"/>
  <c r="U9" i="82"/>
  <c r="U9" i="81"/>
  <c r="U9" i="72"/>
  <c r="U9" i="73"/>
  <c r="V9" i="85"/>
  <c r="U5" i="85"/>
  <c r="U88" i="75"/>
  <c r="U97" i="75"/>
  <c r="V9" i="82"/>
  <c r="V9" i="81"/>
  <c r="V9" i="73"/>
  <c r="V9" i="72"/>
  <c r="W9" i="85"/>
  <c r="V5" i="85"/>
  <c r="V88" i="75"/>
  <c r="V97" i="75"/>
  <c r="W9" i="82"/>
  <c r="W9" i="81"/>
  <c r="W9" i="73"/>
  <c r="W9" i="72"/>
  <c r="X9" i="85"/>
  <c r="W5" i="85"/>
  <c r="W88" i="75"/>
  <c r="W97" i="75"/>
  <c r="X9" i="82"/>
  <c r="X9" i="81"/>
  <c r="X9" i="73"/>
  <c r="X9" i="72"/>
  <c r="Y9" i="85"/>
  <c r="X5" i="85"/>
  <c r="X88" i="75"/>
  <c r="X97" i="75"/>
  <c r="Y9" i="82"/>
  <c r="Y9" i="81"/>
  <c r="Y9" i="73"/>
  <c r="Y9" i="72"/>
  <c r="Z9" i="85"/>
  <c r="Y5" i="85"/>
  <c r="Y88" i="75"/>
  <c r="Y97" i="75"/>
  <c r="Z9" i="82"/>
  <c r="Z9" i="81"/>
  <c r="Z9" i="72"/>
  <c r="Z9" i="73"/>
  <c r="AA9" i="85"/>
  <c r="Z5" i="85"/>
  <c r="Z88" i="75"/>
  <c r="Z97" i="75"/>
  <c r="AA9" i="82"/>
  <c r="AA9" i="81"/>
  <c r="AA9" i="72"/>
  <c r="AA9" i="73"/>
  <c r="AB9" i="85"/>
  <c r="AA5" i="85"/>
  <c r="AA88" i="75"/>
  <c r="AA97" i="75"/>
  <c r="AB9" i="82"/>
  <c r="AB9" i="81"/>
  <c r="AB9" i="73"/>
  <c r="AB9" i="72"/>
  <c r="AC9" i="85"/>
  <c r="AC88" i="75"/>
  <c r="AC97" i="75"/>
  <c r="AC9" i="72"/>
  <c r="AC9" i="73"/>
  <c r="AC9" i="81"/>
  <c r="AC9" i="82"/>
  <c r="AB88" i="75"/>
  <c r="AB97" i="75"/>
  <c r="AD9" i="85"/>
  <c r="AC5" i="85"/>
  <c r="AB5" i="85"/>
  <c r="AD9" i="82"/>
  <c r="AD9" i="72"/>
  <c r="AD9" i="73"/>
  <c r="AD9" i="81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88" i="75"/>
  <c r="AD97" i="75"/>
  <c r="AE9" i="81"/>
  <c r="AE9" i="82"/>
  <c r="AE88" i="75"/>
  <c r="AE97" i="75"/>
  <c r="AE9" i="72"/>
  <c r="AE9" i="73"/>
  <c r="G8" i="33"/>
  <c r="AD5" i="85"/>
  <c r="AF9" i="85"/>
  <c r="AE5" i="85"/>
  <c r="AF9" i="82"/>
  <c r="AF9" i="81"/>
  <c r="AF9" i="72"/>
  <c r="AF9" i="73"/>
  <c r="AG9" i="85"/>
  <c r="AF5" i="85"/>
  <c r="AF88" i="75"/>
  <c r="AF97" i="75"/>
  <c r="AG9" i="82"/>
  <c r="AG9" i="81"/>
  <c r="AG9" i="73"/>
  <c r="AG9" i="72"/>
  <c r="AG88" i="75"/>
  <c r="AG97" i="75"/>
  <c r="AG5" i="85"/>
  <c r="E45" i="81"/>
  <c r="E46" i="81"/>
  <c r="E48" i="81"/>
  <c r="E50" i="73"/>
  <c r="E48" i="72"/>
  <c r="E45" i="68"/>
  <c r="E47" i="72"/>
  <c r="E52" i="73"/>
  <c r="E51" i="68"/>
  <c r="E46" i="82"/>
  <c r="E47" i="81"/>
  <c r="E49" i="73"/>
  <c r="E50" i="72"/>
  <c r="E49" i="81"/>
  <c r="E49" i="82"/>
  <c r="E46" i="72"/>
  <c r="E50" i="68"/>
  <c r="E51" i="72"/>
  <c r="E46" i="68"/>
  <c r="E49" i="72"/>
  <c r="E52" i="82"/>
  <c r="E48" i="73"/>
  <c r="E49" i="68"/>
  <c r="E47" i="68"/>
  <c r="E51" i="73"/>
  <c r="E51" i="82"/>
  <c r="E47" i="73"/>
  <c r="E45" i="72"/>
  <c r="E48" i="68"/>
  <c r="E46" i="73"/>
  <c r="E50" i="81"/>
  <c r="E50" i="82"/>
  <c r="E51" i="81"/>
  <c r="E48" i="82"/>
  <c r="E47" i="82"/>
  <c r="C14" i="43" a="1"/>
  <c r="B16" i="87"/>
  <c r="G27" i="43"/>
  <c r="H90" i="43"/>
  <c r="G34" i="82"/>
  <c r="G33" i="82"/>
  <c r="G14" i="82"/>
  <c r="G31" i="73"/>
  <c r="G54" i="72"/>
  <c r="G19" i="72"/>
  <c r="G33" i="81"/>
  <c r="G15" i="81"/>
  <c r="G17" i="73"/>
  <c r="G55" i="82"/>
  <c r="G54" i="81"/>
  <c r="G33" i="73"/>
  <c r="G53" i="81"/>
  <c r="G32" i="73"/>
  <c r="G32" i="82"/>
  <c r="G28" i="82"/>
  <c r="G30" i="73"/>
  <c r="G53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4" i="68"/>
  <c r="G33" i="72"/>
  <c r="G17" i="82"/>
  <c r="G32" i="72"/>
  <c r="G16" i="82"/>
  <c r="G17" i="81"/>
  <c r="G30" i="72"/>
  <c r="G30" i="82"/>
  <c r="G55" i="73"/>
  <c r="G19" i="73"/>
  <c r="G15" i="72"/>
  <c r="G30" i="81"/>
  <c r="G53" i="68"/>
  <c r="G19" i="82"/>
  <c r="G28" i="81"/>
  <c r="G16" i="73"/>
  <c r="G54" i="82"/>
  <c r="G31" i="72"/>
  <c r="G14" i="73"/>
  <c r="C22" i="62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6" i="68"/>
  <c r="G56" i="72"/>
  <c r="G56" i="81"/>
  <c r="G78" i="73"/>
  <c r="G76" i="81"/>
  <c r="G77" i="72"/>
  <c r="G76" i="72"/>
  <c r="G78" i="72"/>
  <c r="G77" i="73"/>
  <c r="G79" i="81"/>
  <c r="G78" i="81"/>
  <c r="G79" i="73"/>
  <c r="G77" i="81"/>
  <c r="H52" i="43"/>
  <c r="H78" i="43"/>
  <c r="H79" i="43"/>
  <c r="G79" i="68"/>
  <c r="G73" i="81"/>
  <c r="G73" i="82"/>
  <c r="G68" i="72"/>
  <c r="G67" i="68"/>
  <c r="G73" i="72"/>
  <c r="G69" i="73"/>
  <c r="G77" i="68"/>
  <c r="G71" i="81"/>
  <c r="G79" i="82"/>
  <c r="G73" i="68"/>
  <c r="G72" i="73"/>
  <c r="G67" i="81"/>
  <c r="G67" i="82"/>
  <c r="G79" i="72"/>
  <c r="G78" i="68"/>
  <c r="G72" i="81"/>
  <c r="G72" i="82"/>
  <c r="G67" i="72"/>
  <c r="G66" i="68"/>
  <c r="G80" i="82"/>
  <c r="G76" i="68"/>
  <c r="G73" i="73"/>
  <c r="G68" i="81"/>
  <c r="G68" i="82"/>
  <c r="G78" i="82"/>
  <c r="G72" i="68"/>
  <c r="G66" i="81"/>
  <c r="G74" i="73"/>
  <c r="G68" i="68"/>
  <c r="G68" i="73"/>
  <c r="G77" i="82"/>
  <c r="G74" i="82"/>
  <c r="G67" i="73"/>
  <c r="G71" i="72"/>
  <c r="G80" i="73"/>
  <c r="G72" i="72"/>
  <c r="G69" i="82"/>
  <c r="G66" i="72"/>
  <c r="G71" i="68"/>
  <c r="G85" i="82"/>
  <c r="G83" i="82"/>
  <c r="G82" i="82"/>
  <c r="G64" i="82"/>
  <c r="G84" i="82"/>
  <c r="G87" i="82"/>
  <c r="G83" i="73"/>
  <c r="G81" i="72"/>
  <c r="G82" i="73"/>
  <c r="G86" i="72"/>
  <c r="G87" i="73"/>
  <c r="G84" i="68"/>
  <c r="G85" i="73"/>
  <c r="G82" i="68"/>
  <c r="G84" i="72"/>
  <c r="G83" i="68"/>
  <c r="G83" i="72"/>
  <c r="G63" i="72"/>
  <c r="G84" i="73"/>
  <c r="G82" i="72"/>
  <c r="G81" i="68"/>
  <c r="G86" i="68"/>
  <c r="G63" i="81"/>
  <c r="G82" i="81"/>
  <c r="G86" i="81"/>
  <c r="G84" i="81"/>
  <c r="G81" i="81"/>
  <c r="G83" i="81"/>
  <c r="E45" i="82"/>
  <c r="E45" i="73"/>
  <c r="E44" i="81"/>
  <c r="E44" i="68"/>
  <c r="E44" i="72"/>
  <c r="G64" i="73"/>
  <c r="G63" i="68"/>
  <c r="C14" i="43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6" i="81" a="1"/>
  <c r="W56" i="81"/>
  <c r="S56" i="81" a="1"/>
  <c r="S56" i="81"/>
  <c r="Q56" i="81" a="1"/>
  <c r="Q56" i="81"/>
  <c r="O56" i="81" a="1"/>
  <c r="O56" i="81"/>
  <c r="AG56" i="81" a="1"/>
  <c r="AG56" i="81"/>
  <c r="K56" i="81" a="1"/>
  <c r="K56" i="81"/>
  <c r="AE56" i="81" a="1"/>
  <c r="AE56" i="81"/>
  <c r="I56" i="81" a="1"/>
  <c r="I56" i="81"/>
  <c r="AA56" i="81" a="1"/>
  <c r="AA56" i="81"/>
  <c r="Y56" i="81" a="1"/>
  <c r="Y56" i="81"/>
  <c r="AC56" i="81" a="1"/>
  <c r="AC56" i="81"/>
  <c r="AD56" i="81" a="1"/>
  <c r="AD56" i="81"/>
  <c r="AF56" i="81" a="1"/>
  <c r="AF56" i="81"/>
  <c r="M56" i="81" a="1"/>
  <c r="M56" i="81"/>
  <c r="L56" i="81" a="1"/>
  <c r="L56" i="81"/>
  <c r="N56" i="81" a="1"/>
  <c r="N56" i="81"/>
  <c r="J56" i="81" a="1"/>
  <c r="J56" i="81"/>
  <c r="P56" i="81" a="1"/>
  <c r="P56" i="81"/>
  <c r="R56" i="81" a="1"/>
  <c r="R56" i="81"/>
  <c r="T56" i="81" a="1"/>
  <c r="T56" i="81"/>
  <c r="U56" i="81" a="1"/>
  <c r="U56" i="81"/>
  <c r="V56" i="81" a="1"/>
  <c r="V56" i="81"/>
  <c r="X56" i="81" a="1"/>
  <c r="X56" i="81"/>
  <c r="Z56" i="81" a="1"/>
  <c r="Z56" i="81"/>
  <c r="AB56" i="81" a="1"/>
  <c r="AB56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6" i="72" a="1"/>
  <c r="AC56" i="72"/>
  <c r="AD56" i="72" a="1"/>
  <c r="AD56" i="72"/>
  <c r="AE56" i="72" a="1"/>
  <c r="AE56" i="72"/>
  <c r="AF56" i="72" a="1"/>
  <c r="AF56" i="72"/>
  <c r="AG56" i="72" a="1"/>
  <c r="AG56" i="72"/>
  <c r="AC56" i="68" a="1"/>
  <c r="AC56" i="68"/>
  <c r="AC84" i="68"/>
  <c r="AC107" i="68"/>
  <c r="AD56" i="68" a="1"/>
  <c r="AD56" i="68"/>
  <c r="AD84" i="68"/>
  <c r="AD107" i="68"/>
  <c r="AE56" i="68" a="1"/>
  <c r="AE56" i="68"/>
  <c r="AE84" i="68"/>
  <c r="AE107" i="68"/>
  <c r="AF56" i="68" a="1"/>
  <c r="AF56" i="68"/>
  <c r="AF84" i="68"/>
  <c r="AF107" i="68"/>
  <c r="AG56" i="68" a="1"/>
  <c r="AG56" i="68"/>
  <c r="AG84" i="68"/>
  <c r="AG107" i="68"/>
  <c r="X56" i="72" a="1"/>
  <c r="X56" i="72"/>
  <c r="S56" i="72" a="1"/>
  <c r="S56" i="72"/>
  <c r="J56" i="72" a="1"/>
  <c r="J56" i="72"/>
  <c r="R56" i="72" a="1"/>
  <c r="R56" i="72"/>
  <c r="P56" i="72" a="1"/>
  <c r="P56" i="72"/>
  <c r="O56" i="72" a="1"/>
  <c r="O56" i="72"/>
  <c r="Z56" i="72" a="1"/>
  <c r="Z56" i="72"/>
  <c r="L56" i="72" a="1"/>
  <c r="L56" i="72"/>
  <c r="K56" i="72" a="1"/>
  <c r="K56" i="72"/>
  <c r="N56" i="72" a="1"/>
  <c r="N56" i="72"/>
  <c r="I56" i="72" a="1"/>
  <c r="I56" i="72"/>
  <c r="M56" i="72" a="1"/>
  <c r="M56" i="72"/>
  <c r="Q56" i="72" a="1"/>
  <c r="Q56" i="72"/>
  <c r="T56" i="72" a="1"/>
  <c r="T56" i="72"/>
  <c r="U56" i="72" a="1"/>
  <c r="U56" i="72"/>
  <c r="V56" i="72" a="1"/>
  <c r="V56" i="72"/>
  <c r="W56" i="72" a="1"/>
  <c r="W56" i="72"/>
  <c r="Y56" i="72" a="1"/>
  <c r="Y56" i="72"/>
  <c r="AA56" i="72" a="1"/>
  <c r="AA56" i="72"/>
  <c r="AB56" i="72" a="1"/>
  <c r="AB56" i="72"/>
  <c r="Q56" i="68" a="1"/>
  <c r="Q56" i="68"/>
  <c r="Q84" i="68"/>
  <c r="Q107" i="68"/>
  <c r="W56" i="68" a="1"/>
  <c r="W56" i="68"/>
  <c r="W84" i="68"/>
  <c r="W107" i="68"/>
  <c r="U56" i="68" a="1"/>
  <c r="U56" i="68"/>
  <c r="U84" i="68"/>
  <c r="U107" i="68"/>
  <c r="P56" i="68" a="1"/>
  <c r="P56" i="68"/>
  <c r="P84" i="68"/>
  <c r="P107" i="68"/>
  <c r="X56" i="68" a="1"/>
  <c r="X56" i="68"/>
  <c r="X84" i="68"/>
  <c r="X107" i="68"/>
  <c r="AB56" i="68" a="1"/>
  <c r="AB56" i="68"/>
  <c r="AB84" i="68"/>
  <c r="AB107" i="68"/>
  <c r="I56" i="68" a="1"/>
  <c r="I56" i="68"/>
  <c r="I84" i="68"/>
  <c r="I107" i="68"/>
  <c r="O56" i="68" a="1"/>
  <c r="O56" i="68"/>
  <c r="O84" i="68"/>
  <c r="O107" i="68"/>
  <c r="Y56" i="68" a="1"/>
  <c r="Y56" i="68"/>
  <c r="Y84" i="68"/>
  <c r="Y107" i="68"/>
  <c r="N56" i="68" a="1"/>
  <c r="N56" i="68"/>
  <c r="N84" i="68"/>
  <c r="N107" i="68"/>
  <c r="T56" i="68" a="1"/>
  <c r="T56" i="68"/>
  <c r="T84" i="68"/>
  <c r="T107" i="68"/>
  <c r="Z56" i="68" a="1"/>
  <c r="Z56" i="68"/>
  <c r="Z84" i="68"/>
  <c r="Z107" i="68"/>
  <c r="M56" i="68" a="1"/>
  <c r="M56" i="68"/>
  <c r="M84" i="68"/>
  <c r="M107" i="68"/>
  <c r="R56" i="68" a="1"/>
  <c r="R56" i="68"/>
  <c r="R84" i="68"/>
  <c r="R107" i="68"/>
  <c r="AA56" i="68" a="1"/>
  <c r="AA56" i="68"/>
  <c r="AA84" i="68"/>
  <c r="AA107" i="68"/>
  <c r="L56" i="68" a="1"/>
  <c r="L56" i="68"/>
  <c r="L84" i="68"/>
  <c r="L107" i="68"/>
  <c r="K56" i="68" a="1"/>
  <c r="K56" i="68"/>
  <c r="K84" i="68"/>
  <c r="K107" i="68"/>
  <c r="S56" i="68" a="1"/>
  <c r="S56" i="68"/>
  <c r="S84" i="68"/>
  <c r="S107" i="68"/>
  <c r="J56" i="68" a="1"/>
  <c r="J56" i="68"/>
  <c r="J84" i="68"/>
  <c r="J107" i="68"/>
  <c r="V56" i="68" a="1"/>
  <c r="V56" i="68"/>
  <c r="V84" i="68"/>
  <c r="V107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U84" i="72"/>
  <c r="Z84" i="72"/>
  <c r="AC84" i="72"/>
  <c r="T84" i="72"/>
  <c r="O84" i="72"/>
  <c r="Q84" i="72"/>
  <c r="P84" i="72"/>
  <c r="AB84" i="72"/>
  <c r="M84" i="72"/>
  <c r="R84" i="72"/>
  <c r="AE85" i="73"/>
  <c r="AA84" i="72"/>
  <c r="I84" i="72"/>
  <c r="J84" i="72"/>
  <c r="AG84" i="72"/>
  <c r="AF85" i="73"/>
  <c r="AG85" i="73"/>
  <c r="Y84" i="72"/>
  <c r="N84" i="72"/>
  <c r="S84" i="72"/>
  <c r="AF84" i="72"/>
  <c r="AD85" i="73"/>
  <c r="I85" i="73"/>
  <c r="W84" i="72"/>
  <c r="K84" i="72"/>
  <c r="X84" i="72"/>
  <c r="AE84" i="72"/>
  <c r="AC85" i="73"/>
  <c r="V84" i="72"/>
  <c r="L84" i="72"/>
  <c r="AD84" i="72"/>
  <c r="AE84" i="81"/>
  <c r="AC84" i="81"/>
  <c r="AF84" i="81"/>
  <c r="AG84" i="81"/>
  <c r="AD84" i="81"/>
  <c r="I79" i="72"/>
  <c r="I81" i="72"/>
  <c r="AG86" i="68"/>
  <c r="AG105" i="68"/>
  <c r="AF86" i="68"/>
  <c r="AF105" i="68"/>
  <c r="AE86" i="68"/>
  <c r="AE105" i="68"/>
  <c r="AD86" i="68"/>
  <c r="AD105" i="68"/>
  <c r="AC86" i="68"/>
  <c r="AC105" i="68"/>
  <c r="AA84" i="81"/>
  <c r="T85" i="73"/>
  <c r="S84" i="81"/>
  <c r="Y84" i="81"/>
  <c r="W85" i="73"/>
  <c r="Q85" i="73"/>
  <c r="O85" i="73"/>
  <c r="O85" i="82"/>
  <c r="O84" i="81"/>
  <c r="R84" i="81"/>
  <c r="V85" i="73"/>
  <c r="X85" i="73"/>
  <c r="T85" i="82"/>
  <c r="V85" i="82"/>
  <c r="M84" i="81"/>
  <c r="J84" i="81"/>
  <c r="T84" i="81"/>
  <c r="AA85" i="73"/>
  <c r="P85" i="73"/>
  <c r="Q85" i="82"/>
  <c r="J85" i="82"/>
  <c r="K85" i="82"/>
  <c r="J85" i="73"/>
  <c r="V84" i="81"/>
  <c r="K84" i="81"/>
  <c r="I84" i="81"/>
  <c r="U85" i="73"/>
  <c r="U85" i="82"/>
  <c r="AA85" i="82"/>
  <c r="R85" i="82"/>
  <c r="AB84" i="81"/>
  <c r="Z84" i="81"/>
  <c r="W84" i="81"/>
  <c r="N85" i="73"/>
  <c r="Z85" i="73"/>
  <c r="AB85" i="82"/>
  <c r="W85" i="82"/>
  <c r="P85" i="82"/>
  <c r="N84" i="81"/>
  <c r="Q84" i="81"/>
  <c r="L84" i="81"/>
  <c r="X84" i="81"/>
  <c r="M85" i="73"/>
  <c r="K85" i="73"/>
  <c r="Y85" i="82"/>
  <c r="Z85" i="82"/>
  <c r="M85" i="82"/>
  <c r="N85" i="82"/>
  <c r="S85" i="73"/>
  <c r="R85" i="73"/>
  <c r="S85" i="82"/>
  <c r="U84" i="81"/>
  <c r="P84" i="81"/>
  <c r="AB85" i="73"/>
  <c r="L85" i="73"/>
  <c r="Y85" i="73"/>
  <c r="X85" i="82"/>
  <c r="L85" i="82"/>
  <c r="AG116" i="68" a="1"/>
  <c r="AG116" i="68"/>
  <c r="AG115" i="68" a="1"/>
  <c r="AG115" i="68"/>
  <c r="AG114" i="68" a="1"/>
  <c r="AG114" i="68"/>
  <c r="AG112" i="68" a="1"/>
  <c r="AG112" i="68"/>
  <c r="AG109" i="68" a="1"/>
  <c r="AG109" i="68"/>
  <c r="AG110" i="68" a="1"/>
  <c r="AG110" i="68"/>
  <c r="AG111" i="68" a="1"/>
  <c r="AG111" i="68"/>
  <c r="AG113" i="68" a="1"/>
  <c r="AG113" i="68"/>
  <c r="AF116" i="68" a="1"/>
  <c r="AF116" i="68"/>
  <c r="AF112" i="68" a="1"/>
  <c r="AF112" i="68"/>
  <c r="AF115" i="68" a="1"/>
  <c r="AF115" i="68"/>
  <c r="AF114" i="68" a="1"/>
  <c r="AF114" i="68"/>
  <c r="AF113" i="68" a="1"/>
  <c r="AF113" i="68"/>
  <c r="AF111" i="68" a="1"/>
  <c r="AF111" i="68"/>
  <c r="AF110" i="68" a="1"/>
  <c r="AF110" i="68"/>
  <c r="AF109" i="68" a="1"/>
  <c r="AF109" i="68"/>
  <c r="AE112" i="68" a="1"/>
  <c r="AE112" i="68"/>
  <c r="AE116" i="68" a="1"/>
  <c r="AE116" i="68"/>
  <c r="AE115" i="68" a="1"/>
  <c r="AE115" i="68"/>
  <c r="AE114" i="68" a="1"/>
  <c r="AE114" i="68"/>
  <c r="AE113" i="68" a="1"/>
  <c r="AE113" i="68"/>
  <c r="AE110" i="68" a="1"/>
  <c r="AE110" i="68"/>
  <c r="AE111" i="68" a="1"/>
  <c r="AE111" i="68"/>
  <c r="AE109" i="68" a="1"/>
  <c r="AE109" i="68"/>
  <c r="AC111" i="68" a="1"/>
  <c r="AC111" i="68"/>
  <c r="AC114" i="68" a="1"/>
  <c r="AC114" i="68"/>
  <c r="AC115" i="68" a="1"/>
  <c r="AC115" i="68"/>
  <c r="AC112" i="68" a="1"/>
  <c r="AC112" i="68"/>
  <c r="AC116" i="68" a="1"/>
  <c r="AC116" i="68"/>
  <c r="AC110" i="68" a="1"/>
  <c r="AC110" i="68"/>
  <c r="AC113" i="68" a="1"/>
  <c r="AC113" i="68"/>
  <c r="AC109" i="68" a="1"/>
  <c r="AC109" i="68"/>
  <c r="AD111" i="68" a="1"/>
  <c r="AD111" i="68"/>
  <c r="AD114" i="68" a="1"/>
  <c r="AD114" i="68"/>
  <c r="AD109" i="68" a="1"/>
  <c r="AD109" i="68"/>
  <c r="AD112" i="68" a="1"/>
  <c r="AD112" i="68"/>
  <c r="AD115" i="68" a="1"/>
  <c r="AD115" i="68"/>
  <c r="AD116" i="68" a="1"/>
  <c r="AD116" i="68"/>
  <c r="AD113" i="68" a="1"/>
  <c r="AD113" i="68"/>
  <c r="AD110" i="68" a="1"/>
  <c r="AD110" i="68"/>
  <c r="X86" i="68"/>
  <c r="X105" i="68"/>
  <c r="M86" i="68"/>
  <c r="M105" i="68"/>
  <c r="K86" i="68"/>
  <c r="K105" i="68"/>
  <c r="U86" i="68"/>
  <c r="U105" i="68"/>
  <c r="Q86" i="68"/>
  <c r="Q105" i="68"/>
  <c r="Z86" i="68"/>
  <c r="Z105" i="68"/>
  <c r="Y86" i="68"/>
  <c r="Y105" i="68"/>
  <c r="N86" i="68"/>
  <c r="N105" i="68"/>
  <c r="AA86" i="68"/>
  <c r="AA105" i="68"/>
  <c r="V86" i="68"/>
  <c r="V105" i="68"/>
  <c r="P86" i="68"/>
  <c r="P105" i="68"/>
  <c r="L86" i="68"/>
  <c r="L105" i="68"/>
  <c r="O86" i="68"/>
  <c r="O105" i="68"/>
  <c r="R86" i="68"/>
  <c r="R105" i="68"/>
  <c r="S86" i="68"/>
  <c r="S105" i="68"/>
  <c r="T86" i="68"/>
  <c r="T105" i="68"/>
  <c r="W86" i="68"/>
  <c r="W105" i="68"/>
  <c r="AB86" i="68"/>
  <c r="AB105" i="68"/>
  <c r="P116" i="68" a="1"/>
  <c r="P116" i="68"/>
  <c r="P110" i="68" a="1"/>
  <c r="P110" i="68"/>
  <c r="P111" i="68" a="1"/>
  <c r="P111" i="68"/>
  <c r="P113" i="68" a="1"/>
  <c r="P113" i="68"/>
  <c r="P115" i="68" a="1"/>
  <c r="P115" i="68"/>
  <c r="P109" i="68" a="1"/>
  <c r="P109" i="68"/>
  <c r="P112" i="68" a="1"/>
  <c r="P112" i="68"/>
  <c r="P114" i="68" a="1"/>
  <c r="P114" i="68"/>
  <c r="AA111" i="68" a="1"/>
  <c r="AA111" i="68"/>
  <c r="AA113" i="68" a="1"/>
  <c r="AA113" i="68"/>
  <c r="AA109" i="68" a="1"/>
  <c r="AA109" i="68"/>
  <c r="AA112" i="68" a="1"/>
  <c r="AA112" i="68"/>
  <c r="AA110" i="68" a="1"/>
  <c r="AA110" i="68"/>
  <c r="AA114" i="68" a="1"/>
  <c r="AA114" i="68"/>
  <c r="AA116" i="68" a="1"/>
  <c r="AA116" i="68"/>
  <c r="AA115" i="68" a="1"/>
  <c r="AA115" i="68"/>
  <c r="W115" i="68" a="1"/>
  <c r="W115" i="68"/>
  <c r="W112" i="68" a="1"/>
  <c r="W112" i="68"/>
  <c r="W109" i="68" a="1"/>
  <c r="W109" i="68"/>
  <c r="W116" i="68" a="1"/>
  <c r="W116" i="68"/>
  <c r="W110" i="68" a="1"/>
  <c r="W110" i="68"/>
  <c r="W111" i="68" a="1"/>
  <c r="W111" i="68"/>
  <c r="W114" i="68" a="1"/>
  <c r="W114" i="68"/>
  <c r="W113" i="68" a="1"/>
  <c r="W113" i="68"/>
  <c r="S116" i="68" a="1"/>
  <c r="S116" i="68"/>
  <c r="S110" i="68" a="1"/>
  <c r="S110" i="68"/>
  <c r="S113" i="68" a="1"/>
  <c r="S113" i="68"/>
  <c r="S111" i="68" a="1"/>
  <c r="S111" i="68"/>
  <c r="S114" i="68" a="1"/>
  <c r="S114" i="68"/>
  <c r="S115" i="68" a="1"/>
  <c r="S115" i="68"/>
  <c r="S112" i="68" a="1"/>
  <c r="S112" i="68"/>
  <c r="S109" i="68" a="1"/>
  <c r="S109" i="68"/>
  <c r="R116" i="68" a="1"/>
  <c r="R116" i="68"/>
  <c r="R110" i="68" a="1"/>
  <c r="R110" i="68"/>
  <c r="R113" i="68" a="1"/>
  <c r="R113" i="68"/>
  <c r="R111" i="68" a="1"/>
  <c r="R111" i="68"/>
  <c r="R114" i="68" a="1"/>
  <c r="R114" i="68"/>
  <c r="R115" i="68" a="1"/>
  <c r="R115" i="68"/>
  <c r="R109" i="68" a="1"/>
  <c r="R109" i="68"/>
  <c r="R112" i="68" a="1"/>
  <c r="R112" i="68"/>
  <c r="O116" i="68" a="1"/>
  <c r="O116" i="68"/>
  <c r="O110" i="68" a="1"/>
  <c r="O110" i="68"/>
  <c r="O114" i="68" a="1"/>
  <c r="O114" i="68"/>
  <c r="O111" i="68" a="1"/>
  <c r="O111" i="68"/>
  <c r="O112" i="68" a="1"/>
  <c r="O112" i="68"/>
  <c r="O113" i="68" a="1"/>
  <c r="O113" i="68"/>
  <c r="O115" i="68" a="1"/>
  <c r="O115" i="68"/>
  <c r="O109" i="68" a="1"/>
  <c r="O109" i="68"/>
  <c r="L114" i="68" a="1"/>
  <c r="L114" i="68"/>
  <c r="L111" i="68" a="1"/>
  <c r="L111" i="68"/>
  <c r="L115" i="68" a="1"/>
  <c r="L115" i="68"/>
  <c r="L112" i="68" a="1"/>
  <c r="L112" i="68"/>
  <c r="L110" i="68" a="1"/>
  <c r="L110" i="68"/>
  <c r="L116" i="68" a="1"/>
  <c r="L116" i="68"/>
  <c r="L113" i="68" a="1"/>
  <c r="L113" i="68"/>
  <c r="L109" i="68" a="1"/>
  <c r="L109" i="68"/>
  <c r="N114" i="68" a="1"/>
  <c r="N114" i="68"/>
  <c r="N111" i="68" a="1"/>
  <c r="N111" i="68"/>
  <c r="N116" i="68" a="1"/>
  <c r="N116" i="68"/>
  <c r="N110" i="68" a="1"/>
  <c r="N110" i="68"/>
  <c r="N109" i="68" a="1"/>
  <c r="N109" i="68"/>
  <c r="N115" i="68" a="1"/>
  <c r="N115" i="68"/>
  <c r="N113" i="68" a="1"/>
  <c r="N113" i="68"/>
  <c r="N112" i="68" a="1"/>
  <c r="N112" i="68"/>
  <c r="Y115" i="68" a="1"/>
  <c r="Y115" i="68"/>
  <c r="Y112" i="68" a="1"/>
  <c r="Y112" i="68"/>
  <c r="Y109" i="68" a="1"/>
  <c r="Y109" i="68"/>
  <c r="Y116" i="68" a="1"/>
  <c r="Y116" i="68"/>
  <c r="Y110" i="68" a="1"/>
  <c r="Y110" i="68"/>
  <c r="Y111" i="68" a="1"/>
  <c r="Y111" i="68"/>
  <c r="Y114" i="68" a="1"/>
  <c r="Y114" i="68"/>
  <c r="Y113" i="68" a="1"/>
  <c r="Y113" i="68"/>
  <c r="Q116" i="68" a="1"/>
  <c r="Q116" i="68"/>
  <c r="Q110" i="68" a="1"/>
  <c r="Q110" i="68"/>
  <c r="Q114" i="68" a="1"/>
  <c r="Q114" i="68"/>
  <c r="Q111" i="68" a="1"/>
  <c r="Q111" i="68"/>
  <c r="Q113" i="68" a="1"/>
  <c r="Q113" i="68"/>
  <c r="Q115" i="68" a="1"/>
  <c r="Q115" i="68"/>
  <c r="Q109" i="68" a="1"/>
  <c r="Q109" i="68"/>
  <c r="Q112" i="68" a="1"/>
  <c r="Q112" i="68"/>
  <c r="K114" i="68" a="1"/>
  <c r="K114" i="68"/>
  <c r="K111" i="68" a="1"/>
  <c r="K111" i="68"/>
  <c r="K115" i="68" a="1"/>
  <c r="K115" i="68"/>
  <c r="K109" i="68" a="1"/>
  <c r="K109" i="68"/>
  <c r="K112" i="68" a="1"/>
  <c r="K112" i="68"/>
  <c r="K110" i="68" a="1"/>
  <c r="K110" i="68"/>
  <c r="K116" i="68" a="1"/>
  <c r="K116" i="68"/>
  <c r="K113" i="68" a="1"/>
  <c r="K113" i="68"/>
  <c r="M114" i="68" a="1"/>
  <c r="M114" i="68"/>
  <c r="M111" i="68" a="1"/>
  <c r="M111" i="68"/>
  <c r="M115" i="68" a="1"/>
  <c r="M115" i="68"/>
  <c r="M112" i="68" a="1"/>
  <c r="M112" i="68"/>
  <c r="M110" i="68" a="1"/>
  <c r="M110" i="68"/>
  <c r="M116" i="68" a="1"/>
  <c r="M116" i="68"/>
  <c r="M113" i="68" a="1"/>
  <c r="M113" i="68"/>
  <c r="M109" i="68" a="1"/>
  <c r="M109" i="68"/>
  <c r="U112" i="68" a="1"/>
  <c r="U112" i="68"/>
  <c r="U109" i="68" a="1"/>
  <c r="U109" i="68"/>
  <c r="U114" i="68" a="1"/>
  <c r="U114" i="68"/>
  <c r="U110" i="68" a="1"/>
  <c r="U110" i="68"/>
  <c r="U115" i="68" a="1"/>
  <c r="U115" i="68"/>
  <c r="U111" i="68" a="1"/>
  <c r="U111" i="68"/>
  <c r="U116" i="68" a="1"/>
  <c r="U116" i="68"/>
  <c r="U113" i="68" a="1"/>
  <c r="U113" i="68"/>
  <c r="X115" i="68" a="1"/>
  <c r="X115" i="68"/>
  <c r="X112" i="68" a="1"/>
  <c r="X112" i="68"/>
  <c r="X109" i="68" a="1"/>
  <c r="X109" i="68"/>
  <c r="X113" i="68" a="1"/>
  <c r="X113" i="68"/>
  <c r="X110" i="68" a="1"/>
  <c r="X110" i="68"/>
  <c r="X111" i="68" a="1"/>
  <c r="X111" i="68"/>
  <c r="X114" i="68" a="1"/>
  <c r="X114" i="68"/>
  <c r="X116" i="68" a="1"/>
  <c r="X116" i="68"/>
  <c r="AB111" i="68" a="1"/>
  <c r="AB111" i="68"/>
  <c r="AB114" i="68" a="1"/>
  <c r="AB114" i="68"/>
  <c r="AB115" i="68" a="1"/>
  <c r="AB115" i="68"/>
  <c r="AB109" i="68" a="1"/>
  <c r="AB109" i="68"/>
  <c r="AB112" i="68" a="1"/>
  <c r="AB112" i="68"/>
  <c r="AB116" i="68" a="1"/>
  <c r="AB116" i="68"/>
  <c r="AB110" i="68" a="1"/>
  <c r="AB110" i="68"/>
  <c r="AB113" i="68" a="1"/>
  <c r="AB113" i="68"/>
  <c r="T113" i="68" a="1"/>
  <c r="T113" i="68"/>
  <c r="T111" i="68" a="1"/>
  <c r="T111" i="68"/>
  <c r="T116" i="68" a="1"/>
  <c r="T116" i="68"/>
  <c r="T114" i="68" a="1"/>
  <c r="T114" i="68"/>
  <c r="T112" i="68" a="1"/>
  <c r="T112" i="68"/>
  <c r="T115" i="68" a="1"/>
  <c r="T115" i="68"/>
  <c r="T109" i="68" a="1"/>
  <c r="T109" i="68"/>
  <c r="T110" i="68" a="1"/>
  <c r="T110" i="68"/>
  <c r="V115" i="68" a="1"/>
  <c r="V115" i="68"/>
  <c r="V112" i="68" a="1"/>
  <c r="V112" i="68"/>
  <c r="V109" i="68" a="1"/>
  <c r="V109" i="68"/>
  <c r="V114" i="68" a="1"/>
  <c r="V114" i="68"/>
  <c r="V113" i="68" a="1"/>
  <c r="V113" i="68"/>
  <c r="V110" i="68" a="1"/>
  <c r="V110" i="68"/>
  <c r="V116" i="68" a="1"/>
  <c r="V116" i="68"/>
  <c r="V111" i="68" a="1"/>
  <c r="V111" i="68"/>
  <c r="Z115" i="68" a="1"/>
  <c r="Z115" i="68"/>
  <c r="Z112" i="68" a="1"/>
  <c r="Z112" i="68"/>
  <c r="Z111" i="68" a="1"/>
  <c r="Z111" i="68"/>
  <c r="Z116" i="68" a="1"/>
  <c r="Z116" i="68"/>
  <c r="Z110" i="68" a="1"/>
  <c r="Z110" i="68"/>
  <c r="Z109" i="68" a="1"/>
  <c r="Z109" i="68"/>
  <c r="Z114" i="68" a="1"/>
  <c r="Z114" i="68"/>
  <c r="Z113" i="68" a="1"/>
  <c r="Z113" i="68"/>
  <c r="J86" i="68"/>
  <c r="J105" i="68"/>
  <c r="I86" i="68"/>
  <c r="I105" i="68"/>
  <c r="A1" i="43"/>
  <c r="A1" i="33"/>
  <c r="J114" i="68" a="1"/>
  <c r="J114" i="68"/>
  <c r="J111" i="68" a="1"/>
  <c r="J111" i="68"/>
  <c r="J112" i="68" a="1"/>
  <c r="J112" i="68"/>
  <c r="J115" i="68" a="1"/>
  <c r="J115" i="68"/>
  <c r="J109" i="68" a="1"/>
  <c r="J109" i="68"/>
  <c r="J110" i="68" a="1"/>
  <c r="J110" i="68"/>
  <c r="J116" i="68" a="1"/>
  <c r="J116" i="68"/>
  <c r="J113" i="68" a="1"/>
  <c r="J113" i="68"/>
  <c r="I114" i="68" a="1"/>
  <c r="I114" i="68"/>
  <c r="I111" i="68" a="1"/>
  <c r="I111" i="68"/>
  <c r="I113" i="68" a="1"/>
  <c r="I113" i="68"/>
  <c r="I115" i="68" a="1"/>
  <c r="I115" i="68"/>
  <c r="I109" i="68" a="1"/>
  <c r="I109" i="68"/>
  <c r="I116" i="68" a="1"/>
  <c r="I116" i="68"/>
  <c r="I110" i="68" a="1"/>
  <c r="I110" i="68"/>
  <c r="I112" i="68" a="1"/>
  <c r="I112" i="68"/>
  <c r="A2" i="47"/>
  <c r="A1" i="47"/>
  <c r="A2" i="62"/>
  <c r="A1" i="62"/>
  <c r="D21" i="62"/>
  <c r="D22" i="62"/>
  <c r="D23" i="62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I21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2" i="92"/>
  <c r="AC14" i="85"/>
  <c r="K21" i="75"/>
  <c r="AA20" i="75"/>
  <c r="AC18" i="75"/>
  <c r="AC22" i="75"/>
  <c r="U14" i="85"/>
  <c r="T19" i="75"/>
  <c r="T20" i="75"/>
  <c r="I18" i="75"/>
  <c r="Q14" i="85"/>
  <c r="AA19" i="75"/>
  <c r="U20" i="75"/>
  <c r="I15" i="75"/>
  <c r="F15" i="75"/>
  <c r="AA14" i="85"/>
  <c r="Z18" i="75"/>
  <c r="Z22" i="75"/>
  <c r="X19" i="75"/>
  <c r="Q20" i="75"/>
  <c r="Q22" i="75"/>
  <c r="AG19" i="75"/>
  <c r="I20" i="75"/>
  <c r="Y14" i="85"/>
  <c r="S14" i="85"/>
  <c r="U18" i="75"/>
  <c r="R18" i="75"/>
  <c r="AD19" i="75"/>
  <c r="AD22" i="75"/>
  <c r="L18" i="75"/>
  <c r="AE20" i="75"/>
  <c r="AE22" i="75"/>
  <c r="AB18" i="75"/>
  <c r="AB22" i="75"/>
  <c r="U19" i="75"/>
  <c r="M20" i="75"/>
  <c r="M22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S28" i="73"/>
  <c r="R28" i="73"/>
  <c r="AG28" i="73"/>
  <c r="Q28" i="73"/>
  <c r="P28" i="73"/>
  <c r="M28" i="73"/>
  <c r="O28" i="73"/>
  <c r="N28" i="73"/>
  <c r="AF28" i="73"/>
  <c r="L28" i="73"/>
  <c r="AE28" i="73"/>
  <c r="K28" i="73"/>
  <c r="AD28" i="73"/>
  <c r="J28" i="73"/>
  <c r="AC28" i="73"/>
  <c r="I28" i="73"/>
  <c r="AB28" i="73"/>
  <c r="AA28" i="73"/>
  <c r="Z28" i="73"/>
  <c r="Y28" i="73"/>
  <c r="X28" i="73"/>
  <c r="W28" i="73"/>
  <c r="V28" i="73"/>
  <c r="U28" i="73"/>
  <c r="T28" i="73"/>
  <c r="W14" i="85"/>
  <c r="W20" i="75"/>
  <c r="W22" i="75"/>
  <c r="O19" i="75"/>
  <c r="X21" i="75"/>
  <c r="N18" i="75"/>
  <c r="N22" i="75"/>
  <c r="P14" i="85"/>
  <c r="Y18" i="75"/>
  <c r="AA21" i="75"/>
  <c r="Y20" i="75"/>
  <c r="AG18" i="75"/>
  <c r="Z14" i="85"/>
  <c r="R14" i="85"/>
  <c r="AG20" i="75"/>
  <c r="R20" i="75"/>
  <c r="S19" i="75"/>
  <c r="S22" i="75"/>
  <c r="R21" i="75"/>
  <c r="O18" i="75"/>
  <c r="X14" i="85"/>
  <c r="T18" i="75"/>
  <c r="L21" i="75"/>
  <c r="P20" i="75"/>
  <c r="P22" i="75"/>
  <c r="AF21" i="75"/>
  <c r="J14" i="85"/>
  <c r="F28" i="82"/>
  <c r="F28" i="68"/>
  <c r="F28" i="72"/>
  <c r="F28" i="81"/>
  <c r="F28" i="73"/>
  <c r="K22" i="75"/>
  <c r="V22" i="75"/>
  <c r="J22" i="75"/>
  <c r="AA22" i="75"/>
  <c r="I22" i="75"/>
  <c r="U22" i="75"/>
  <c r="L22" i="75"/>
  <c r="X22" i="75"/>
  <c r="T22" i="75"/>
  <c r="AF22" i="75"/>
  <c r="F19" i="75"/>
  <c r="AG22" i="75"/>
  <c r="Y22" i="75"/>
  <c r="F20" i="75"/>
  <c r="O22" i="75"/>
  <c r="F14" i="85"/>
  <c r="F18" i="75"/>
  <c r="F21" i="75"/>
  <c r="R22" i="75"/>
  <c r="R36" i="82"/>
  <c r="R70" i="75"/>
  <c r="AF36" i="73"/>
  <c r="AF56" i="75"/>
  <c r="I36" i="82"/>
  <c r="I70" i="75"/>
  <c r="X36" i="73"/>
  <c r="X56" i="75"/>
  <c r="AA36" i="82"/>
  <c r="AA70" i="75"/>
  <c r="O36" i="73"/>
  <c r="O56" i="75"/>
  <c r="J36" i="82"/>
  <c r="J70" i="75"/>
  <c r="AB36" i="82"/>
  <c r="AB70" i="75"/>
  <c r="AE36" i="73"/>
  <c r="AE56" i="75"/>
  <c r="V36" i="73"/>
  <c r="V56" i="75"/>
  <c r="U36" i="82"/>
  <c r="U70" i="75"/>
  <c r="AB36" i="73"/>
  <c r="AB56" i="75"/>
  <c r="P36" i="82"/>
  <c r="P70" i="75"/>
  <c r="S36" i="73"/>
  <c r="S56" i="75"/>
  <c r="AE36" i="82"/>
  <c r="AE70" i="75"/>
  <c r="T36" i="73"/>
  <c r="T56" i="75"/>
  <c r="T36" i="82"/>
  <c r="T70" i="75"/>
  <c r="AF36" i="82"/>
  <c r="AF70" i="75"/>
  <c r="Y36" i="73"/>
  <c r="Y56" i="75"/>
  <c r="Q36" i="73"/>
  <c r="Q56" i="75"/>
  <c r="W14" i="75"/>
  <c r="M36" i="82"/>
  <c r="M70" i="75"/>
  <c r="K36" i="73"/>
  <c r="K56" i="75"/>
  <c r="R36" i="73"/>
  <c r="R56" i="75"/>
  <c r="L36" i="82"/>
  <c r="L70" i="75"/>
  <c r="U36" i="73"/>
  <c r="U56" i="75"/>
  <c r="O36" i="82"/>
  <c r="O70" i="75"/>
  <c r="I36" i="73"/>
  <c r="I56" i="75"/>
  <c r="J36" i="73"/>
  <c r="J56" i="75"/>
  <c r="AG36" i="82"/>
  <c r="AG70" i="75"/>
  <c r="P36" i="73"/>
  <c r="P56" i="75"/>
  <c r="AD36" i="73"/>
  <c r="AD56" i="75"/>
  <c r="N36" i="82"/>
  <c r="N70" i="75"/>
  <c r="K36" i="82"/>
  <c r="K70" i="75"/>
  <c r="AC36" i="82"/>
  <c r="AC70" i="75"/>
  <c r="N36" i="73"/>
  <c r="N56" i="75"/>
  <c r="X36" i="82"/>
  <c r="X70" i="75"/>
  <c r="Y36" i="82"/>
  <c r="Y70" i="75"/>
  <c r="L36" i="73"/>
  <c r="L56" i="75"/>
  <c r="AC36" i="73"/>
  <c r="AC56" i="75"/>
  <c r="AG36" i="73"/>
  <c r="AG56" i="75"/>
  <c r="Z36" i="73"/>
  <c r="Z56" i="75"/>
  <c r="Z36" i="82"/>
  <c r="Z70" i="75"/>
  <c r="V36" i="82"/>
  <c r="V70" i="75"/>
  <c r="AA36" i="73"/>
  <c r="AA56" i="75"/>
  <c r="Q36" i="82"/>
  <c r="Q70" i="75"/>
  <c r="AD36" i="82"/>
  <c r="AD70" i="75"/>
  <c r="W36" i="73"/>
  <c r="W56" i="75"/>
  <c r="M36" i="73"/>
  <c r="M56" i="75"/>
  <c r="S36" i="82"/>
  <c r="S70" i="75"/>
  <c r="W36" i="82"/>
  <c r="W70" i="75"/>
  <c r="F56" i="75"/>
  <c r="F70" i="75"/>
  <c r="C63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H12" i="33"/>
  <c r="G12" i="33"/>
  <c r="F25" i="75"/>
  <c r="F24" i="75"/>
  <c r="I12" i="33"/>
  <c r="I13" i="33"/>
  <c r="G13" i="33"/>
  <c r="D28" i="85"/>
  <c r="B22" i="85"/>
  <c r="D22" i="85"/>
  <c r="B21" i="85"/>
  <c r="D21" i="85"/>
  <c r="G114" i="81"/>
  <c r="B46" i="85"/>
  <c r="D46" i="85"/>
  <c r="G115" i="81"/>
  <c r="B17" i="85"/>
  <c r="D17" i="85"/>
  <c r="B36" i="85"/>
  <c r="B19" i="85"/>
  <c r="D19" i="85"/>
  <c r="B20" i="85"/>
  <c r="D20" i="85"/>
  <c r="G112" i="81"/>
  <c r="B23" i="85"/>
  <c r="D23" i="85"/>
  <c r="B18" i="85"/>
  <c r="D18" i="85"/>
  <c r="B33" i="85"/>
  <c r="B49" i="85"/>
  <c r="D49" i="85"/>
  <c r="G113" i="81"/>
  <c r="B34" i="85"/>
  <c r="B35" i="85"/>
  <c r="D35" i="85"/>
  <c r="B51" i="85"/>
  <c r="D51" i="85"/>
  <c r="G111" i="81"/>
  <c r="G116" i="81"/>
  <c r="B47" i="85"/>
  <c r="D47" i="85"/>
  <c r="B37" i="85"/>
  <c r="D37" i="85"/>
  <c r="G110" i="81"/>
  <c r="B31" i="85"/>
  <c r="B32" i="85"/>
  <c r="B16" i="85"/>
  <c r="D16" i="85"/>
  <c r="B45" i="85"/>
  <c r="D45" i="85"/>
  <c r="B50" i="85"/>
  <c r="D50" i="85"/>
  <c r="D33" i="85"/>
  <c r="G109" i="81"/>
  <c r="B30" i="85"/>
  <c r="B48" i="85"/>
  <c r="D48" i="85"/>
  <c r="B44" i="85"/>
  <c r="D44" i="85"/>
  <c r="D31" i="85"/>
  <c r="D32" i="85"/>
  <c r="D34" i="85"/>
  <c r="D36" i="85"/>
  <c r="D30" i="85"/>
  <c r="E39" i="88"/>
  <c r="I33" i="72"/>
  <c r="AB14" i="75"/>
  <c r="AB99" i="75"/>
  <c r="AA14" i="75"/>
  <c r="K32" i="68"/>
  <c r="I31" i="68"/>
  <c r="I32" i="68"/>
  <c r="K33" i="68"/>
  <c r="AG14" i="75"/>
  <c r="AG99" i="75"/>
  <c r="AF35" i="68"/>
  <c r="AF16" i="75"/>
  <c r="AF92" i="75"/>
  <c r="T14" i="75"/>
  <c r="T99" i="75"/>
  <c r="S99" i="75"/>
  <c r="S14" i="75"/>
  <c r="J28" i="68"/>
  <c r="E36" i="88"/>
  <c r="I30" i="72"/>
  <c r="G35" i="88"/>
  <c r="G40" i="88"/>
  <c r="Q35" i="72"/>
  <c r="J32" i="68"/>
  <c r="X40" i="88"/>
  <c r="K28" i="68"/>
  <c r="R28" i="68"/>
  <c r="N40" i="88"/>
  <c r="S40" i="88"/>
  <c r="AB35" i="72"/>
  <c r="Z40" i="88"/>
  <c r="Y14" i="75"/>
  <c r="Y99" i="75"/>
  <c r="M40" i="88"/>
  <c r="Z14" i="75"/>
  <c r="J31" i="68"/>
  <c r="Q42" i="75"/>
  <c r="AE35" i="72"/>
  <c r="AF14" i="75"/>
  <c r="AF99" i="75"/>
  <c r="U99" i="75"/>
  <c r="AA35" i="68"/>
  <c r="AA64" i="82"/>
  <c r="AA84" i="82"/>
  <c r="AA87" i="82"/>
  <c r="AA106" i="82"/>
  <c r="AA115" i="82" a="1"/>
  <c r="AA115" i="82"/>
  <c r="S33" i="81"/>
  <c r="Q40" i="88"/>
  <c r="Z35" i="68"/>
  <c r="Z64" i="73"/>
  <c r="Z84" i="73"/>
  <c r="AF35" i="72"/>
  <c r="P40" i="88"/>
  <c r="O40" i="88"/>
  <c r="K31" i="68"/>
  <c r="Y35" i="68"/>
  <c r="Y64" i="82"/>
  <c r="Y84" i="82"/>
  <c r="AB35" i="68"/>
  <c r="AB64" i="73"/>
  <c r="AB84" i="73"/>
  <c r="V35" i="72"/>
  <c r="AB40" i="88"/>
  <c r="M28" i="68"/>
  <c r="M99" i="75"/>
  <c r="U28" i="72"/>
  <c r="U35" i="72"/>
  <c r="AA40" i="88"/>
  <c r="S28" i="72"/>
  <c r="S42" i="75"/>
  <c r="K66" i="72"/>
  <c r="K106" i="72"/>
  <c r="J106" i="72"/>
  <c r="I106" i="72"/>
  <c r="J33" i="68"/>
  <c r="F39" i="88"/>
  <c r="J33" i="72"/>
  <c r="J35" i="72"/>
  <c r="V99" i="75"/>
  <c r="V35" i="68"/>
  <c r="V14" i="75"/>
  <c r="L28" i="72"/>
  <c r="H40" i="88"/>
  <c r="L99" i="75"/>
  <c r="L14" i="75"/>
  <c r="L35" i="68"/>
  <c r="R40" i="88"/>
  <c r="P33" i="72"/>
  <c r="P35" i="72"/>
  <c r="L40" i="88"/>
  <c r="AC40" i="88"/>
  <c r="AG28" i="72"/>
  <c r="W99" i="75"/>
  <c r="W35" i="68"/>
  <c r="AG35" i="68"/>
  <c r="D98" i="75"/>
  <c r="AG33" i="81"/>
  <c r="Q28" i="68"/>
  <c r="W33" i="72"/>
  <c r="W35" i="72"/>
  <c r="R35" i="72"/>
  <c r="R42" i="75"/>
  <c r="AE35" i="68"/>
  <c r="AE14" i="75"/>
  <c r="AE99" i="75"/>
  <c r="AD35" i="72"/>
  <c r="AD42" i="75"/>
  <c r="AD28" i="68"/>
  <c r="P28" i="68"/>
  <c r="X35" i="68"/>
  <c r="X14" i="75"/>
  <c r="X99" i="75"/>
  <c r="AC28" i="68"/>
  <c r="O28" i="68"/>
  <c r="J40" i="88"/>
  <c r="E35" i="88"/>
  <c r="I28" i="68"/>
  <c r="AC30" i="72"/>
  <c r="AC35" i="72"/>
  <c r="Y40" i="88"/>
  <c r="O28" i="72"/>
  <c r="K40" i="88"/>
  <c r="N35" i="68"/>
  <c r="N14" i="75"/>
  <c r="U31" i="68"/>
  <c r="U35" i="68"/>
  <c r="N35" i="72"/>
  <c r="N42" i="75"/>
  <c r="T31" i="68"/>
  <c r="T35" i="68"/>
  <c r="V40" i="88"/>
  <c r="Z28" i="72"/>
  <c r="M28" i="72"/>
  <c r="I40" i="88"/>
  <c r="S31" i="68"/>
  <c r="S35" i="68"/>
  <c r="W40" i="88"/>
  <c r="AA30" i="72"/>
  <c r="AA35" i="72"/>
  <c r="U40" i="88"/>
  <c r="Y28" i="72"/>
  <c r="T40" i="88"/>
  <c r="X28" i="72"/>
  <c r="K30" i="68"/>
  <c r="T28" i="72"/>
  <c r="M35" i="68"/>
  <c r="M14" i="75"/>
  <c r="AA16" i="75"/>
  <c r="AA92" i="75"/>
  <c r="AA64" i="73"/>
  <c r="AA84" i="73"/>
  <c r="J35" i="68"/>
  <c r="J63" i="72"/>
  <c r="J83" i="72"/>
  <c r="S35" i="72"/>
  <c r="K35" i="68"/>
  <c r="K64" i="73"/>
  <c r="K84" i="73"/>
  <c r="Y16" i="75"/>
  <c r="Y92" i="75"/>
  <c r="AA117" i="82" a="1"/>
  <c r="AA117" i="82"/>
  <c r="AA108" i="82"/>
  <c r="AA113" i="82" a="1"/>
  <c r="AA113" i="82"/>
  <c r="AF64" i="82"/>
  <c r="AF84" i="82"/>
  <c r="AF87" i="82"/>
  <c r="AF106" i="82"/>
  <c r="AF64" i="73"/>
  <c r="AF84" i="73"/>
  <c r="AF108" i="73"/>
  <c r="K28" i="72"/>
  <c r="Y64" i="73"/>
  <c r="Y84" i="73"/>
  <c r="Y87" i="73"/>
  <c r="Y106" i="73"/>
  <c r="AA116" i="82" a="1"/>
  <c r="AA116" i="82"/>
  <c r="Z16" i="75"/>
  <c r="Z92" i="75"/>
  <c r="R14" i="75"/>
  <c r="R99" i="75"/>
  <c r="Z64" i="82"/>
  <c r="Z84" i="82"/>
  <c r="Z108" i="82"/>
  <c r="R35" i="68"/>
  <c r="AB16" i="75"/>
  <c r="AB92" i="75"/>
  <c r="J99" i="75"/>
  <c r="J14" i="75"/>
  <c r="K99" i="75"/>
  <c r="K14" i="75"/>
  <c r="AB64" i="82"/>
  <c r="AB84" i="82"/>
  <c r="AB87" i="82"/>
  <c r="AB106" i="82"/>
  <c r="U42" i="75"/>
  <c r="P71" i="72" a="1"/>
  <c r="P71" i="72"/>
  <c r="Q76" i="72"/>
  <c r="Q79" i="72"/>
  <c r="Q81" i="72"/>
  <c r="Z71" i="72" a="1"/>
  <c r="Z71" i="72"/>
  <c r="AA76" i="72"/>
  <c r="AA79" i="72"/>
  <c r="AA81" i="72"/>
  <c r="AC71" i="72" a="1"/>
  <c r="AC71" i="72"/>
  <c r="AD76" i="72"/>
  <c r="AD79" i="72"/>
  <c r="AD81" i="72"/>
  <c r="N71" i="72" a="1"/>
  <c r="N71" i="72"/>
  <c r="O76" i="72"/>
  <c r="O79" i="72"/>
  <c r="O81" i="72"/>
  <c r="U71" i="72" a="1"/>
  <c r="U71" i="72"/>
  <c r="V76" i="72"/>
  <c r="V79" i="72"/>
  <c r="V81" i="72"/>
  <c r="L71" i="72" a="1"/>
  <c r="L71" i="72"/>
  <c r="M76" i="72"/>
  <c r="M79" i="72"/>
  <c r="M81" i="72"/>
  <c r="AA71" i="72" a="1"/>
  <c r="AA71" i="72"/>
  <c r="AB76" i="72"/>
  <c r="AB79" i="72"/>
  <c r="AB81" i="72"/>
  <c r="K71" i="72" a="1"/>
  <c r="K71" i="72"/>
  <c r="L76" i="72"/>
  <c r="L79" i="72"/>
  <c r="L81" i="72"/>
  <c r="V71" i="72" a="1"/>
  <c r="V71" i="72"/>
  <c r="W76" i="72"/>
  <c r="W79" i="72"/>
  <c r="W81" i="72"/>
  <c r="W71" i="72" a="1"/>
  <c r="W71" i="72"/>
  <c r="X76" i="72"/>
  <c r="X79" i="72"/>
  <c r="X81" i="72"/>
  <c r="Y71" i="72" a="1"/>
  <c r="Y71" i="72"/>
  <c r="Z76" i="72"/>
  <c r="Z79" i="72"/>
  <c r="Z81" i="72"/>
  <c r="AD71" i="72" a="1"/>
  <c r="AD71" i="72"/>
  <c r="AE76" i="72"/>
  <c r="AE79" i="72"/>
  <c r="AE81" i="72"/>
  <c r="AE71" i="72" a="1"/>
  <c r="AE71" i="72"/>
  <c r="AF76" i="72"/>
  <c r="AF79" i="72"/>
  <c r="AF81" i="72"/>
  <c r="R71" i="72" a="1"/>
  <c r="R71" i="72"/>
  <c r="S76" i="72"/>
  <c r="S79" i="72"/>
  <c r="S81" i="72"/>
  <c r="M71" i="72" a="1"/>
  <c r="M71" i="72"/>
  <c r="N76" i="72"/>
  <c r="N79" i="72"/>
  <c r="N81" i="72"/>
  <c r="AB71" i="72" a="1"/>
  <c r="AB71" i="72"/>
  <c r="AC76" i="72"/>
  <c r="AC79" i="72"/>
  <c r="AC81" i="72"/>
  <c r="X71" i="72" a="1"/>
  <c r="X71" i="72"/>
  <c r="Y76" i="72"/>
  <c r="Y79" i="72"/>
  <c r="Y81" i="72"/>
  <c r="AF71" i="72" a="1"/>
  <c r="AF71" i="72"/>
  <c r="AG76" i="72"/>
  <c r="AG79" i="72"/>
  <c r="AG81" i="72"/>
  <c r="AG71" i="72" a="1"/>
  <c r="AG71" i="72"/>
  <c r="Q71" i="72" a="1"/>
  <c r="Q71" i="72"/>
  <c r="R76" i="72"/>
  <c r="R79" i="72"/>
  <c r="R81" i="72"/>
  <c r="T71" i="72" a="1"/>
  <c r="T71" i="72"/>
  <c r="U76" i="72"/>
  <c r="U79" i="72"/>
  <c r="U81" i="72"/>
  <c r="O71" i="72" a="1"/>
  <c r="O71" i="72"/>
  <c r="P76" i="72"/>
  <c r="P79" i="72"/>
  <c r="P81" i="72"/>
  <c r="S71" i="72" a="1"/>
  <c r="S71" i="72"/>
  <c r="T76" i="72"/>
  <c r="T79" i="72"/>
  <c r="T81" i="72"/>
  <c r="V63" i="72"/>
  <c r="V83" i="72"/>
  <c r="U16" i="75"/>
  <c r="U92" i="75"/>
  <c r="U64" i="73"/>
  <c r="U84" i="73"/>
  <c r="U64" i="82"/>
  <c r="U84" i="82"/>
  <c r="AG42" i="75"/>
  <c r="AG35" i="72"/>
  <c r="AG63" i="72"/>
  <c r="AG83" i="72"/>
  <c r="M35" i="72"/>
  <c r="M42" i="75"/>
  <c r="AD99" i="75"/>
  <c r="AD35" i="68"/>
  <c r="AD14" i="75"/>
  <c r="Y42" i="75"/>
  <c r="Y35" i="72"/>
  <c r="AC99" i="75"/>
  <c r="AC14" i="75"/>
  <c r="AC35" i="68"/>
  <c r="Z87" i="73"/>
  <c r="Z106" i="73"/>
  <c r="Z108" i="73"/>
  <c r="V64" i="82"/>
  <c r="V84" i="82"/>
  <c r="V64" i="73"/>
  <c r="V84" i="73"/>
  <c r="V16" i="75"/>
  <c r="V92" i="75"/>
  <c r="Z35" i="72"/>
  <c r="Z42" i="75"/>
  <c r="Q35" i="68"/>
  <c r="Q99" i="75"/>
  <c r="Q14" i="75"/>
  <c r="O35" i="72"/>
  <c r="O42" i="75"/>
  <c r="AG16" i="75"/>
  <c r="AG92" i="75"/>
  <c r="AG64" i="73"/>
  <c r="AG84" i="73"/>
  <c r="AG64" i="82"/>
  <c r="AG84" i="82"/>
  <c r="AF108" i="82"/>
  <c r="M64" i="82"/>
  <c r="M84" i="82"/>
  <c r="M64" i="73"/>
  <c r="M84" i="73"/>
  <c r="M16" i="75"/>
  <c r="M92" i="75"/>
  <c r="O99" i="75"/>
  <c r="O35" i="68"/>
  <c r="O14" i="75"/>
  <c r="Y108" i="73"/>
  <c r="J64" i="82"/>
  <c r="J84" i="82"/>
  <c r="J64" i="73"/>
  <c r="J84" i="73"/>
  <c r="J16" i="75"/>
  <c r="J92" i="75"/>
  <c r="N64" i="82"/>
  <c r="N84" i="82"/>
  <c r="N16" i="75"/>
  <c r="N92" i="75"/>
  <c r="N64" i="73"/>
  <c r="N84" i="73"/>
  <c r="X35" i="72"/>
  <c r="X42" i="75"/>
  <c r="S64" i="73"/>
  <c r="S84" i="73"/>
  <c r="S16" i="75"/>
  <c r="S92" i="75"/>
  <c r="S64" i="82"/>
  <c r="S84" i="82"/>
  <c r="X64" i="73"/>
  <c r="X84" i="73"/>
  <c r="X64" i="82"/>
  <c r="X84" i="82"/>
  <c r="X16" i="75"/>
  <c r="X92" i="75"/>
  <c r="AB108" i="73"/>
  <c r="AB87" i="73"/>
  <c r="AB106" i="73"/>
  <c r="P14" i="75"/>
  <c r="P35" i="68"/>
  <c r="P99" i="75"/>
  <c r="L64" i="82"/>
  <c r="L84" i="82"/>
  <c r="L16" i="75"/>
  <c r="L92" i="75"/>
  <c r="L64" i="73"/>
  <c r="L84" i="73"/>
  <c r="L35" i="72"/>
  <c r="L42" i="75"/>
  <c r="I35" i="68"/>
  <c r="I99" i="75"/>
  <c r="I14" i="75"/>
  <c r="F40" i="88"/>
  <c r="E40" i="88"/>
  <c r="I28" i="72"/>
  <c r="W16" i="75"/>
  <c r="W92" i="75"/>
  <c r="W64" i="82"/>
  <c r="W84" i="82"/>
  <c r="W64" i="73"/>
  <c r="W84" i="73"/>
  <c r="T35" i="72"/>
  <c r="T42" i="75"/>
  <c r="AA108" i="73"/>
  <c r="AA87" i="73"/>
  <c r="AA106" i="73"/>
  <c r="K42" i="75"/>
  <c r="K35" i="72"/>
  <c r="T16" i="75"/>
  <c r="T92" i="75"/>
  <c r="T64" i="82"/>
  <c r="T84" i="82"/>
  <c r="T64" i="73"/>
  <c r="T84" i="73"/>
  <c r="AE63" i="72"/>
  <c r="AE83" i="72"/>
  <c r="AE16" i="75"/>
  <c r="AE92" i="75"/>
  <c r="AE64" i="82"/>
  <c r="AE84" i="82"/>
  <c r="AE64" i="73"/>
  <c r="AE84" i="73"/>
  <c r="Y87" i="82"/>
  <c r="Y106" i="82"/>
  <c r="Y108" i="82"/>
  <c r="K64" i="82"/>
  <c r="K84" i="82"/>
  <c r="Z87" i="82"/>
  <c r="Z106" i="82"/>
  <c r="AA111" i="82" a="1"/>
  <c r="AA111" i="82"/>
  <c r="AA112" i="82" a="1"/>
  <c r="AA112" i="82"/>
  <c r="K16" i="75"/>
  <c r="K92" i="75"/>
  <c r="AA114" i="82" a="1"/>
  <c r="AA114" i="82"/>
  <c r="AA110" i="82" a="1"/>
  <c r="AA110" i="82"/>
  <c r="AF87" i="73"/>
  <c r="AF106" i="73"/>
  <c r="AF116" i="73" a="1"/>
  <c r="AF116" i="73"/>
  <c r="AB108" i="82"/>
  <c r="AB113" i="82" a="1"/>
  <c r="AB113" i="82"/>
  <c r="F14" i="75"/>
  <c r="R64" i="73"/>
  <c r="R84" i="73"/>
  <c r="R16" i="75"/>
  <c r="R92" i="75"/>
  <c r="R64" i="82"/>
  <c r="R84" i="82"/>
  <c r="R106" i="72"/>
  <c r="M106" i="72"/>
  <c r="V106" i="72"/>
  <c r="O106" i="72"/>
  <c r="Y106" i="72"/>
  <c r="AD106" i="72"/>
  <c r="AC106" i="72"/>
  <c r="AA106" i="72"/>
  <c r="D11" i="47"/>
  <c r="A4" i="72"/>
  <c r="F11" i="47"/>
  <c r="C88" i="85" a="1"/>
  <c r="AF63" i="72"/>
  <c r="AF83" i="72"/>
  <c r="R63" i="72"/>
  <c r="R83" i="72"/>
  <c r="AB63" i="72"/>
  <c r="AB83" i="72"/>
  <c r="S106" i="72"/>
  <c r="AA63" i="72"/>
  <c r="AA83" i="72"/>
  <c r="AA86" i="72"/>
  <c r="AA105" i="72"/>
  <c r="AF106" i="72"/>
  <c r="N106" i="72"/>
  <c r="Z106" i="72"/>
  <c r="X106" i="72"/>
  <c r="Q106" i="72"/>
  <c r="T106" i="72"/>
  <c r="W106" i="72"/>
  <c r="AE106" i="72"/>
  <c r="M63" i="72"/>
  <c r="M83" i="72"/>
  <c r="M107" i="72"/>
  <c r="P106" i="72"/>
  <c r="L106" i="72"/>
  <c r="AG106" i="72"/>
  <c r="U63" i="72"/>
  <c r="U83" i="72"/>
  <c r="U107" i="72"/>
  <c r="N63" i="72"/>
  <c r="N83" i="72"/>
  <c r="N107" i="72"/>
  <c r="W63" i="72"/>
  <c r="W83" i="72"/>
  <c r="W107" i="72"/>
  <c r="S63" i="72"/>
  <c r="S83" i="72"/>
  <c r="S86" i="72"/>
  <c r="S105" i="72"/>
  <c r="U106" i="72"/>
  <c r="AB106" i="72"/>
  <c r="N108" i="82"/>
  <c r="N87" i="82"/>
  <c r="N106" i="82"/>
  <c r="D99" i="75"/>
  <c r="AB115" i="73" a="1"/>
  <c r="AB115" i="73"/>
  <c r="AB117" i="73" a="1"/>
  <c r="AB117" i="73"/>
  <c r="AB110" i="73" a="1"/>
  <c r="AB110" i="73"/>
  <c r="AB112" i="73" a="1"/>
  <c r="AB112" i="73"/>
  <c r="AB113" i="73" a="1"/>
  <c r="AB113" i="73"/>
  <c r="AB116" i="73" a="1"/>
  <c r="AB116" i="73"/>
  <c r="AB111" i="73" a="1"/>
  <c r="AB111" i="73"/>
  <c r="AB114" i="73" a="1"/>
  <c r="AB114" i="73"/>
  <c r="J87" i="73"/>
  <c r="J106" i="73"/>
  <c r="J108" i="73"/>
  <c r="M108" i="73"/>
  <c r="M87" i="73"/>
  <c r="M106" i="73"/>
  <c r="AG87" i="82"/>
  <c r="AG106" i="82"/>
  <c r="AG108" i="82"/>
  <c r="V107" i="72"/>
  <c r="V86" i="72"/>
  <c r="V105" i="72"/>
  <c r="AE108" i="82"/>
  <c r="AE87" i="82"/>
  <c r="AE106" i="82"/>
  <c r="P64" i="73"/>
  <c r="P84" i="73"/>
  <c r="P64" i="82"/>
  <c r="P84" i="82"/>
  <c r="P16" i="75"/>
  <c r="P92" i="75"/>
  <c r="P63" i="72"/>
  <c r="P83" i="72"/>
  <c r="J107" i="72"/>
  <c r="J86" i="72"/>
  <c r="J105" i="72"/>
  <c r="T108" i="73"/>
  <c r="T87" i="73"/>
  <c r="T106" i="73"/>
  <c r="I16" i="75"/>
  <c r="I64" i="82"/>
  <c r="I84" i="82"/>
  <c r="I64" i="73"/>
  <c r="I84" i="73"/>
  <c r="J108" i="82"/>
  <c r="J87" i="82"/>
  <c r="J106" i="82"/>
  <c r="M108" i="82"/>
  <c r="M87" i="82"/>
  <c r="M106" i="82"/>
  <c r="V87" i="73"/>
  <c r="V106" i="73"/>
  <c r="V108" i="73"/>
  <c r="T87" i="82"/>
  <c r="T106" i="82"/>
  <c r="T108" i="82"/>
  <c r="K108" i="73"/>
  <c r="K87" i="73"/>
  <c r="K106" i="73"/>
  <c r="Z63" i="72"/>
  <c r="Z83" i="72"/>
  <c r="S108" i="73"/>
  <c r="S87" i="73"/>
  <c r="S106" i="73"/>
  <c r="AG108" i="73"/>
  <c r="AG87" i="73"/>
  <c r="AG106" i="73"/>
  <c r="V108" i="82"/>
  <c r="V87" i="82"/>
  <c r="V106" i="82"/>
  <c r="Z111" i="82" a="1"/>
  <c r="Z111" i="82"/>
  <c r="Z113" i="82" a="1"/>
  <c r="Z113" i="82"/>
  <c r="Z112" i="82" a="1"/>
  <c r="Z112" i="82"/>
  <c r="Z116" i="82" a="1"/>
  <c r="Z116" i="82"/>
  <c r="Z115" i="82" a="1"/>
  <c r="Z115" i="82"/>
  <c r="Z114" i="82" a="1"/>
  <c r="Z114" i="82"/>
  <c r="Z110" i="82" a="1"/>
  <c r="Z110" i="82"/>
  <c r="Z117" i="82" a="1"/>
  <c r="Z117" i="82"/>
  <c r="Y115" i="82" a="1"/>
  <c r="Y115" i="82"/>
  <c r="Y114" i="82" a="1"/>
  <c r="Y114" i="82"/>
  <c r="Y110" i="82" a="1"/>
  <c r="Y110" i="82"/>
  <c r="Y112" i="82" a="1"/>
  <c r="Y112" i="82"/>
  <c r="Y113" i="82" a="1"/>
  <c r="Y113" i="82"/>
  <c r="Y111" i="82" a="1"/>
  <c r="Y111" i="82"/>
  <c r="Y117" i="82" a="1"/>
  <c r="Y117" i="82"/>
  <c r="Y116" i="82" a="1"/>
  <c r="Y116" i="82"/>
  <c r="T63" i="72"/>
  <c r="T83" i="72"/>
  <c r="O64" i="82"/>
  <c r="O84" i="82"/>
  <c r="O16" i="75"/>
  <c r="O92" i="75"/>
  <c r="O64" i="73"/>
  <c r="O84" i="73"/>
  <c r="O63" i="72"/>
  <c r="O83" i="72"/>
  <c r="L87" i="82"/>
  <c r="L106" i="82"/>
  <c r="L108" i="82"/>
  <c r="AD63" i="72"/>
  <c r="AD83" i="72"/>
  <c r="AD16" i="75"/>
  <c r="AD92" i="75"/>
  <c r="AD64" i="73"/>
  <c r="AD84" i="73"/>
  <c r="AD64" i="82"/>
  <c r="AD84" i="82"/>
  <c r="AB116" i="82" a="1"/>
  <c r="AB116" i="82"/>
  <c r="AB115" i="82" a="1"/>
  <c r="AB115" i="82"/>
  <c r="AB117" i="82" a="1"/>
  <c r="AB117" i="82"/>
  <c r="AE107" i="72"/>
  <c r="AE86" i="72"/>
  <c r="AE105" i="72"/>
  <c r="X87" i="82"/>
  <c r="X106" i="82"/>
  <c r="X108" i="82"/>
  <c r="Z110" i="73" a="1"/>
  <c r="Z110" i="73"/>
  <c r="Z111" i="73" a="1"/>
  <c r="Z111" i="73"/>
  <c r="Z115" i="73" a="1"/>
  <c r="Z115" i="73"/>
  <c r="Z114" i="73" a="1"/>
  <c r="Z114" i="73"/>
  <c r="Z116" i="73" a="1"/>
  <c r="Z116" i="73"/>
  <c r="Z113" i="73" a="1"/>
  <c r="Z113" i="73"/>
  <c r="Z112" i="73" a="1"/>
  <c r="Z112" i="73"/>
  <c r="Z117" i="73" a="1"/>
  <c r="Z117" i="73"/>
  <c r="L87" i="73"/>
  <c r="L106" i="73"/>
  <c r="L108" i="73"/>
  <c r="X63" i="72"/>
  <c r="X83" i="72"/>
  <c r="K108" i="82"/>
  <c r="K87" i="82"/>
  <c r="K106" i="82"/>
  <c r="AC64" i="73"/>
  <c r="AC84" i="73"/>
  <c r="AC64" i="82"/>
  <c r="AC84" i="82"/>
  <c r="AC16" i="75"/>
  <c r="AC92" i="75"/>
  <c r="AC63" i="72"/>
  <c r="AC83" i="72"/>
  <c r="AG107" i="72"/>
  <c r="AG86" i="72"/>
  <c r="AG105" i="72"/>
  <c r="AA110" i="73" a="1"/>
  <c r="AA110" i="73"/>
  <c r="AA112" i="73" a="1"/>
  <c r="AA112" i="73"/>
  <c r="AA113" i="73" a="1"/>
  <c r="AA113" i="73"/>
  <c r="AA117" i="73" a="1"/>
  <c r="AA117" i="73"/>
  <c r="AA114" i="73" a="1"/>
  <c r="AA114" i="73"/>
  <c r="AA115" i="73" a="1"/>
  <c r="AA115" i="73"/>
  <c r="AA111" i="73" a="1"/>
  <c r="AA111" i="73"/>
  <c r="AA116" i="73" a="1"/>
  <c r="AA116" i="73"/>
  <c r="X108" i="73"/>
  <c r="X87" i="73"/>
  <c r="X106" i="73"/>
  <c r="U87" i="73"/>
  <c r="U106" i="73"/>
  <c r="U108" i="73"/>
  <c r="AE87" i="73"/>
  <c r="AE106" i="73"/>
  <c r="AE108" i="73"/>
  <c r="I35" i="72"/>
  <c r="I63" i="72"/>
  <c r="I83" i="72"/>
  <c r="I42" i="75"/>
  <c r="F42" i="75"/>
  <c r="Q63" i="72"/>
  <c r="Q83" i="72"/>
  <c r="Q16" i="75"/>
  <c r="Q92" i="75"/>
  <c r="Q64" i="82"/>
  <c r="Q84" i="82"/>
  <c r="Q64" i="73"/>
  <c r="Q84" i="73"/>
  <c r="W108" i="73"/>
  <c r="W87" i="73"/>
  <c r="W106" i="73"/>
  <c r="AF115" i="82" a="1"/>
  <c r="AF115" i="82"/>
  <c r="AF117" i="82" a="1"/>
  <c r="AF117" i="82"/>
  <c r="AF113" i="82" a="1"/>
  <c r="AF113" i="82"/>
  <c r="AF116" i="82" a="1"/>
  <c r="AF116" i="82"/>
  <c r="AF111" i="82" a="1"/>
  <c r="AF111" i="82"/>
  <c r="AF112" i="82" a="1"/>
  <c r="AF112" i="82"/>
  <c r="AF114" i="82" a="1"/>
  <c r="AF114" i="82"/>
  <c r="AF110" i="82" a="1"/>
  <c r="AF110" i="82"/>
  <c r="U87" i="82"/>
  <c r="U106" i="82"/>
  <c r="U108" i="82"/>
  <c r="W108" i="82"/>
  <c r="W87" i="82"/>
  <c r="W106" i="82"/>
  <c r="Y63" i="72"/>
  <c r="Y83" i="72"/>
  <c r="N108" i="73"/>
  <c r="N87" i="73"/>
  <c r="N106" i="73"/>
  <c r="L63" i="72"/>
  <c r="L83" i="72"/>
  <c r="S108" i="82"/>
  <c r="S87" i="82"/>
  <c r="S106" i="82"/>
  <c r="Y116" i="73" a="1"/>
  <c r="Y116" i="73"/>
  <c r="Y110" i="73" a="1"/>
  <c r="Y110" i="73"/>
  <c r="Y117" i="73" a="1"/>
  <c r="Y117" i="73"/>
  <c r="Y111" i="73" a="1"/>
  <c r="Y111" i="73"/>
  <c r="Y112" i="73" a="1"/>
  <c r="Y112" i="73"/>
  <c r="Y113" i="73" a="1"/>
  <c r="Y113" i="73"/>
  <c r="Y115" i="73" a="1"/>
  <c r="Y115" i="73"/>
  <c r="Y114" i="73" a="1"/>
  <c r="Y114" i="73"/>
  <c r="K63" i="72"/>
  <c r="K83" i="72"/>
  <c r="AA107" i="72"/>
  <c r="AF114" i="73" a="1"/>
  <c r="AF114" i="73"/>
  <c r="AF111" i="73" a="1"/>
  <c r="AF111" i="73"/>
  <c r="W86" i="72"/>
  <c r="W105" i="72"/>
  <c r="AB111" i="82" a="1"/>
  <c r="AB111" i="82"/>
  <c r="AF117" i="73" a="1"/>
  <c r="AF117" i="73"/>
  <c r="AB112" i="82" a="1"/>
  <c r="AB112" i="82"/>
  <c r="AF115" i="73" a="1"/>
  <c r="AF115" i="73"/>
  <c r="AB110" i="82" a="1"/>
  <c r="AB110" i="82"/>
  <c r="AF112" i="73" a="1"/>
  <c r="AF112" i="73"/>
  <c r="AF110" i="73" a="1"/>
  <c r="AF110" i="73"/>
  <c r="AF113" i="73" a="1"/>
  <c r="AF113" i="73"/>
  <c r="AB114" i="82" a="1"/>
  <c r="AB114" i="82"/>
  <c r="U86" i="72"/>
  <c r="U105" i="72"/>
  <c r="U115" i="72" a="1"/>
  <c r="U115" i="72"/>
  <c r="R108" i="82"/>
  <c r="R87" i="82"/>
  <c r="R106" i="82"/>
  <c r="R108" i="73"/>
  <c r="R87" i="73"/>
  <c r="R106" i="73"/>
  <c r="M86" i="72"/>
  <c r="M105" i="72"/>
  <c r="M110" i="72" a="1"/>
  <c r="M110" i="72"/>
  <c r="F98" i="85"/>
  <c r="I75" i="33"/>
  <c r="F95" i="85"/>
  <c r="I72" i="33"/>
  <c r="F92" i="85"/>
  <c r="I69" i="33"/>
  <c r="D97" i="85"/>
  <c r="G74" i="33"/>
  <c r="E98" i="85"/>
  <c r="H75" i="33"/>
  <c r="F97" i="85"/>
  <c r="I74" i="33"/>
  <c r="D96" i="85"/>
  <c r="G73" i="33"/>
  <c r="F96" i="85"/>
  <c r="I73" i="33"/>
  <c r="F94" i="85"/>
  <c r="I71" i="33"/>
  <c r="F93" i="85"/>
  <c r="I70" i="33"/>
  <c r="E97" i="85"/>
  <c r="H74" i="33"/>
  <c r="F91" i="85"/>
  <c r="I68" i="33"/>
  <c r="G98" i="85"/>
  <c r="J75" i="33"/>
  <c r="G94" i="85"/>
  <c r="J71" i="33"/>
  <c r="G92" i="85"/>
  <c r="J69" i="33"/>
  <c r="D98" i="85"/>
  <c r="G75" i="33"/>
  <c r="G90" i="85"/>
  <c r="J67" i="33"/>
  <c r="G96" i="85"/>
  <c r="J73" i="33"/>
  <c r="G95" i="85"/>
  <c r="J72" i="33"/>
  <c r="E96" i="85"/>
  <c r="H73" i="33"/>
  <c r="G91" i="85"/>
  <c r="J68" i="33"/>
  <c r="G97" i="85"/>
  <c r="J74" i="33"/>
  <c r="F90" i="85"/>
  <c r="I67" i="33"/>
  <c r="C88" i="85"/>
  <c r="G93" i="85"/>
  <c r="J70" i="33"/>
  <c r="AF86" i="72"/>
  <c r="AF105" i="72"/>
  <c r="AF107" i="72"/>
  <c r="AF48" i="75"/>
  <c r="N86" i="72"/>
  <c r="N105" i="72"/>
  <c r="N112" i="72" a="1"/>
  <c r="N112" i="72"/>
  <c r="R107" i="72"/>
  <c r="Q62" i="75"/>
  <c r="K48" i="75"/>
  <c r="H7" i="75"/>
  <c r="F16" i="75" a="1"/>
  <c r="F16" i="75"/>
  <c r="I44" i="75"/>
  <c r="AB107" i="72"/>
  <c r="AB86" i="72"/>
  <c r="AB105" i="72"/>
  <c r="R86" i="72"/>
  <c r="R105" i="72"/>
  <c r="S107" i="72"/>
  <c r="S112" i="72" a="1"/>
  <c r="S112" i="72"/>
  <c r="M113" i="82" a="1"/>
  <c r="M113" i="82"/>
  <c r="M114" i="82" a="1"/>
  <c r="M114" i="82"/>
  <c r="M112" i="82" a="1"/>
  <c r="M112" i="82"/>
  <c r="M115" i="82" a="1"/>
  <c r="M115" i="82"/>
  <c r="M117" i="82" a="1"/>
  <c r="M117" i="82"/>
  <c r="M110" i="82" a="1"/>
  <c r="M110" i="82"/>
  <c r="M111" i="82" a="1"/>
  <c r="M111" i="82"/>
  <c r="M116" i="82" a="1"/>
  <c r="M116" i="82"/>
  <c r="I107" i="72"/>
  <c r="I48" i="75"/>
  <c r="I86" i="72"/>
  <c r="I105" i="72"/>
  <c r="AG116" i="82" a="1"/>
  <c r="AG116" i="82"/>
  <c r="AG111" i="82" a="1"/>
  <c r="AG111" i="82"/>
  <c r="AG110" i="82" a="1"/>
  <c r="AG110" i="82"/>
  <c r="AG115" i="82" a="1"/>
  <c r="AG115" i="82"/>
  <c r="AG117" i="82" a="1"/>
  <c r="AG117" i="82"/>
  <c r="AG114" i="82" a="1"/>
  <c r="AG114" i="82"/>
  <c r="AG113" i="82" a="1"/>
  <c r="AG113" i="82"/>
  <c r="AG112" i="82" a="1"/>
  <c r="AG112" i="82"/>
  <c r="I108" i="73"/>
  <c r="I62" i="75"/>
  <c r="I87" i="73"/>
  <c r="I106" i="73"/>
  <c r="AC108" i="82"/>
  <c r="AC87" i="82"/>
  <c r="AC106" i="82"/>
  <c r="AC76" i="75"/>
  <c r="Q108" i="73"/>
  <c r="Q87" i="73"/>
  <c r="Q106" i="73"/>
  <c r="U117" i="73" a="1"/>
  <c r="U117" i="73"/>
  <c r="U114" i="73" a="1"/>
  <c r="U114" i="73"/>
  <c r="U116" i="73" a="1"/>
  <c r="U116" i="73"/>
  <c r="U113" i="73" a="1"/>
  <c r="U113" i="73"/>
  <c r="U110" i="73" a="1"/>
  <c r="U110" i="73"/>
  <c r="U111" i="73" a="1"/>
  <c r="U111" i="73"/>
  <c r="U112" i="73" a="1"/>
  <c r="U112" i="73"/>
  <c r="U115" i="73" a="1"/>
  <c r="U115" i="73"/>
  <c r="O107" i="72"/>
  <c r="O48" i="75"/>
  <c r="O86" i="72"/>
  <c r="O105" i="72"/>
  <c r="AG113" i="73" a="1"/>
  <c r="AG113" i="73"/>
  <c r="AG110" i="73" a="1"/>
  <c r="AG110" i="73"/>
  <c r="AG115" i="73" a="1"/>
  <c r="AG115" i="73"/>
  <c r="AG111" i="73" a="1"/>
  <c r="AG111" i="73"/>
  <c r="AG114" i="73" a="1"/>
  <c r="AG114" i="73"/>
  <c r="AG117" i="73" a="1"/>
  <c r="AG117" i="73"/>
  <c r="AG116" i="73" a="1"/>
  <c r="AG116" i="73"/>
  <c r="AG112" i="73" a="1"/>
  <c r="AG112" i="73"/>
  <c r="K110" i="73" a="1"/>
  <c r="K110" i="73"/>
  <c r="K114" i="73" a="1"/>
  <c r="K114" i="73"/>
  <c r="K111" i="73" a="1"/>
  <c r="K111" i="73"/>
  <c r="K113" i="73" a="1"/>
  <c r="K113" i="73"/>
  <c r="K115" i="73" a="1"/>
  <c r="K115" i="73"/>
  <c r="K117" i="73" a="1"/>
  <c r="K117" i="73"/>
  <c r="K112" i="73" a="1"/>
  <c r="K112" i="73"/>
  <c r="K116" i="73" a="1"/>
  <c r="K116" i="73"/>
  <c r="M111" i="73" a="1"/>
  <c r="M111" i="73"/>
  <c r="M110" i="73" a="1"/>
  <c r="M110" i="73"/>
  <c r="M116" i="73" a="1"/>
  <c r="M116" i="73"/>
  <c r="M117" i="73" a="1"/>
  <c r="M117" i="73"/>
  <c r="M115" i="73" a="1"/>
  <c r="M115" i="73"/>
  <c r="M114" i="73" a="1"/>
  <c r="M114" i="73"/>
  <c r="M113" i="73" a="1"/>
  <c r="M113" i="73"/>
  <c r="M112" i="73" a="1"/>
  <c r="M112" i="73"/>
  <c r="AE117" i="73" a="1"/>
  <c r="AE117" i="73"/>
  <c r="AE112" i="73" a="1"/>
  <c r="AE112" i="73"/>
  <c r="AE111" i="73" a="1"/>
  <c r="AE111" i="73"/>
  <c r="AE115" i="73" a="1"/>
  <c r="AE115" i="73"/>
  <c r="AE110" i="73" a="1"/>
  <c r="AE110" i="73"/>
  <c r="AE114" i="73" a="1"/>
  <c r="AE114" i="73"/>
  <c r="AE113" i="73" a="1"/>
  <c r="AE113" i="73"/>
  <c r="AE116" i="73" a="1"/>
  <c r="AE116" i="73"/>
  <c r="Y86" i="72"/>
  <c r="Y105" i="72"/>
  <c r="Y107" i="72"/>
  <c r="Y48" i="75"/>
  <c r="Q108" i="82"/>
  <c r="Q87" i="82"/>
  <c r="Q106" i="82"/>
  <c r="K112" i="82" a="1"/>
  <c r="K112" i="82"/>
  <c r="K117" i="82" a="1"/>
  <c r="K117" i="82"/>
  <c r="K113" i="82" a="1"/>
  <c r="K113" i="82"/>
  <c r="K116" i="82" a="1"/>
  <c r="K116" i="82"/>
  <c r="K114" i="82" a="1"/>
  <c r="K114" i="82"/>
  <c r="K111" i="82" a="1"/>
  <c r="K111" i="82"/>
  <c r="K110" i="82" a="1"/>
  <c r="K110" i="82"/>
  <c r="K115" i="82" a="1"/>
  <c r="K115" i="82"/>
  <c r="O108" i="73"/>
  <c r="O62" i="75"/>
  <c r="O87" i="73"/>
  <c r="O106" i="73"/>
  <c r="T110" i="73" a="1"/>
  <c r="T110" i="73"/>
  <c r="T116" i="73" a="1"/>
  <c r="T116" i="73"/>
  <c r="T111" i="73" a="1"/>
  <c r="T111" i="73"/>
  <c r="T114" i="73" a="1"/>
  <c r="T114" i="73"/>
  <c r="T115" i="73" a="1"/>
  <c r="T115" i="73"/>
  <c r="T112" i="73" a="1"/>
  <c r="T112" i="73"/>
  <c r="T113" i="73" a="1"/>
  <c r="T113" i="73"/>
  <c r="T117" i="73" a="1"/>
  <c r="T117" i="73"/>
  <c r="I92" i="75"/>
  <c r="AG111" i="72" a="1"/>
  <c r="AG111" i="72"/>
  <c r="AG109" i="72" a="1"/>
  <c r="AG109" i="72"/>
  <c r="AG112" i="72" a="1"/>
  <c r="AG112" i="72"/>
  <c r="AG115" i="72" a="1"/>
  <c r="AG115" i="72"/>
  <c r="AG110" i="72" a="1"/>
  <c r="AG110" i="72"/>
  <c r="AG116" i="72" a="1"/>
  <c r="AG116" i="72"/>
  <c r="AG113" i="72" a="1"/>
  <c r="AG113" i="72"/>
  <c r="AG114" i="72" a="1"/>
  <c r="AG114" i="72"/>
  <c r="O108" i="82"/>
  <c r="O76" i="75"/>
  <c r="O87" i="82"/>
  <c r="O106" i="82"/>
  <c r="K107" i="72"/>
  <c r="K86" i="72"/>
  <c r="K105" i="72"/>
  <c r="W111" i="82" a="1"/>
  <c r="W111" i="82"/>
  <c r="W113" i="82" a="1"/>
  <c r="W113" i="82"/>
  <c r="W114" i="82" a="1"/>
  <c r="W114" i="82"/>
  <c r="W112" i="82" a="1"/>
  <c r="W112" i="82"/>
  <c r="W110" i="82" a="1"/>
  <c r="W110" i="82"/>
  <c r="W115" i="82" a="1"/>
  <c r="W115" i="82"/>
  <c r="W117" i="82" a="1"/>
  <c r="W117" i="82"/>
  <c r="W116" i="82" a="1"/>
  <c r="W116" i="82"/>
  <c r="Q107" i="72"/>
  <c r="Q86" i="72"/>
  <c r="Q105" i="72"/>
  <c r="T111" i="82" a="1"/>
  <c r="T111" i="82"/>
  <c r="T114" i="82" a="1"/>
  <c r="T114" i="82"/>
  <c r="T116" i="82" a="1"/>
  <c r="T116" i="82"/>
  <c r="T117" i="82" a="1"/>
  <c r="T117" i="82"/>
  <c r="T110" i="82" a="1"/>
  <c r="T110" i="82"/>
  <c r="T112" i="82" a="1"/>
  <c r="T112" i="82"/>
  <c r="T115" i="82" a="1"/>
  <c r="T115" i="82"/>
  <c r="T113" i="82" a="1"/>
  <c r="T113" i="82"/>
  <c r="P107" i="72"/>
  <c r="P86" i="72"/>
  <c r="P105" i="72"/>
  <c r="P48" i="75"/>
  <c r="I108" i="82"/>
  <c r="I76" i="75"/>
  <c r="I87" i="82"/>
  <c r="I106" i="82"/>
  <c r="V113" i="82" a="1"/>
  <c r="V113" i="82"/>
  <c r="V111" i="82" a="1"/>
  <c r="V111" i="82"/>
  <c r="V110" i="82" a="1"/>
  <c r="V110" i="82"/>
  <c r="V116" i="82" a="1"/>
  <c r="V116" i="82"/>
  <c r="V114" i="82" a="1"/>
  <c r="V114" i="82"/>
  <c r="V115" i="82" a="1"/>
  <c r="V115" i="82"/>
  <c r="V117" i="82" a="1"/>
  <c r="V117" i="82"/>
  <c r="V112" i="82" a="1"/>
  <c r="V112" i="82"/>
  <c r="X86" i="72"/>
  <c r="X105" i="72"/>
  <c r="X48" i="75"/>
  <c r="X107" i="72"/>
  <c r="X111" i="73" a="1"/>
  <c r="X111" i="73"/>
  <c r="X113" i="73" a="1"/>
  <c r="X113" i="73"/>
  <c r="X112" i="73" a="1"/>
  <c r="X112" i="73"/>
  <c r="X110" i="73" a="1"/>
  <c r="X110" i="73"/>
  <c r="X114" i="73" a="1"/>
  <c r="X114" i="73"/>
  <c r="X115" i="73" a="1"/>
  <c r="X115" i="73"/>
  <c r="X117" i="73" a="1"/>
  <c r="X117" i="73"/>
  <c r="X116" i="73" a="1"/>
  <c r="X116" i="73"/>
  <c r="AD87" i="82"/>
  <c r="AD106" i="82"/>
  <c r="AD108" i="82"/>
  <c r="AD76" i="75"/>
  <c r="T107" i="72"/>
  <c r="T48" i="75"/>
  <c r="T86" i="72"/>
  <c r="T105" i="72"/>
  <c r="S117" i="73" a="1"/>
  <c r="S117" i="73"/>
  <c r="S111" i="73" a="1"/>
  <c r="S111" i="73"/>
  <c r="S116" i="73" a="1"/>
  <c r="S116" i="73"/>
  <c r="S115" i="73" a="1"/>
  <c r="S115" i="73"/>
  <c r="S112" i="73" a="1"/>
  <c r="S112" i="73"/>
  <c r="S110" i="73" a="1"/>
  <c r="S110" i="73"/>
  <c r="S114" i="73" a="1"/>
  <c r="S114" i="73"/>
  <c r="S113" i="73" a="1"/>
  <c r="S113" i="73"/>
  <c r="W114" i="72" a="1"/>
  <c r="W114" i="72"/>
  <c r="W112" i="72" a="1"/>
  <c r="W112" i="72"/>
  <c r="W113" i="72" a="1"/>
  <c r="W113" i="72"/>
  <c r="W109" i="72" a="1"/>
  <c r="W109" i="72"/>
  <c r="W116" i="72" a="1"/>
  <c r="W116" i="72"/>
  <c r="W115" i="72" a="1"/>
  <c r="W115" i="72"/>
  <c r="W111" i="72" a="1"/>
  <c r="W111" i="72"/>
  <c r="W110" i="72" a="1"/>
  <c r="W110" i="72"/>
  <c r="L114" i="73" a="1"/>
  <c r="L114" i="73"/>
  <c r="L113" i="73" a="1"/>
  <c r="L113" i="73"/>
  <c r="L116" i="73" a="1"/>
  <c r="L116" i="73"/>
  <c r="L115" i="73" a="1"/>
  <c r="L115" i="73"/>
  <c r="L110" i="73" a="1"/>
  <c r="L110" i="73"/>
  <c r="L117" i="73" a="1"/>
  <c r="L117" i="73"/>
  <c r="L112" i="73" a="1"/>
  <c r="L112" i="73"/>
  <c r="L111" i="73" a="1"/>
  <c r="L111" i="73"/>
  <c r="AD108" i="73"/>
  <c r="AD87" i="73"/>
  <c r="AD106" i="73"/>
  <c r="AD62" i="75"/>
  <c r="N114" i="73" a="1"/>
  <c r="N114" i="73"/>
  <c r="N113" i="73" a="1"/>
  <c r="N113" i="73"/>
  <c r="N111" i="73" a="1"/>
  <c r="N111" i="73"/>
  <c r="N110" i="73" a="1"/>
  <c r="N110" i="73"/>
  <c r="N117" i="73" a="1"/>
  <c r="N117" i="73"/>
  <c r="N115" i="73" a="1"/>
  <c r="N115" i="73"/>
  <c r="N112" i="73" a="1"/>
  <c r="N112" i="73"/>
  <c r="N116" i="73" a="1"/>
  <c r="N116" i="73"/>
  <c r="S114" i="72" a="1"/>
  <c r="S114" i="72"/>
  <c r="S116" i="72" a="1"/>
  <c r="S116" i="72"/>
  <c r="S115" i="72" a="1"/>
  <c r="S115" i="72"/>
  <c r="J114" i="72" a="1"/>
  <c r="J114" i="72"/>
  <c r="J115" i="72" a="1"/>
  <c r="J115" i="72"/>
  <c r="J110" i="72" a="1"/>
  <c r="J110" i="72"/>
  <c r="J116" i="72" a="1"/>
  <c r="J116" i="72"/>
  <c r="J109" i="72" a="1"/>
  <c r="J109" i="72"/>
  <c r="J112" i="72" a="1"/>
  <c r="J112" i="72"/>
  <c r="J111" i="72" a="1"/>
  <c r="J111" i="72"/>
  <c r="J113" i="72" a="1"/>
  <c r="J113" i="72"/>
  <c r="W116" i="73" a="1"/>
  <c r="W116" i="73"/>
  <c r="W110" i="73" a="1"/>
  <c r="W110" i="73"/>
  <c r="W115" i="73" a="1"/>
  <c r="W115" i="73"/>
  <c r="W111" i="73" a="1"/>
  <c r="W111" i="73"/>
  <c r="W113" i="73" a="1"/>
  <c r="W113" i="73"/>
  <c r="W112" i="73" a="1"/>
  <c r="W112" i="73"/>
  <c r="W117" i="73" a="1"/>
  <c r="W117" i="73"/>
  <c r="W114" i="73" a="1"/>
  <c r="W114" i="73"/>
  <c r="AA113" i="72" a="1"/>
  <c r="AA113" i="72"/>
  <c r="AA115" i="72" a="1"/>
  <c r="AA115" i="72"/>
  <c r="AA112" i="72" a="1"/>
  <c r="AA112" i="72"/>
  <c r="AA110" i="72" a="1"/>
  <c r="AA110" i="72"/>
  <c r="AA109" i="72" a="1"/>
  <c r="AA109" i="72"/>
  <c r="AA111" i="72" a="1"/>
  <c r="AA111" i="72"/>
  <c r="AA114" i="72" a="1"/>
  <c r="AA114" i="72"/>
  <c r="AA116" i="72" a="1"/>
  <c r="AA116" i="72"/>
  <c r="V117" i="73" a="1"/>
  <c r="V117" i="73"/>
  <c r="V110" i="73" a="1"/>
  <c r="V110" i="73"/>
  <c r="V111" i="73" a="1"/>
  <c r="V111" i="73"/>
  <c r="V115" i="73" a="1"/>
  <c r="V115" i="73"/>
  <c r="V113" i="73" a="1"/>
  <c r="V113" i="73"/>
  <c r="V114" i="73" a="1"/>
  <c r="V114" i="73"/>
  <c r="V116" i="73" a="1"/>
  <c r="V116" i="73"/>
  <c r="V112" i="73" a="1"/>
  <c r="V112" i="73"/>
  <c r="P108" i="82"/>
  <c r="P76" i="75"/>
  <c r="P87" i="82"/>
  <c r="P106" i="82"/>
  <c r="J117" i="73" a="1"/>
  <c r="J117" i="73"/>
  <c r="J111" i="73" a="1"/>
  <c r="J111" i="73"/>
  <c r="J110" i="73" a="1"/>
  <c r="J110" i="73"/>
  <c r="J112" i="73" a="1"/>
  <c r="J112" i="73"/>
  <c r="J115" i="73" a="1"/>
  <c r="J115" i="73"/>
  <c r="J116" i="73" a="1"/>
  <c r="J116" i="73"/>
  <c r="J113" i="73" a="1"/>
  <c r="J113" i="73"/>
  <c r="J114" i="73" a="1"/>
  <c r="J114" i="73"/>
  <c r="L112" i="82" a="1"/>
  <c r="L112" i="82"/>
  <c r="L116" i="82" a="1"/>
  <c r="L116" i="82"/>
  <c r="L111" i="82" a="1"/>
  <c r="L111" i="82"/>
  <c r="L110" i="82" a="1"/>
  <c r="L110" i="82"/>
  <c r="L113" i="82" a="1"/>
  <c r="L113" i="82"/>
  <c r="L115" i="82" a="1"/>
  <c r="L115" i="82"/>
  <c r="L114" i="82" a="1"/>
  <c r="L114" i="82"/>
  <c r="L117" i="82" a="1"/>
  <c r="L117" i="82"/>
  <c r="S115" i="82" a="1"/>
  <c r="S115" i="82"/>
  <c r="S111" i="82" a="1"/>
  <c r="S111" i="82"/>
  <c r="S113" i="82" a="1"/>
  <c r="S113" i="82"/>
  <c r="S116" i="82" a="1"/>
  <c r="S116" i="82"/>
  <c r="S112" i="82" a="1"/>
  <c r="S112" i="82"/>
  <c r="S114" i="82" a="1"/>
  <c r="S114" i="82"/>
  <c r="S117" i="82" a="1"/>
  <c r="S117" i="82"/>
  <c r="S110" i="82" a="1"/>
  <c r="S110" i="82"/>
  <c r="L107" i="72"/>
  <c r="L86" i="72"/>
  <c r="L105" i="72"/>
  <c r="L48" i="75"/>
  <c r="U116" i="82" a="1"/>
  <c r="U116" i="82"/>
  <c r="U114" i="82" a="1"/>
  <c r="U114" i="82"/>
  <c r="U111" i="82" a="1"/>
  <c r="U111" i="82"/>
  <c r="U112" i="82" a="1"/>
  <c r="U112" i="82"/>
  <c r="U115" i="82" a="1"/>
  <c r="U115" i="82"/>
  <c r="U110" i="82" a="1"/>
  <c r="U110" i="82"/>
  <c r="U117" i="82" a="1"/>
  <c r="U117" i="82"/>
  <c r="U113" i="82" a="1"/>
  <c r="U113" i="82"/>
  <c r="X115" i="82" a="1"/>
  <c r="X115" i="82"/>
  <c r="X111" i="82" a="1"/>
  <c r="X111" i="82"/>
  <c r="X116" i="82" a="1"/>
  <c r="X116" i="82"/>
  <c r="X114" i="82" a="1"/>
  <c r="X114" i="82"/>
  <c r="X113" i="82" a="1"/>
  <c r="X113" i="82"/>
  <c r="X110" i="82" a="1"/>
  <c r="X110" i="82"/>
  <c r="X112" i="82" a="1"/>
  <c r="X112" i="82"/>
  <c r="X117" i="82" a="1"/>
  <c r="X117" i="82"/>
  <c r="P108" i="73"/>
  <c r="P62" i="75"/>
  <c r="P87" i="73"/>
  <c r="P106" i="73"/>
  <c r="V112" i="72" a="1"/>
  <c r="V112" i="72"/>
  <c r="V110" i="72" a="1"/>
  <c r="V110" i="72"/>
  <c r="V113" i="72" a="1"/>
  <c r="V113" i="72"/>
  <c r="V115" i="72" a="1"/>
  <c r="V115" i="72"/>
  <c r="V111" i="72" a="1"/>
  <c r="V111" i="72"/>
  <c r="V114" i="72" a="1"/>
  <c r="V114" i="72"/>
  <c r="V109" i="72" a="1"/>
  <c r="V109" i="72"/>
  <c r="V116" i="72" a="1"/>
  <c r="V116" i="72"/>
  <c r="N113" i="82" a="1"/>
  <c r="N113" i="82"/>
  <c r="N115" i="82" a="1"/>
  <c r="N115" i="82"/>
  <c r="N116" i="82" a="1"/>
  <c r="N116" i="82"/>
  <c r="N114" i="82" a="1"/>
  <c r="N114" i="82"/>
  <c r="N117" i="82" a="1"/>
  <c r="N117" i="82"/>
  <c r="N112" i="82" a="1"/>
  <c r="N112" i="82"/>
  <c r="N110" i="82" a="1"/>
  <c r="N110" i="82"/>
  <c r="N111" i="82" a="1"/>
  <c r="N111" i="82"/>
  <c r="AC108" i="73"/>
  <c r="AC87" i="73"/>
  <c r="AC106" i="73"/>
  <c r="AC62" i="75"/>
  <c r="J110" i="82" a="1"/>
  <c r="J110" i="82"/>
  <c r="J111" i="82" a="1"/>
  <c r="J111" i="82"/>
  <c r="J112" i="82" a="1"/>
  <c r="J112" i="82"/>
  <c r="J116" i="82" a="1"/>
  <c r="J116" i="82"/>
  <c r="J114" i="82" a="1"/>
  <c r="J114" i="82"/>
  <c r="J117" i="82" a="1"/>
  <c r="J117" i="82"/>
  <c r="J113" i="82" a="1"/>
  <c r="J113" i="82"/>
  <c r="J115" i="82" a="1"/>
  <c r="J115" i="82"/>
  <c r="AC86" i="72"/>
  <c r="AC105" i="72"/>
  <c r="AC107" i="72"/>
  <c r="AC48" i="75"/>
  <c r="AE113" i="72" a="1"/>
  <c r="AE113" i="72"/>
  <c r="AE116" i="72" a="1"/>
  <c r="AE116" i="72"/>
  <c r="AE110" i="72" a="1"/>
  <c r="AE110" i="72"/>
  <c r="AE111" i="72" a="1"/>
  <c r="AE111" i="72"/>
  <c r="AE115" i="72" a="1"/>
  <c r="AE115" i="72"/>
  <c r="AE114" i="72" a="1"/>
  <c r="AE114" i="72"/>
  <c r="AE109" i="72" a="1"/>
  <c r="AE109" i="72"/>
  <c r="AE112" i="72" a="1"/>
  <c r="AE112" i="72"/>
  <c r="AD107" i="72"/>
  <c r="AD48" i="75"/>
  <c r="AD86" i="72"/>
  <c r="AD105" i="72"/>
  <c r="Z86" i="72"/>
  <c r="Z105" i="72"/>
  <c r="Z48" i="75"/>
  <c r="Z107" i="72"/>
  <c r="AE117" i="82" a="1"/>
  <c r="AE117" i="82"/>
  <c r="AE112" i="82" a="1"/>
  <c r="AE112" i="82"/>
  <c r="AE114" i="82" a="1"/>
  <c r="AE114" i="82"/>
  <c r="AE115" i="82" a="1"/>
  <c r="AE115" i="82"/>
  <c r="AE113" i="82" a="1"/>
  <c r="AE113" i="82"/>
  <c r="AE116" i="82" a="1"/>
  <c r="AE116" i="82"/>
  <c r="AE111" i="82" a="1"/>
  <c r="AE111" i="82"/>
  <c r="AE110" i="82" a="1"/>
  <c r="AE110" i="82"/>
  <c r="S109" i="72" a="1"/>
  <c r="S109" i="72"/>
  <c r="S111" i="72" a="1"/>
  <c r="S111" i="72"/>
  <c r="U111" i="72" a="1"/>
  <c r="U111" i="72"/>
  <c r="U113" i="72" a="1"/>
  <c r="U113" i="72"/>
  <c r="U116" i="72" a="1"/>
  <c r="U116" i="72"/>
  <c r="U114" i="72" a="1"/>
  <c r="U114" i="72"/>
  <c r="U109" i="72" a="1"/>
  <c r="U109" i="72"/>
  <c r="U112" i="72" a="1"/>
  <c r="U112" i="72"/>
  <c r="U110" i="72" a="1"/>
  <c r="U110" i="72"/>
  <c r="U7" i="85"/>
  <c r="U45" i="85"/>
  <c r="N114" i="72" a="1"/>
  <c r="N114" i="72"/>
  <c r="N7" i="85"/>
  <c r="N49" i="85"/>
  <c r="M111" i="72" a="1"/>
  <c r="M111" i="72"/>
  <c r="M7" i="85"/>
  <c r="M46" i="85"/>
  <c r="M115" i="72" a="1"/>
  <c r="M115" i="72"/>
  <c r="M112" i="72" a="1"/>
  <c r="M112" i="72"/>
  <c r="M47" i="85"/>
  <c r="N109" i="72" a="1"/>
  <c r="N109" i="72"/>
  <c r="N44" i="85"/>
  <c r="S110" i="72" a="1"/>
  <c r="S110" i="72"/>
  <c r="S7" i="85"/>
  <c r="S45" i="85"/>
  <c r="N113" i="72" a="1"/>
  <c r="N113" i="72"/>
  <c r="M116" i="72" a="1"/>
  <c r="M116" i="72"/>
  <c r="R112" i="73" a="1"/>
  <c r="R112" i="73"/>
  <c r="R110" i="73" a="1"/>
  <c r="R110" i="73"/>
  <c r="R114" i="73" a="1"/>
  <c r="R114" i="73"/>
  <c r="R117" i="73" a="1"/>
  <c r="R117" i="73"/>
  <c r="R111" i="73" a="1"/>
  <c r="R111" i="73"/>
  <c r="R113" i="73" a="1"/>
  <c r="R113" i="73"/>
  <c r="R116" i="73" a="1"/>
  <c r="R116" i="73"/>
  <c r="R115" i="73" a="1"/>
  <c r="R115" i="73"/>
  <c r="M113" i="72" a="1"/>
  <c r="M113" i="72"/>
  <c r="M48" i="85"/>
  <c r="N111" i="72" a="1"/>
  <c r="N111" i="72"/>
  <c r="S113" i="72" a="1"/>
  <c r="S113" i="72"/>
  <c r="S48" i="85"/>
  <c r="N115" i="72" a="1"/>
  <c r="N115" i="72"/>
  <c r="M109" i="72" a="1"/>
  <c r="M109" i="72"/>
  <c r="M44" i="85"/>
  <c r="R112" i="82" a="1"/>
  <c r="R112" i="82"/>
  <c r="R116" i="82" a="1"/>
  <c r="R116" i="82"/>
  <c r="R117" i="82" a="1"/>
  <c r="R117" i="82"/>
  <c r="R114" i="82" a="1"/>
  <c r="R114" i="82"/>
  <c r="R110" i="82" a="1"/>
  <c r="R110" i="82"/>
  <c r="R113" i="82" a="1"/>
  <c r="R113" i="82"/>
  <c r="R111" i="82" a="1"/>
  <c r="R111" i="82"/>
  <c r="R115" i="82" a="1"/>
  <c r="R115" i="82"/>
  <c r="N110" i="72" a="1"/>
  <c r="N110" i="72"/>
  <c r="M114" i="72" a="1"/>
  <c r="M114" i="72"/>
  <c r="M49" i="85"/>
  <c r="N116" i="72" a="1"/>
  <c r="N116" i="72"/>
  <c r="M62" i="85"/>
  <c r="R71" i="75"/>
  <c r="R75" i="75"/>
  <c r="R61" i="75"/>
  <c r="R74" i="75"/>
  <c r="R33" i="75"/>
  <c r="R58" i="75"/>
  <c r="R29" i="75"/>
  <c r="R35" i="75"/>
  <c r="R47" i="75"/>
  <c r="R49" i="75"/>
  <c r="R72" i="75"/>
  <c r="R43" i="75"/>
  <c r="R63" i="75"/>
  <c r="R7" i="85"/>
  <c r="R57" i="75"/>
  <c r="R60" i="75"/>
  <c r="R32" i="75"/>
  <c r="R77" i="75"/>
  <c r="R62" i="75"/>
  <c r="R76" i="75"/>
  <c r="R44" i="75"/>
  <c r="R46" i="75"/>
  <c r="T47" i="75"/>
  <c r="T46" i="75"/>
  <c r="T49" i="75"/>
  <c r="T50" i="75"/>
  <c r="T40" i="85"/>
  <c r="T29" i="75"/>
  <c r="T43" i="75"/>
  <c r="T32" i="75"/>
  <c r="T7" i="85"/>
  <c r="T77" i="75"/>
  <c r="T63" i="75"/>
  <c r="T35" i="75"/>
  <c r="T71" i="75"/>
  <c r="T75" i="75"/>
  <c r="T58" i="75"/>
  <c r="T72" i="75"/>
  <c r="T61" i="75"/>
  <c r="T57" i="75"/>
  <c r="T74" i="75"/>
  <c r="T33" i="75"/>
  <c r="T60" i="75"/>
  <c r="T62" i="75"/>
  <c r="T76" i="75"/>
  <c r="T78" i="75"/>
  <c r="T44" i="75"/>
  <c r="M76" i="85"/>
  <c r="AF32" i="75"/>
  <c r="AF44" i="75"/>
  <c r="AF63" i="75"/>
  <c r="AF77" i="75"/>
  <c r="AF43" i="75"/>
  <c r="AF29" i="75"/>
  <c r="AF33" i="75"/>
  <c r="AF49" i="75"/>
  <c r="AF57" i="75"/>
  <c r="AF60" i="75"/>
  <c r="AF35" i="75"/>
  <c r="AF61" i="75"/>
  <c r="AF75" i="75"/>
  <c r="AF72" i="75"/>
  <c r="AF74" i="75"/>
  <c r="AF71" i="75"/>
  <c r="AF47" i="75"/>
  <c r="AF46" i="75"/>
  <c r="AF50" i="75"/>
  <c r="AF40" i="85"/>
  <c r="AF58" i="75"/>
  <c r="AF7" i="85"/>
  <c r="AF62" i="75"/>
  <c r="AF76" i="75"/>
  <c r="R48" i="75"/>
  <c r="Q77" i="75"/>
  <c r="Q33" i="75"/>
  <c r="Q7" i="85"/>
  <c r="Q57" i="75"/>
  <c r="Q35" i="75"/>
  <c r="Q29" i="75"/>
  <c r="Q72" i="75"/>
  <c r="Q71" i="75"/>
  <c r="Q32" i="75"/>
  <c r="Q43" i="75"/>
  <c r="Q61" i="75"/>
  <c r="Q60" i="75"/>
  <c r="Q63" i="75"/>
  <c r="Q64" i="75"/>
  <c r="Q49" i="75"/>
  <c r="Q74" i="75"/>
  <c r="Q47" i="75"/>
  <c r="Q75" i="75"/>
  <c r="Q58" i="75"/>
  <c r="Q44" i="75"/>
  <c r="Q46" i="75"/>
  <c r="T72" i="85"/>
  <c r="Q76" i="75"/>
  <c r="AE7" i="85"/>
  <c r="AE62" i="85"/>
  <c r="M58" i="85"/>
  <c r="M75" i="85"/>
  <c r="H7" i="85"/>
  <c r="F23" i="75" a="1"/>
  <c r="F23" i="75"/>
  <c r="I9" i="33"/>
  <c r="AB29" i="75"/>
  <c r="AB71" i="75"/>
  <c r="AB74" i="75"/>
  <c r="AB43" i="75"/>
  <c r="AB49" i="75"/>
  <c r="AB57" i="75"/>
  <c r="AB7" i="85"/>
  <c r="AB61" i="75"/>
  <c r="AB60" i="75"/>
  <c r="AB63" i="75"/>
  <c r="AB58" i="75"/>
  <c r="AB72" i="75"/>
  <c r="AB35" i="75"/>
  <c r="AB77" i="75"/>
  <c r="AB32" i="75"/>
  <c r="AB75" i="75"/>
  <c r="AB47" i="75"/>
  <c r="AB33" i="75"/>
  <c r="AB44" i="75"/>
  <c r="AB62" i="75"/>
  <c r="AB76" i="75"/>
  <c r="AB46" i="75"/>
  <c r="M74" i="85"/>
  <c r="J7" i="85"/>
  <c r="J61" i="85"/>
  <c r="M59" i="85"/>
  <c r="AE72" i="75"/>
  <c r="AE49" i="75"/>
  <c r="AE43" i="75"/>
  <c r="AE71" i="75"/>
  <c r="AE47" i="75"/>
  <c r="AE29" i="75"/>
  <c r="AE35" i="75"/>
  <c r="AE57" i="75"/>
  <c r="AE63" i="75"/>
  <c r="AE33" i="75"/>
  <c r="AE75" i="75"/>
  <c r="AE58" i="75"/>
  <c r="AE61" i="75"/>
  <c r="AE60" i="75"/>
  <c r="AE77" i="75"/>
  <c r="AE32" i="75"/>
  <c r="AE74" i="75"/>
  <c r="AE44" i="75"/>
  <c r="AE46" i="75"/>
  <c r="AE76" i="75"/>
  <c r="AE62" i="75"/>
  <c r="AE48" i="75"/>
  <c r="AE50" i="75"/>
  <c r="AE40" i="85"/>
  <c r="AA60" i="75"/>
  <c r="AA29" i="75"/>
  <c r="AA63" i="75"/>
  <c r="AA35" i="75"/>
  <c r="AA71" i="75"/>
  <c r="AA57" i="75"/>
  <c r="AA43" i="75"/>
  <c r="AA77" i="75"/>
  <c r="AA7" i="85"/>
  <c r="AA32" i="75"/>
  <c r="AA58" i="75"/>
  <c r="AA33" i="75"/>
  <c r="AA47" i="75"/>
  <c r="AA72" i="75"/>
  <c r="AA61" i="75"/>
  <c r="AA74" i="75"/>
  <c r="AA49" i="75"/>
  <c r="AA75" i="75"/>
  <c r="AA76" i="75"/>
  <c r="AA62" i="75"/>
  <c r="AA44" i="75"/>
  <c r="AA46" i="75"/>
  <c r="AA48" i="75"/>
  <c r="M58" i="75"/>
  <c r="M77" i="75"/>
  <c r="M57" i="75"/>
  <c r="M74" i="75"/>
  <c r="M75" i="75"/>
  <c r="M29" i="75"/>
  <c r="M63" i="75"/>
  <c r="M49" i="75"/>
  <c r="M33" i="75"/>
  <c r="M60" i="75"/>
  <c r="M71" i="75"/>
  <c r="M72" i="75"/>
  <c r="M43" i="75"/>
  <c r="M32" i="75"/>
  <c r="M35" i="75"/>
  <c r="M61" i="75"/>
  <c r="M47" i="75"/>
  <c r="M44" i="75"/>
  <c r="M46" i="75"/>
  <c r="M62" i="75"/>
  <c r="M48" i="75"/>
  <c r="M76" i="75"/>
  <c r="S76" i="85"/>
  <c r="T58" i="85"/>
  <c r="L7" i="85"/>
  <c r="L74" i="85"/>
  <c r="S75" i="85"/>
  <c r="T76" i="85"/>
  <c r="I29" i="75"/>
  <c r="I71" i="75"/>
  <c r="I43" i="75"/>
  <c r="J43" i="75"/>
  <c r="K43" i="75"/>
  <c r="L43" i="75"/>
  <c r="N43" i="75"/>
  <c r="O43" i="75"/>
  <c r="P43" i="75"/>
  <c r="S43" i="75"/>
  <c r="U43" i="75"/>
  <c r="V43" i="75"/>
  <c r="W43" i="75"/>
  <c r="X43" i="75"/>
  <c r="Y43" i="75"/>
  <c r="Z43" i="75"/>
  <c r="AC43" i="75"/>
  <c r="AD43" i="75"/>
  <c r="AG43" i="75"/>
  <c r="F43" i="75"/>
  <c r="I72" i="75"/>
  <c r="I7" i="85"/>
  <c r="I33" i="75"/>
  <c r="J33" i="75"/>
  <c r="K33" i="75"/>
  <c r="L33" i="75"/>
  <c r="N33" i="75"/>
  <c r="O33" i="75"/>
  <c r="P33" i="75"/>
  <c r="S33" i="75"/>
  <c r="U33" i="75"/>
  <c r="V33" i="75"/>
  <c r="W33" i="75"/>
  <c r="X33" i="75"/>
  <c r="Y33" i="75"/>
  <c r="Z33" i="75"/>
  <c r="AC33" i="75"/>
  <c r="AD33" i="75"/>
  <c r="AG33" i="75"/>
  <c r="F33" i="75" a="1"/>
  <c r="F33" i="75"/>
  <c r="I35" i="75"/>
  <c r="I60" i="75"/>
  <c r="J60" i="75"/>
  <c r="K60" i="75"/>
  <c r="L60" i="75"/>
  <c r="N60" i="75"/>
  <c r="O60" i="75"/>
  <c r="P60" i="75"/>
  <c r="S60" i="75"/>
  <c r="U60" i="75"/>
  <c r="V60" i="75"/>
  <c r="W60" i="75"/>
  <c r="X60" i="75"/>
  <c r="Y60" i="75"/>
  <c r="Z60" i="75"/>
  <c r="AC60" i="75"/>
  <c r="AD60" i="75"/>
  <c r="AG60" i="75"/>
  <c r="F60" i="75"/>
  <c r="I63" i="75"/>
  <c r="E29" i="92" a="1"/>
  <c r="E29" i="92"/>
  <c r="E30" i="92"/>
  <c r="I47" i="75"/>
  <c r="I75" i="75"/>
  <c r="J75" i="75"/>
  <c r="K75" i="75"/>
  <c r="L75" i="75"/>
  <c r="N75" i="75"/>
  <c r="O75" i="75"/>
  <c r="P75" i="75"/>
  <c r="S75" i="75"/>
  <c r="U75" i="75"/>
  <c r="V75" i="75"/>
  <c r="W75" i="75"/>
  <c r="X75" i="75"/>
  <c r="Y75" i="75"/>
  <c r="Z75" i="75"/>
  <c r="AC75" i="75"/>
  <c r="AD75" i="75"/>
  <c r="AG75" i="75"/>
  <c r="F75" i="75" a="1"/>
  <c r="F75" i="75"/>
  <c r="I58" i="75"/>
  <c r="I74" i="75"/>
  <c r="J74" i="75"/>
  <c r="K74" i="75"/>
  <c r="L74" i="75"/>
  <c r="N74" i="75"/>
  <c r="O74" i="75"/>
  <c r="P74" i="75"/>
  <c r="S74" i="75"/>
  <c r="U74" i="75"/>
  <c r="V74" i="75"/>
  <c r="W74" i="75"/>
  <c r="X74" i="75"/>
  <c r="Y74" i="75"/>
  <c r="Z74" i="75"/>
  <c r="AC74" i="75"/>
  <c r="AD74" i="75"/>
  <c r="AG74" i="75"/>
  <c r="F74" i="75" a="1"/>
  <c r="F74" i="75"/>
  <c r="I57" i="75"/>
  <c r="I77" i="75"/>
  <c r="I61" i="75"/>
  <c r="I49" i="75"/>
  <c r="I32" i="75"/>
  <c r="J32" i="75"/>
  <c r="K32" i="75"/>
  <c r="L32" i="75"/>
  <c r="N32" i="75"/>
  <c r="O32" i="75"/>
  <c r="P32" i="75"/>
  <c r="S32" i="75"/>
  <c r="U32" i="75"/>
  <c r="V32" i="75"/>
  <c r="W32" i="75"/>
  <c r="X32" i="75"/>
  <c r="Y32" i="75"/>
  <c r="Z32" i="75"/>
  <c r="AC32" i="75"/>
  <c r="AD32" i="75"/>
  <c r="AG32" i="75"/>
  <c r="F32" i="75" a="1"/>
  <c r="F32" i="75"/>
  <c r="F38" i="75"/>
  <c r="I46" i="75"/>
  <c r="Z58" i="75"/>
  <c r="Z61" i="75"/>
  <c r="Z7" i="85"/>
  <c r="Z72" i="75"/>
  <c r="Z71" i="75"/>
  <c r="Z35" i="75"/>
  <c r="Z57" i="75"/>
  <c r="Z49" i="75"/>
  <c r="Z77" i="75"/>
  <c r="Z47" i="75"/>
  <c r="Z29" i="75"/>
  <c r="Z63" i="75"/>
  <c r="Z76" i="75"/>
  <c r="Z62" i="75"/>
  <c r="Z64" i="75"/>
  <c r="Z44" i="75"/>
  <c r="Z46" i="75"/>
  <c r="S60" i="85"/>
  <c r="T73" i="85"/>
  <c r="M45" i="85"/>
  <c r="AE59" i="85"/>
  <c r="P29" i="75"/>
  <c r="P71" i="75"/>
  <c r="P77" i="75"/>
  <c r="P61" i="75"/>
  <c r="P35" i="75"/>
  <c r="P58" i="75"/>
  <c r="P72" i="75"/>
  <c r="P63" i="75"/>
  <c r="P78" i="75"/>
  <c r="P49" i="75"/>
  <c r="P7" i="85"/>
  <c r="P57" i="75"/>
  <c r="P47" i="75"/>
  <c r="P44" i="75"/>
  <c r="P46" i="75"/>
  <c r="P50" i="75"/>
  <c r="P40" i="85"/>
  <c r="Y35" i="75"/>
  <c r="Y61" i="75"/>
  <c r="Y71" i="75"/>
  <c r="Y57" i="75"/>
  <c r="Y29" i="75"/>
  <c r="Y72" i="75"/>
  <c r="Y58" i="75"/>
  <c r="Y7" i="85"/>
  <c r="Y47" i="75"/>
  <c r="Y77" i="75"/>
  <c r="Y49" i="75"/>
  <c r="Y46" i="75"/>
  <c r="Y50" i="75"/>
  <c r="Y40" i="85"/>
  <c r="Y63" i="75"/>
  <c r="Y76" i="75"/>
  <c r="Y62" i="75"/>
  <c r="Y64" i="75"/>
  <c r="Y44" i="75"/>
  <c r="T74" i="85"/>
  <c r="S74" i="85"/>
  <c r="S59" i="85"/>
  <c r="Q48" i="75"/>
  <c r="Q50" i="75"/>
  <c r="Q40" i="85"/>
  <c r="AA46" i="85"/>
  <c r="N73" i="85"/>
  <c r="AA44" i="85"/>
  <c r="AE60" i="85"/>
  <c r="O63" i="75"/>
  <c r="O29" i="75"/>
  <c r="O58" i="75"/>
  <c r="O35" i="75"/>
  <c r="O57" i="75"/>
  <c r="O61" i="75"/>
  <c r="O64" i="75"/>
  <c r="O72" i="75"/>
  <c r="O71" i="75"/>
  <c r="O77" i="75"/>
  <c r="O78" i="75"/>
  <c r="O47" i="75"/>
  <c r="O49" i="75"/>
  <c r="O7" i="85"/>
  <c r="O44" i="75"/>
  <c r="O46" i="75"/>
  <c r="O50" i="75"/>
  <c r="O40" i="85"/>
  <c r="J47" i="75"/>
  <c r="J49" i="75"/>
  <c r="J61" i="75"/>
  <c r="J47" i="85"/>
  <c r="J71" i="75"/>
  <c r="J77" i="75"/>
  <c r="J35" i="75"/>
  <c r="K35" i="75"/>
  <c r="L35" i="75"/>
  <c r="N35" i="75"/>
  <c r="S35" i="75"/>
  <c r="U35" i="75"/>
  <c r="V35" i="75"/>
  <c r="W35" i="75"/>
  <c r="X35" i="75"/>
  <c r="AC35" i="75"/>
  <c r="AD35" i="75"/>
  <c r="AG35" i="75"/>
  <c r="F35" i="75" a="1"/>
  <c r="F35" i="75"/>
  <c r="J57" i="75"/>
  <c r="J72" i="75"/>
  <c r="J58" i="75"/>
  <c r="J29" i="75"/>
  <c r="K29" i="75"/>
  <c r="L29" i="75"/>
  <c r="N29" i="75"/>
  <c r="S29" i="75"/>
  <c r="U29" i="75"/>
  <c r="V29" i="75"/>
  <c r="W29" i="75"/>
  <c r="X29" i="75"/>
  <c r="AC29" i="75"/>
  <c r="AD29" i="75"/>
  <c r="AG29" i="75"/>
  <c r="F29" i="75" a="1"/>
  <c r="F29" i="75"/>
  <c r="J63" i="75"/>
  <c r="J46" i="75"/>
  <c r="J44" i="75"/>
  <c r="J48" i="75"/>
  <c r="J76" i="75"/>
  <c r="J78" i="75"/>
  <c r="J62" i="75"/>
  <c r="K71" i="75"/>
  <c r="K63" i="75"/>
  <c r="K47" i="75"/>
  <c r="K58" i="75"/>
  <c r="K72" i="75"/>
  <c r="K7" i="85"/>
  <c r="K76" i="85"/>
  <c r="K49" i="75"/>
  <c r="K61" i="75"/>
  <c r="K77" i="75"/>
  <c r="K57" i="75"/>
  <c r="K46" i="75"/>
  <c r="K50" i="75"/>
  <c r="K40" i="85"/>
  <c r="K44" i="75"/>
  <c r="K76" i="75"/>
  <c r="K78" i="75"/>
  <c r="K62" i="75"/>
  <c r="V7" i="85"/>
  <c r="V45" i="85"/>
  <c r="AA45" i="85"/>
  <c r="T61" i="85"/>
  <c r="AG7" i="85"/>
  <c r="AG59" i="85"/>
  <c r="W77" i="75"/>
  <c r="W47" i="75"/>
  <c r="W49" i="75"/>
  <c r="W63" i="75"/>
  <c r="W71" i="75"/>
  <c r="W61" i="75"/>
  <c r="W72" i="75"/>
  <c r="W7" i="85"/>
  <c r="W58" i="85"/>
  <c r="W58" i="75"/>
  <c r="W57" i="75"/>
  <c r="W44" i="75"/>
  <c r="W76" i="75"/>
  <c r="W62" i="75"/>
  <c r="W64" i="75"/>
  <c r="W46" i="75"/>
  <c r="W48" i="75"/>
  <c r="W50" i="75"/>
  <c r="W40" i="85"/>
  <c r="N49" i="75"/>
  <c r="N72" i="75"/>
  <c r="N47" i="75"/>
  <c r="N59" i="85"/>
  <c r="N63" i="75"/>
  <c r="N77" i="75"/>
  <c r="N58" i="75"/>
  <c r="N61" i="75"/>
  <c r="N57" i="75"/>
  <c r="N71" i="75"/>
  <c r="N44" i="75"/>
  <c r="N62" i="75"/>
  <c r="N76" i="75"/>
  <c r="N46" i="75"/>
  <c r="N48" i="75"/>
  <c r="N50" i="75"/>
  <c r="N40" i="85"/>
  <c r="J74" i="85"/>
  <c r="N75" i="85"/>
  <c r="L61" i="85"/>
  <c r="AE74" i="85"/>
  <c r="AE46" i="85"/>
  <c r="J46" i="85"/>
  <c r="S46" i="85"/>
  <c r="L59" i="85"/>
  <c r="S61" i="85"/>
  <c r="T60" i="85"/>
  <c r="AB114" i="72" a="1"/>
  <c r="AB114" i="72"/>
  <c r="AB116" i="72" a="1"/>
  <c r="AB116" i="72"/>
  <c r="AB109" i="72" a="1"/>
  <c r="AB109" i="72"/>
  <c r="AB44" i="85"/>
  <c r="AB112" i="72" a="1"/>
  <c r="AB112" i="72"/>
  <c r="AB47" i="85"/>
  <c r="AB115" i="72" a="1"/>
  <c r="AB115" i="72"/>
  <c r="AB113" i="72" a="1"/>
  <c r="AB113" i="72"/>
  <c r="AB48" i="85"/>
  <c r="AB42" i="85"/>
  <c r="AB110" i="72" a="1"/>
  <c r="AB110" i="72"/>
  <c r="AB45" i="85"/>
  <c r="AB111" i="72" a="1"/>
  <c r="AB111" i="72"/>
  <c r="AB46" i="85"/>
  <c r="V71" i="75"/>
  <c r="V61" i="75"/>
  <c r="V57" i="75"/>
  <c r="V49" i="75"/>
  <c r="V63" i="75"/>
  <c r="V44" i="85"/>
  <c r="V47" i="75"/>
  <c r="V58" i="75"/>
  <c r="V77" i="75"/>
  <c r="V72" i="75"/>
  <c r="V44" i="75"/>
  <c r="V76" i="75"/>
  <c r="V78" i="75"/>
  <c r="V62" i="75"/>
  <c r="V64" i="75"/>
  <c r="V46" i="75"/>
  <c r="V48" i="75"/>
  <c r="X72" i="75"/>
  <c r="X63" i="75"/>
  <c r="X57" i="75"/>
  <c r="X7" i="85"/>
  <c r="X64" i="85"/>
  <c r="X49" i="75"/>
  <c r="X58" i="75"/>
  <c r="X77" i="75"/>
  <c r="X71" i="75"/>
  <c r="X47" i="75"/>
  <c r="X46" i="75"/>
  <c r="X50" i="75"/>
  <c r="X40" i="85"/>
  <c r="X61" i="75"/>
  <c r="X76" i="75"/>
  <c r="X78" i="75"/>
  <c r="X62" i="75"/>
  <c r="X64" i="75"/>
  <c r="X44" i="75"/>
  <c r="AF110" i="72" a="1"/>
  <c r="AF110" i="72"/>
  <c r="AF45" i="85"/>
  <c r="AF115" i="72" a="1"/>
  <c r="AF115" i="72"/>
  <c r="AF114" i="72" a="1"/>
  <c r="AF114" i="72"/>
  <c r="AF112" i="72" a="1"/>
  <c r="AF112" i="72"/>
  <c r="AF47" i="85"/>
  <c r="AF111" i="72" a="1"/>
  <c r="AF111" i="72"/>
  <c r="AF46" i="85"/>
  <c r="AF113" i="72" a="1"/>
  <c r="AF113" i="72"/>
  <c r="AF48" i="85"/>
  <c r="AF109" i="72" a="1"/>
  <c r="AF109" i="72"/>
  <c r="AF44" i="85"/>
  <c r="AF116" i="72" a="1"/>
  <c r="AF116" i="72"/>
  <c r="AF42" i="85"/>
  <c r="AE48" i="85"/>
  <c r="J75" i="85"/>
  <c r="AA47" i="85"/>
  <c r="AE72" i="85"/>
  <c r="S44" i="85"/>
  <c r="S62" i="85"/>
  <c r="W74" i="85"/>
  <c r="K73" i="85"/>
  <c r="AG58" i="85"/>
  <c r="AB48" i="75"/>
  <c r="AD7" i="85"/>
  <c r="AD47" i="75"/>
  <c r="AD57" i="75"/>
  <c r="AD61" i="75"/>
  <c r="AD77" i="75"/>
  <c r="AD78" i="75"/>
  <c r="AD71" i="75"/>
  <c r="AD63" i="75"/>
  <c r="AD58" i="75"/>
  <c r="AD49" i="75"/>
  <c r="AD46" i="75"/>
  <c r="AD50" i="75"/>
  <c r="AD40" i="85"/>
  <c r="AD72" i="75"/>
  <c r="AD44" i="75"/>
  <c r="S49" i="75"/>
  <c r="S77" i="75"/>
  <c r="S44" i="75"/>
  <c r="S61" i="75"/>
  <c r="S72" i="75"/>
  <c r="S47" i="75"/>
  <c r="S58" i="75"/>
  <c r="S63" i="75"/>
  <c r="S57" i="75"/>
  <c r="S71" i="75"/>
  <c r="S46" i="75"/>
  <c r="S76" i="75"/>
  <c r="S62" i="75"/>
  <c r="AE75" i="85"/>
  <c r="N72" i="85"/>
  <c r="N76" i="85"/>
  <c r="P64" i="75"/>
  <c r="V61" i="85"/>
  <c r="AA48" i="85"/>
  <c r="M60" i="85"/>
  <c r="AG61" i="85"/>
  <c r="M73" i="85"/>
  <c r="U57" i="75"/>
  <c r="U63" i="75"/>
  <c r="U47" i="75"/>
  <c r="U72" i="75"/>
  <c r="U49" i="75"/>
  <c r="U77" i="75"/>
  <c r="U58" i="75"/>
  <c r="U71" i="75"/>
  <c r="U61" i="75"/>
  <c r="U44" i="75"/>
  <c r="U62" i="75"/>
  <c r="U46" i="75"/>
  <c r="U76" i="75"/>
  <c r="U48" i="75"/>
  <c r="U50" i="75"/>
  <c r="U40" i="85"/>
  <c r="AG72" i="75"/>
  <c r="AG46" i="85"/>
  <c r="AG49" i="75"/>
  <c r="AG63" i="75"/>
  <c r="AG71" i="75"/>
  <c r="AG47" i="75"/>
  <c r="AG58" i="75"/>
  <c r="AG57" i="75"/>
  <c r="AG61" i="75"/>
  <c r="AG77" i="75"/>
  <c r="AG44" i="75"/>
  <c r="AG62" i="75"/>
  <c r="AG64" i="75"/>
  <c r="AG76" i="75"/>
  <c r="AG78" i="75"/>
  <c r="AG46" i="75"/>
  <c r="AG48" i="75"/>
  <c r="C90" i="85"/>
  <c r="F67" i="33"/>
  <c r="K88" i="85"/>
  <c r="C98" i="85"/>
  <c r="F75" i="33"/>
  <c r="C97" i="85"/>
  <c r="F74" i="33"/>
  <c r="C96" i="85"/>
  <c r="F73" i="33"/>
  <c r="K59" i="85"/>
  <c r="R116" i="72" a="1"/>
  <c r="R116" i="72"/>
  <c r="R111" i="72" a="1"/>
  <c r="R111" i="72"/>
  <c r="R46" i="85"/>
  <c r="R113" i="72" a="1"/>
  <c r="R113" i="72"/>
  <c r="R48" i="85"/>
  <c r="R109" i="72" a="1"/>
  <c r="R109" i="72"/>
  <c r="R44" i="85"/>
  <c r="R114" i="72" a="1"/>
  <c r="R114" i="72"/>
  <c r="R112" i="72" a="1"/>
  <c r="R112" i="72"/>
  <c r="R47" i="85"/>
  <c r="R42" i="85"/>
  <c r="R115" i="72" a="1"/>
  <c r="R115" i="72"/>
  <c r="R110" i="72" a="1"/>
  <c r="R110" i="72"/>
  <c r="R45" i="85"/>
  <c r="Z50" i="75"/>
  <c r="Z40" i="85"/>
  <c r="N74" i="85"/>
  <c r="AE73" i="85"/>
  <c r="J44" i="85"/>
  <c r="AD64" i="75"/>
  <c r="S58" i="85"/>
  <c r="X76" i="85"/>
  <c r="N60" i="85"/>
  <c r="T75" i="85"/>
  <c r="T62" i="85"/>
  <c r="M61" i="85"/>
  <c r="K61" i="85"/>
  <c r="AG74" i="85"/>
  <c r="M72" i="85"/>
  <c r="AC47" i="75"/>
  <c r="AC71" i="75"/>
  <c r="AC61" i="75"/>
  <c r="AC57" i="75"/>
  <c r="AC72" i="75"/>
  <c r="AC7" i="85"/>
  <c r="AC58" i="75"/>
  <c r="AC77" i="75"/>
  <c r="AC78" i="75"/>
  <c r="AC49" i="75"/>
  <c r="AC63" i="75"/>
  <c r="AC64" i="75"/>
  <c r="AC44" i="75"/>
  <c r="AC46" i="75"/>
  <c r="AC50" i="75"/>
  <c r="AC40" i="85"/>
  <c r="L57" i="75"/>
  <c r="L77" i="75"/>
  <c r="L49" i="75"/>
  <c r="L58" i="75"/>
  <c r="L71" i="75"/>
  <c r="L63" i="75"/>
  <c r="L61" i="75"/>
  <c r="L72" i="75"/>
  <c r="L47" i="75"/>
  <c r="L46" i="75"/>
  <c r="L50" i="75"/>
  <c r="L40" i="85"/>
  <c r="L76" i="75"/>
  <c r="L62" i="75"/>
  <c r="L44" i="75"/>
  <c r="S48" i="75"/>
  <c r="S50" i="75"/>
  <c r="S40" i="85"/>
  <c r="O114" i="73" a="1"/>
  <c r="O114" i="73"/>
  <c r="O62" i="85"/>
  <c r="O113" i="73" a="1"/>
  <c r="O113" i="73"/>
  <c r="O61" i="85"/>
  <c r="O111" i="73" a="1"/>
  <c r="O111" i="73"/>
  <c r="O59" i="85"/>
  <c r="O115" i="73" a="1"/>
  <c r="O115" i="73"/>
  <c r="O56" i="85"/>
  <c r="O112" i="73" a="1"/>
  <c r="O112" i="73"/>
  <c r="O60" i="85"/>
  <c r="O110" i="73" a="1"/>
  <c r="O110" i="73"/>
  <c r="O58" i="85"/>
  <c r="O117" i="73" a="1"/>
  <c r="O117" i="73"/>
  <c r="O116" i="73" a="1"/>
  <c r="O116" i="73"/>
  <c r="I78" i="75"/>
  <c r="I115" i="72" a="1"/>
  <c r="I115" i="72"/>
  <c r="I116" i="72" a="1"/>
  <c r="I116" i="72"/>
  <c r="I109" i="72" a="1"/>
  <c r="I109" i="72"/>
  <c r="I44" i="85"/>
  <c r="I111" i="72" a="1"/>
  <c r="I111" i="72"/>
  <c r="I46" i="85"/>
  <c r="I114" i="72" a="1"/>
  <c r="I114" i="72"/>
  <c r="I110" i="72" a="1"/>
  <c r="I110" i="72"/>
  <c r="I45" i="85"/>
  <c r="I113" i="72" a="1"/>
  <c r="I113" i="72"/>
  <c r="I48" i="85"/>
  <c r="I112" i="72" a="1"/>
  <c r="I112" i="72"/>
  <c r="I47" i="85"/>
  <c r="I42" i="85"/>
  <c r="I70" i="85"/>
  <c r="I110" i="82" a="1"/>
  <c r="I110" i="82"/>
  <c r="I72" i="85"/>
  <c r="I117" i="82" a="1"/>
  <c r="I117" i="82"/>
  <c r="I116" i="82" a="1"/>
  <c r="I116" i="82"/>
  <c r="I115" i="82" a="1"/>
  <c r="I115" i="82"/>
  <c r="I111" i="82" a="1"/>
  <c r="I111" i="82"/>
  <c r="I73" i="85"/>
  <c r="I113" i="82" a="1"/>
  <c r="I113" i="82"/>
  <c r="I75" i="85"/>
  <c r="I112" i="82" a="1"/>
  <c r="I112" i="82"/>
  <c r="I74" i="85"/>
  <c r="I114" i="82" a="1"/>
  <c r="I114" i="82"/>
  <c r="I76" i="85"/>
  <c r="J77" i="85"/>
  <c r="W79" i="85"/>
  <c r="K79" i="85"/>
  <c r="K77" i="85"/>
  <c r="Y116" i="72" a="1"/>
  <c r="Y116" i="72"/>
  <c r="Y112" i="72" a="1"/>
  <c r="Y112" i="72"/>
  <c r="Y47" i="85"/>
  <c r="Y114" i="72" a="1"/>
  <c r="Y114" i="72"/>
  <c r="Y109" i="72" a="1"/>
  <c r="Y109" i="72"/>
  <c r="Y44" i="85"/>
  <c r="Y113" i="72" a="1"/>
  <c r="Y113" i="72"/>
  <c r="Y48" i="85"/>
  <c r="Y115" i="72" a="1"/>
  <c r="Y115" i="72"/>
  <c r="Y110" i="72" a="1"/>
  <c r="Y110" i="72"/>
  <c r="Y45" i="85"/>
  <c r="Y111" i="72" a="1"/>
  <c r="Y111" i="72"/>
  <c r="Y46" i="85"/>
  <c r="Y42" i="85"/>
  <c r="AC109" i="72" a="1"/>
  <c r="AC109" i="72"/>
  <c r="AC44" i="85"/>
  <c r="AC42" i="85"/>
  <c r="AC113" i="72" a="1"/>
  <c r="AC113" i="72"/>
  <c r="AC48" i="85"/>
  <c r="AC114" i="72" a="1"/>
  <c r="AC114" i="72"/>
  <c r="AC110" i="72" a="1"/>
  <c r="AC110" i="72"/>
  <c r="AC45" i="85"/>
  <c r="AC112" i="72" a="1"/>
  <c r="AC112" i="72"/>
  <c r="AC47" i="85"/>
  <c r="AC111" i="72" a="1"/>
  <c r="AC111" i="72"/>
  <c r="AC46" i="85"/>
  <c r="AC115" i="72" a="1"/>
  <c r="AC115" i="72"/>
  <c r="AC116" i="72" a="1"/>
  <c r="AC116" i="72"/>
  <c r="U50" i="85"/>
  <c r="U51" i="85"/>
  <c r="S77" i="85"/>
  <c r="S78" i="85"/>
  <c r="S79" i="85"/>
  <c r="X115" i="72" a="1"/>
  <c r="X115" i="72"/>
  <c r="X110" i="72" a="1"/>
  <c r="X110" i="72"/>
  <c r="X116" i="72" a="1"/>
  <c r="X116" i="72"/>
  <c r="X112" i="72" a="1"/>
  <c r="X112" i="72"/>
  <c r="X42" i="85"/>
  <c r="X113" i="72" a="1"/>
  <c r="X113" i="72"/>
  <c r="X111" i="72" a="1"/>
  <c r="X111" i="72"/>
  <c r="X114" i="72" a="1"/>
  <c r="X114" i="72"/>
  <c r="X109" i="72" a="1"/>
  <c r="X109" i="72"/>
  <c r="U79" i="85"/>
  <c r="U78" i="85"/>
  <c r="U77" i="85"/>
  <c r="AD114" i="82" a="1"/>
  <c r="AD114" i="82"/>
  <c r="AD76" i="85"/>
  <c r="AD115" i="82" a="1"/>
  <c r="AD115" i="82"/>
  <c r="AD113" i="82" a="1"/>
  <c r="AD113" i="82"/>
  <c r="AD116" i="82" a="1"/>
  <c r="AD116" i="82"/>
  <c r="AD112" i="82" a="1"/>
  <c r="AD112" i="82"/>
  <c r="AD70" i="85"/>
  <c r="AD111" i="82" a="1"/>
  <c r="AD111" i="82"/>
  <c r="AD73" i="85"/>
  <c r="AD117" i="82" a="1"/>
  <c r="AD117" i="82"/>
  <c r="AD110" i="82" a="1"/>
  <c r="AD110" i="82"/>
  <c r="AG50" i="85"/>
  <c r="AG49" i="85"/>
  <c r="AG65" i="85"/>
  <c r="AG63" i="85"/>
  <c r="AG64" i="85"/>
  <c r="S51" i="85"/>
  <c r="S50" i="85"/>
  <c r="S49" i="85"/>
  <c r="P110" i="72" a="1"/>
  <c r="P110" i="72"/>
  <c r="P45" i="85"/>
  <c r="P42" i="85"/>
  <c r="P112" i="72" a="1"/>
  <c r="P112" i="72"/>
  <c r="P47" i="85"/>
  <c r="P109" i="72" a="1"/>
  <c r="P109" i="72"/>
  <c r="P111" i="72" a="1"/>
  <c r="P111" i="72"/>
  <c r="P46" i="85"/>
  <c r="P115" i="72" a="1"/>
  <c r="P115" i="72"/>
  <c r="P114" i="72" a="1"/>
  <c r="P114" i="72"/>
  <c r="P116" i="72" a="1"/>
  <c r="P116" i="72"/>
  <c r="P113" i="72" a="1"/>
  <c r="P113" i="72"/>
  <c r="AA50" i="85"/>
  <c r="AA51" i="85"/>
  <c r="AA49" i="85"/>
  <c r="AE64" i="85"/>
  <c r="AE65" i="85"/>
  <c r="AE63" i="85"/>
  <c r="AD114" i="72" a="1"/>
  <c r="AD114" i="72"/>
  <c r="AD109" i="72" a="1"/>
  <c r="AD109" i="72"/>
  <c r="AD44" i="85"/>
  <c r="AD110" i="72" a="1"/>
  <c r="AD110" i="72"/>
  <c r="AD45" i="85"/>
  <c r="AD115" i="72" a="1"/>
  <c r="AD115" i="72"/>
  <c r="AD113" i="72" a="1"/>
  <c r="AD113" i="72"/>
  <c r="AD112" i="72" a="1"/>
  <c r="AD112" i="72"/>
  <c r="AD111" i="72" a="1"/>
  <c r="AD111" i="72"/>
  <c r="AD116" i="72" a="1"/>
  <c r="AD116" i="72"/>
  <c r="K65" i="85"/>
  <c r="K63" i="85"/>
  <c r="K64" i="85"/>
  <c r="P115" i="82" a="1"/>
  <c r="P115" i="82"/>
  <c r="P113" i="82" a="1"/>
  <c r="P113" i="82"/>
  <c r="P75" i="85"/>
  <c r="P112" i="82" a="1"/>
  <c r="P112" i="82"/>
  <c r="P74" i="85"/>
  <c r="P116" i="82" a="1"/>
  <c r="P116" i="82"/>
  <c r="P114" i="82" a="1"/>
  <c r="P114" i="82"/>
  <c r="P111" i="82" a="1"/>
  <c r="P111" i="82"/>
  <c r="P117" i="82" a="1"/>
  <c r="P117" i="82"/>
  <c r="P110" i="82" a="1"/>
  <c r="P110" i="82"/>
  <c r="P72" i="85"/>
  <c r="V64" i="85"/>
  <c r="V63" i="85"/>
  <c r="AD115" i="73" a="1"/>
  <c r="AD115" i="73"/>
  <c r="AD117" i="73" a="1"/>
  <c r="AD117" i="73"/>
  <c r="AD114" i="73" a="1"/>
  <c r="AD114" i="73"/>
  <c r="AD113" i="73" a="1"/>
  <c r="AD113" i="73"/>
  <c r="AD61" i="85"/>
  <c r="AD116" i="73" a="1"/>
  <c r="AD116" i="73"/>
  <c r="AD111" i="73" a="1"/>
  <c r="AD111" i="73"/>
  <c r="AD110" i="73" a="1"/>
  <c r="AD110" i="73"/>
  <c r="AD112" i="73" a="1"/>
  <c r="AD112" i="73"/>
  <c r="X63" i="85"/>
  <c r="AC111" i="82" a="1"/>
  <c r="AC111" i="82"/>
  <c r="AC73" i="85"/>
  <c r="AC112" i="82" a="1"/>
  <c r="AC112" i="82"/>
  <c r="AC74" i="85"/>
  <c r="AC113" i="82" a="1"/>
  <c r="AC113" i="82"/>
  <c r="AC75" i="85"/>
  <c r="AC114" i="82" a="1"/>
  <c r="AC114" i="82"/>
  <c r="AC76" i="85"/>
  <c r="AC115" i="82" a="1"/>
  <c r="AC115" i="82"/>
  <c r="AC70" i="85"/>
  <c r="AC117" i="82" a="1"/>
  <c r="AC117" i="82"/>
  <c r="AC110" i="82" a="1"/>
  <c r="AC110" i="82"/>
  <c r="AC72" i="85"/>
  <c r="AC116" i="82" a="1"/>
  <c r="AC116" i="82"/>
  <c r="O114" i="82" a="1"/>
  <c r="O114" i="82"/>
  <c r="O76" i="85"/>
  <c r="O70" i="85"/>
  <c r="O110" i="82" a="1"/>
  <c r="O110" i="82"/>
  <c r="O72" i="85"/>
  <c r="O113" i="82" a="1"/>
  <c r="O113" i="82"/>
  <c r="O75" i="85"/>
  <c r="O117" i="82" a="1"/>
  <c r="O117" i="82"/>
  <c r="O111" i="82" a="1"/>
  <c r="O111" i="82"/>
  <c r="O73" i="85"/>
  <c r="O115" i="82" a="1"/>
  <c r="O115" i="82"/>
  <c r="O112" i="82" a="1"/>
  <c r="O112" i="82"/>
  <c r="O74" i="85"/>
  <c r="O116" i="82" a="1"/>
  <c r="O116" i="82"/>
  <c r="Z110" i="72" a="1"/>
  <c r="Z110" i="72"/>
  <c r="Z45" i="85"/>
  <c r="Z42" i="85"/>
  <c r="Z111" i="72" a="1"/>
  <c r="Z111" i="72"/>
  <c r="Z46" i="85"/>
  <c r="Z109" i="72" a="1"/>
  <c r="Z109" i="72"/>
  <c r="Z44" i="85"/>
  <c r="Z112" i="72" a="1"/>
  <c r="Z112" i="72"/>
  <c r="Z47" i="85"/>
  <c r="Z114" i="72" a="1"/>
  <c r="Z114" i="72"/>
  <c r="Z116" i="72" a="1"/>
  <c r="Z116" i="72"/>
  <c r="Z113" i="72" a="1"/>
  <c r="Z113" i="72"/>
  <c r="Z48" i="85"/>
  <c r="Z115" i="72" a="1"/>
  <c r="Z115" i="72"/>
  <c r="P110" i="73" a="1"/>
  <c r="P110" i="73"/>
  <c r="P58" i="85"/>
  <c r="P113" i="73" a="1"/>
  <c r="P113" i="73"/>
  <c r="P61" i="85"/>
  <c r="P115" i="73" a="1"/>
  <c r="P115" i="73"/>
  <c r="P114" i="73" a="1"/>
  <c r="P114" i="73"/>
  <c r="P62" i="85"/>
  <c r="P112" i="73" a="1"/>
  <c r="P112" i="73"/>
  <c r="P60" i="85"/>
  <c r="P117" i="73" a="1"/>
  <c r="P117" i="73"/>
  <c r="P116" i="73" a="1"/>
  <c r="P116" i="73"/>
  <c r="P56" i="85"/>
  <c r="P111" i="73" a="1"/>
  <c r="P111" i="73"/>
  <c r="T63" i="85"/>
  <c r="T65" i="85"/>
  <c r="T64" i="85"/>
  <c r="L116" i="72" a="1"/>
  <c r="L116" i="72"/>
  <c r="L111" i="72" a="1"/>
  <c r="L111" i="72"/>
  <c r="L109" i="72" a="1"/>
  <c r="L109" i="72"/>
  <c r="L44" i="85"/>
  <c r="L110" i="72" a="1"/>
  <c r="L110" i="72"/>
  <c r="L45" i="85"/>
  <c r="L113" i="72" a="1"/>
  <c r="L113" i="72"/>
  <c r="L115" i="72" a="1"/>
  <c r="L115" i="72"/>
  <c r="L112" i="72" a="1"/>
  <c r="L112" i="72"/>
  <c r="L47" i="85"/>
  <c r="L114" i="72" a="1"/>
  <c r="L114" i="72"/>
  <c r="L42" i="85"/>
  <c r="L78" i="85"/>
  <c r="L79" i="85"/>
  <c r="N79" i="85"/>
  <c r="N78" i="85"/>
  <c r="N77" i="85"/>
  <c r="N64" i="85"/>
  <c r="N63" i="85"/>
  <c r="N65" i="85"/>
  <c r="T79" i="85"/>
  <c r="T77" i="85"/>
  <c r="T78" i="85"/>
  <c r="Q114" i="73" a="1"/>
  <c r="Q114" i="73"/>
  <c r="Q62" i="85"/>
  <c r="Q112" i="73" a="1"/>
  <c r="Q112" i="73"/>
  <c r="Q60" i="85"/>
  <c r="Q113" i="73" a="1"/>
  <c r="Q113" i="73"/>
  <c r="Q61" i="85"/>
  <c r="Q117" i="73" a="1"/>
  <c r="Q117" i="73"/>
  <c r="Q111" i="73" a="1"/>
  <c r="Q111" i="73"/>
  <c r="Q59" i="85"/>
  <c r="Q115" i="73" a="1"/>
  <c r="Q115" i="73"/>
  <c r="Q116" i="73" a="1"/>
  <c r="Q116" i="73"/>
  <c r="Q56" i="85"/>
  <c r="Q110" i="73" a="1"/>
  <c r="Q110" i="73"/>
  <c r="Q58" i="85"/>
  <c r="K113" i="72" a="1"/>
  <c r="K113" i="72"/>
  <c r="K48" i="85"/>
  <c r="K109" i="72" a="1"/>
  <c r="K109" i="72"/>
  <c r="K44" i="85"/>
  <c r="K111" i="72" a="1"/>
  <c r="K111" i="72"/>
  <c r="K46" i="85"/>
  <c r="K110" i="72" a="1"/>
  <c r="K110" i="72"/>
  <c r="K45" i="85"/>
  <c r="K112" i="72" a="1"/>
  <c r="K112" i="72"/>
  <c r="K47" i="85"/>
  <c r="K116" i="72" a="1"/>
  <c r="K116" i="72"/>
  <c r="K115" i="72" a="1"/>
  <c r="K115" i="72"/>
  <c r="K42" i="85"/>
  <c r="K114" i="72" a="1"/>
  <c r="K114" i="72"/>
  <c r="I115" i="73" a="1"/>
  <c r="I115" i="73"/>
  <c r="I111" i="73" a="1"/>
  <c r="I111" i="73"/>
  <c r="I59" i="85"/>
  <c r="I112" i="73" a="1"/>
  <c r="I112" i="73"/>
  <c r="I60" i="85"/>
  <c r="I116" i="73" a="1"/>
  <c r="I116" i="73"/>
  <c r="I114" i="73" a="1"/>
  <c r="I114" i="73"/>
  <c r="I62" i="85"/>
  <c r="I113" i="73" a="1"/>
  <c r="I113" i="73"/>
  <c r="I61" i="85"/>
  <c r="I110" i="73" a="1"/>
  <c r="I110" i="73"/>
  <c r="I58" i="85"/>
  <c r="I117" i="73" a="1"/>
  <c r="I117" i="73"/>
  <c r="I56" i="85"/>
  <c r="M77" i="85"/>
  <c r="M79" i="85"/>
  <c r="M78" i="85"/>
  <c r="J50" i="85"/>
  <c r="J51" i="85"/>
  <c r="O113" i="72" a="1"/>
  <c r="O113" i="72"/>
  <c r="O48" i="85"/>
  <c r="O42" i="85"/>
  <c r="O114" i="72" a="1"/>
  <c r="O114" i="72"/>
  <c r="O111" i="72" a="1"/>
  <c r="O111" i="72"/>
  <c r="O46" i="85"/>
  <c r="O115" i="72" a="1"/>
  <c r="O115" i="72"/>
  <c r="O110" i="72" a="1"/>
  <c r="O110" i="72"/>
  <c r="O45" i="85"/>
  <c r="O109" i="72" a="1"/>
  <c r="O109" i="72"/>
  <c r="O44" i="85"/>
  <c r="O116" i="72" a="1"/>
  <c r="O116" i="72"/>
  <c r="O112" i="72" a="1"/>
  <c r="O112" i="72"/>
  <c r="O47" i="85"/>
  <c r="M63" i="85"/>
  <c r="M65" i="85"/>
  <c r="M64" i="85"/>
  <c r="AE49" i="85"/>
  <c r="AE50" i="85"/>
  <c r="AE51" i="85"/>
  <c r="X77" i="85"/>
  <c r="AG79" i="85"/>
  <c r="AG78" i="85"/>
  <c r="AG77" i="85"/>
  <c r="AE77" i="85"/>
  <c r="AE79" i="85"/>
  <c r="AE78" i="85"/>
  <c r="S63" i="85"/>
  <c r="S65" i="85"/>
  <c r="S64" i="85"/>
  <c r="Q112" i="72" a="1"/>
  <c r="Q112" i="72"/>
  <c r="Q47" i="85"/>
  <c r="Q42" i="85"/>
  <c r="Q109" i="72" a="1"/>
  <c r="Q109" i="72"/>
  <c r="Q44" i="85"/>
  <c r="Q110" i="72" a="1"/>
  <c r="Q110" i="72"/>
  <c r="Q45" i="85"/>
  <c r="Q111" i="72" a="1"/>
  <c r="Q111" i="72"/>
  <c r="Q46" i="85"/>
  <c r="Q113" i="72" a="1"/>
  <c r="Q113" i="72"/>
  <c r="Q48" i="85"/>
  <c r="Q114" i="72" a="1"/>
  <c r="Q114" i="72"/>
  <c r="Q116" i="72" a="1"/>
  <c r="Q116" i="72"/>
  <c r="Q115" i="72" a="1"/>
  <c r="Q115" i="72"/>
  <c r="L63" i="85"/>
  <c r="L65" i="85"/>
  <c r="AC117" i="73" a="1"/>
  <c r="AC117" i="73"/>
  <c r="AC116" i="73" a="1"/>
  <c r="AC116" i="73"/>
  <c r="AC114" i="73" a="1"/>
  <c r="AC114" i="73"/>
  <c r="AC62" i="85"/>
  <c r="AC56" i="85"/>
  <c r="AC113" i="73" a="1"/>
  <c r="AC113" i="73"/>
  <c r="AC61" i="85"/>
  <c r="AC110" i="73" a="1"/>
  <c r="AC110" i="73"/>
  <c r="AC58" i="85"/>
  <c r="AC115" i="73" a="1"/>
  <c r="AC115" i="73"/>
  <c r="AC111" i="73" a="1"/>
  <c r="AC111" i="73"/>
  <c r="AC59" i="85"/>
  <c r="AC112" i="73" a="1"/>
  <c r="AC112" i="73"/>
  <c r="AC60" i="85"/>
  <c r="V51" i="85"/>
  <c r="T110" i="72" a="1"/>
  <c r="T110" i="72"/>
  <c r="T45" i="85"/>
  <c r="T112" i="72" a="1"/>
  <c r="T112" i="72"/>
  <c r="T47" i="85"/>
  <c r="T42" i="85"/>
  <c r="T109" i="72" a="1"/>
  <c r="T109" i="72"/>
  <c r="T44" i="85"/>
  <c r="T111" i="72" a="1"/>
  <c r="T111" i="72"/>
  <c r="T46" i="85"/>
  <c r="T114" i="72" a="1"/>
  <c r="T114" i="72"/>
  <c r="T113" i="72" a="1"/>
  <c r="T113" i="72"/>
  <c r="T48" i="85"/>
  <c r="T115" i="72" a="1"/>
  <c r="T115" i="72"/>
  <c r="T116" i="72" a="1"/>
  <c r="T116" i="72"/>
  <c r="Q70" i="85"/>
  <c r="Q110" i="82" a="1"/>
  <c r="Q110" i="82"/>
  <c r="Q72" i="85"/>
  <c r="Q117" i="82" a="1"/>
  <c r="Q117" i="82"/>
  <c r="Q116" i="82" a="1"/>
  <c r="Q116" i="82"/>
  <c r="Q114" i="82" a="1"/>
  <c r="Q114" i="82"/>
  <c r="Q76" i="85"/>
  <c r="Q113" i="82" a="1"/>
  <c r="Q113" i="82"/>
  <c r="Q75" i="85"/>
  <c r="Q112" i="82" a="1"/>
  <c r="Q112" i="82"/>
  <c r="Q74" i="85"/>
  <c r="Q115" i="82" a="1"/>
  <c r="Q115" i="82"/>
  <c r="Q111" i="82" a="1"/>
  <c r="Q111" i="82"/>
  <c r="Q73" i="85"/>
  <c r="U65" i="85"/>
  <c r="U64" i="85"/>
  <c r="U63" i="85"/>
  <c r="N51" i="85"/>
  <c r="M51" i="85"/>
  <c r="M50" i="85"/>
  <c r="I96" i="85"/>
  <c r="F44" i="75"/>
  <c r="F80" i="75"/>
  <c r="W47" i="85"/>
  <c r="W48" i="85"/>
  <c r="M50" i="75"/>
  <c r="M40" i="85"/>
  <c r="AE64" i="75"/>
  <c r="X47" i="85"/>
  <c r="W78" i="85"/>
  <c r="W72" i="85"/>
  <c r="U48" i="85"/>
  <c r="W45" i="85"/>
  <c r="S47" i="85"/>
  <c r="S73" i="85"/>
  <c r="Z16" i="85"/>
  <c r="Z22" i="85"/>
  <c r="Z19" i="85"/>
  <c r="Z18" i="85"/>
  <c r="Z20" i="85"/>
  <c r="Z17" i="85"/>
  <c r="Z21" i="85"/>
  <c r="Z23" i="85"/>
  <c r="Z56" i="85"/>
  <c r="Z70" i="85"/>
  <c r="Z76" i="85"/>
  <c r="Z65" i="85"/>
  <c r="Z64" i="85"/>
  <c r="Z59" i="85"/>
  <c r="Z63" i="85"/>
  <c r="Z79" i="85"/>
  <c r="Z75" i="85"/>
  <c r="Z77" i="85"/>
  <c r="Z74" i="85"/>
  <c r="Z61" i="85"/>
  <c r="Z73" i="85"/>
  <c r="Z78" i="85"/>
  <c r="Z58" i="85"/>
  <c r="Z62" i="85"/>
  <c r="Z72" i="85"/>
  <c r="Z60" i="85"/>
  <c r="F58" i="75"/>
  <c r="F71" i="75"/>
  <c r="N45" i="85"/>
  <c r="M20" i="85"/>
  <c r="M19" i="85"/>
  <c r="M17" i="85"/>
  <c r="M18" i="85"/>
  <c r="M21" i="85"/>
  <c r="M16" i="85"/>
  <c r="M23" i="85"/>
  <c r="M22" i="85"/>
  <c r="M42" i="85"/>
  <c r="M56" i="85"/>
  <c r="M70" i="85"/>
  <c r="AA50" i="75"/>
  <c r="AA40" i="85"/>
  <c r="AE78" i="75"/>
  <c r="W19" i="85"/>
  <c r="W17" i="85"/>
  <c r="W21" i="85"/>
  <c r="W23" i="85"/>
  <c r="W18" i="85"/>
  <c r="W20" i="85"/>
  <c r="W22" i="85"/>
  <c r="W16" i="85"/>
  <c r="W70" i="85"/>
  <c r="W42" i="85"/>
  <c r="W56" i="85"/>
  <c r="W46" i="85"/>
  <c r="AD62" i="85"/>
  <c r="AD74" i="85"/>
  <c r="W77" i="85"/>
  <c r="AC22" i="85"/>
  <c r="AC17" i="85"/>
  <c r="AC19" i="85"/>
  <c r="AC16" i="85"/>
  <c r="AC21" i="85"/>
  <c r="AC20" i="85"/>
  <c r="AC23" i="85"/>
  <c r="AC18" i="85"/>
  <c r="X62" i="85"/>
  <c r="U78" i="75"/>
  <c r="S64" i="75"/>
  <c r="W60" i="85"/>
  <c r="U58" i="85"/>
  <c r="W44" i="85"/>
  <c r="U76" i="85"/>
  <c r="J62" i="85"/>
  <c r="Y16" i="85"/>
  <c r="Y22" i="85"/>
  <c r="Y19" i="85"/>
  <c r="Y17" i="85"/>
  <c r="Y20" i="85"/>
  <c r="Y23" i="85"/>
  <c r="Y18" i="85"/>
  <c r="Y21" i="85"/>
  <c r="Y70" i="85"/>
  <c r="Y56" i="85"/>
  <c r="Y59" i="85"/>
  <c r="Y76" i="85"/>
  <c r="Y77" i="85"/>
  <c r="Y64" i="85"/>
  <c r="Y62" i="85"/>
  <c r="Y63" i="85"/>
  <c r="Y65" i="85"/>
  <c r="Y75" i="85"/>
  <c r="Y72" i="85"/>
  <c r="Y58" i="85"/>
  <c r="Y73" i="85"/>
  <c r="Y79" i="85"/>
  <c r="Y74" i="85"/>
  <c r="Y61" i="85"/>
  <c r="Y60" i="85"/>
  <c r="Y78" i="85"/>
  <c r="U75" i="85"/>
  <c r="U44" i="85"/>
  <c r="M64" i="75"/>
  <c r="AB78" i="75"/>
  <c r="AB16" i="85"/>
  <c r="AB22" i="85"/>
  <c r="AB19" i="85"/>
  <c r="AB20" i="85"/>
  <c r="AB18" i="85"/>
  <c r="AB21" i="85"/>
  <c r="AB17" i="85"/>
  <c r="AB23" i="85"/>
  <c r="AB70" i="85"/>
  <c r="AB56" i="85"/>
  <c r="AB60" i="85"/>
  <c r="AB79" i="85"/>
  <c r="AB73" i="85"/>
  <c r="AB59" i="85"/>
  <c r="AB65" i="85"/>
  <c r="AB61" i="85"/>
  <c r="AB64" i="85"/>
  <c r="AB77" i="85"/>
  <c r="AB62" i="85"/>
  <c r="AB58" i="85"/>
  <c r="AB63" i="85"/>
  <c r="AB76" i="85"/>
  <c r="AB78" i="85"/>
  <c r="AB72" i="85"/>
  <c r="AB75" i="85"/>
  <c r="AB74" i="85"/>
  <c r="H70" i="85"/>
  <c r="H16" i="85"/>
  <c r="H77" i="85"/>
  <c r="H47" i="85"/>
  <c r="H21" i="85"/>
  <c r="H75" i="85"/>
  <c r="H46" i="85"/>
  <c r="H62" i="85"/>
  <c r="H23" i="85"/>
  <c r="H20" i="85"/>
  <c r="H33" i="85"/>
  <c r="H78" i="85"/>
  <c r="H50" i="85"/>
  <c r="H28" i="85"/>
  <c r="H48" i="85"/>
  <c r="H79" i="85"/>
  <c r="H60" i="85"/>
  <c r="H18" i="85"/>
  <c r="H76" i="85"/>
  <c r="H74" i="85"/>
  <c r="H44" i="85"/>
  <c r="H35" i="85"/>
  <c r="H32" i="85"/>
  <c r="H22" i="85"/>
  <c r="H37" i="85"/>
  <c r="H30" i="85"/>
  <c r="H51" i="85"/>
  <c r="H56" i="85"/>
  <c r="H64" i="85"/>
  <c r="H17" i="85"/>
  <c r="H58" i="85"/>
  <c r="H19" i="85"/>
  <c r="H34" i="85"/>
  <c r="H49" i="85"/>
  <c r="H72" i="85"/>
  <c r="H45" i="85"/>
  <c r="H42" i="85"/>
  <c r="H65" i="85"/>
  <c r="H59" i="85"/>
  <c r="H63" i="85"/>
  <c r="H31" i="85"/>
  <c r="H73" i="85"/>
  <c r="H61" i="85"/>
  <c r="H36" i="85"/>
  <c r="V76" i="85"/>
  <c r="AF78" i="75"/>
  <c r="X45" i="85"/>
  <c r="L20" i="85"/>
  <c r="L22" i="85"/>
  <c r="L23" i="85"/>
  <c r="L21" i="85"/>
  <c r="L19" i="85"/>
  <c r="L18" i="85"/>
  <c r="L16" i="85"/>
  <c r="L17" i="85"/>
  <c r="L56" i="85"/>
  <c r="L70" i="85"/>
  <c r="W76" i="85"/>
  <c r="V59" i="85"/>
  <c r="S78" i="75"/>
  <c r="AD17" i="85"/>
  <c r="AD19" i="85"/>
  <c r="AD16" i="85"/>
  <c r="AD21" i="85"/>
  <c r="AD23" i="85"/>
  <c r="AD20" i="85"/>
  <c r="AD22" i="85"/>
  <c r="AD18" i="85"/>
  <c r="K16" i="85"/>
  <c r="K22" i="85"/>
  <c r="K21" i="85"/>
  <c r="K20" i="85"/>
  <c r="K23" i="85"/>
  <c r="K18" i="85"/>
  <c r="K17" i="85"/>
  <c r="K19" i="85"/>
  <c r="K70" i="85"/>
  <c r="K56" i="85"/>
  <c r="O23" i="85"/>
  <c r="O21" i="85"/>
  <c r="O19" i="85"/>
  <c r="O20" i="85"/>
  <c r="O17" i="85"/>
  <c r="O22" i="85"/>
  <c r="O16" i="85"/>
  <c r="O18" i="85"/>
  <c r="F47" i="75"/>
  <c r="AA16" i="85"/>
  <c r="AA17" i="85"/>
  <c r="AA22" i="85"/>
  <c r="AA19" i="85"/>
  <c r="AA23" i="85"/>
  <c r="AA79" i="85"/>
  <c r="AA18" i="85"/>
  <c r="AA21" i="85"/>
  <c r="AA20" i="85"/>
  <c r="AA70" i="85"/>
  <c r="AA77" i="85"/>
  <c r="AA78" i="85"/>
  <c r="AA75" i="85"/>
  <c r="AA72" i="85"/>
  <c r="AA76" i="85"/>
  <c r="AA56" i="85"/>
  <c r="AA74" i="85"/>
  <c r="AA73" i="85"/>
  <c r="AA58" i="85"/>
  <c r="AA60" i="85"/>
  <c r="AA62" i="85"/>
  <c r="AA63" i="85"/>
  <c r="AA65" i="85"/>
  <c r="AA64" i="85"/>
  <c r="AA59" i="85"/>
  <c r="AA42" i="85"/>
  <c r="AA61" i="85"/>
  <c r="V73" i="85"/>
  <c r="AB64" i="75"/>
  <c r="AF64" i="75"/>
  <c r="T64" i="75"/>
  <c r="AG50" i="75"/>
  <c r="AG40" i="85"/>
  <c r="L77" i="85"/>
  <c r="P59" i="85"/>
  <c r="P44" i="85"/>
  <c r="AD75" i="85"/>
  <c r="N50" i="85"/>
  <c r="AG45" i="85"/>
  <c r="V74" i="85"/>
  <c r="U64" i="75"/>
  <c r="L60" i="85"/>
  <c r="S18" i="85"/>
  <c r="S22" i="85"/>
  <c r="S19" i="85"/>
  <c r="S20" i="85"/>
  <c r="S21" i="85"/>
  <c r="S23" i="85"/>
  <c r="S17" i="85"/>
  <c r="S16" i="85"/>
  <c r="S56" i="85"/>
  <c r="S70" i="85"/>
  <c r="S42" i="85"/>
  <c r="AB50" i="75"/>
  <c r="AB40" i="85"/>
  <c r="L76" i="85"/>
  <c r="AF49" i="85"/>
  <c r="AF51" i="85"/>
  <c r="AF50" i="85"/>
  <c r="V50" i="75"/>
  <c r="V40" i="85"/>
  <c r="N46" i="85"/>
  <c r="L58" i="85"/>
  <c r="J64" i="75"/>
  <c r="K74" i="85"/>
  <c r="X59" i="85"/>
  <c r="AG60" i="85"/>
  <c r="AF21" i="85"/>
  <c r="AF16" i="85"/>
  <c r="AF20" i="85"/>
  <c r="AF23" i="85"/>
  <c r="AF18" i="85"/>
  <c r="AF22" i="85"/>
  <c r="AF17" i="85"/>
  <c r="AF19" i="85"/>
  <c r="AF70" i="85"/>
  <c r="AF56" i="85"/>
  <c r="AF75" i="85"/>
  <c r="AF74" i="85"/>
  <c r="AF61" i="85"/>
  <c r="AF78" i="85"/>
  <c r="AF59" i="85"/>
  <c r="AF77" i="85"/>
  <c r="AF79" i="85"/>
  <c r="AF72" i="85"/>
  <c r="AF73" i="85"/>
  <c r="AF60" i="85"/>
  <c r="AF64" i="85"/>
  <c r="AF58" i="85"/>
  <c r="AF65" i="85"/>
  <c r="AF63" i="85"/>
  <c r="AF62" i="85"/>
  <c r="AF76" i="85"/>
  <c r="T21" i="85"/>
  <c r="T17" i="85"/>
  <c r="T18" i="85"/>
  <c r="T20" i="85"/>
  <c r="T23" i="85"/>
  <c r="T16" i="85"/>
  <c r="T22" i="85"/>
  <c r="T19" i="85"/>
  <c r="T56" i="85"/>
  <c r="T70" i="85"/>
  <c r="R19" i="85"/>
  <c r="R18" i="85"/>
  <c r="R21" i="85"/>
  <c r="R17" i="85"/>
  <c r="R23" i="85"/>
  <c r="R16" i="85"/>
  <c r="R22" i="85"/>
  <c r="R20" i="85"/>
  <c r="R56" i="85"/>
  <c r="R58" i="85"/>
  <c r="R70" i="85"/>
  <c r="R60" i="85"/>
  <c r="R62" i="85"/>
  <c r="R61" i="85"/>
  <c r="R59" i="85"/>
  <c r="R64" i="85"/>
  <c r="R63" i="85"/>
  <c r="R65" i="85"/>
  <c r="R73" i="85"/>
  <c r="R78" i="85"/>
  <c r="R74" i="85"/>
  <c r="R75" i="85"/>
  <c r="R79" i="85"/>
  <c r="R76" i="85"/>
  <c r="R72" i="85"/>
  <c r="R77" i="85"/>
  <c r="AG75" i="85"/>
  <c r="W75" i="85"/>
  <c r="R49" i="85"/>
  <c r="R51" i="85"/>
  <c r="R50" i="85"/>
  <c r="V17" i="85"/>
  <c r="V18" i="85"/>
  <c r="V23" i="85"/>
  <c r="V21" i="85"/>
  <c r="V20" i="85"/>
  <c r="V22" i="85"/>
  <c r="V19" i="85"/>
  <c r="V16" i="85"/>
  <c r="V42" i="85"/>
  <c r="V70" i="85"/>
  <c r="V56" i="85"/>
  <c r="K64" i="75"/>
  <c r="P22" i="85"/>
  <c r="P19" i="85"/>
  <c r="P16" i="85"/>
  <c r="P17" i="85"/>
  <c r="P23" i="85"/>
  <c r="P21" i="85"/>
  <c r="P18" i="85"/>
  <c r="P20" i="85"/>
  <c r="F63" i="75"/>
  <c r="N62" i="85"/>
  <c r="AA64" i="75"/>
  <c r="AE19" i="85"/>
  <c r="AE16" i="85"/>
  <c r="AE21" i="85"/>
  <c r="AE23" i="85"/>
  <c r="AE20" i="85"/>
  <c r="AE22" i="85"/>
  <c r="AE17" i="85"/>
  <c r="AE18" i="85"/>
  <c r="AE70" i="85"/>
  <c r="AE56" i="85"/>
  <c r="AE42" i="85"/>
  <c r="N61" i="85"/>
  <c r="K75" i="85"/>
  <c r="F62" i="75"/>
  <c r="F67" i="75"/>
  <c r="V65" i="85"/>
  <c r="K96" i="85"/>
  <c r="L73" i="33"/>
  <c r="K98" i="85"/>
  <c r="L75" i="33"/>
  <c r="K97" i="85"/>
  <c r="L74" i="33"/>
  <c r="J50" i="75"/>
  <c r="J40" i="85"/>
  <c r="U59" i="85"/>
  <c r="V48" i="85"/>
  <c r="N58" i="85"/>
  <c r="AG62" i="85"/>
  <c r="L72" i="85"/>
  <c r="AG73" i="85"/>
  <c r="AE76" i="85"/>
  <c r="AA78" i="75"/>
  <c r="Q78" i="75"/>
  <c r="Q21" i="85"/>
  <c r="Q23" i="85"/>
  <c r="Q18" i="85"/>
  <c r="Q17" i="85"/>
  <c r="Q19" i="85"/>
  <c r="Q20" i="85"/>
  <c r="Q22" i="85"/>
  <c r="Q16" i="85"/>
  <c r="T59" i="85"/>
  <c r="V62" i="85"/>
  <c r="X18" i="85"/>
  <c r="X20" i="85"/>
  <c r="X23" i="85"/>
  <c r="X17" i="85"/>
  <c r="X16" i="85"/>
  <c r="X22" i="85"/>
  <c r="X21" i="85"/>
  <c r="X19" i="85"/>
  <c r="X70" i="85"/>
  <c r="X56" i="85"/>
  <c r="J23" i="85"/>
  <c r="J20" i="85"/>
  <c r="J18" i="85"/>
  <c r="J22" i="85"/>
  <c r="J17" i="85"/>
  <c r="J19" i="85"/>
  <c r="J16" i="85"/>
  <c r="J21" i="85"/>
  <c r="J70" i="85"/>
  <c r="J42" i="85"/>
  <c r="J56" i="85"/>
  <c r="F49" i="75"/>
  <c r="F61" i="75"/>
  <c r="F66" i="75"/>
  <c r="F76" i="75"/>
  <c r="AB49" i="85"/>
  <c r="AB50" i="85"/>
  <c r="AB51" i="85"/>
  <c r="V50" i="85"/>
  <c r="X65" i="85"/>
  <c r="P70" i="85"/>
  <c r="AD42" i="85"/>
  <c r="X75" i="85"/>
  <c r="I98" i="85"/>
  <c r="J76" i="85"/>
  <c r="V47" i="85"/>
  <c r="N78" i="75"/>
  <c r="N23" i="85"/>
  <c r="N18" i="85"/>
  <c r="N21" i="85"/>
  <c r="N22" i="85"/>
  <c r="N19" i="85"/>
  <c r="N16" i="85"/>
  <c r="N20" i="85"/>
  <c r="N17" i="85"/>
  <c r="N42" i="85"/>
  <c r="N70" i="85"/>
  <c r="N56" i="85"/>
  <c r="J48" i="85"/>
  <c r="U60" i="85"/>
  <c r="AG47" i="85"/>
  <c r="AG72" i="85"/>
  <c r="X73" i="85"/>
  <c r="F46" i="75"/>
  <c r="F52" i="75"/>
  <c r="W65" i="85"/>
  <c r="X79" i="85"/>
  <c r="J49" i="85"/>
  <c r="V49" i="85"/>
  <c r="L64" i="85"/>
  <c r="W64" i="85"/>
  <c r="X78" i="85"/>
  <c r="V79" i="85"/>
  <c r="L48" i="85"/>
  <c r="AD56" i="85"/>
  <c r="AD46" i="85"/>
  <c r="AG51" i="85"/>
  <c r="X44" i="85"/>
  <c r="U49" i="85"/>
  <c r="K78" i="85"/>
  <c r="J65" i="85"/>
  <c r="W51" i="85"/>
  <c r="L64" i="75"/>
  <c r="W62" i="85"/>
  <c r="K62" i="85"/>
  <c r="X74" i="85"/>
  <c r="J59" i="85"/>
  <c r="AG44" i="85"/>
  <c r="U61" i="85"/>
  <c r="X60" i="85"/>
  <c r="F77" i="75"/>
  <c r="V58" i="85"/>
  <c r="AG76" i="85"/>
  <c r="AE44" i="85"/>
  <c r="X58" i="85"/>
  <c r="W73" i="85"/>
  <c r="V78" i="85"/>
  <c r="AD60" i="85"/>
  <c r="P73" i="85"/>
  <c r="AD47" i="85"/>
  <c r="I50" i="75"/>
  <c r="I40" i="85"/>
  <c r="J63" i="85"/>
  <c r="W49" i="85"/>
  <c r="U17" i="85"/>
  <c r="U22" i="85"/>
  <c r="U19" i="85"/>
  <c r="U18" i="85"/>
  <c r="U23" i="85"/>
  <c r="U16" i="85"/>
  <c r="U21" i="85"/>
  <c r="U20" i="85"/>
  <c r="U70" i="85"/>
  <c r="U56" i="85"/>
  <c r="U42" i="85"/>
  <c r="W59" i="85"/>
  <c r="K60" i="85"/>
  <c r="N64" i="75"/>
  <c r="V60" i="85"/>
  <c r="N47" i="85"/>
  <c r="W61" i="85"/>
  <c r="F57" i="75"/>
  <c r="I18" i="85"/>
  <c r="I22" i="85"/>
  <c r="I19" i="85"/>
  <c r="I17" i="85"/>
  <c r="I16" i="85"/>
  <c r="I21" i="85"/>
  <c r="I23" i="85"/>
  <c r="I20" i="85"/>
  <c r="V46" i="85"/>
  <c r="U46" i="85"/>
  <c r="V72" i="85"/>
  <c r="AE47" i="85"/>
  <c r="K58" i="85"/>
  <c r="W78" i="75"/>
  <c r="Y78" i="75"/>
  <c r="V77" i="85"/>
  <c r="AD58" i="85"/>
  <c r="P76" i="85"/>
  <c r="AD48" i="85"/>
  <c r="AD72" i="85"/>
  <c r="X46" i="85"/>
  <c r="F48" i="75"/>
  <c r="F53" i="75"/>
  <c r="J79" i="85"/>
  <c r="J64" i="85"/>
  <c r="W50" i="85"/>
  <c r="L78" i="75"/>
  <c r="L75" i="85"/>
  <c r="J58" i="85"/>
  <c r="AG17" i="85"/>
  <c r="AG19" i="85"/>
  <c r="AG16" i="85"/>
  <c r="AG21" i="85"/>
  <c r="AG23" i="85"/>
  <c r="AG20" i="85"/>
  <c r="AG22" i="85"/>
  <c r="AG18" i="85"/>
  <c r="AG56" i="85"/>
  <c r="AG70" i="85"/>
  <c r="AG42" i="85"/>
  <c r="L62" i="85"/>
  <c r="U74" i="85"/>
  <c r="K72" i="85"/>
  <c r="J60" i="85"/>
  <c r="N48" i="85"/>
  <c r="J72" i="85"/>
  <c r="F72" i="75"/>
  <c r="V75" i="85"/>
  <c r="AE45" i="85"/>
  <c r="L73" i="85"/>
  <c r="J45" i="85"/>
  <c r="X61" i="85"/>
  <c r="AE61" i="85"/>
  <c r="R78" i="75"/>
  <c r="W63" i="85"/>
  <c r="I64" i="75"/>
  <c r="L46" i="85"/>
  <c r="AD59" i="85"/>
  <c r="P48" i="85"/>
  <c r="X48" i="85"/>
  <c r="J78" i="85"/>
  <c r="U73" i="85"/>
  <c r="I97" i="85"/>
  <c r="U62" i="85"/>
  <c r="AG48" i="85"/>
  <c r="X72" i="85"/>
  <c r="U72" i="85"/>
  <c r="U47" i="85"/>
  <c r="Z78" i="75"/>
  <c r="M78" i="75"/>
  <c r="J73" i="85"/>
  <c r="AE58" i="85"/>
  <c r="S72" i="85"/>
  <c r="R50" i="75"/>
  <c r="R40" i="85"/>
  <c r="R64" i="75"/>
  <c r="X51" i="85"/>
  <c r="X50" i="85"/>
  <c r="X49" i="85"/>
  <c r="P49" i="85"/>
  <c r="P51" i="85"/>
  <c r="P50" i="85"/>
  <c r="Q78" i="85"/>
  <c r="Q79" i="85"/>
  <c r="Q77" i="85"/>
  <c r="Z49" i="85"/>
  <c r="Z51" i="85"/>
  <c r="Z50" i="85"/>
  <c r="P79" i="85"/>
  <c r="P77" i="85"/>
  <c r="P78" i="85"/>
  <c r="AD51" i="85"/>
  <c r="AD49" i="85"/>
  <c r="AD50" i="85"/>
  <c r="AC51" i="85"/>
  <c r="AC49" i="85"/>
  <c r="AC50" i="85"/>
  <c r="O51" i="85"/>
  <c r="O49" i="85"/>
  <c r="O50" i="85"/>
  <c r="Q65" i="85"/>
  <c r="Q64" i="85"/>
  <c r="Q63" i="85"/>
  <c r="T51" i="85"/>
  <c r="T50" i="85"/>
  <c r="T49" i="85"/>
  <c r="I51" i="85"/>
  <c r="I49" i="85"/>
  <c r="I50" i="85"/>
  <c r="P63" i="85"/>
  <c r="P65" i="85"/>
  <c r="P64" i="85"/>
  <c r="AC65" i="85"/>
  <c r="AC63" i="85"/>
  <c r="AC64" i="85"/>
  <c r="Q51" i="85"/>
  <c r="Q50" i="85"/>
  <c r="Q49" i="85"/>
  <c r="I64" i="85"/>
  <c r="I63" i="85"/>
  <c r="I65" i="85"/>
  <c r="K50" i="85"/>
  <c r="K49" i="85"/>
  <c r="K51" i="85"/>
  <c r="AD63" i="85"/>
  <c r="AD65" i="85"/>
  <c r="AD64" i="85"/>
  <c r="O63" i="85"/>
  <c r="O64" i="85"/>
  <c r="O65" i="85"/>
  <c r="AD77" i="85"/>
  <c r="AD78" i="85"/>
  <c r="AD79" i="85"/>
  <c r="Y49" i="85"/>
  <c r="Y51" i="85"/>
  <c r="Y50" i="85"/>
  <c r="I78" i="85"/>
  <c r="I79" i="85"/>
  <c r="I77" i="85"/>
  <c r="O77" i="85"/>
  <c r="O78" i="85"/>
  <c r="O79" i="85"/>
  <c r="L51" i="85"/>
  <c r="L49" i="85"/>
  <c r="L50" i="85"/>
  <c r="AC77" i="85"/>
  <c r="AC79" i="85"/>
  <c r="AC78" i="85"/>
  <c r="F76" i="85"/>
  <c r="F58" i="85"/>
  <c r="F59" i="85"/>
  <c r="F45" i="85"/>
  <c r="E92" i="85"/>
  <c r="H69" i="33"/>
  <c r="F79" i="75" a="1"/>
  <c r="F79" i="75"/>
  <c r="F60" i="85"/>
  <c r="F62" i="85"/>
  <c r="F46" i="85"/>
  <c r="E93" i="85"/>
  <c r="H70" i="33"/>
  <c r="F47" i="85"/>
  <c r="E94" i="85"/>
  <c r="H71" i="33"/>
  <c r="F75" i="85"/>
  <c r="F74" i="85"/>
  <c r="F61" i="85"/>
  <c r="F48" i="85"/>
  <c r="E95" i="85"/>
  <c r="H72" i="33"/>
  <c r="F70" i="85"/>
  <c r="F72" i="85"/>
  <c r="F42" i="85"/>
  <c r="E90" i="85"/>
  <c r="H67" i="33"/>
  <c r="F73" i="85"/>
  <c r="F56" i="85"/>
  <c r="F44" i="85"/>
  <c r="E91" i="85"/>
  <c r="H68" i="33"/>
  <c r="F17" i="85"/>
  <c r="C92" i="85"/>
  <c r="F69" i="33"/>
  <c r="F16" i="85"/>
  <c r="C91" i="85"/>
  <c r="F68" i="33"/>
  <c r="F64" i="85"/>
  <c r="F65" i="75" a="1"/>
  <c r="F65" i="75"/>
  <c r="F51" i="75" a="1"/>
  <c r="F51" i="75"/>
  <c r="F22" i="85"/>
  <c r="F20" i="85"/>
  <c r="C95" i="85"/>
  <c r="F72" i="33"/>
  <c r="F23" i="85"/>
  <c r="F81" i="75"/>
  <c r="F21" i="85"/>
  <c r="F19" i="85"/>
  <c r="C94" i="85"/>
  <c r="F71" i="33"/>
  <c r="F18" i="85"/>
  <c r="C93" i="85"/>
  <c r="F70" i="33"/>
  <c r="F65" i="85"/>
  <c r="F63" i="85"/>
  <c r="F77" i="85"/>
  <c r="F79" i="85"/>
  <c r="F49" i="85"/>
  <c r="F50" i="85"/>
  <c r="F78" i="85"/>
  <c r="F51" i="85"/>
  <c r="AA32" i="81"/>
  <c r="AA30" i="81"/>
  <c r="AA31" i="81"/>
  <c r="AA35" i="81"/>
  <c r="AA63" i="81"/>
  <c r="AA83" i="81"/>
  <c r="AA30" i="75"/>
  <c r="AC28" i="75"/>
  <c r="X28" i="75"/>
  <c r="T28" i="75"/>
  <c r="AA28" i="75"/>
  <c r="J28" i="75"/>
  <c r="O32" i="81"/>
  <c r="Q28" i="75"/>
  <c r="U28" i="75"/>
  <c r="M28" i="75"/>
  <c r="I30" i="81"/>
  <c r="AC32" i="81"/>
  <c r="Y28" i="75"/>
  <c r="P28" i="75"/>
  <c r="Z30" i="81"/>
  <c r="I32" i="81"/>
  <c r="Z32" i="81"/>
  <c r="N32" i="81"/>
  <c r="Z31" i="81"/>
  <c r="N31" i="81"/>
  <c r="W32" i="81"/>
  <c r="M32" i="81"/>
  <c r="Y31" i="81"/>
  <c r="M31" i="81"/>
  <c r="AG32" i="81"/>
  <c r="U32" i="81"/>
  <c r="AG31" i="81"/>
  <c r="U31" i="81"/>
  <c r="AF32" i="81"/>
  <c r="T32" i="81"/>
  <c r="T31" i="81"/>
  <c r="AE32" i="81"/>
  <c r="S32" i="81"/>
  <c r="AE31" i="81"/>
  <c r="S31" i="81"/>
  <c r="AD32" i="81"/>
  <c r="R32" i="81"/>
  <c r="AD31" i="81"/>
  <c r="R31" i="81"/>
  <c r="Q32" i="81"/>
  <c r="AC31" i="81"/>
  <c r="Q31" i="81"/>
  <c r="AB32" i="81"/>
  <c r="P32" i="81"/>
  <c r="AB31" i="81"/>
  <c r="P31" i="81"/>
  <c r="X32" i="81"/>
  <c r="L32" i="81"/>
  <c r="X31" i="81"/>
  <c r="X30" i="81"/>
  <c r="X35" i="81"/>
  <c r="L31" i="81"/>
  <c r="Y30" i="81"/>
  <c r="I31" i="81"/>
  <c r="K32" i="81"/>
  <c r="W31" i="81"/>
  <c r="K31" i="81"/>
  <c r="Y32" i="81"/>
  <c r="Y35" i="81"/>
  <c r="V32" i="81"/>
  <c r="J32" i="81"/>
  <c r="V31" i="81"/>
  <c r="O31" i="81"/>
  <c r="AG30" i="81"/>
  <c r="AF30" i="81"/>
  <c r="L30" i="81"/>
  <c r="M30" i="81"/>
  <c r="S30" i="81"/>
  <c r="P30" i="81"/>
  <c r="AB30" i="81"/>
  <c r="T30" i="81"/>
  <c r="Q30" i="81"/>
  <c r="AC30" i="81"/>
  <c r="U30" i="81"/>
  <c r="U35" i="81"/>
  <c r="R30" i="81"/>
  <c r="AD30" i="81"/>
  <c r="J30" i="81"/>
  <c r="V30" i="81"/>
  <c r="K30" i="81"/>
  <c r="W30" i="81"/>
  <c r="L35" i="81"/>
  <c r="L63" i="81"/>
  <c r="L83" i="81"/>
  <c r="U63" i="81"/>
  <c r="U83" i="81"/>
  <c r="U30" i="75"/>
  <c r="AF28" i="75"/>
  <c r="AF31" i="81"/>
  <c r="AF35" i="81"/>
  <c r="AB35" i="81"/>
  <c r="AB28" i="75"/>
  <c r="X63" i="81"/>
  <c r="X83" i="81"/>
  <c r="X30" i="75"/>
  <c r="Y30" i="75"/>
  <c r="Y63" i="81"/>
  <c r="Y83" i="81"/>
  <c r="AE30" i="81"/>
  <c r="O30" i="81"/>
  <c r="O35" i="81"/>
  <c r="AE35" i="81"/>
  <c r="AE28" i="75"/>
  <c r="N28" i="75"/>
  <c r="V28" i="75"/>
  <c r="V35" i="81"/>
  <c r="O28" i="75"/>
  <c r="J31" i="81"/>
  <c r="J35" i="81"/>
  <c r="AG28" i="75"/>
  <c r="AG35" i="81"/>
  <c r="Z28" i="75"/>
  <c r="Z35" i="81"/>
  <c r="L28" i="75"/>
  <c r="P35" i="81"/>
  <c r="AA86" i="81"/>
  <c r="AA105" i="81"/>
  <c r="AA34" i="75"/>
  <c r="AA36" i="75"/>
  <c r="Z12" i="85"/>
  <c r="AA107" i="81"/>
  <c r="N30" i="81"/>
  <c r="N35" i="81"/>
  <c r="M35" i="81"/>
  <c r="R35" i="81"/>
  <c r="R28" i="75"/>
  <c r="Q35" i="81"/>
  <c r="AC35" i="81"/>
  <c r="T35" i="81"/>
  <c r="L30" i="75"/>
  <c r="N30" i="75"/>
  <c r="N63" i="81"/>
  <c r="N83" i="81"/>
  <c r="O63" i="81"/>
  <c r="O83" i="81"/>
  <c r="O30" i="75"/>
  <c r="J30" i="75"/>
  <c r="J63" i="81"/>
  <c r="J83" i="81"/>
  <c r="R63" i="81"/>
  <c r="R83" i="81"/>
  <c r="R30" i="75"/>
  <c r="Z63" i="81"/>
  <c r="Z83" i="81"/>
  <c r="Z30" i="75"/>
  <c r="X34" i="75"/>
  <c r="X36" i="75"/>
  <c r="X107" i="81"/>
  <c r="X86" i="81"/>
  <c r="X105" i="81"/>
  <c r="AE63" i="81"/>
  <c r="AE83" i="81"/>
  <c r="AE30" i="75"/>
  <c r="L86" i="81"/>
  <c r="L105" i="81"/>
  <c r="L34" i="75"/>
  <c r="L36" i="75"/>
  <c r="L107" i="81"/>
  <c r="K28" i="75"/>
  <c r="K35" i="81"/>
  <c r="M30" i="75"/>
  <c r="M63" i="81"/>
  <c r="M83" i="81"/>
  <c r="AG63" i="81"/>
  <c r="AG83" i="81"/>
  <c r="AG30" i="75"/>
  <c r="AB30" i="75"/>
  <c r="AB63" i="81"/>
  <c r="AB83" i="81"/>
  <c r="AC30" i="75"/>
  <c r="AC63" i="81"/>
  <c r="AC83" i="81"/>
  <c r="AA111" i="81" a="1"/>
  <c r="AA111" i="81"/>
  <c r="AA32" i="85"/>
  <c r="AA112" i="81" a="1"/>
  <c r="AA112" i="81"/>
  <c r="AA33" i="85"/>
  <c r="AA109" i="81" a="1"/>
  <c r="AA109" i="81"/>
  <c r="AA30" i="85"/>
  <c r="AA110" i="81" a="1"/>
  <c r="AA110" i="81"/>
  <c r="AA31" i="85"/>
  <c r="AA115" i="81" a="1"/>
  <c r="AA115" i="81"/>
  <c r="AA116" i="81" a="1"/>
  <c r="AA116" i="81"/>
  <c r="AA113" i="81" a="1"/>
  <c r="AA113" i="81"/>
  <c r="AA34" i="85"/>
  <c r="AA114" i="81" a="1"/>
  <c r="AA114" i="81"/>
  <c r="AA28" i="85"/>
  <c r="AF30" i="75"/>
  <c r="AF63" i="81"/>
  <c r="AF83" i="81"/>
  <c r="AD35" i="81"/>
  <c r="AD28" i="75"/>
  <c r="S28" i="75"/>
  <c r="S35" i="81"/>
  <c r="T30" i="75"/>
  <c r="T63" i="81"/>
  <c r="T83" i="81"/>
  <c r="Y34" i="75"/>
  <c r="Y36" i="75"/>
  <c r="Y107" i="81"/>
  <c r="Y86" i="81"/>
  <c r="Y105" i="81"/>
  <c r="W35" i="81"/>
  <c r="W28" i="75"/>
  <c r="Q63" i="81"/>
  <c r="Q83" i="81"/>
  <c r="Q30" i="75"/>
  <c r="P30" i="75"/>
  <c r="P63" i="81"/>
  <c r="P83" i="81"/>
  <c r="I28" i="75"/>
  <c r="F28" i="75"/>
  <c r="I35" i="81"/>
  <c r="E26" i="92"/>
  <c r="E27" i="92"/>
  <c r="E31" i="92"/>
  <c r="V63" i="81"/>
  <c r="V83" i="81"/>
  <c r="V30" i="75"/>
  <c r="U86" i="81"/>
  <c r="U105" i="81"/>
  <c r="U34" i="75"/>
  <c r="U36" i="75"/>
  <c r="U107" i="81"/>
  <c r="V86" i="81"/>
  <c r="V105" i="81"/>
  <c r="V34" i="75"/>
  <c r="V36" i="75"/>
  <c r="V107" i="81"/>
  <c r="U109" i="81" a="1"/>
  <c r="U109" i="81"/>
  <c r="U30" i="85"/>
  <c r="U28" i="85"/>
  <c r="U111" i="81" a="1"/>
  <c r="U111" i="81"/>
  <c r="U32" i="85"/>
  <c r="U116" i="81" a="1"/>
  <c r="U116" i="81"/>
  <c r="U112" i="81" a="1"/>
  <c r="U112" i="81"/>
  <c r="U33" i="85"/>
  <c r="U114" i="81" a="1"/>
  <c r="U114" i="81"/>
  <c r="U113" i="81" a="1"/>
  <c r="U113" i="81"/>
  <c r="U34" i="85"/>
  <c r="U115" i="81" a="1"/>
  <c r="U115" i="81"/>
  <c r="U110" i="81" a="1"/>
  <c r="U110" i="81"/>
  <c r="U31" i="85"/>
  <c r="Y110" i="81" a="1"/>
  <c r="Y110" i="81"/>
  <c r="Y31" i="85"/>
  <c r="Y114" i="81" a="1"/>
  <c r="Y114" i="81"/>
  <c r="Y113" i="81" a="1"/>
  <c r="Y113" i="81"/>
  <c r="Y34" i="85"/>
  <c r="Y111" i="81" a="1"/>
  <c r="Y111" i="81"/>
  <c r="Y32" i="85"/>
  <c r="Y28" i="85"/>
  <c r="Y116" i="81" a="1"/>
  <c r="Y116" i="81"/>
  <c r="Y109" i="81" a="1"/>
  <c r="Y109" i="81"/>
  <c r="Y30" i="85"/>
  <c r="Y115" i="81" a="1"/>
  <c r="Y115" i="81"/>
  <c r="Y112" i="81" a="1"/>
  <c r="Y112" i="81"/>
  <c r="Y33" i="85"/>
  <c r="AA37" i="85"/>
  <c r="AA35" i="85"/>
  <c r="AA36" i="85"/>
  <c r="AG86" i="81"/>
  <c r="AG105" i="81"/>
  <c r="AG107" i="81"/>
  <c r="AG34" i="75"/>
  <c r="AG36" i="75"/>
  <c r="AF12" i="85"/>
  <c r="K30" i="75"/>
  <c r="K63" i="81"/>
  <c r="K83" i="81"/>
  <c r="P86" i="81"/>
  <c r="P105" i="81"/>
  <c r="P34" i="75"/>
  <c r="P36" i="75"/>
  <c r="P107" i="81"/>
  <c r="J34" i="75"/>
  <c r="J36" i="75"/>
  <c r="J86" i="81"/>
  <c r="J105" i="81"/>
  <c r="J107" i="81"/>
  <c r="R86" i="81"/>
  <c r="R105" i="81"/>
  <c r="R107" i="81"/>
  <c r="R34" i="75"/>
  <c r="R36" i="75"/>
  <c r="S63" i="81"/>
  <c r="S83" i="81"/>
  <c r="S30" i="75"/>
  <c r="AD63" i="81"/>
  <c r="AD83" i="81"/>
  <c r="AD30" i="75"/>
  <c r="Q107" i="81"/>
  <c r="Q34" i="75"/>
  <c r="Q36" i="75"/>
  <c r="Q86" i="81"/>
  <c r="Q105" i="81"/>
  <c r="O34" i="75"/>
  <c r="O36" i="75"/>
  <c r="O86" i="81"/>
  <c r="O105" i="81"/>
  <c r="O107" i="81"/>
  <c r="N34" i="75"/>
  <c r="N36" i="75"/>
  <c r="N107" i="81"/>
  <c r="N86" i="81"/>
  <c r="N105" i="81"/>
  <c r="M34" i="75"/>
  <c r="M36" i="75"/>
  <c r="M107" i="81"/>
  <c r="M86" i="81"/>
  <c r="M105" i="81"/>
  <c r="T34" i="75"/>
  <c r="T36" i="75"/>
  <c r="T86" i="81"/>
  <c r="T105" i="81"/>
  <c r="T107" i="81"/>
  <c r="Z34" i="75"/>
  <c r="Z36" i="75"/>
  <c r="Z86" i="81"/>
  <c r="Z105" i="81"/>
  <c r="Z107" i="81"/>
  <c r="I63" i="81"/>
  <c r="I83" i="81"/>
  <c r="I30" i="75"/>
  <c r="AC34" i="75"/>
  <c r="AC36" i="75"/>
  <c r="AB12" i="85"/>
  <c r="AC86" i="81"/>
  <c r="AC105" i="81"/>
  <c r="AC107" i="81"/>
  <c r="L116" i="81" a="1"/>
  <c r="L116" i="81"/>
  <c r="L111" i="81" a="1"/>
  <c r="L111" i="81"/>
  <c r="L32" i="85"/>
  <c r="L112" i="81" a="1"/>
  <c r="L112" i="81"/>
  <c r="L33" i="85"/>
  <c r="L114" i="81" a="1"/>
  <c r="L114" i="81"/>
  <c r="L28" i="85"/>
  <c r="L115" i="81" a="1"/>
  <c r="L115" i="81"/>
  <c r="L113" i="81" a="1"/>
  <c r="L113" i="81"/>
  <c r="L34" i="85"/>
  <c r="L109" i="81" a="1"/>
  <c r="L109" i="81"/>
  <c r="L30" i="85"/>
  <c r="L110" i="81" a="1"/>
  <c r="L110" i="81"/>
  <c r="L31" i="85"/>
  <c r="AF34" i="75"/>
  <c r="AF36" i="75"/>
  <c r="AE12" i="85"/>
  <c r="AF107" i="81"/>
  <c r="AF86" i="81"/>
  <c r="AF105" i="81"/>
  <c r="AB34" i="75"/>
  <c r="AB36" i="75"/>
  <c r="AA12" i="85"/>
  <c r="AB86" i="81"/>
  <c r="AB105" i="81"/>
  <c r="AB107" i="81"/>
  <c r="AE86" i="81"/>
  <c r="AE105" i="81"/>
  <c r="AE34" i="75"/>
  <c r="AE36" i="75"/>
  <c r="AD12" i="85"/>
  <c r="AE107" i="81"/>
  <c r="W30" i="75"/>
  <c r="W63" i="81"/>
  <c r="W83" i="81"/>
  <c r="X112" i="81" a="1"/>
  <c r="X112" i="81"/>
  <c r="X33" i="85"/>
  <c r="X111" i="81" a="1"/>
  <c r="X111" i="81"/>
  <c r="X32" i="85"/>
  <c r="X28" i="85"/>
  <c r="X113" i="81" a="1"/>
  <c r="X113" i="81"/>
  <c r="X34" i="85"/>
  <c r="X114" i="81" a="1"/>
  <c r="X114" i="81"/>
  <c r="X110" i="81" a="1"/>
  <c r="X110" i="81"/>
  <c r="X31" i="85"/>
  <c r="X115" i="81" a="1"/>
  <c r="X115" i="81"/>
  <c r="X109" i="81" a="1"/>
  <c r="X109" i="81"/>
  <c r="X30" i="85"/>
  <c r="X116" i="81" a="1"/>
  <c r="X116" i="81"/>
  <c r="U36" i="85"/>
  <c r="U37" i="85"/>
  <c r="U35" i="85"/>
  <c r="T111" i="81" a="1"/>
  <c r="T111" i="81"/>
  <c r="T32" i="85"/>
  <c r="T114" i="81" a="1"/>
  <c r="T114" i="81"/>
  <c r="T109" i="81" a="1"/>
  <c r="T109" i="81"/>
  <c r="T30" i="85"/>
  <c r="T28" i="85"/>
  <c r="T113" i="81" a="1"/>
  <c r="T113" i="81"/>
  <c r="T34" i="85"/>
  <c r="T116" i="81" a="1"/>
  <c r="T116" i="81"/>
  <c r="T110" i="81" a="1"/>
  <c r="T110" i="81"/>
  <c r="T31" i="85"/>
  <c r="T115" i="81" a="1"/>
  <c r="T115" i="81"/>
  <c r="T112" i="81" a="1"/>
  <c r="T112" i="81"/>
  <c r="T33" i="85"/>
  <c r="R109" i="81" a="1"/>
  <c r="R109" i="81"/>
  <c r="R30" i="85"/>
  <c r="R113" i="81" a="1"/>
  <c r="R113" i="81"/>
  <c r="R34" i="85"/>
  <c r="R112" i="81" a="1"/>
  <c r="R112" i="81"/>
  <c r="R33" i="85"/>
  <c r="R115" i="81" a="1"/>
  <c r="R115" i="81"/>
  <c r="R114" i="81" a="1"/>
  <c r="R114" i="81"/>
  <c r="R111" i="81" a="1"/>
  <c r="R111" i="81"/>
  <c r="R32" i="85"/>
  <c r="R116" i="81" a="1"/>
  <c r="R116" i="81"/>
  <c r="R110" i="81" a="1"/>
  <c r="R110" i="81"/>
  <c r="R31" i="85"/>
  <c r="R28" i="85"/>
  <c r="Z113" i="81" a="1"/>
  <c r="Z113" i="81"/>
  <c r="Z34" i="85"/>
  <c r="Z109" i="81" a="1"/>
  <c r="Z109" i="81"/>
  <c r="Z30" i="85"/>
  <c r="Z111" i="81" a="1"/>
  <c r="Z111" i="81"/>
  <c r="Z32" i="85"/>
  <c r="Z115" i="81" a="1"/>
  <c r="Z115" i="81"/>
  <c r="Z114" i="81" a="1"/>
  <c r="Z114" i="81"/>
  <c r="Z112" i="81" a="1"/>
  <c r="Z112" i="81"/>
  <c r="Z33" i="85"/>
  <c r="Z28" i="85"/>
  <c r="Z110" i="81" a="1"/>
  <c r="Z110" i="81"/>
  <c r="Z31" i="85"/>
  <c r="Z116" i="81" a="1"/>
  <c r="Z116" i="81"/>
  <c r="O110" i="81" a="1"/>
  <c r="O110" i="81"/>
  <c r="O31" i="85"/>
  <c r="O112" i="81" a="1"/>
  <c r="O112" i="81"/>
  <c r="O33" i="85"/>
  <c r="O113" i="81" a="1"/>
  <c r="O113" i="81"/>
  <c r="O34" i="85"/>
  <c r="O111" i="81" a="1"/>
  <c r="O111" i="81"/>
  <c r="O32" i="85"/>
  <c r="O109" i="81" a="1"/>
  <c r="O109" i="81"/>
  <c r="O30" i="85"/>
  <c r="O28" i="85"/>
  <c r="O114" i="81" a="1"/>
  <c r="O114" i="81"/>
  <c r="O115" i="81" a="1"/>
  <c r="O115" i="81"/>
  <c r="O116" i="81" a="1"/>
  <c r="O116" i="81"/>
  <c r="M112" i="81" a="1"/>
  <c r="M112" i="81"/>
  <c r="M33" i="85"/>
  <c r="M111" i="81" a="1"/>
  <c r="M111" i="81"/>
  <c r="M32" i="85"/>
  <c r="M113" i="81" a="1"/>
  <c r="M113" i="81"/>
  <c r="M34" i="85"/>
  <c r="M109" i="81" a="1"/>
  <c r="M109" i="81"/>
  <c r="M30" i="85"/>
  <c r="M110" i="81" a="1"/>
  <c r="M110" i="81"/>
  <c r="M31" i="85"/>
  <c r="M28" i="85"/>
  <c r="M114" i="81" a="1"/>
  <c r="M114" i="81"/>
  <c r="M115" i="81" a="1"/>
  <c r="M115" i="81"/>
  <c r="M116" i="81" a="1"/>
  <c r="M116" i="81"/>
  <c r="P115" i="81" a="1"/>
  <c r="P115" i="81"/>
  <c r="P110" i="81" a="1"/>
  <c r="P110" i="81"/>
  <c r="P31" i="85"/>
  <c r="P116" i="81" a="1"/>
  <c r="P116" i="81"/>
  <c r="P113" i="81" a="1"/>
  <c r="P113" i="81"/>
  <c r="P34" i="85"/>
  <c r="P112" i="81" a="1"/>
  <c r="P112" i="81"/>
  <c r="P33" i="85"/>
  <c r="P111" i="81" a="1"/>
  <c r="P111" i="81"/>
  <c r="P32" i="85"/>
  <c r="P114" i="81" a="1"/>
  <c r="P114" i="81"/>
  <c r="P109" i="81" a="1"/>
  <c r="P109" i="81"/>
  <c r="P30" i="85"/>
  <c r="P28" i="85"/>
  <c r="Q113" i="81" a="1"/>
  <c r="Q113" i="81"/>
  <c r="Q34" i="85"/>
  <c r="Q28" i="85"/>
  <c r="Q110" i="81" a="1"/>
  <c r="Q110" i="81"/>
  <c r="Q31" i="85"/>
  <c r="Q114" i="81" a="1"/>
  <c r="Q114" i="81"/>
  <c r="Q116" i="81" a="1"/>
  <c r="Q116" i="81"/>
  <c r="Q111" i="81" a="1"/>
  <c r="Q111" i="81"/>
  <c r="Q32" i="85"/>
  <c r="Q109" i="81" a="1"/>
  <c r="Q109" i="81"/>
  <c r="Q30" i="85"/>
  <c r="Q115" i="81" a="1"/>
  <c r="Q115" i="81"/>
  <c r="Q112" i="81" a="1"/>
  <c r="Q112" i="81"/>
  <c r="Q33" i="85"/>
  <c r="AF112" i="81" a="1"/>
  <c r="AF112" i="81"/>
  <c r="AF33" i="85"/>
  <c r="AF116" i="81" a="1"/>
  <c r="AF116" i="81"/>
  <c r="AF110" i="81" a="1"/>
  <c r="AF110" i="81"/>
  <c r="AF31" i="85"/>
  <c r="AF111" i="81" a="1"/>
  <c r="AF111" i="81"/>
  <c r="AF32" i="85"/>
  <c r="AF113" i="81" a="1"/>
  <c r="AF113" i="81"/>
  <c r="AF34" i="85"/>
  <c r="AF109" i="81" a="1"/>
  <c r="AF109" i="81"/>
  <c r="AF30" i="85"/>
  <c r="AF114" i="81" a="1"/>
  <c r="AF114" i="81"/>
  <c r="AF115" i="81" a="1"/>
  <c r="AF115" i="81"/>
  <c r="AF28" i="85"/>
  <c r="AD34" i="75"/>
  <c r="AD36" i="75"/>
  <c r="AC12" i="85"/>
  <c r="AD86" i="81"/>
  <c r="AD105" i="81"/>
  <c r="AD107" i="81"/>
  <c r="K34" i="75"/>
  <c r="K36" i="75"/>
  <c r="K107" i="81"/>
  <c r="K86" i="81"/>
  <c r="K105" i="81"/>
  <c r="L37" i="85"/>
  <c r="L36" i="85"/>
  <c r="L35" i="85"/>
  <c r="AB114" i="81" a="1"/>
  <c r="AB114" i="81"/>
  <c r="AB115" i="81" a="1"/>
  <c r="AB115" i="81"/>
  <c r="AB116" i="81" a="1"/>
  <c r="AB116" i="81"/>
  <c r="AB110" i="81" a="1"/>
  <c r="AB110" i="81"/>
  <c r="AB31" i="85"/>
  <c r="AB112" i="81" a="1"/>
  <c r="AB112" i="81"/>
  <c r="AB33" i="85"/>
  <c r="AB109" i="81" a="1"/>
  <c r="AB109" i="81"/>
  <c r="AB30" i="85"/>
  <c r="AB28" i="85"/>
  <c r="AB111" i="81" a="1"/>
  <c r="AB111" i="81"/>
  <c r="AB32" i="85"/>
  <c r="AB113" i="81" a="1"/>
  <c r="AB113" i="81"/>
  <c r="AB34" i="85"/>
  <c r="X36" i="85"/>
  <c r="X35" i="85"/>
  <c r="X37" i="85"/>
  <c r="Y36" i="85"/>
  <c r="Y35" i="85"/>
  <c r="Y37" i="85"/>
  <c r="J115" i="81" a="1"/>
  <c r="J115" i="81"/>
  <c r="J111" i="81" a="1"/>
  <c r="J111" i="81"/>
  <c r="J32" i="85"/>
  <c r="J109" i="81" a="1"/>
  <c r="J109" i="81"/>
  <c r="J30" i="85"/>
  <c r="J28" i="85"/>
  <c r="J114" i="81" a="1"/>
  <c r="J114" i="81"/>
  <c r="J112" i="81" a="1"/>
  <c r="J112" i="81"/>
  <c r="J33" i="85"/>
  <c r="J116" i="81" a="1"/>
  <c r="J116" i="81"/>
  <c r="J110" i="81" a="1"/>
  <c r="J110" i="81"/>
  <c r="J31" i="85"/>
  <c r="J113" i="81" a="1"/>
  <c r="J113" i="81"/>
  <c r="J34" i="85"/>
  <c r="AE116" i="81" a="1"/>
  <c r="AE116" i="81"/>
  <c r="AE113" i="81" a="1"/>
  <c r="AE113" i="81"/>
  <c r="AE34" i="85"/>
  <c r="AE112" i="81" a="1"/>
  <c r="AE112" i="81"/>
  <c r="AE33" i="85"/>
  <c r="AE28" i="85"/>
  <c r="AE115" i="81" a="1"/>
  <c r="AE115" i="81"/>
  <c r="AE109" i="81" a="1"/>
  <c r="AE109" i="81"/>
  <c r="AE30" i="85"/>
  <c r="AE111" i="81" a="1"/>
  <c r="AE111" i="81"/>
  <c r="AE32" i="85"/>
  <c r="AE114" i="81" a="1"/>
  <c r="AE114" i="81"/>
  <c r="AE110" i="81" a="1"/>
  <c r="AE110" i="81"/>
  <c r="AE31" i="85"/>
  <c r="AC116" i="81" a="1"/>
  <c r="AC116" i="81"/>
  <c r="AC115" i="81" a="1"/>
  <c r="AC115" i="81"/>
  <c r="AC114" i="81" a="1"/>
  <c r="AC114" i="81"/>
  <c r="AC112" i="81" a="1"/>
  <c r="AC112" i="81"/>
  <c r="AC33" i="85"/>
  <c r="AC28" i="85"/>
  <c r="AC109" i="81" a="1"/>
  <c r="AC109" i="81"/>
  <c r="AC30" i="85"/>
  <c r="AC113" i="81" a="1"/>
  <c r="AC113" i="81"/>
  <c r="AC34" i="85"/>
  <c r="AC111" i="81" a="1"/>
  <c r="AC111" i="81"/>
  <c r="AC32" i="85"/>
  <c r="AC110" i="81" a="1"/>
  <c r="AC110" i="81"/>
  <c r="AC31" i="85"/>
  <c r="N112" i="81" a="1"/>
  <c r="N112" i="81"/>
  <c r="N33" i="85"/>
  <c r="N110" i="81" a="1"/>
  <c r="N110" i="81"/>
  <c r="N31" i="85"/>
  <c r="N109" i="81" a="1"/>
  <c r="N109" i="81"/>
  <c r="N30" i="85"/>
  <c r="N113" i="81" a="1"/>
  <c r="N113" i="81"/>
  <c r="N34" i="85"/>
  <c r="N114" i="81" a="1"/>
  <c r="N114" i="81"/>
  <c r="N28" i="85"/>
  <c r="N111" i="81" a="1"/>
  <c r="N111" i="81"/>
  <c r="N32" i="85"/>
  <c r="N115" i="81" a="1"/>
  <c r="N115" i="81"/>
  <c r="N116" i="81" a="1"/>
  <c r="N116" i="81"/>
  <c r="S34" i="75"/>
  <c r="S36" i="75"/>
  <c r="S86" i="81"/>
  <c r="S105" i="81"/>
  <c r="S107" i="81"/>
  <c r="F30" i="75" a="1"/>
  <c r="F30" i="75"/>
  <c r="W34" i="75"/>
  <c r="W36" i="75"/>
  <c r="W107" i="81"/>
  <c r="W86" i="81"/>
  <c r="W105" i="81"/>
  <c r="I34" i="75"/>
  <c r="I86" i="81"/>
  <c r="I105" i="81"/>
  <c r="I107" i="81"/>
  <c r="AG113" i="81" a="1"/>
  <c r="AG113" i="81"/>
  <c r="AG34" i="85"/>
  <c r="AG111" i="81" a="1"/>
  <c r="AG111" i="81"/>
  <c r="AG32" i="85"/>
  <c r="AG112" i="81" a="1"/>
  <c r="AG112" i="81"/>
  <c r="AG33" i="85"/>
  <c r="AG109" i="81" a="1"/>
  <c r="AG109" i="81"/>
  <c r="AG30" i="85"/>
  <c r="AG110" i="81" a="1"/>
  <c r="AG110" i="81"/>
  <c r="AG31" i="85"/>
  <c r="AG114" i="81" a="1"/>
  <c r="AG114" i="81"/>
  <c r="AG28" i="85"/>
  <c r="AG116" i="81" a="1"/>
  <c r="AG116" i="81"/>
  <c r="AG115" i="81" a="1"/>
  <c r="AG115" i="81"/>
  <c r="V116" i="81" a="1"/>
  <c r="V116" i="81"/>
  <c r="V113" i="81" a="1"/>
  <c r="V113" i="81"/>
  <c r="V34" i="85"/>
  <c r="V111" i="81" a="1"/>
  <c r="V111" i="81"/>
  <c r="V32" i="85"/>
  <c r="V28" i="85"/>
  <c r="V112" i="81" a="1"/>
  <c r="V112" i="81"/>
  <c r="V33" i="85"/>
  <c r="V110" i="81" a="1"/>
  <c r="V110" i="81"/>
  <c r="V31" i="85"/>
  <c r="V114" i="81" a="1"/>
  <c r="V114" i="81"/>
  <c r="V109" i="81" a="1"/>
  <c r="V109" i="81"/>
  <c r="V30" i="85"/>
  <c r="V115" i="81" a="1"/>
  <c r="V115" i="81"/>
  <c r="K113" i="81" a="1"/>
  <c r="K113" i="81"/>
  <c r="K34" i="85"/>
  <c r="K109" i="81" a="1"/>
  <c r="K109" i="81"/>
  <c r="K30" i="85"/>
  <c r="K110" i="81" a="1"/>
  <c r="K110" i="81"/>
  <c r="K31" i="85"/>
  <c r="K115" i="81" a="1"/>
  <c r="K115" i="81"/>
  <c r="K111" i="81" a="1"/>
  <c r="K111" i="81"/>
  <c r="K32" i="85"/>
  <c r="K114" i="81" a="1"/>
  <c r="K114" i="81"/>
  <c r="K112" i="81" a="1"/>
  <c r="K112" i="81"/>
  <c r="K33" i="85"/>
  <c r="K28" i="85"/>
  <c r="K116" i="81" a="1"/>
  <c r="K116" i="81"/>
  <c r="AE35" i="85"/>
  <c r="AE37" i="85"/>
  <c r="AE36" i="85"/>
  <c r="J35" i="85"/>
  <c r="J37" i="85"/>
  <c r="J36" i="85"/>
  <c r="I115" i="81" a="1"/>
  <c r="I115" i="81"/>
  <c r="I113" i="81" a="1"/>
  <c r="I113" i="81"/>
  <c r="I34" i="85"/>
  <c r="I114" i="81" a="1"/>
  <c r="I114" i="81"/>
  <c r="I111" i="81" a="1"/>
  <c r="I111" i="81"/>
  <c r="I32" i="85"/>
  <c r="S111" i="81" a="1"/>
  <c r="S111" i="81"/>
  <c r="S32" i="85"/>
  <c r="W111" i="81" a="1"/>
  <c r="W111" i="81"/>
  <c r="W32" i="85"/>
  <c r="AD111" i="81" a="1"/>
  <c r="AD111" i="81"/>
  <c r="AD32" i="85"/>
  <c r="F32" i="85"/>
  <c r="D93" i="85"/>
  <c r="I28" i="85"/>
  <c r="I112" i="81" a="1"/>
  <c r="I112" i="81"/>
  <c r="I33" i="85"/>
  <c r="I116" i="81" a="1"/>
  <c r="I116" i="81"/>
  <c r="I109" i="81" a="1"/>
  <c r="I109" i="81"/>
  <c r="I30" i="85"/>
  <c r="I110" i="81" a="1"/>
  <c r="I110" i="81"/>
  <c r="I31" i="85"/>
  <c r="AC36" i="85"/>
  <c r="AC35" i="85"/>
  <c r="AC37" i="85"/>
  <c r="F34" i="75" a="1"/>
  <c r="F34" i="75"/>
  <c r="F39" i="75"/>
  <c r="I36" i="75"/>
  <c r="F37" i="75" a="1"/>
  <c r="F37" i="75"/>
  <c r="N35" i="85"/>
  <c r="N36" i="85"/>
  <c r="N37" i="85"/>
  <c r="W112" i="81" a="1"/>
  <c r="W112" i="81"/>
  <c r="W33" i="85"/>
  <c r="W28" i="85"/>
  <c r="W109" i="81" a="1"/>
  <c r="W109" i="81"/>
  <c r="W30" i="85"/>
  <c r="W110" i="81" a="1"/>
  <c r="W110" i="81"/>
  <c r="W31" i="85"/>
  <c r="W116" i="81" a="1"/>
  <c r="W116" i="81"/>
  <c r="W114" i="81" a="1"/>
  <c r="W114" i="81"/>
  <c r="W115" i="81" a="1"/>
  <c r="W115" i="81"/>
  <c r="W113" i="81" a="1"/>
  <c r="W113" i="81"/>
  <c r="W34" i="85"/>
  <c r="S110" i="81" a="1"/>
  <c r="S110" i="81"/>
  <c r="S31" i="85"/>
  <c r="S28" i="85"/>
  <c r="S114" i="81" a="1"/>
  <c r="S114" i="81"/>
  <c r="S109" i="81" a="1"/>
  <c r="S109" i="81"/>
  <c r="S30" i="85"/>
  <c r="S113" i="81" a="1"/>
  <c r="S113" i="81"/>
  <c r="S34" i="85"/>
  <c r="S112" i="81" a="1"/>
  <c r="S112" i="81"/>
  <c r="S33" i="85"/>
  <c r="S115" i="81" a="1"/>
  <c r="S115" i="81"/>
  <c r="S116" i="81" a="1"/>
  <c r="S116" i="81"/>
  <c r="AD109" i="81" a="1"/>
  <c r="AD109" i="81"/>
  <c r="AD30" i="85"/>
  <c r="AD116" i="81" a="1"/>
  <c r="AD116" i="81"/>
  <c r="AD115" i="81" a="1"/>
  <c r="AD115" i="81"/>
  <c r="AD112" i="81" a="1"/>
  <c r="AD112" i="81"/>
  <c r="AD33" i="85"/>
  <c r="AD113" i="81" a="1"/>
  <c r="AD113" i="81"/>
  <c r="AD34" i="85"/>
  <c r="AD110" i="81" a="1"/>
  <c r="AD110" i="81"/>
  <c r="AD31" i="85"/>
  <c r="AD28" i="85"/>
  <c r="AD114" i="81" a="1"/>
  <c r="AD114" i="81"/>
  <c r="R37" i="85"/>
  <c r="R36" i="85"/>
  <c r="R35" i="85"/>
  <c r="T36" i="85"/>
  <c r="T35" i="85"/>
  <c r="T37" i="85"/>
  <c r="M36" i="85"/>
  <c r="M35" i="85"/>
  <c r="M37" i="85"/>
  <c r="P35" i="85"/>
  <c r="P36" i="85"/>
  <c r="P37" i="85"/>
  <c r="V37" i="85"/>
  <c r="V36" i="85"/>
  <c r="V35" i="85"/>
  <c r="AG36" i="85"/>
  <c r="AG35" i="85"/>
  <c r="AG37" i="85"/>
  <c r="Z37" i="85"/>
  <c r="Z36" i="85"/>
  <c r="Z35" i="85"/>
  <c r="AB36" i="85"/>
  <c r="AB37" i="85"/>
  <c r="AB35" i="85"/>
  <c r="AF37" i="85"/>
  <c r="AF35" i="85"/>
  <c r="AF36" i="85"/>
  <c r="Q36" i="85"/>
  <c r="Q35" i="85"/>
  <c r="Q37" i="85"/>
  <c r="O37" i="85"/>
  <c r="O36" i="85"/>
  <c r="O35" i="85"/>
  <c r="F31" i="85"/>
  <c r="D92" i="85"/>
  <c r="AD35" i="85"/>
  <c r="AD36" i="85"/>
  <c r="AD37" i="85"/>
  <c r="F30" i="85"/>
  <c r="D91" i="85"/>
  <c r="I35" i="85"/>
  <c r="I36" i="85"/>
  <c r="I37" i="85"/>
  <c r="K35" i="85"/>
  <c r="K37" i="85"/>
  <c r="K36" i="85"/>
  <c r="F34" i="85"/>
  <c r="D95" i="85"/>
  <c r="F33" i="85"/>
  <c r="D94" i="85"/>
  <c r="F28" i="85"/>
  <c r="D90" i="85"/>
  <c r="I93" i="85"/>
  <c r="K93" i="85"/>
  <c r="L70" i="33"/>
  <c r="G70" i="33"/>
  <c r="S35" i="85"/>
  <c r="S36" i="85"/>
  <c r="S37" i="85"/>
  <c r="W37" i="85"/>
  <c r="W35" i="85"/>
  <c r="W36" i="85"/>
  <c r="G72" i="33"/>
  <c r="I95" i="85"/>
  <c r="K95" i="85"/>
  <c r="L72" i="33"/>
  <c r="F35" i="85"/>
  <c r="G68" i="33"/>
  <c r="I91" i="85"/>
  <c r="K91" i="85"/>
  <c r="L68" i="33"/>
  <c r="F37" i="85"/>
  <c r="F36" i="85"/>
  <c r="G67" i="33"/>
  <c r="I90" i="85"/>
  <c r="K90" i="85"/>
  <c r="L67" i="33"/>
  <c r="I94" i="85"/>
  <c r="K94" i="85"/>
  <c r="L71" i="33"/>
  <c r="G71" i="33"/>
  <c r="G69" i="33"/>
  <c r="I92" i="85"/>
  <c r="K92" i="85"/>
  <c r="L69" i="33"/>
  <c r="D25" i="75"/>
  <c r="I10" i="33"/>
  <c r="I11" i="33"/>
  <c r="G18" i="33"/>
  <c r="C18" i="33"/>
  <c r="C26" i="33"/>
  <c r="F30" i="33"/>
  <c r="G30" i="33"/>
  <c r="H30" i="33"/>
  <c r="I30" i="33"/>
  <c r="J30" i="33"/>
  <c r="L30" i="33"/>
  <c r="F31" i="33"/>
  <c r="G31" i="33"/>
  <c r="H31" i="33"/>
  <c r="I31" i="33"/>
  <c r="J31" i="33"/>
  <c r="L31" i="33"/>
  <c r="A91" i="75"/>
  <c r="I91" i="75" a="1"/>
  <c r="I91" i="75"/>
  <c r="AF91" i="75" a="1"/>
  <c r="AF91" i="75"/>
  <c r="O91" i="75" a="1"/>
  <c r="O91" i="75"/>
  <c r="P91" i="75" a="1"/>
  <c r="P91" i="75"/>
  <c r="X91" i="75" a="1"/>
  <c r="X91" i="75"/>
  <c r="H91" i="75"/>
  <c r="V91" i="75" a="1"/>
  <c r="V91" i="75"/>
  <c r="R91" i="75" a="1"/>
  <c r="R91" i="75"/>
  <c r="AC91" i="75" a="1"/>
  <c r="AC91" i="75"/>
  <c r="W91" i="75" a="1"/>
  <c r="W91" i="75"/>
  <c r="N91" i="75" a="1"/>
  <c r="N91" i="75"/>
  <c r="L91" i="75" a="1"/>
  <c r="L91" i="75"/>
  <c r="AG91" i="75" a="1"/>
  <c r="AG91" i="75"/>
  <c r="Y91" i="75" a="1"/>
  <c r="Y91" i="75"/>
  <c r="AD91" i="75" a="1"/>
  <c r="AD91" i="75"/>
  <c r="K91" i="75" a="1"/>
  <c r="K91" i="75"/>
  <c r="Q91" i="75" a="1"/>
  <c r="Q91" i="75"/>
  <c r="S91" i="75" a="1"/>
  <c r="S91" i="75"/>
  <c r="AB91" i="75" a="1"/>
  <c r="AB91" i="75"/>
  <c r="U91" i="75" a="1"/>
  <c r="U91" i="75"/>
  <c r="AA91" i="75" a="1"/>
  <c r="AA91" i="75"/>
  <c r="Z91" i="75" a="1"/>
  <c r="Z91" i="75"/>
  <c r="J91" i="75" a="1"/>
  <c r="J91" i="75"/>
  <c r="AE91" i="75" a="1"/>
  <c r="AE91" i="75"/>
  <c r="T91" i="75" a="1"/>
  <c r="T91" i="75"/>
  <c r="M91" i="75" a="1"/>
  <c r="M91" i="75"/>
  <c r="B16" i="92"/>
  <c r="D18" i="33"/>
  <c r="C16" i="92"/>
  <c r="H10" i="33"/>
  <c r="H11" i="33"/>
  <c r="G11" i="33"/>
  <c r="G10" i="33"/>
  <c r="G9" i="33"/>
  <c r="H9" i="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<sst xmlns="http://schemas.openxmlformats.org/spreadsheetml/2006/main" count="1154" uniqueCount="358">
  <si>
    <t>CitiPower</t>
  </si>
  <si>
    <t>AR transformer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</si>
  <si>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</si>
  <si>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</si>
  <si>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</si>
  <si>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</si>
  <si>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</si>
  <si>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</si>
  <si>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</si>
  <si>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</si>
  <si>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FY27-FY48.</t>
  </si>
  <si>
    <t>Preferred Option</t>
  </si>
  <si>
    <t>Benefits ($2026)</t>
  </si>
  <si>
    <t>Risk cost mitigated</t>
  </si>
  <si>
    <t>Total risk cost ($2026) Option 1 - Total risk cost ($2026) of the preferred option.</t>
  </si>
  <si>
    <t>Total benefits ($2026)</t>
  </si>
  <si>
    <t>PV benefits</t>
  </si>
  <si>
    <t>Annualised Costs (capex) ($2023)</t>
  </si>
  <si>
    <t>Annualised capex to replace one transformer, applied at the discount rate for the analysis period FY27-FY48.</t>
  </si>
  <si>
    <t>Subotal capex ($2026)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</si>
  <si>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</si>
  <si>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</si>
  <si>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</si>
  <si>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</si>
  <si>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</si>
  <si>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</si>
  <si>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</si>
  <si>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</si>
  <si>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</si>
  <si>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</si>
  <si>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</si>
  <si>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</si>
  <si>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</si>
  <si>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</si>
  <si>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</si>
  <si>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</si>
  <si>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</si>
  <si>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</si>
  <si>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</si>
  <si>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</si>
  <si>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</si>
  <si>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</si>
  <si>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</si>
  <si>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>AR transformer replacement</t>
  </si>
  <si>
    <t xml:space="preserve">Date of cost inputs: </t>
  </si>
  <si>
    <t>December</t>
  </si>
  <si>
    <t>Description</t>
  </si>
  <si>
    <t>No change to existing practices</t>
  </si>
  <si>
    <t>Replace #2 transformer completed in 2029-2030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</si>
  <si>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</si>
  <si>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</si>
  <si>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</si>
  <si>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</si>
  <si>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</si>
  <si>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</si>
  <si>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</si>
  <si>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</si>
  <si>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</si>
  <si>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</si>
  <si>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</si>
  <si>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</si>
  <si>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</si>
  <si>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</si>
  <si>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</si>
  <si>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</si>
  <si>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</si>
  <si>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</si>
  <si>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</si>
  <si>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</si>
  <si>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</si>
  <si>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</si>
  <si>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AR</t>
  </si>
  <si>
    <t>Armadale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</si>
  <si>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</si>
  <si>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</si>
  <si>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</si>
  <si>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</si>
  <si>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</si>
  <si>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</si>
  <si>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</si>
  <si>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</si>
  <si>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</si>
  <si>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</si>
  <si>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</si>
  <si>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</si>
  <si>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</si>
  <si>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</si>
  <si>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</si>
  <si>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</si>
  <si>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</si>
  <si>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</si>
  <si>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</si>
  <si>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</si>
  <si>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</si>
  <si>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</si>
  <si>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</si>
  <si>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</si>
  <si>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</si>
  <si>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</si>
  <si>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</si>
  <si>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</si>
  <si>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</si>
  <si>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</si>
  <si>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</si>
  <si>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</si>
  <si>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</si>
  <si>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</si>
  <si>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</si>
  <si>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</si>
  <si>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</si>
  <si>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</si>
  <si>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</si>
  <si>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</si>
  <si>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</si>
  <si>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</si>
  <si>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</si>
  <si>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</si>
  <si>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</si>
  <si>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</si>
  <si>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</si>
  <si>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</si>
  <si>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</si>
  <si>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</si>
  <si>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</si>
  <si>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</si>
  <si>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</si>
  <si>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</si>
  <si>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</si>
  <si>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</si>
  <si>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</si>
  <si>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</si>
  <si>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</si>
  <si>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</si>
  <si>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</si>
  <si>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</si>
  <si>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</si>
  <si>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</si>
  <si>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</si>
  <si>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</si>
  <si>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</si>
  <si>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</si>
  <si>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</si>
  <si>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</si>
  <si>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</si>
  <si>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</si>
  <si>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</si>
  <si>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</si>
  <si>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</si>
  <si>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</si>
  <si>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</si>
  <si>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</si>
  <si>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</si>
  <si>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</si>
  <si>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</si>
  <si>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</si>
  <si>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</si>
  <si>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</si>
  <si>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</si>
  <si>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</si>
  <si>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</si>
  <si>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</si>
  <si>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</si>
  <si>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</si>
  <si>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</si>
  <si>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</si>
  <si>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</si>
  <si>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</si>
  <si>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</si>
  <si>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</si>
  <si>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</si>
  <si>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</si>
  <si>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</si>
  <si>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</si>
  <si>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</si>
  <si>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</si>
  <si>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</si>
  <si>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</si>
  <si>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</si>
  <si>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</si>
  <si>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</si>
  <si>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</si>
  <si>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</si>
  <si>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</si>
  <si>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</si>
  <si>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</si>
  <si>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</si>
  <si>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</si>
  <si>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</si>
  <si>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</si>
  <si>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</si>
  <si>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</si>
  <si>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</si>
  <si>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</si>
  <si>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</si>
  <si>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</si>
  <si>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Total opex cost ($)</t>
  </si>
  <si>
    <t>Tx capex profile ($)</t>
  </si>
  <si>
    <t>Total capex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</si>
  <si>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</si>
  <si>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</si>
  <si>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</si>
  <si>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</si>
  <si>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</si>
  <si>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</si>
  <si>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</si>
  <si>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</si>
  <si>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</si>
  <si>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</si>
  <si>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</si>
  <si>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</si>
  <si>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</si>
  <si>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</si>
  <si>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</si>
  <si>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</si>
  <si>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</si>
  <si>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</si>
  <si>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</si>
  <si>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</si>
  <si>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</si>
  <si>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</si>
  <si>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</si>
  <si>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</si>
  <si>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</si>
  <si>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Scenario #1: AR - Transformer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</si>
  <si>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</si>
  <si>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</si>
  <si>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</si>
  <si>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</si>
  <si>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</si>
  <si>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</si>
  <si>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</si>
  <si>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</si>
  <si>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</si>
  <si>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</si>
  <si>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</si>
  <si>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</si>
  <si>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</si>
  <si>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</si>
  <si>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</si>
  <si>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</si>
  <si>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</si>
  <si>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</si>
  <si>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</si>
  <si>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</si>
  <si>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N/A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</si>
  <si>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</si>
  <si>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</si>
  <si>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</si>
  <si>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</si>
  <si>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</si>
  <si>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</si>
  <si>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</si>
  <si>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Scenario #2: AR - Transformer</t>
  </si>
  <si>
    <t>Scenario #3: AR - Transformer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</si>
  <si>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</si>
  <si>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</si>
  <si>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</si>
  <si>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</si>
  <si>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</si>
  <si>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</si>
  <si>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</si>
  <si>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</si>
  <si>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</si>
  <si>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</si>
  <si>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</si>
  <si>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</si>
  <si>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</si>
  <si>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</si>
  <si>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</si>
  <si>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</si>
  <si>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</si>
  <si>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</si>
  <si>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</si>
  <si>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</si>
  <si>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</si>
  <si>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</si>
  <si>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</si>
  <si>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</si>
  <si>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</si>
  <si>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</si>
  <si>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</si>
  <si>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</si>
  <si>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</si>
  <si>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</si>
  <si>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</si>
  <si>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</si>
  <si>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</si>
  <si>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</si>
  <si>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</si>
  <si>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</si>
  <si>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</si>
  <si>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</si>
  <si>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</si>
  <si>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</si>
  <si>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</si>
  <si>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</si>
  <si>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</si>
  <si>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</si>
  <si>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</si>
  <si>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</si>
  <si>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</si>
  <si>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</si>
  <si>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</si>
  <si>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</si>
  <si>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</si>
  <si>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</si>
  <si>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</si>
  <si>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</si>
  <si>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</si>
  <si>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</si>
  <si>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</si>
  <si>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</si>
  <si>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</si>
  <si>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</si>
  <si>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</si>
  <si>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</si>
  <si>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</si>
  <si>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</si>
  <si>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</si>
  <si>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</si>
  <si>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</si>
  <si>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</si>
  <si>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</si>
  <si>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</si>
  <si>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</si>
  <si>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</si>
  <si>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</si>
  <si>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</si>
  <si>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CP</t>
  </si>
  <si>
    <t>CP:</t>
  </si>
  <si>
    <t>June</t>
  </si>
  <si>
    <t>CY</t>
  </si>
  <si>
    <t>Powercor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</si>
  <si>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</si>
  <si>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</si>
  <si>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</si>
  <si>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</si>
  <si>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</si>
  <si>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</si>
  <si>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</si>
  <si>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</si>
  <si>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2024 VCR ($/MWh)</t>
  </si>
  <si>
    <t>Refurb transformer #2 completed in 2028-2029</t>
  </si>
  <si>
    <t>Refurbish transformer</t>
  </si>
  <si>
    <t>Environmental risk</t>
  </si>
  <si>
    <t>3.4.02</t>
  </si>
  <si>
    <t>Revised proposal 2026-31</t>
  </si>
  <si>
    <t>Energy at risk (kWh)</t>
  </si>
  <si>
    <t xml:space="preserve">Working_risks - E11:AC11, applied at the discount rate. FY27-FY48 captured. </t>
  </si>
  <si>
    <t xml:space="preserve">Working_risks - E12:AC12, applied at the discount rate. FY27-FY48 captured. </t>
  </si>
  <si>
    <t xml:space="preserve">Working_risks - E13:AC13, applied at the discount rate. FY27-FY48 captured. </t>
  </si>
  <si>
    <t xml:space="preserve">Working_risks - E14:AC14, applied at the discount rate. FY27-FY48 captured. </t>
  </si>
  <si>
    <t xml:space="preserve">Working_risks - E15:AC15, applied at the discount rate. FY27-FY48 captured. </t>
  </si>
  <si>
    <t xml:space="preserve">Working_risks - E24:AC24, applied at the discount rate. FY27-FY48 captured. </t>
  </si>
  <si>
    <t xml:space="preserve">Working_risks - E25:AC25, applied at the discount rate. FY27-FY48 captured. </t>
  </si>
  <si>
    <t xml:space="preserve">Working_risks - E26:AC26, applied at the discount rate. FY27-FY48 captured. </t>
  </si>
  <si>
    <t xml:space="preserve">Working_risks - E27:AC27, applied at the discount rate. FY27-FY48 captured. </t>
  </si>
  <si>
    <t xml:space="preserve">Working_risks - E28:AC28, applied at the discount rate. FY27-FY48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</si>
</sst>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dd\ mmmm\ yyyy"/>
    <numFmt numFmtId="196" formatCode="mmm\ yyyy"/>
    <numFmt numFmtId="197" formatCode="_-&quot;$&quot;* #,##0_-;\-&quot;$&quot;* #,##0_-;_-&quot;$&quot;* &quot;-&quot;??_-;_-@_-"/>
    <numFmt numFmtId="198" formatCode="_-* #,##0.0_-;\-* #,##0.0_-;_-* &quot;-&quot;??_-;_-@_-"/>
    <numFmt numFmtId="199" formatCode="#,##0.000_);\(#,##0.000\);\-\-_)"/>
    <numFmt numFmtId="200" formatCode="?0"/>
    <numFmt numFmtId="201" formatCode="0.0"/>
    <numFmt numFmtId="202" formatCode="_-[$$-C09]* #,##0.00_-;\-[$$-C09]* #,##0.00_-;_-[$$-C09]* &quot;-&quot;??_-;_-@_-"/>
    <numFmt numFmtId="203" formatCode="#,##0_ ;[Red]\-#,##0\ "/>
    <numFmt numFmtId="204" formatCode="_(&quot;$&quot;* #,##0.00_);_(&quot;$&quot;* \(#,##0.00\);_(&quot;$&quot;* &quot;-&quot;??_);_(@_)"/>
  </numFmts>
  <fonts count="110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8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9"/>
      <color rgb="FFFFFFFF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i/>
      <sz val="10"/>
      <color rgb="FFFFFFFF"/>
      <name val="Calibri"/>
      <family val="2"/>
      <scheme val="minor"/>
    </font>
    <font>
      <b/>
      <sz val="10"/>
      <color theme="0"/>
      <name val="Arial"/>
      <family val="2"/>
    </font>
    <font>
      <b/>
      <sz val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00215B"/>
        <bgColor rgb="FF000000"/>
      </patternFill>
    </fill>
    <fill>
      <patternFill patternType="solid">
        <fgColor rgb="FFFCCDD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49357"/>
        <bgColor rgb="FF000000"/>
      </patternFill>
    </fill>
    <fill>
      <patternFill patternType="solid">
        <fgColor rgb="FFD5E4FF"/>
        <bgColor rgb="FF000000"/>
      </patternFill>
    </fill>
    <fill>
      <patternFill patternType="solid">
        <fgColor rgb="FF95BD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  <fill>
      <patternFill patternType="solid">
        <fgColor rgb="FFF2F2F2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0">
    <xf numFmtId="0" fontId="0" fillId="0" borderId="0"/>
    <xf numFmtId="0" fontId="7" fillId="0" borderId="0"/>
    <xf numFmtId="0" fontId="3" fillId="2" borderId="1" applyNumberFormat="0" applyAlignment="0">
      <alignment horizontal="right"/>
      <protection locked="0"/>
    </xf>
    <xf numFmtId="164" fontId="4" fillId="0" borderId="0" applyFont="0" applyFill="0" applyBorder="0" applyAlignment="0" applyProtection="0"/>
    <xf numFmtId="165" fontId="5" fillId="3" borderId="2" applyAlignment="0"/>
    <xf numFmtId="0" fontId="15" fillId="0" borderId="0" applyNumberFormat="0"/>
    <xf numFmtId="0" fontId="6" fillId="0" borderId="3" applyNumberFormat="0" applyAlignment="0"/>
    <xf numFmtId="0" fontId="4" fillId="0" borderId="4" applyNumberFormat="0" applyFont="0" applyFill="0" applyAlignment="0"/>
    <xf numFmtId="0" fontId="6" fillId="0" borderId="0"/>
    <xf numFmtId="0" fontId="7" fillId="1" borderId="0"/>
    <xf numFmtId="0" fontId="8" fillId="4" borderId="5" applyNumberFormat="0" applyAlignment="0"/>
    <xf numFmtId="0" fontId="9" fillId="5" borderId="3" applyNumberFormat="0">
      <alignment horizontal="centerContinuous" vertical="center" wrapText="1"/>
    </xf>
    <xf numFmtId="0" fontId="10" fillId="4" borderId="6" applyNumberFormat="0" applyAlignment="0"/>
    <xf numFmtId="0" fontId="11" fillId="0" borderId="0" applyNumberFormat="0"/>
    <xf numFmtId="0" fontId="13" fillId="7" borderId="0"/>
    <xf numFmtId="0" fontId="14" fillId="0" borderId="0"/>
    <xf numFmtId="166" fontId="12" fillId="6" borderId="0"/>
    <xf numFmtId="166" fontId="16" fillId="6" borderId="0"/>
    <xf numFmtId="0" fontId="17" fillId="0" borderId="0"/>
    <xf numFmtId="9" fontId="20" fillId="0" borderId="0" applyFont="0" applyFill="0" applyBorder="0" applyAlignment="0" applyProtection="0"/>
    <xf numFmtId="0" fontId="20" fillId="0" borderId="0"/>
    <xf numFmtId="0" fontId="30" fillId="9" borderId="0" applyNumberFormat="0">
      <alignment horizontal="center"/>
    </xf>
    <xf numFmtId="170" fontId="23" fillId="0" borderId="8" applyNumberFormat="0" applyProtection="0">
      <alignment horizontal="right"/>
    </xf>
    <xf numFmtId="10" fontId="29" fillId="2" borderId="0" applyNumberFormat="0" applyAlignment="0" applyProtection="0"/>
    <xf numFmtId="10" fontId="49" fillId="12" borderId="0" applyNumberFormat="0" applyBorder="0" applyAlignment="0" applyProtection="0"/>
    <xf numFmtId="0" fontId="6" fillId="0" borderId="0"/>
    <xf numFmtId="0" fontId="79" fillId="0" borderId="0"/>
    <xf numFmtId="9" fontId="79" fillId="0" borderId="0" applyFont="0" applyFill="0" applyBorder="0" applyAlignment="0" applyProtection="0"/>
    <xf numFmtId="0" fontId="20" fillId="0" borderId="0"/>
    <xf numFmtId="4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" fontId="94" fillId="17" borderId="16" applyNumberFormat="0" applyProtection="0">
      <alignment horizontal="left" vertical="center" indent="1"/>
    </xf>
    <xf numFmtId="4" fontId="94" fillId="17" borderId="16" applyNumberFormat="0" applyProtection="0">
      <alignment horizontal="left" vertical="center" indent="1"/>
    </xf>
    <xf numFmtId="4" fontId="94" fillId="0" borderId="16" applyNumberFormat="0" applyProtection="0">
      <alignment horizontal="right" vertical="center"/>
    </xf>
    <xf numFmtId="44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7" fillId="0" borderId="0" applyNumberFormat="0" applyFill="0" applyBorder="0" applyProtection="0"/>
    <xf numFmtId="0" fontId="104" fillId="34" borderId="19" applyNumberFormat="0" applyProtection="0"/>
    <xf numFmtId="202" fontId="2" fillId="0" borderId="0" applyFont="0" applyFill="0" applyBorder="0" applyAlignment="0" applyProtection="0"/>
    <xf numFmtId="0" fontId="61" fillId="35" borderId="20" applyNumberFormat="0" applyProtection="0"/>
  </cellStyleXfs>
  <cellXfs count="433">
    <xf numFmtId="0" fontId="0" fillId="0" borderId="0" xfId="0"/>
    <xf numFmtId="0" fontId="17" fillId="0" borderId="0" xfId="18"/>
    <xf numFmtId="0" fontId="17" fillId="0" borderId="0" xfId="18" applyAlignment="1">
      <alignment horizontal="right"/>
    </xf>
    <xf numFmtId="0" fontId="19" fillId="0" borderId="0" xfId="18" applyFont="1"/>
    <xf numFmtId="0" fontId="18" fillId="0" borderId="0" xfId="18" applyFont="1" applyAlignment="1">
      <alignment vertical="center"/>
    </xf>
    <xf numFmtId="0" fontId="22" fillId="0" borderId="0" xfId="18" applyFont="1"/>
    <xf numFmtId="0" fontId="17" fillId="0" borderId="0" xfId="0" applyFont="1"/>
    <xf numFmtId="0" fontId="24" fillId="0" borderId="0" xfId="8" applyFont="1"/>
    <xf numFmtId="0" fontId="25" fillId="0" borderId="0" xfId="0" applyFont="1"/>
    <xf numFmtId="166" fontId="27" fillId="8" borderId="0" xfId="16" applyFont="1" applyFill="1"/>
    <xf numFmtId="0" fontId="17" fillId="0" borderId="0" xfId="18" applyAlignment="1">
      <alignment horizontal="left"/>
    </xf>
    <xf numFmtId="0" fontId="29" fillId="2" borderId="0" xfId="0" applyFont="1" applyFill="1"/>
    <xf numFmtId="0" fontId="19" fillId="0" borderId="0" xfId="0" applyFont="1"/>
    <xf numFmtId="166" fontId="27" fillId="10" borderId="0" xfId="16" applyFont="1" applyFill="1"/>
    <xf numFmtId="0" fontId="21" fillId="11" borderId="0" xfId="18" applyFont="1" applyFill="1" applyAlignment="1">
      <alignment vertical="center"/>
    </xf>
    <xf numFmtId="0" fontId="21" fillId="11" borderId="0" xfId="18" applyFont="1" applyFill="1" applyAlignment="1">
      <alignment horizontal="right" vertical="center"/>
    </xf>
    <xf numFmtId="0" fontId="26" fillId="11" borderId="0" xfId="18" applyFont="1" applyFill="1" applyAlignment="1">
      <alignment vertical="center"/>
    </xf>
    <xf numFmtId="166" fontId="33" fillId="10" borderId="0" xfId="16" applyFont="1" applyFill="1"/>
    <xf numFmtId="166" fontId="34" fillId="10" borderId="0" xfId="16" applyFont="1" applyFill="1" applyAlignment="1">
      <alignment horizontal="right"/>
    </xf>
    <xf numFmtId="0" fontId="17" fillId="0" borderId="0" xfId="0" applyFont="1" applyAlignment="1">
      <alignment horizontal="left"/>
    </xf>
    <xf numFmtId="0" fontId="23" fillId="0" borderId="0" xfId="18" applyFont="1"/>
    <xf numFmtId="0" fontId="17" fillId="2" borderId="0" xfId="0" applyFont="1" applyFill="1"/>
    <xf numFmtId="172" fontId="17" fillId="0" borderId="0" xfId="0" applyNumberFormat="1" applyFont="1"/>
    <xf numFmtId="172" fontId="17" fillId="2" borderId="0" xfId="0" applyNumberFormat="1" applyFont="1" applyFill="1" applyAlignment="1">
      <alignment horizontal="left"/>
    </xf>
    <xf numFmtId="0" fontId="19" fillId="0" borderId="0" xfId="18" applyFont="1" applyAlignment="1">
      <alignment horizontal="left"/>
    </xf>
    <xf numFmtId="0" fontId="17" fillId="2" borderId="0" xfId="0" quotePrefix="1" applyFont="1" applyFill="1"/>
    <xf numFmtId="0" fontId="19" fillId="0" borderId="7" xfId="18" applyFont="1" applyBorder="1" applyAlignment="1">
      <alignment horizontal="left"/>
    </xf>
    <xf numFmtId="0" fontId="19" fillId="0" borderId="7" xfId="18" applyFont="1" applyBorder="1"/>
    <xf numFmtId="167" fontId="18" fillId="0" borderId="0" xfId="18" applyNumberFormat="1" applyFont="1" applyAlignment="1">
      <alignment horizontal="right" vertical="center"/>
    </xf>
    <xf numFmtId="167" fontId="29" fillId="2" borderId="8" xfId="18" applyNumberFormat="1" applyFont="1" applyFill="1" applyBorder="1" applyAlignment="1">
      <alignment horizontal="right" vertical="center"/>
    </xf>
    <xf numFmtId="0" fontId="36" fillId="0" borderId="0" xfId="8" applyFont="1"/>
    <xf numFmtId="0" fontId="37" fillId="0" borderId="0" xfId="18" applyFont="1"/>
    <xf numFmtId="0" fontId="17" fillId="13" borderId="4" xfId="18" applyFill="1" applyBorder="1" applyAlignment="1">
      <alignment horizontal="left"/>
    </xf>
    <xf numFmtId="1" fontId="29" fillId="2" borderId="0" xfId="18" quotePrefix="1" applyNumberFormat="1" applyFont="1" applyFill="1" applyAlignment="1">
      <alignment horizontal="center"/>
    </xf>
    <xf numFmtId="166" fontId="40" fillId="0" borderId="0" xfId="18" applyNumberFormat="1" applyFont="1" applyAlignment="1">
      <alignment horizontal="left"/>
    </xf>
    <xf numFmtId="10" fontId="29" fillId="2" borderId="0" xfId="23" applyNumberFormat="1"/>
    <xf numFmtId="171" fontId="35" fillId="2" borderId="0" xfId="18" applyNumberFormat="1" applyFont="1" applyFill="1" applyAlignment="1">
      <alignment horizontal="right"/>
    </xf>
    <xf numFmtId="14" fontId="17" fillId="0" borderId="0" xfId="0" applyNumberFormat="1" applyFont="1"/>
    <xf numFmtId="1" fontId="17" fillId="2" borderId="0" xfId="0" applyNumberFormat="1" applyFont="1" applyFill="1" applyAlignment="1">
      <alignment horizontal="left"/>
    </xf>
    <xf numFmtId="14" fontId="19" fillId="0" borderId="7" xfId="18" applyNumberFormat="1" applyFont="1" applyBorder="1"/>
    <xf numFmtId="0" fontId="42" fillId="0" borderId="7" xfId="18" quotePrefix="1" applyFont="1" applyBorder="1" applyAlignment="1">
      <alignment horizontal="left"/>
    </xf>
    <xf numFmtId="14" fontId="39" fillId="2" borderId="7" xfId="23" applyNumberFormat="1" applyFont="1" applyBorder="1"/>
    <xf numFmtId="166" fontId="27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2" fillId="0" borderId="7" xfId="18" applyNumberFormat="1" applyFont="1" applyBorder="1" applyAlignment="1">
      <alignment horizontal="left" vertical="center"/>
    </xf>
    <xf numFmtId="0" fontId="23" fillId="0" borderId="0" xfId="18" applyFont="1" applyAlignment="1">
      <alignment horizontal="left"/>
    </xf>
    <xf numFmtId="167" fontId="32" fillId="0" borderId="4" xfId="18" applyNumberFormat="1" applyFont="1" applyBorder="1" applyAlignment="1">
      <alignment horizontal="right" vertical="center"/>
    </xf>
    <xf numFmtId="0" fontId="19" fillId="0" borderId="7" xfId="0" applyFont="1" applyBorder="1"/>
    <xf numFmtId="168" fontId="43" fillId="10" borderId="0" xfId="18" applyNumberFormat="1" applyFont="1" applyFill="1" applyAlignment="1">
      <alignment horizontal="center" vertical="center"/>
    </xf>
    <xf numFmtId="0" fontId="19" fillId="0" borderId="7" xfId="0" applyFont="1" applyBorder="1" applyAlignment="1">
      <alignment horizontal="right"/>
    </xf>
    <xf numFmtId="166" fontId="44" fillId="10" borderId="0" xfId="16" applyFont="1" applyFill="1"/>
    <xf numFmtId="0" fontId="29" fillId="2" borderId="0" xfId="18" applyFont="1" applyFill="1" applyAlignment="1">
      <alignment horizontal="left"/>
    </xf>
    <xf numFmtId="167" fontId="18" fillId="0" borderId="0" xfId="18" applyNumberFormat="1" applyFont="1" applyAlignment="1">
      <alignment horizontal="left" vertical="center"/>
    </xf>
    <xf numFmtId="0" fontId="17" fillId="0" borderId="7" xfId="0" applyFont="1" applyBorder="1"/>
    <xf numFmtId="172" fontId="29" fillId="2" borderId="9" xfId="18" quotePrefix="1" applyNumberFormat="1" applyFont="1" applyFill="1" applyBorder="1" applyAlignment="1">
      <alignment horizontal="left"/>
    </xf>
    <xf numFmtId="0" fontId="18" fillId="0" borderId="0" xfId="18" applyFont="1" applyAlignment="1">
      <alignment horizontal="left" vertical="top"/>
    </xf>
    <xf numFmtId="168" fontId="17" fillId="0" borderId="0" xfId="18" applyNumberFormat="1" applyAlignment="1">
      <alignment horizontal="left"/>
    </xf>
    <xf numFmtId="172" fontId="17" fillId="2" borderId="0" xfId="0" quotePrefix="1" applyNumberFormat="1" applyFont="1" applyFill="1" applyAlignment="1">
      <alignment horizontal="left"/>
    </xf>
    <xf numFmtId="0" fontId="47" fillId="0" borderId="0" xfId="0" applyFont="1" applyAlignment="1">
      <alignment horizontal="right"/>
    </xf>
    <xf numFmtId="0" fontId="45" fillId="0" borderId="0" xfId="0" applyFont="1" applyAlignment="1">
      <alignment horizontal="left" indent="1"/>
    </xf>
    <xf numFmtId="168" fontId="23" fillId="0" borderId="8" xfId="22" applyNumberFormat="1">
      <alignment horizontal="right"/>
    </xf>
    <xf numFmtId="0" fontId="48" fillId="0" borderId="0" xfId="18" quotePrefix="1" applyFont="1" applyAlignment="1">
      <alignment horizontal="left"/>
    </xf>
    <xf numFmtId="168" fontId="46" fillId="0" borderId="0" xfId="23" applyNumberFormat="1" applyFont="1" applyFill="1" applyAlignment="1">
      <alignment horizontal="right"/>
    </xf>
    <xf numFmtId="0" fontId="19" fillId="0" borderId="7" xfId="18" applyFont="1" applyBorder="1" applyAlignment="1">
      <alignment horizontal="right"/>
    </xf>
    <xf numFmtId="0" fontId="46" fillId="0" borderId="0" xfId="18" applyFont="1" applyAlignment="1">
      <alignment horizontal="left" indent="1"/>
    </xf>
    <xf numFmtId="0" fontId="17" fillId="0" borderId="0" xfId="18" applyAlignment="1">
      <alignment horizontal="left" vertical="top" wrapText="1"/>
    </xf>
    <xf numFmtId="0" fontId="19" fillId="0" borderId="7" xfId="18" applyFont="1" applyBorder="1" applyAlignment="1">
      <alignment horizontal="left" vertical="top"/>
    </xf>
    <xf numFmtId="0" fontId="17" fillId="0" borderId="7" xfId="18" applyBorder="1" applyAlignment="1">
      <alignment horizontal="left" vertical="top"/>
    </xf>
    <xf numFmtId="14" fontId="17" fillId="0" borderId="0" xfId="18" applyNumberFormat="1"/>
    <xf numFmtId="14" fontId="17" fillId="0" borderId="7" xfId="18" applyNumberFormat="1" applyBorder="1"/>
    <xf numFmtId="14" fontId="29" fillId="2" borderId="0" xfId="18" applyNumberFormat="1" applyFont="1" applyFill="1"/>
    <xf numFmtId="10" fontId="36" fillId="0" borderId="0" xfId="23" applyNumberFormat="1" applyFont="1" applyFill="1"/>
    <xf numFmtId="0" fontId="28" fillId="0" borderId="0" xfId="0" applyFont="1"/>
    <xf numFmtId="166" fontId="33" fillId="10" borderId="0" xfId="16" applyFont="1" applyFill="1" applyAlignment="1">
      <alignment horizontal="center"/>
    </xf>
    <xf numFmtId="0" fontId="25" fillId="0" borderId="0" xfId="0" applyFont="1" applyAlignment="1">
      <alignment horizontal="center"/>
    </xf>
    <xf numFmtId="176" fontId="18" fillId="0" borderId="0" xfId="18" applyNumberFormat="1" applyFont="1" applyAlignment="1">
      <alignment horizontal="right" vertical="center"/>
    </xf>
    <xf numFmtId="49" fontId="17" fillId="2" borderId="0" xfId="0" applyNumberFormat="1" applyFont="1" applyFill="1" applyAlignment="1">
      <alignment horizontal="left"/>
    </xf>
    <xf numFmtId="0" fontId="52" fillId="0" borderId="7" xfId="18" applyFont="1" applyBorder="1"/>
    <xf numFmtId="0" fontId="53" fillId="0" borderId="7" xfId="18" applyFont="1" applyBorder="1" applyAlignment="1">
      <alignment vertical="center"/>
    </xf>
    <xf numFmtId="0" fontId="38" fillId="0" borderId="7" xfId="18" applyFont="1" applyBorder="1" applyAlignment="1">
      <alignment vertical="center"/>
    </xf>
    <xf numFmtId="173" fontId="17" fillId="0" borderId="0" xfId="18" applyNumberFormat="1"/>
    <xf numFmtId="0" fontId="23" fillId="13" borderId="8" xfId="22" applyNumberFormat="1" applyFill="1" applyAlignment="1">
      <alignment horizontal="left"/>
    </xf>
    <xf numFmtId="0" fontId="54" fillId="0" borderId="0" xfId="18" applyFont="1"/>
    <xf numFmtId="167" fontId="36" fillId="2" borderId="0" xfId="18" applyNumberFormat="1" applyFont="1" applyFill="1" applyAlignment="1">
      <alignment horizontal="right" vertical="center"/>
    </xf>
    <xf numFmtId="173" fontId="18" fillId="0" borderId="0" xfId="18" applyNumberFormat="1" applyFont="1" applyAlignment="1">
      <alignment horizontal="right" vertical="center"/>
    </xf>
    <xf numFmtId="0" fontId="41" fillId="0" borderId="0" xfId="8" applyFont="1"/>
    <xf numFmtId="175" fontId="47" fillId="0" borderId="0" xfId="18" applyNumberFormat="1" applyFont="1" applyAlignment="1">
      <alignment horizontal="right" vertical="center"/>
    </xf>
    <xf numFmtId="0" fontId="41" fillId="0" borderId="0" xfId="8" applyFont="1" applyAlignment="1">
      <alignment horizontal="center"/>
    </xf>
    <xf numFmtId="0" fontId="47" fillId="0" borderId="0" xfId="18" applyFont="1" applyAlignment="1">
      <alignment horizontal="right"/>
    </xf>
    <xf numFmtId="49" fontId="17" fillId="0" borderId="0" xfId="0" applyNumberFormat="1" applyFont="1"/>
    <xf numFmtId="178" fontId="17" fillId="0" borderId="0" xfId="18" applyNumberFormat="1" applyAlignment="1">
      <alignment vertical="top" wrapText="1"/>
    </xf>
    <xf numFmtId="178" fontId="18" fillId="13" borderId="0" xfId="18" applyNumberFormat="1" applyFont="1" applyFill="1" applyAlignment="1">
      <alignment horizontal="right" vertical="center"/>
    </xf>
    <xf numFmtId="179" fontId="18" fillId="0" borderId="0" xfId="18" applyNumberFormat="1" applyFont="1" applyAlignment="1">
      <alignment horizontal="right" vertical="center"/>
    </xf>
    <xf numFmtId="176" fontId="32" fillId="0" borderId="0" xfId="18" applyNumberFormat="1" applyFont="1" applyAlignment="1">
      <alignment horizontal="right" vertical="center"/>
    </xf>
    <xf numFmtId="0" fontId="51" fillId="0" borderId="0" xfId="0" applyFont="1"/>
    <xf numFmtId="167" fontId="32" fillId="0" borderId="0" xfId="18" applyNumberFormat="1" applyFont="1" applyAlignment="1">
      <alignment horizontal="right" vertical="center"/>
    </xf>
    <xf numFmtId="166" fontId="40" fillId="0" borderId="4" xfId="18" applyNumberFormat="1" applyFont="1" applyBorder="1" applyAlignment="1">
      <alignment horizontal="left"/>
    </xf>
    <xf numFmtId="0" fontId="17" fillId="0" borderId="4" xfId="18" applyBorder="1"/>
    <xf numFmtId="0" fontId="53" fillId="0" borderId="0" xfId="18" applyFont="1" applyAlignment="1">
      <alignment vertical="center"/>
    </xf>
    <xf numFmtId="169" fontId="23" fillId="0" borderId="8" xfId="22" applyNumberFormat="1">
      <alignment horizontal="right"/>
    </xf>
    <xf numFmtId="170" fontId="23" fillId="0" borderId="8" xfId="22" applyNumberFormat="1">
      <alignment horizontal="right"/>
    </xf>
    <xf numFmtId="0" fontId="50" fillId="0" borderId="0" xfId="8" applyFont="1"/>
    <xf numFmtId="0" fontId="38" fillId="0" borderId="7" xfId="18" applyFont="1" applyBorder="1" applyAlignment="1">
      <alignment horizontal="right" vertical="center"/>
    </xf>
    <xf numFmtId="0" fontId="24" fillId="0" borderId="0" xfId="8" applyFont="1" applyAlignment="1">
      <alignment horizontal="left"/>
    </xf>
    <xf numFmtId="0" fontId="19" fillId="0" borderId="4" xfId="0" applyFont="1" applyBorder="1" applyAlignment="1">
      <alignment horizontal="left"/>
    </xf>
    <xf numFmtId="0" fontId="57" fillId="0" borderId="0" xfId="18" applyFont="1"/>
    <xf numFmtId="0" fontId="17" fillId="0" borderId="0" xfId="20" applyFont="1"/>
    <xf numFmtId="0" fontId="17" fillId="0" borderId="0" xfId="20" applyFont="1" applyAlignment="1">
      <alignment horizontal="center"/>
    </xf>
    <xf numFmtId="0" fontId="20" fillId="0" borderId="0" xfId="20"/>
    <xf numFmtId="0" fontId="17" fillId="2" borderId="0" xfId="20" applyFont="1" applyFill="1"/>
    <xf numFmtId="180" fontId="23" fillId="0" borderId="8" xfId="22" applyNumberFormat="1">
      <alignment horizontal="right"/>
    </xf>
    <xf numFmtId="167" fontId="17" fillId="0" borderId="0" xfId="18" applyNumberFormat="1" applyAlignment="1">
      <alignment horizontal="right" vertical="center"/>
    </xf>
    <xf numFmtId="167" fontId="17" fillId="14" borderId="0" xfId="18" applyNumberFormat="1" applyFill="1" applyAlignment="1">
      <alignment horizontal="right" vertical="center"/>
    </xf>
    <xf numFmtId="0" fontId="58" fillId="0" borderId="0" xfId="18" applyFont="1" applyAlignment="1">
      <alignment horizontal="left" indent="1"/>
    </xf>
    <xf numFmtId="49" fontId="17" fillId="0" borderId="0" xfId="18" applyNumberFormat="1"/>
    <xf numFmtId="182" fontId="29" fillId="2" borderId="8" xfId="18" applyNumberFormat="1" applyFont="1" applyFill="1" applyBorder="1" applyAlignment="1">
      <alignment horizontal="right" vertical="center"/>
    </xf>
    <xf numFmtId="176" fontId="17" fillId="0" borderId="0" xfId="18" applyNumberFormat="1"/>
    <xf numFmtId="2" fontId="17" fillId="0" borderId="0" xfId="18" applyNumberFormat="1"/>
    <xf numFmtId="178" fontId="32" fillId="0" borderId="0" xfId="18" applyNumberFormat="1" applyFont="1" applyAlignment="1">
      <alignment horizontal="right" vertical="center"/>
    </xf>
    <xf numFmtId="178" fontId="59" fillId="0" borderId="0" xfId="18" applyNumberFormat="1" applyFont="1" applyAlignment="1">
      <alignment horizontal="right" vertical="center"/>
    </xf>
    <xf numFmtId="0" fontId="26" fillId="11" borderId="0" xfId="18" applyFont="1" applyFill="1" applyAlignment="1">
      <alignment horizontal="right" vertical="center"/>
    </xf>
    <xf numFmtId="167" fontId="18" fillId="0" borderId="4" xfId="18" applyNumberFormat="1" applyFont="1" applyBorder="1" applyAlignment="1">
      <alignment horizontal="right" vertical="center"/>
    </xf>
    <xf numFmtId="0" fontId="17" fillId="0" borderId="4" xfId="0" applyFont="1" applyBorder="1" applyAlignment="1">
      <alignment horizontal="left"/>
    </xf>
    <xf numFmtId="0" fontId="17" fillId="2" borderId="0" xfId="18" applyFill="1"/>
    <xf numFmtId="14" fontId="60" fillId="0" borderId="0" xfId="0" applyNumberFormat="1" applyFont="1"/>
    <xf numFmtId="0" fontId="59" fillId="0" borderId="0" xfId="18" applyFont="1" applyAlignment="1">
      <alignment vertical="center"/>
    </xf>
    <xf numFmtId="167" fontId="29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5" fillId="0" borderId="0" xfId="0" applyNumberFormat="1" applyFont="1"/>
    <xf numFmtId="0" fontId="47" fillId="2" borderId="0" xfId="18" applyFont="1" applyFill="1" applyAlignment="1">
      <alignment horizontal="right"/>
    </xf>
    <xf numFmtId="0" fontId="19" fillId="0" borderId="0" xfId="18" applyFont="1" applyAlignment="1">
      <alignment horizontal="center"/>
    </xf>
    <xf numFmtId="167" fontId="36" fillId="2" borderId="0" xfId="18" applyNumberFormat="1" applyFont="1" applyFill="1" applyAlignment="1">
      <alignment horizontal="left" vertical="center"/>
    </xf>
    <xf numFmtId="170" fontId="29" fillId="2" borderId="0" xfId="23" applyNumberFormat="1" applyAlignment="1">
      <alignment horizontal="right"/>
    </xf>
    <xf numFmtId="183" fontId="49" fillId="2" borderId="0" xfId="24" applyNumberFormat="1" applyFill="1" applyAlignment="1">
      <alignment horizontal="right"/>
    </xf>
    <xf numFmtId="0" fontId="19" fillId="0" borderId="7" xfId="0" applyFont="1" applyBorder="1" applyAlignment="1">
      <alignment horizontal="left"/>
    </xf>
    <xf numFmtId="0" fontId="19" fillId="0" borderId="7" xfId="0" applyFont="1" applyBorder="1" applyAlignment="1">
      <alignment horizontal="center"/>
    </xf>
    <xf numFmtId="9" fontId="29" fillId="2" borderId="0" xfId="23" applyNumberFormat="1" applyAlignment="1">
      <alignment horizontal="right"/>
    </xf>
    <xf numFmtId="175" fontId="47" fillId="0" borderId="0" xfId="18" applyNumberFormat="1" applyFont="1" applyAlignment="1">
      <alignment horizontal="left" vertical="center"/>
    </xf>
    <xf numFmtId="0" fontId="19" fillId="0" borderId="0" xfId="0" applyFont="1" applyAlignment="1">
      <alignment horizontal="center"/>
    </xf>
    <xf numFmtId="184" fontId="29" fillId="2" borderId="8" xfId="23" applyNumberFormat="1" applyBorder="1" applyAlignment="1">
      <alignment horizontal="right"/>
    </xf>
    <xf numFmtId="184" fontId="29" fillId="2" borderId="10" xfId="23" applyNumberFormat="1" applyBorder="1" applyAlignment="1">
      <alignment horizontal="right"/>
    </xf>
    <xf numFmtId="185" fontId="29" fillId="2" borderId="10" xfId="23" applyNumberFormat="1" applyBorder="1" applyAlignment="1">
      <alignment horizontal="center"/>
    </xf>
    <xf numFmtId="169" fontId="17" fillId="0" borderId="0" xfId="0" applyNumberFormat="1" applyFont="1"/>
    <xf numFmtId="0" fontId="36" fillId="0" borderId="0" xfId="18" applyFont="1"/>
    <xf numFmtId="179" fontId="29" fillId="2" borderId="8" xfId="18" applyNumberFormat="1" applyFont="1" applyFill="1" applyBorder="1" applyAlignment="1">
      <alignment horizontal="right" vertical="center"/>
    </xf>
    <xf numFmtId="187" fontId="29" fillId="2" borderId="8" xfId="18" applyNumberFormat="1" applyFont="1" applyFill="1" applyBorder="1" applyAlignment="1">
      <alignment horizontal="right" vertical="center"/>
    </xf>
    <xf numFmtId="179" fontId="32" fillId="0" borderId="0" xfId="18" applyNumberFormat="1" applyFont="1" applyAlignment="1">
      <alignment horizontal="right" vertical="center"/>
    </xf>
    <xf numFmtId="0" fontId="17" fillId="0" borderId="7" xfId="18" applyBorder="1"/>
    <xf numFmtId="0" fontId="18" fillId="0" borderId="11" xfId="18" applyFont="1" applyBorder="1" applyAlignment="1">
      <alignment vertical="center"/>
    </xf>
    <xf numFmtId="0" fontId="17" fillId="0" borderId="11" xfId="18" applyBorder="1"/>
    <xf numFmtId="173" fontId="18" fillId="0" borderId="11" xfId="18" applyNumberFormat="1" applyFont="1" applyBorder="1" applyAlignment="1">
      <alignment horizontal="right" vertical="center"/>
    </xf>
    <xf numFmtId="167" fontId="18" fillId="0" borderId="11" xfId="18" applyNumberFormat="1" applyFont="1" applyBorder="1" applyAlignment="1">
      <alignment horizontal="right" vertical="center"/>
    </xf>
    <xf numFmtId="0" fontId="57" fillId="0" borderId="11" xfId="0" applyFont="1" applyBorder="1"/>
    <xf numFmtId="166" fontId="40" fillId="0" borderId="11" xfId="18" applyNumberFormat="1" applyFont="1" applyBorder="1" applyAlignment="1">
      <alignment horizontal="left"/>
    </xf>
    <xf numFmtId="167" fontId="32" fillId="0" borderId="11" xfId="18" applyNumberFormat="1" applyFont="1" applyBorder="1" applyAlignment="1">
      <alignment horizontal="right" vertical="center"/>
    </xf>
    <xf numFmtId="0" fontId="17" fillId="0" borderId="11" xfId="0" applyFont="1" applyBorder="1"/>
    <xf numFmtId="0" fontId="26" fillId="15" borderId="0" xfId="18" applyFont="1" applyFill="1" applyAlignment="1">
      <alignment vertical="center"/>
    </xf>
    <xf numFmtId="0" fontId="26" fillId="15" borderId="0" xfId="18" applyFont="1" applyFill="1" applyAlignment="1">
      <alignment horizontal="right" vertical="center"/>
    </xf>
    <xf numFmtId="0" fontId="21" fillId="15" borderId="0" xfId="18" applyFont="1" applyFill="1" applyAlignment="1">
      <alignment horizontal="right" vertical="center"/>
    </xf>
    <xf numFmtId="188" fontId="17" fillId="0" borderId="7" xfId="18" applyNumberFormat="1" applyBorder="1" applyAlignment="1">
      <alignment horizontal="center"/>
    </xf>
    <xf numFmtId="188" fontId="17" fillId="0" borderId="7" xfId="18" applyNumberFormat="1" applyBorder="1" applyAlignment="1">
      <alignment horizontal="left"/>
    </xf>
    <xf numFmtId="179" fontId="17" fillId="0" borderId="0" xfId="0" applyNumberFormat="1" applyFont="1"/>
    <xf numFmtId="186" fontId="17" fillId="0" borderId="0" xfId="18" applyNumberFormat="1" applyAlignment="1">
      <alignment horizontal="left"/>
    </xf>
    <xf numFmtId="171" fontId="41" fillId="0" borderId="0" xfId="8" applyNumberFormat="1" applyFont="1"/>
    <xf numFmtId="1" fontId="41" fillId="0" borderId="0" xfId="8" applyNumberFormat="1" applyFont="1"/>
    <xf numFmtId="167" fontId="24" fillId="0" borderId="0" xfId="8" applyNumberFormat="1" applyFont="1"/>
    <xf numFmtId="167" fontId="24" fillId="0" borderId="0" xfId="8" applyNumberFormat="1" applyFont="1" applyAlignment="1">
      <alignment horizontal="right"/>
    </xf>
    <xf numFmtId="0" fontId="24" fillId="0" borderId="7" xfId="8" applyFont="1" applyBorder="1" applyAlignment="1">
      <alignment horizontal="left"/>
    </xf>
    <xf numFmtId="0" fontId="25" fillId="0" borderId="7" xfId="0" applyFont="1" applyBorder="1" applyAlignment="1">
      <alignment horizontal="center"/>
    </xf>
    <xf numFmtId="0" fontId="25" fillId="0" borderId="7" xfId="0" applyFont="1" applyBorder="1"/>
    <xf numFmtId="0" fontId="61" fillId="0" borderId="12" xfId="0" applyFont="1" applyBorder="1"/>
    <xf numFmtId="0" fontId="24" fillId="2" borderId="0" xfId="8" applyFont="1" applyFill="1" applyAlignment="1">
      <alignment horizontal="left"/>
    </xf>
    <xf numFmtId="2" fontId="17" fillId="2" borderId="0" xfId="18" applyNumberFormat="1" applyFill="1"/>
    <xf numFmtId="2" fontId="23" fillId="0" borderId="8" xfId="22" applyNumberFormat="1" applyAlignment="1">
      <alignment horizontal="left"/>
    </xf>
    <xf numFmtId="168" fontId="62" fillId="10" borderId="0" xfId="18" applyNumberFormat="1" applyFont="1" applyFill="1" applyAlignment="1">
      <alignment horizontal="center" vertical="center"/>
    </xf>
    <xf numFmtId="0" fontId="22" fillId="0" borderId="0" xfId="18" applyFont="1" applyAlignment="1">
      <alignment horizontal="left" indent="1"/>
    </xf>
    <xf numFmtId="168" fontId="62" fillId="10" borderId="0" xfId="18" applyNumberFormat="1" applyFont="1" applyFill="1" applyAlignment="1">
      <alignment horizontal="left" vertical="center"/>
    </xf>
    <xf numFmtId="0" fontId="63" fillId="0" borderId="0" xfId="18" applyFont="1"/>
    <xf numFmtId="0" fontId="64" fillId="0" borderId="7" xfId="18" applyFont="1" applyBorder="1" applyAlignment="1">
      <alignment vertical="center"/>
    </xf>
    <xf numFmtId="0" fontId="65" fillId="0" borderId="0" xfId="18" applyFont="1"/>
    <xf numFmtId="0" fontId="60" fillId="0" borderId="0" xfId="0" applyFont="1"/>
    <xf numFmtId="168" fontId="65" fillId="0" borderId="0" xfId="18" applyNumberFormat="1" applyFont="1" applyAlignment="1">
      <alignment horizontal="left"/>
    </xf>
    <xf numFmtId="0" fontId="64" fillId="0" borderId="0" xfId="18" applyFont="1" applyAlignment="1">
      <alignment vertical="center"/>
    </xf>
    <xf numFmtId="168" fontId="66" fillId="0" borderId="0" xfId="18" applyNumberFormat="1" applyFont="1" applyAlignment="1">
      <alignment horizontal="left"/>
    </xf>
    <xf numFmtId="168" fontId="67" fillId="0" borderId="0" xfId="18" applyNumberFormat="1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0" fontId="65" fillId="0" borderId="0" xfId="18" applyFont="1" applyAlignment="1">
      <alignment horizontal="left"/>
    </xf>
    <xf numFmtId="0" fontId="68" fillId="0" borderId="0" xfId="18" applyFont="1" applyAlignment="1">
      <alignment horizontal="left" vertical="center"/>
    </xf>
    <xf numFmtId="0" fontId="67" fillId="0" borderId="0" xfId="18" applyFont="1" applyAlignment="1">
      <alignment horizontal="left" vertical="center"/>
    </xf>
    <xf numFmtId="168" fontId="67" fillId="0" borderId="11" xfId="18" applyNumberFormat="1" applyFont="1" applyBorder="1" applyAlignment="1">
      <alignment horizontal="left" vertical="center"/>
    </xf>
    <xf numFmtId="168" fontId="69" fillId="0" borderId="0" xfId="18" applyNumberFormat="1" applyFont="1" applyAlignment="1">
      <alignment horizontal="left" vertical="center"/>
    </xf>
    <xf numFmtId="0" fontId="70" fillId="0" borderId="0" xfId="0" applyFont="1"/>
    <xf numFmtId="0" fontId="48" fillId="0" borderId="0" xfId="18" applyFont="1"/>
    <xf numFmtId="0" fontId="71" fillId="11" borderId="0" xfId="18" applyFont="1" applyFill="1" applyAlignment="1">
      <alignment horizontal="right" vertical="center"/>
    </xf>
    <xf numFmtId="167" fontId="67" fillId="0" borderId="0" xfId="18" applyNumberFormat="1" applyFont="1" applyAlignment="1">
      <alignment horizontal="right" vertical="center"/>
    </xf>
    <xf numFmtId="0" fontId="64" fillId="0" borderId="7" xfId="18" applyFont="1" applyBorder="1" applyAlignment="1">
      <alignment horizontal="right" vertical="center"/>
    </xf>
    <xf numFmtId="166" fontId="73" fillId="10" borderId="0" xfId="16" applyFont="1" applyFill="1" applyAlignment="1">
      <alignment horizontal="right"/>
    </xf>
    <xf numFmtId="0" fontId="72" fillId="0" borderId="0" xfId="8" applyFont="1" applyAlignment="1">
      <alignment horizontal="right"/>
    </xf>
    <xf numFmtId="168" fontId="67" fillId="0" borderId="0" xfId="18" applyNumberFormat="1" applyFont="1" applyAlignment="1">
      <alignment horizontal="right" vertical="center"/>
    </xf>
    <xf numFmtId="168" fontId="69" fillId="0" borderId="0" xfId="18" applyNumberFormat="1" applyFont="1" applyAlignment="1">
      <alignment horizontal="right" vertical="center"/>
    </xf>
    <xf numFmtId="168" fontId="67" fillId="0" borderId="4" xfId="18" applyNumberFormat="1" applyFont="1" applyBorder="1" applyAlignment="1">
      <alignment horizontal="right" vertical="center"/>
    </xf>
    <xf numFmtId="0" fontId="65" fillId="0" borderId="0" xfId="18" applyFont="1" applyAlignment="1">
      <alignment horizontal="right"/>
    </xf>
    <xf numFmtId="0" fontId="65" fillId="0" borderId="0" xfId="0" applyFont="1" applyAlignment="1">
      <alignment horizontal="right"/>
    </xf>
    <xf numFmtId="0" fontId="74" fillId="0" borderId="0" xfId="18" applyFont="1" applyAlignment="1">
      <alignment vertical="center"/>
    </xf>
    <xf numFmtId="0" fontId="28" fillId="0" borderId="0" xfId="18" applyFont="1"/>
    <xf numFmtId="178" fontId="74" fillId="0" borderId="0" xfId="18" applyNumberFormat="1" applyFont="1" applyAlignment="1">
      <alignment horizontal="right" vertical="center"/>
    </xf>
    <xf numFmtId="167" fontId="50" fillId="0" borderId="0" xfId="8" applyNumberFormat="1" applyFont="1"/>
    <xf numFmtId="166" fontId="75" fillId="0" borderId="0" xfId="18" applyNumberFormat="1" applyFont="1" applyAlignment="1">
      <alignment horizontal="left"/>
    </xf>
    <xf numFmtId="0" fontId="76" fillId="0" borderId="11" xfId="0" applyFont="1" applyBorder="1"/>
    <xf numFmtId="166" fontId="75" fillId="0" borderId="11" xfId="18" applyNumberFormat="1" applyFont="1" applyBorder="1" applyAlignment="1">
      <alignment horizontal="left"/>
    </xf>
    <xf numFmtId="0" fontId="28" fillId="0" borderId="11" xfId="18" applyFont="1" applyBorder="1" applyAlignment="1">
      <alignment horizontal="right"/>
    </xf>
    <xf numFmtId="0" fontId="77" fillId="0" borderId="0" xfId="18" applyFont="1"/>
    <xf numFmtId="0" fontId="47" fillId="0" borderId="0" xfId="20" applyFont="1" applyAlignment="1">
      <alignment horizontal="center"/>
    </xf>
    <xf numFmtId="174" fontId="17" fillId="0" borderId="0" xfId="18" applyNumberFormat="1"/>
    <xf numFmtId="190" fontId="17" fillId="0" borderId="0" xfId="18" applyNumberFormat="1"/>
    <xf numFmtId="191" fontId="17" fillId="0" borderId="0" xfId="0" applyNumberFormat="1" applyFont="1"/>
    <xf numFmtId="0" fontId="38" fillId="0" borderId="0" xfId="18" applyFont="1" applyAlignment="1">
      <alignment vertical="center"/>
    </xf>
    <xf numFmtId="0" fontId="38" fillId="0" borderId="0" xfId="18" applyFont="1" applyAlignment="1">
      <alignment horizontal="right" vertical="center"/>
    </xf>
    <xf numFmtId="167" fontId="17" fillId="0" borderId="0" xfId="18" applyNumberFormat="1"/>
    <xf numFmtId="0" fontId="79" fillId="0" borderId="0" xfId="0" applyFont="1"/>
    <xf numFmtId="172" fontId="17" fillId="0" borderId="0" xfId="0" applyNumberFormat="1" applyFont="1" applyAlignment="1">
      <alignment horizontal="left"/>
    </xf>
    <xf numFmtId="9" fontId="17" fillId="0" borderId="0" xfId="18" applyNumberFormat="1"/>
    <xf numFmtId="0" fontId="36" fillId="0" borderId="0" xfId="18" applyFont="1" applyAlignment="1">
      <alignment vertical="center"/>
    </xf>
    <xf numFmtId="171" fontId="41" fillId="0" borderId="0" xfId="8" applyNumberFormat="1" applyFont="1" applyAlignment="1">
      <alignment horizontal="right"/>
    </xf>
    <xf numFmtId="0" fontId="80" fillId="0" borderId="0" xfId="0" applyFont="1"/>
    <xf numFmtId="185" fontId="17" fillId="0" borderId="0" xfId="0" applyNumberFormat="1" applyFont="1" applyAlignment="1">
      <alignment horizontal="left"/>
    </xf>
    <xf numFmtId="0" fontId="19" fillId="0" borderId="0" xfId="0" applyFont="1" applyAlignment="1">
      <alignment horizontal="right"/>
    </xf>
    <xf numFmtId="181" fontId="17" fillId="0" borderId="0" xfId="0" applyNumberFormat="1" applyFont="1" applyAlignment="1">
      <alignment horizontal="left"/>
    </xf>
    <xf numFmtId="181" fontId="17" fillId="0" borderId="14" xfId="0" applyNumberFormat="1" applyFont="1" applyBorder="1" applyAlignment="1">
      <alignment horizontal="left"/>
    </xf>
    <xf numFmtId="192" fontId="17" fillId="0" borderId="0" xfId="0" applyNumberFormat="1" applyFont="1" applyAlignment="1">
      <alignment horizontal="center"/>
    </xf>
    <xf numFmtId="0" fontId="81" fillId="0" borderId="0" xfId="0" applyFont="1"/>
    <xf numFmtId="192" fontId="18" fillId="0" borderId="11" xfId="18" applyNumberFormat="1" applyFont="1" applyBorder="1" applyAlignment="1">
      <alignment horizontal="right" vertical="center"/>
    </xf>
    <xf numFmtId="192" fontId="18" fillId="0" borderId="0" xfId="18" applyNumberFormat="1" applyFont="1" applyAlignment="1">
      <alignment horizontal="right" vertical="center"/>
    </xf>
    <xf numFmtId="0" fontId="17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17" fillId="0" borderId="7" xfId="0" applyFont="1" applyBorder="1" applyAlignment="1">
      <alignment horizontal="center"/>
    </xf>
    <xf numFmtId="179" fontId="18" fillId="0" borderId="11" xfId="18" applyNumberFormat="1" applyFont="1" applyBorder="1" applyAlignment="1">
      <alignment horizontal="right" vertical="center"/>
    </xf>
    <xf numFmtId="181" fontId="82" fillId="0" borderId="0" xfId="0" applyNumberFormat="1" applyFont="1" applyAlignment="1">
      <alignment horizontal="center"/>
    </xf>
    <xf numFmtId="179" fontId="25" fillId="0" borderId="0" xfId="0" applyNumberFormat="1" applyFont="1"/>
    <xf numFmtId="0" fontId="29" fillId="2" borderId="0" xfId="18" applyFont="1" applyFill="1"/>
    <xf numFmtId="181" fontId="19" fillId="0" borderId="14" xfId="0" applyNumberFormat="1" applyFont="1" applyBorder="1" applyAlignment="1">
      <alignment horizontal="left"/>
    </xf>
    <xf numFmtId="192" fontId="32" fillId="0" borderId="11" xfId="18" applyNumberFormat="1" applyFont="1" applyBorder="1" applyAlignment="1">
      <alignment horizontal="right" vertical="center"/>
    </xf>
    <xf numFmtId="192" fontId="83" fillId="0" borderId="14" xfId="0" applyNumberFormat="1" applyFont="1" applyBorder="1" applyAlignment="1">
      <alignment horizontal="center"/>
    </xf>
    <xf numFmtId="188" fontId="25" fillId="0" borderId="7" xfId="18" applyNumberFormat="1" applyFont="1" applyBorder="1" applyAlignment="1">
      <alignment horizontal="left"/>
    </xf>
    <xf numFmtId="0" fontId="32" fillId="0" borderId="0" xfId="18" applyFont="1" applyAlignment="1">
      <alignment horizontal="left" vertical="top"/>
    </xf>
    <xf numFmtId="0" fontId="39" fillId="2" borderId="0" xfId="0" applyFont="1" applyFill="1"/>
    <xf numFmtId="193" fontId="0" fillId="0" borderId="0" xfId="0" applyNumberFormat="1"/>
    <xf numFmtId="167" fontId="17" fillId="0" borderId="0" xfId="18" applyNumberFormat="1" applyAlignment="1">
      <alignment horizontal="right"/>
    </xf>
    <xf numFmtId="168" fontId="25" fillId="0" borderId="0" xfId="0" applyNumberFormat="1" applyFont="1"/>
    <xf numFmtId="0" fontId="25" fillId="0" borderId="0" xfId="0" applyFont="1" applyAlignment="1">
      <alignment wrapText="1"/>
    </xf>
    <xf numFmtId="168" fontId="29" fillId="2" borderId="0" xfId="24" applyNumberFormat="1" applyFont="1" applyFill="1" applyAlignment="1">
      <alignment horizontal="left" vertical="center"/>
    </xf>
    <xf numFmtId="0" fontId="80" fillId="0" borderId="7" xfId="18" applyFont="1" applyBorder="1"/>
    <xf numFmtId="183" fontId="17" fillId="0" borderId="0" xfId="18" applyNumberFormat="1" applyAlignment="1">
      <alignment horizontal="left"/>
    </xf>
    <xf numFmtId="194" fontId="17" fillId="0" borderId="0" xfId="18" applyNumberFormat="1"/>
    <xf numFmtId="10" fontId="29" fillId="2" borderId="0" xfId="24" quotePrefix="1" applyNumberFormat="1" applyFont="1" applyFill="1"/>
    <xf numFmtId="168" fontId="29" fillId="2" borderId="0" xfId="24" applyNumberFormat="1" applyFont="1" applyFill="1" applyAlignment="1">
      <alignment horizontal="right"/>
    </xf>
    <xf numFmtId="0" fontId="29" fillId="2" borderId="0" xfId="24" applyNumberFormat="1" applyFont="1" applyFill="1"/>
    <xf numFmtId="168" fontId="29" fillId="2" borderId="0" xfId="24" applyNumberFormat="1" applyFont="1" applyFill="1" applyAlignment="1">
      <alignment horizontal="right" vertical="center"/>
    </xf>
    <xf numFmtId="170" fontId="29" fillId="2" borderId="0" xfId="24" applyNumberFormat="1" applyFont="1" applyFill="1" applyBorder="1" applyAlignment="1">
      <alignment horizontal="right"/>
    </xf>
    <xf numFmtId="169" fontId="29" fillId="2" borderId="0" xfId="24" applyNumberFormat="1" applyFont="1" applyFill="1" applyBorder="1" applyAlignment="1">
      <alignment horizontal="right"/>
    </xf>
    <xf numFmtId="190" fontId="29" fillId="2" borderId="0" xfId="23" applyNumberFormat="1" applyAlignment="1">
      <alignment horizontal="right"/>
    </xf>
    <xf numFmtId="190" fontId="39" fillId="2" borderId="0" xfId="23" applyNumberFormat="1" applyFont="1" applyAlignment="1">
      <alignment horizontal="right"/>
    </xf>
    <xf numFmtId="0" fontId="20" fillId="16" borderId="0" xfId="20" applyFill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195" fontId="90" fillId="0" borderId="0" xfId="20" applyNumberFormat="1" applyFont="1" applyAlignment="1">
      <alignment horizontal="left"/>
    </xf>
    <xf numFmtId="0" fontId="91" fillId="0" borderId="0" xfId="20" applyFont="1"/>
    <xf numFmtId="196" fontId="92" fillId="10" borderId="0" xfId="16" applyNumberFormat="1" applyFont="1" applyFill="1" applyAlignment="1">
      <alignment horizontal="right"/>
    </xf>
    <xf numFmtId="196" fontId="93" fillId="15" borderId="0" xfId="18" applyNumberFormat="1" applyFont="1" applyFill="1" applyAlignment="1">
      <alignment horizontal="right" vertical="center"/>
    </xf>
    <xf numFmtId="168" fontId="29" fillId="2" borderId="0" xfId="23" applyNumberFormat="1" applyAlignment="1">
      <alignment horizontal="right"/>
    </xf>
    <xf numFmtId="0" fontId="17" fillId="0" borderId="0" xfId="0" applyFont="1" applyAlignment="1">
      <alignment horizontal="left" indent="2"/>
    </xf>
    <xf numFmtId="177" fontId="29" fillId="2" borderId="8" xfId="18" applyNumberFormat="1" applyFont="1" applyFill="1" applyBorder="1" applyAlignment="1">
      <alignment horizontal="right" vertical="center"/>
    </xf>
    <xf numFmtId="0" fontId="29" fillId="2" borderId="8" xfId="23" applyNumberFormat="1" applyBorder="1" applyAlignment="1">
      <alignment horizontal="center"/>
    </xf>
    <xf numFmtId="0" fontId="17" fillId="0" borderId="0" xfId="20" applyFont="1" applyAlignment="1">
      <alignment horizontal="left"/>
    </xf>
    <xf numFmtId="0" fontId="23" fillId="0" borderId="8" xfId="22" applyNumberFormat="1" applyAlignment="1">
      <alignment horizontal="center"/>
    </xf>
    <xf numFmtId="168" fontId="46" fillId="0" borderId="0" xfId="23" applyNumberFormat="1" applyFont="1" applyFill="1" applyAlignment="1">
      <alignment horizontal="left"/>
    </xf>
    <xf numFmtId="0" fontId="88" fillId="0" borderId="0" xfId="20" applyFont="1" applyAlignment="1">
      <alignment horizontal="left"/>
    </xf>
    <xf numFmtId="0" fontId="96" fillId="0" borderId="0" xfId="18" applyFont="1"/>
    <xf numFmtId="0" fontId="26" fillId="18" borderId="0" xfId="18" applyFont="1" applyFill="1" applyAlignment="1">
      <alignment vertical="center"/>
    </xf>
    <xf numFmtId="0" fontId="23" fillId="19" borderId="0" xfId="18" applyFont="1" applyFill="1"/>
    <xf numFmtId="0" fontId="97" fillId="19" borderId="0" xfId="18" applyFont="1" applyFill="1"/>
    <xf numFmtId="0" fontId="98" fillId="19" borderId="0" xfId="0" applyFont="1" applyFill="1"/>
    <xf numFmtId="0" fontId="99" fillId="0" borderId="0" xfId="18" applyFont="1"/>
    <xf numFmtId="0" fontId="95" fillId="0" borderId="0" xfId="18" applyFont="1"/>
    <xf numFmtId="0" fontId="99" fillId="20" borderId="0" xfId="18" applyFont="1" applyFill="1" applyAlignment="1">
      <alignment horizontal="right"/>
    </xf>
    <xf numFmtId="0" fontId="100" fillId="0" borderId="0" xfId="18" applyFont="1" applyAlignment="1">
      <alignment horizontal="right"/>
    </xf>
    <xf numFmtId="0" fontId="99" fillId="0" borderId="0" xfId="18" applyFont="1" applyAlignment="1">
      <alignment horizontal="right"/>
    </xf>
    <xf numFmtId="197" fontId="99" fillId="21" borderId="0" xfId="34" applyNumberFormat="1" applyFont="1" applyFill="1" applyBorder="1"/>
    <xf numFmtId="0" fontId="100" fillId="0" borderId="12" xfId="18" applyFont="1" applyBorder="1" applyAlignment="1">
      <alignment horizontal="right"/>
    </xf>
    <xf numFmtId="197" fontId="99" fillId="0" borderId="12" xfId="34" applyNumberFormat="1" applyFont="1" applyFill="1" applyBorder="1"/>
    <xf numFmtId="0" fontId="99" fillId="19" borderId="0" xfId="18" applyFont="1" applyFill="1"/>
    <xf numFmtId="197" fontId="99" fillId="0" borderId="12" xfId="18" applyNumberFormat="1" applyFont="1" applyBorder="1"/>
    <xf numFmtId="0" fontId="99" fillId="21" borderId="0" xfId="18" applyFont="1" applyFill="1"/>
    <xf numFmtId="199" fontId="99" fillId="0" borderId="0" xfId="18" applyNumberFormat="1" applyFont="1"/>
    <xf numFmtId="0" fontId="99" fillId="0" borderId="0" xfId="18" applyFont="1" applyAlignment="1">
      <alignment horizontal="left"/>
    </xf>
    <xf numFmtId="0" fontId="100" fillId="0" borderId="0" xfId="18" applyFont="1"/>
    <xf numFmtId="197" fontId="99" fillId="21" borderId="0" xfId="18" applyNumberFormat="1" applyFont="1" applyFill="1"/>
    <xf numFmtId="0" fontId="99" fillId="0" borderId="12" xfId="18" applyFont="1" applyBorder="1"/>
    <xf numFmtId="0" fontId="94" fillId="0" borderId="0" xfId="20" applyFont="1" applyAlignment="1">
      <alignment horizontal="left"/>
    </xf>
    <xf numFmtId="200" fontId="94" fillId="23" borderId="17" xfId="20" applyNumberFormat="1" applyFont="1" applyFill="1" applyBorder="1" applyAlignment="1" applyProtection="1">
      <alignment horizontal="left" vertical="center"/>
      <protection locked="0"/>
    </xf>
    <xf numFmtId="0" fontId="94" fillId="0" borderId="0" xfId="20" applyFont="1"/>
    <xf numFmtId="197" fontId="101" fillId="23" borderId="17" xfId="29" applyNumberFormat="1" applyFont="1" applyFill="1" applyBorder="1"/>
    <xf numFmtId="9" fontId="101" fillId="24" borderId="17" xfId="19" applyFont="1" applyFill="1" applyBorder="1" applyAlignment="1" applyProtection="1">
      <alignment horizontal="left" vertical="center"/>
      <protection locked="0"/>
    </xf>
    <xf numFmtId="44" fontId="101" fillId="24" borderId="17" xfId="19" applyNumberFormat="1" applyFont="1" applyFill="1" applyBorder="1" applyAlignment="1" applyProtection="1">
      <alignment horizontal="left" vertical="center"/>
      <protection locked="0"/>
    </xf>
    <xf numFmtId="197" fontId="101" fillId="24" borderId="17" xfId="19" applyNumberFormat="1" applyFont="1" applyFill="1" applyBorder="1" applyAlignment="1" applyProtection="1">
      <alignment horizontal="left" vertical="center"/>
      <protection locked="0"/>
    </xf>
    <xf numFmtId="9" fontId="101" fillId="24" borderId="17" xfId="35" applyFont="1" applyFill="1" applyBorder="1" applyAlignment="1" applyProtection="1">
      <alignment horizontal="right" vertical="center"/>
      <protection locked="0"/>
    </xf>
    <xf numFmtId="0" fontId="102" fillId="22" borderId="0" xfId="20" applyFont="1" applyFill="1" applyAlignment="1">
      <alignment vertical="center"/>
    </xf>
    <xf numFmtId="9" fontId="6" fillId="23" borderId="17" xfId="19" applyFont="1" applyFill="1" applyBorder="1" applyAlignment="1" applyProtection="1">
      <alignment horizontal="center" vertical="center"/>
      <protection locked="0"/>
    </xf>
    <xf numFmtId="0" fontId="102" fillId="19" borderId="0" xfId="20" applyFont="1" applyFill="1" applyAlignment="1">
      <alignment vertical="center"/>
    </xf>
    <xf numFmtId="0" fontId="6" fillId="0" borderId="0" xfId="20" applyFont="1"/>
    <xf numFmtId="189" fontId="103" fillId="21" borderId="17" xfId="19" applyNumberFormat="1" applyFont="1" applyFill="1" applyBorder="1" applyAlignment="1" applyProtection="1">
      <alignment horizontal="center" vertical="center"/>
      <protection locked="0"/>
    </xf>
    <xf numFmtId="9" fontId="103" fillId="21" borderId="17" xfId="19" applyFont="1" applyFill="1" applyBorder="1" applyAlignment="1" applyProtection="1">
      <alignment horizontal="center" vertical="center"/>
      <protection locked="0"/>
    </xf>
    <xf numFmtId="10" fontId="103" fillId="21" borderId="17" xfId="19" applyNumberFormat="1" applyFont="1" applyFill="1" applyBorder="1" applyAlignment="1" applyProtection="1">
      <alignment horizontal="center" vertical="center"/>
      <protection locked="0"/>
    </xf>
    <xf numFmtId="177" fontId="36" fillId="2" borderId="0" xfId="18" applyNumberFormat="1" applyFont="1" applyFill="1" applyAlignment="1">
      <alignment horizontal="right" vertical="center"/>
    </xf>
    <xf numFmtId="203" fontId="105" fillId="36" borderId="0" xfId="36" applyNumberFormat="1" applyFont="1" applyFill="1"/>
    <xf numFmtId="203" fontId="106" fillId="36" borderId="0" xfId="36" applyNumberFormat="1" applyFont="1" applyFill="1"/>
    <xf numFmtId="203" fontId="107" fillId="34" borderId="23" xfId="37" applyNumberFormat="1" applyFont="1" applyBorder="1" applyAlignment="1">
      <alignment horizontal="center"/>
    </xf>
    <xf numFmtId="203" fontId="17" fillId="36" borderId="0" xfId="36" applyNumberFormat="1" applyFill="1"/>
    <xf numFmtId="203" fontId="63" fillId="36" borderId="0" xfId="18" applyNumberFormat="1" applyFont="1" applyFill="1"/>
    <xf numFmtId="203" fontId="21" fillId="34" borderId="21" xfId="37" applyNumberFormat="1" applyFont="1" applyBorder="1"/>
    <xf numFmtId="203" fontId="21" fillId="34" borderId="22" xfId="37" applyNumberFormat="1" applyFont="1" applyBorder="1" applyAlignment="1">
      <alignment horizontal="center"/>
    </xf>
    <xf numFmtId="203" fontId="21" fillId="34" borderId="23" xfId="37" applyNumberFormat="1" applyFont="1" applyBorder="1" applyAlignment="1">
      <alignment horizontal="center"/>
    </xf>
    <xf numFmtId="203" fontId="19" fillId="0" borderId="24" xfId="36" applyNumberFormat="1" applyFont="1" applyBorder="1"/>
    <xf numFmtId="203" fontId="17" fillId="0" borderId="0" xfId="36" applyNumberFormat="1" applyBorder="1"/>
    <xf numFmtId="203" fontId="17" fillId="0" borderId="25" xfId="36" applyNumberFormat="1" applyBorder="1"/>
    <xf numFmtId="203" fontId="28" fillId="0" borderId="26" xfId="36" applyNumberFormat="1" applyFont="1" applyBorder="1"/>
    <xf numFmtId="203" fontId="17" fillId="0" borderId="24" xfId="36" applyNumberFormat="1" applyBorder="1" applyAlignment="1">
      <alignment horizontal="right"/>
    </xf>
    <xf numFmtId="203" fontId="17" fillId="0" borderId="26" xfId="34" applyNumberFormat="1" applyFont="1" applyFill="1" applyBorder="1" applyAlignment="1">
      <alignment horizontal="right"/>
    </xf>
    <xf numFmtId="203" fontId="17" fillId="0" borderId="26" xfId="36" applyNumberFormat="1" applyBorder="1"/>
    <xf numFmtId="191" fontId="17" fillId="36" borderId="0" xfId="36" applyNumberFormat="1" applyFill="1"/>
    <xf numFmtId="203" fontId="19" fillId="36" borderId="0" xfId="36" applyNumberFormat="1" applyFont="1" applyFill="1"/>
    <xf numFmtId="203" fontId="19" fillId="35" borderId="27" xfId="39" applyNumberFormat="1" applyFont="1" applyBorder="1"/>
    <xf numFmtId="203" fontId="52" fillId="35" borderId="12" xfId="39" applyNumberFormat="1" applyFont="1" applyBorder="1" applyAlignment="1">
      <alignment horizontal="center"/>
    </xf>
    <xf numFmtId="203" fontId="52" fillId="35" borderId="3" xfId="34" applyNumberFormat="1" applyFont="1" applyFill="1" applyBorder="1" applyAlignment="1">
      <alignment horizontal="right"/>
    </xf>
    <xf numFmtId="203" fontId="17" fillId="35" borderId="3" xfId="36" applyNumberFormat="1" applyFill="1" applyBorder="1"/>
    <xf numFmtId="203" fontId="17" fillId="4" borderId="0" xfId="36" applyNumberFormat="1" applyFill="1" applyBorder="1"/>
    <xf numFmtId="203" fontId="17" fillId="4" borderId="0" xfId="34" applyNumberFormat="1" applyFont="1" applyFill="1" applyBorder="1" applyAlignment="1">
      <alignment horizontal="right"/>
    </xf>
    <xf numFmtId="203" fontId="53" fillId="36" borderId="0" xfId="36" applyNumberFormat="1" applyFont="1" applyFill="1"/>
    <xf numFmtId="203" fontId="63" fillId="36" borderId="0" xfId="36" applyNumberFormat="1" applyFont="1" applyFill="1"/>
    <xf numFmtId="203" fontId="19" fillId="35" borderId="27" xfId="36" applyNumberFormat="1" applyFont="1" applyFill="1" applyBorder="1" applyAlignment="1">
      <alignment horizontal="left"/>
    </xf>
    <xf numFmtId="203" fontId="19" fillId="35" borderId="12" xfId="36" applyNumberFormat="1" applyFont="1" applyFill="1" applyBorder="1" applyAlignment="1">
      <alignment horizontal="right"/>
    </xf>
    <xf numFmtId="203" fontId="19" fillId="0" borderId="24" xfId="36" applyNumberFormat="1" applyFont="1" applyBorder="1" applyAlignment="1">
      <alignment horizontal="left"/>
    </xf>
    <xf numFmtId="203" fontId="19" fillId="35" borderId="28" xfId="39" applyNumberFormat="1" applyFont="1" applyBorder="1"/>
    <xf numFmtId="203" fontId="52" fillId="35" borderId="20" xfId="39" applyNumberFormat="1" applyFont="1" applyAlignment="1">
      <alignment horizontal="center"/>
    </xf>
    <xf numFmtId="203" fontId="52" fillId="35" borderId="29" xfId="39" applyNumberFormat="1" applyFont="1" applyBorder="1" applyAlignment="1">
      <alignment horizontal="right"/>
    </xf>
    <xf numFmtId="203" fontId="17" fillId="0" borderId="4" xfId="36" applyNumberFormat="1" applyBorder="1"/>
    <xf numFmtId="203" fontId="17" fillId="0" borderId="30" xfId="36" applyNumberFormat="1" applyBorder="1"/>
    <xf numFmtId="203" fontId="52" fillId="35" borderId="29" xfId="39" applyNumberFormat="1" applyFont="1" applyBorder="1"/>
    <xf numFmtId="203" fontId="19" fillId="35" borderId="31" xfId="39" applyNumberFormat="1" applyFont="1" applyBorder="1"/>
    <xf numFmtId="203" fontId="19" fillId="35" borderId="32" xfId="39" applyNumberFormat="1" applyFont="1" applyBorder="1" applyAlignment="1">
      <alignment horizontal="center"/>
    </xf>
    <xf numFmtId="203" fontId="52" fillId="35" borderId="33" xfId="39" applyNumberFormat="1" applyFont="1" applyBorder="1"/>
    <xf numFmtId="203" fontId="19" fillId="36" borderId="0" xfId="39" applyNumberFormat="1" applyFont="1" applyFill="1" applyBorder="1"/>
    <xf numFmtId="203" fontId="19" fillId="36" borderId="0" xfId="39" applyNumberFormat="1" applyFont="1" applyFill="1" applyBorder="1" applyAlignment="1">
      <alignment horizontal="center"/>
    </xf>
    <xf numFmtId="203" fontId="52" fillId="36" borderId="0" xfId="39" applyNumberFormat="1" applyFont="1" applyFill="1" applyBorder="1"/>
    <xf numFmtId="203" fontId="17" fillId="36" borderId="0" xfId="36" applyNumberFormat="1" applyFill="1" applyBorder="1"/>
    <xf numFmtId="14" fontId="85" fillId="16" borderId="0" xfId="20" applyNumberFormat="1" applyFont="1" applyFill="1"/>
    <xf numFmtId="197" fontId="99" fillId="0" borderId="0" xfId="18" applyNumberFormat="1" applyFont="1"/>
    <xf numFmtId="0" fontId="7" fillId="0" borderId="0" xfId="0" applyFont="1"/>
    <xf numFmtId="0" fontId="108" fillId="8" borderId="0" xfId="20" applyFont="1" applyFill="1" applyAlignment="1">
      <alignment horizontal="left" vertical="center" wrapText="1"/>
    </xf>
    <xf numFmtId="0" fontId="108" fillId="8" borderId="0" xfId="20" applyFont="1" applyFill="1" applyAlignment="1">
      <alignment horizontal="center" vertical="center"/>
    </xf>
    <xf numFmtId="0" fontId="108" fillId="8" borderId="0" xfId="20" applyFont="1" applyFill="1" applyAlignment="1">
      <alignment vertical="center"/>
    </xf>
    <xf numFmtId="0" fontId="108" fillId="8" borderId="0" xfId="20" applyFont="1" applyFill="1" applyAlignment="1">
      <alignment horizontal="left" vertical="center"/>
    </xf>
    <xf numFmtId="0" fontId="108" fillId="28" borderId="0" xfId="20" applyFont="1" applyFill="1" applyAlignment="1">
      <alignment vertical="center"/>
    </xf>
    <xf numFmtId="0" fontId="6" fillId="0" borderId="0" xfId="20" applyFont="1" applyAlignment="1">
      <alignment horizontal="left"/>
    </xf>
    <xf numFmtId="9" fontId="7" fillId="0" borderId="0" xfId="20" applyNumberFormat="1" applyFont="1" applyAlignment="1">
      <alignment horizontal="center"/>
    </xf>
    <xf numFmtId="197" fontId="7" fillId="0" borderId="0" xfId="20" applyNumberFormat="1" applyFont="1" applyAlignment="1">
      <alignment horizontal="left"/>
    </xf>
    <xf numFmtId="198" fontId="7" fillId="0" borderId="0" xfId="30" applyNumberFormat="1" applyFont="1"/>
    <xf numFmtId="0" fontId="6" fillId="0" borderId="0" xfId="26" applyFont="1" applyAlignment="1">
      <alignment horizontal="left"/>
    </xf>
    <xf numFmtId="198" fontId="7" fillId="2" borderId="17" xfId="30" applyNumberFormat="1" applyFont="1" applyFill="1" applyBorder="1"/>
    <xf numFmtId="10" fontId="7" fillId="2" borderId="17" xfId="30" applyNumberFormat="1" applyFont="1" applyFill="1" applyBorder="1"/>
    <xf numFmtId="201" fontId="7" fillId="0" borderId="0" xfId="20" applyNumberFormat="1" applyFont="1" applyAlignment="1">
      <alignment horizontal="center"/>
    </xf>
    <xf numFmtId="197" fontId="7" fillId="0" borderId="0" xfId="34" applyNumberFormat="1" applyFont="1" applyFill="1" applyBorder="1"/>
    <xf numFmtId="197" fontId="7" fillId="0" borderId="0" xfId="34" applyNumberFormat="1" applyFont="1" applyFill="1"/>
    <xf numFmtId="204" fontId="6" fillId="0" borderId="0" xfId="26" applyNumberFormat="1" applyFont="1" applyAlignment="1">
      <alignment horizontal="left"/>
    </xf>
    <xf numFmtId="197" fontId="6" fillId="0" borderId="0" xfId="26" applyNumberFormat="1" applyFont="1" applyAlignment="1">
      <alignment horizontal="left"/>
    </xf>
    <xf numFmtId="0" fontId="109" fillId="29" borderId="18" xfId="26" applyFont="1" applyFill="1" applyBorder="1" applyAlignment="1">
      <alignment horizontal="left"/>
    </xf>
    <xf numFmtId="197" fontId="109" fillId="29" borderId="18" xfId="26" applyNumberFormat="1" applyFont="1" applyFill="1" applyBorder="1" applyAlignment="1">
      <alignment horizontal="left"/>
    </xf>
    <xf numFmtId="0" fontId="6" fillId="0" borderId="18" xfId="20" applyFont="1" applyBorder="1" applyAlignment="1">
      <alignment horizontal="left"/>
    </xf>
    <xf numFmtId="0" fontId="109" fillId="30" borderId="0" xfId="26" applyFont="1" applyFill="1" applyAlignment="1">
      <alignment horizontal="left"/>
    </xf>
    <xf numFmtId="197" fontId="6" fillId="30" borderId="0" xfId="26" applyNumberFormat="1" applyFont="1" applyFill="1" applyAlignment="1">
      <alignment horizontal="left"/>
    </xf>
    <xf numFmtId="0" fontId="7" fillId="0" borderId="0" xfId="20" applyFont="1" applyAlignment="1">
      <alignment horizontal="left"/>
    </xf>
    <xf numFmtId="0" fontId="108" fillId="31" borderId="0" xfId="20" applyFont="1" applyFill="1" applyAlignment="1">
      <alignment vertical="center"/>
    </xf>
    <xf numFmtId="9" fontId="6" fillId="32" borderId="17" xfId="19" applyFont="1" applyFill="1" applyBorder="1" applyAlignment="1" applyProtection="1">
      <alignment horizontal="center" vertical="center"/>
      <protection locked="0"/>
    </xf>
    <xf numFmtId="200" fontId="6" fillId="32" borderId="17" xfId="20" applyNumberFormat="1" applyFont="1" applyFill="1" applyBorder="1" applyAlignment="1" applyProtection="1">
      <alignment horizontal="left" vertical="center"/>
      <protection locked="0"/>
    </xf>
    <xf numFmtId="197" fontId="7" fillId="32" borderId="17" xfId="29" applyNumberFormat="1" applyFont="1" applyFill="1" applyBorder="1"/>
    <xf numFmtId="189" fontId="7" fillId="2" borderId="17" xfId="19" applyNumberFormat="1" applyFont="1" applyFill="1" applyBorder="1" applyAlignment="1" applyProtection="1">
      <alignment horizontal="center" vertical="center"/>
      <protection locked="0"/>
    </xf>
    <xf numFmtId="9" fontId="7" fillId="2" borderId="17" xfId="19" applyFont="1" applyFill="1" applyBorder="1" applyAlignment="1" applyProtection="1">
      <alignment horizontal="center" vertical="center"/>
      <protection locked="0"/>
    </xf>
    <xf numFmtId="9" fontId="7" fillId="33" borderId="17" xfId="19" applyFont="1" applyFill="1" applyBorder="1" applyAlignment="1" applyProtection="1">
      <alignment horizontal="left" vertical="center"/>
      <protection locked="0"/>
    </xf>
    <xf numFmtId="44" fontId="7" fillId="33" borderId="17" xfId="19" applyNumberFormat="1" applyFont="1" applyFill="1" applyBorder="1" applyAlignment="1" applyProtection="1">
      <alignment horizontal="left" vertical="center"/>
      <protection locked="0"/>
    </xf>
    <xf numFmtId="197" fontId="7" fillId="33" borderId="17" xfId="19" applyNumberFormat="1" applyFont="1" applyFill="1" applyBorder="1" applyAlignment="1" applyProtection="1">
      <alignment horizontal="left" vertical="center"/>
      <protection locked="0"/>
    </xf>
    <xf numFmtId="9" fontId="7" fillId="33" borderId="17" xfId="35" applyFont="1" applyFill="1" applyBorder="1" applyAlignment="1" applyProtection="1">
      <alignment horizontal="right" vertical="center"/>
      <protection locked="0"/>
    </xf>
    <xf numFmtId="10" fontId="7" fillId="2" borderId="17" xfId="19" applyNumberFormat="1" applyFont="1" applyFill="1" applyBorder="1" applyAlignment="1" applyProtection="1">
      <alignment horizontal="center" vertical="center"/>
      <protection locked="0"/>
    </xf>
    <xf numFmtId="44" fontId="7" fillId="0" borderId="0" xfId="0" applyNumberFormat="1" applyFont="1"/>
    <xf numFmtId="0" fontId="102" fillId="19" borderId="0" xfId="20" applyFont="1" applyFill="1" applyAlignment="1">
      <alignment horizontal="left" vertical="center"/>
    </xf>
    <xf numFmtId="200" fontId="6" fillId="23" borderId="17" xfId="20" applyNumberFormat="1" applyFont="1" applyFill="1" applyBorder="1" applyAlignment="1" applyProtection="1">
      <alignment horizontal="left" vertical="center"/>
      <protection locked="0"/>
    </xf>
    <xf numFmtId="197" fontId="103" fillId="23" borderId="17" xfId="29" applyNumberFormat="1" applyFont="1" applyFill="1" applyBorder="1"/>
    <xf numFmtId="9" fontId="103" fillId="24" borderId="17" xfId="19" applyFont="1" applyFill="1" applyBorder="1" applyAlignment="1" applyProtection="1">
      <alignment horizontal="left" vertical="center"/>
      <protection locked="0"/>
    </xf>
    <xf numFmtId="44" fontId="103" fillId="24" borderId="17" xfId="19" applyNumberFormat="1" applyFont="1" applyFill="1" applyBorder="1" applyAlignment="1" applyProtection="1">
      <alignment horizontal="left" vertical="center"/>
      <protection locked="0"/>
    </xf>
    <xf numFmtId="197" fontId="103" fillId="24" borderId="17" xfId="19" applyNumberFormat="1" applyFont="1" applyFill="1" applyBorder="1" applyAlignment="1" applyProtection="1">
      <alignment horizontal="left" vertical="center"/>
      <protection locked="0"/>
    </xf>
    <xf numFmtId="9" fontId="103" fillId="24" borderId="17" xfId="35" applyFont="1" applyFill="1" applyBorder="1" applyAlignment="1" applyProtection="1">
      <alignment horizontal="right" vertical="center"/>
      <protection locked="0"/>
    </xf>
    <xf numFmtId="0" fontId="102" fillId="19" borderId="0" xfId="20" applyFont="1" applyFill="1" applyAlignment="1">
      <alignment horizontal="left" vertical="center" wrapText="1"/>
    </xf>
    <xf numFmtId="0" fontId="102" fillId="19" borderId="0" xfId="20" applyFont="1" applyFill="1" applyAlignment="1">
      <alignment horizontal="center" vertical="center"/>
    </xf>
    <xf numFmtId="0" fontId="102" fillId="25" borderId="0" xfId="20" applyFont="1" applyFill="1" applyAlignment="1">
      <alignment vertical="center"/>
    </xf>
    <xf numFmtId="9" fontId="103" fillId="0" borderId="0" xfId="20" applyNumberFormat="1" applyFont="1" applyAlignment="1">
      <alignment horizontal="center"/>
    </xf>
    <xf numFmtId="197" fontId="103" fillId="0" borderId="0" xfId="20" applyNumberFormat="1" applyFont="1" applyAlignment="1">
      <alignment horizontal="left"/>
    </xf>
    <xf numFmtId="198" fontId="103" fillId="0" borderId="0" xfId="30" applyNumberFormat="1" applyFont="1" applyFill="1" applyBorder="1"/>
    <xf numFmtId="198" fontId="103" fillId="21" borderId="17" xfId="30" applyNumberFormat="1" applyFont="1" applyFill="1" applyBorder="1"/>
    <xf numFmtId="10" fontId="103" fillId="21" borderId="17" xfId="30" applyNumberFormat="1" applyFont="1" applyFill="1" applyBorder="1"/>
    <xf numFmtId="201" fontId="103" fillId="0" borderId="0" xfId="20" applyNumberFormat="1" applyFont="1" applyAlignment="1">
      <alignment horizontal="center"/>
    </xf>
    <xf numFmtId="197" fontId="103" fillId="0" borderId="0" xfId="34" applyNumberFormat="1" applyFont="1" applyFill="1" applyBorder="1"/>
    <xf numFmtId="44" fontId="6" fillId="0" borderId="0" xfId="20" applyNumberFormat="1" applyFont="1" applyAlignment="1">
      <alignment horizontal="left"/>
    </xf>
    <xf numFmtId="197" fontId="6" fillId="0" borderId="0" xfId="20" applyNumberFormat="1" applyFont="1" applyAlignment="1">
      <alignment horizontal="left"/>
    </xf>
    <xf numFmtId="0" fontId="109" fillId="26" borderId="18" xfId="20" applyFont="1" applyFill="1" applyBorder="1" applyAlignment="1">
      <alignment horizontal="left"/>
    </xf>
    <xf numFmtId="197" fontId="109" fillId="26" borderId="18" xfId="20" applyNumberFormat="1" applyFont="1" applyFill="1" applyBorder="1" applyAlignment="1">
      <alignment horizontal="left"/>
    </xf>
    <xf numFmtId="0" fontId="109" fillId="27" borderId="0" xfId="20" applyFont="1" applyFill="1" applyAlignment="1">
      <alignment horizontal="left"/>
    </xf>
    <xf numFmtId="197" fontId="6" fillId="27" borderId="0" xfId="20" applyNumberFormat="1" applyFont="1" applyFill="1" applyAlignment="1">
      <alignment horizontal="left"/>
    </xf>
    <xf numFmtId="0" fontId="103" fillId="0" borderId="0" xfId="20" applyFont="1" applyAlignment="1">
      <alignment horizontal="left"/>
    </xf>
    <xf numFmtId="0" fontId="1" fillId="16" borderId="0" xfId="20" applyFont="1" applyFill="1"/>
    <xf numFmtId="0" fontId="17" fillId="13" borderId="4" xfId="18" applyFill="1" applyBorder="1" applyAlignment="1">
      <alignment horizontal="left" vertical="top"/>
    </xf>
    <xf numFmtId="0" fontId="17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7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9" fillId="2" borderId="13" xfId="23" applyNumberFormat="1" applyBorder="1" applyAlignment="1">
      <alignment horizontal="left"/>
    </xf>
    <xf numFmtId="185" fontId="29" fillId="2" borderId="14" xfId="23" applyNumberFormat="1" applyBorder="1" applyAlignment="1">
      <alignment horizontal="left"/>
    </xf>
    <xf numFmtId="185" fontId="29" fillId="2" borderId="15" xfId="23" applyNumberFormat="1" applyBorder="1" applyAlignment="1">
      <alignment horizontal="left"/>
    </xf>
    <xf numFmtId="0" fontId="39" fillId="2" borderId="0" xfId="0" applyFont="1" applyFill="1" applyAlignment="1">
      <alignment horizontal="left"/>
    </xf>
    <xf numFmtId="0" fontId="29" fillId="2" borderId="0" xfId="24" applyNumberFormat="1" applyFont="1" applyFill="1" applyBorder="1" applyAlignment="1">
      <alignment horizontal="left" vertical="top"/>
    </xf>
    <xf numFmtId="0" fontId="29" fillId="2" borderId="0" xfId="18" applyFont="1" applyFill="1" applyAlignment="1">
      <alignment horizontal="left" vertical="top"/>
    </xf>
  </cellXfs>
  <cellStyles count="40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4" builtinId="4"/>
    <cellStyle name="Currency 2 2" xfId="29" xr:uid="{F29057D5-5718-441F-8CAD-00B1D320E1EF}"/>
    <cellStyle name="Currency 3" xfId="38" xr:uid="{1BC16334-7B5F-4860-B7FE-227CC34191B0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6" xfId="36" xr:uid="{805F479E-6B20-407F-9420-D208704E75BF}"/>
    <cellStyle name="Normal 8" xfId="28" xr:uid="{A72DEBFF-D704-40A2-B10B-0D568324BDB3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400927C3-76F8-47A6-B00B-B6F6D3E6F0C9}"/>
    <cellStyle name="Table Total Row" xfId="39" xr:uid="{D655C085-0A7A-4A4C-A810-6768591FF61E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66FFFF"/>
      <color rgb="FF00215B"/>
      <color rgb="FF3333FF"/>
      <color rgb="FFFFFFCC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0163746447994599E-2"/>
          <c:y val="6.7231498068280646E-2"/>
          <c:w val="0.89562073372082374"/>
          <c:h val="0.75931613806725873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2 annualised capex</c:v>
                </c:pt>
              </c:strCache>
            </c:strRef>
          </c:tx>
          <c:spPr>
            <a:ln w="28575" cap="rnd">
              <a:solidFill>
                <a:srgbClr val="0079C1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0.30319610333316582</c:v>
                </c:pt>
                <c:pt idx="1">
                  <c:v>0.30319610333316582</c:v>
                </c:pt>
                <c:pt idx="2">
                  <c:v>0.30319610333316582</c:v>
                </c:pt>
                <c:pt idx="3">
                  <c:v>0.30319610333316582</c:v>
                </c:pt>
                <c:pt idx="4">
                  <c:v>0.30319610333316582</c:v>
                </c:pt>
                <c:pt idx="5">
                  <c:v>0.30319610333316582</c:v>
                </c:pt>
                <c:pt idx="6">
                  <c:v>0.30319610333316582</c:v>
                </c:pt>
                <c:pt idx="7">
                  <c:v>0.30319610333316582</c:v>
                </c:pt>
                <c:pt idx="8">
                  <c:v>0.30319610333316582</c:v>
                </c:pt>
                <c:pt idx="9">
                  <c:v>0.30319610333316582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6E-4088-A167-E1DEAE4ABC30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ACD0E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1.0336688035597339</c:v>
                </c:pt>
                <c:pt idx="1">
                  <c:v>1.1248902460191592</c:v>
                </c:pt>
                <c:pt idx="2">
                  <c:v>1.1545832478360718</c:v>
                </c:pt>
                <c:pt idx="3">
                  <c:v>1.1767599987681219</c:v>
                </c:pt>
                <c:pt idx="4">
                  <c:v>1.2085101809830594</c:v>
                </c:pt>
                <c:pt idx="5">
                  <c:v>1.2523774857412733</c:v>
                </c:pt>
                <c:pt idx="6">
                  <c:v>1.3167624701798581</c:v>
                </c:pt>
                <c:pt idx="7">
                  <c:v>1.3820222963360211</c:v>
                </c:pt>
                <c:pt idx="8">
                  <c:v>1.4332889212749462</c:v>
                </c:pt>
                <c:pt idx="9">
                  <c:v>1.4678036664935903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6E-4088-A167-E1DEAE4AB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40349075582219E-2"/>
          <c:y val="0.91674025677597648"/>
          <c:w val="0.97443796425947038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1369444444444442E-2"/>
          <c:y val="7.7035475234270415E-2"/>
          <c:w val="0.91102968750000002"/>
          <c:h val="0.825286813922356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0079C1"/>
            </a:solidFill>
            <a:ln>
              <a:noFill/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0.90255033179585387</c:v>
                </c:pt>
                <c:pt idx="1">
                  <c:v>0.98424567656817075</c:v>
                </c:pt>
                <c:pt idx="2">
                  <c:v>1.0103364830719026</c:v>
                </c:pt>
                <c:pt idx="3">
                  <c:v>1.0296276717804445</c:v>
                </c:pt>
                <c:pt idx="4">
                  <c:v>1.057561348179973</c:v>
                </c:pt>
                <c:pt idx="5">
                  <c:v>1.0964360033294378</c:v>
                </c:pt>
                <c:pt idx="6">
                  <c:v>1.1538423323365403</c:v>
                </c:pt>
                <c:pt idx="7">
                  <c:v>1.2120312951317944</c:v>
                </c:pt>
                <c:pt idx="8">
                  <c:v>1.2575683077948199</c:v>
                </c:pt>
                <c:pt idx="9">
                  <c:v>1.2879606884112922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F-472C-8A8A-2EB688C93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447261</xdr:colOff>
      <xdr:row>1</xdr:row>
      <xdr:rowOff>16563</xdr:rowOff>
    </xdr:from>
    <xdr:to>
      <xdr:col>10</xdr:col>
      <xdr:colOff>265634</xdr:colOff>
      <xdr:row>2</xdr:row>
      <xdr:rowOff>151775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12BCC6-C173-42FF-A9BC-31DE36F0C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391" y="207063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64622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2551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86784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2551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/>
  </sheetViews>
  <sheetFormatPr defaultColWidth="0" defaultRowHeight="15" customHeight="1" zeroHeight="1" x14ac:dyDescent="0.25"/>
  <cols>
    <col min="1" max="1" width="8" style="108" customWidth="1"/>
    <col min="2" max="2" width="1.875" style="108" customWidth="1"/>
    <col min="3" max="3" width="14" style="108" customWidth="1"/>
    <col min="4" max="4" width="8" style="108" customWidth="1"/>
    <col min="5" max="5" width="9.375" style="108" customWidth="1"/>
    <col min="6" max="11" width="8" style="108" customWidth="1"/>
    <col min="12" max="19" width="8" style="108" hidden="1" customWidth="1"/>
    <col min="20" max="16384" width="0" style="108" hidden="1"/>
  </cols>
  <sheetData>
    <row r="1" spans="1:19" x14ac:dyDescent="0.25">
      <c r="A1" s="421"/>
    </row>
    <row r="2" spans="1:19" ht="23.25" x14ac:dyDescent="0.35">
      <c r="A2" s="262"/>
      <c r="C2" s="263" t="s">
        <v>0</v>
      </c>
      <c r="D2" s="264"/>
      <c r="E2" s="264"/>
    </row>
    <row r="3" spans="1:19" ht="15.75" x14ac:dyDescent="0.25">
      <c r="A3" s="262"/>
      <c r="C3" s="265" t="s">
        <v>346</v>
      </c>
      <c r="D3" s="264"/>
      <c r="E3" s="264"/>
    </row>
    <row r="4" spans="1:19" x14ac:dyDescent="0.25">
      <c r="A4" s="262"/>
      <c r="D4" s="264"/>
      <c r="E4" s="264"/>
    </row>
    <row r="5" spans="1:19" x14ac:dyDescent="0.25">
      <c r="A5" s="262"/>
      <c r="C5" s="266" t="s">
        <v>1</v>
      </c>
    </row>
    <row r="6" spans="1:19" x14ac:dyDescent="0.25">
      <c r="A6" s="262"/>
      <c r="C6" s="267" t="s">
        <v>2</v>
      </c>
      <c r="D6" s="280" t="s">
        <v>345</v>
      </c>
      <c r="E6" s="267"/>
    </row>
    <row r="7" spans="1:19" x14ac:dyDescent="0.25">
      <c r="A7" s="262"/>
      <c r="F7" s="268"/>
      <c r="G7" s="268"/>
      <c r="H7" s="268"/>
      <c r="J7" s="268"/>
      <c r="K7" s="268"/>
      <c r="L7" s="268"/>
      <c r="M7" s="268"/>
      <c r="N7" s="268"/>
      <c r="O7" s="268"/>
      <c r="P7" s="268"/>
      <c r="Q7" s="268"/>
      <c r="R7" s="268"/>
      <c r="S7" s="268"/>
    </row>
    <row r="8" spans="1:19" x14ac:dyDescent="0.25">
      <c r="A8" s="262"/>
      <c r="C8" s="269">
        <v>45992</v>
      </c>
      <c r="F8" s="268"/>
      <c r="G8" s="268"/>
      <c r="H8" s="268"/>
      <c r="J8" s="268"/>
      <c r="K8" s="268"/>
      <c r="L8" s="268"/>
      <c r="M8" s="268"/>
      <c r="N8" s="268"/>
      <c r="O8" s="268"/>
      <c r="P8" s="268"/>
      <c r="Q8" s="268"/>
      <c r="R8" s="268"/>
      <c r="S8" s="268"/>
    </row>
    <row r="9" spans="1:19" x14ac:dyDescent="0.25">
      <c r="A9" s="262"/>
      <c r="C9" s="270"/>
      <c r="D9" s="270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</row>
    <row r="10" spans="1:19" x14ac:dyDescent="0.25">
      <c r="A10" s="262"/>
      <c r="C10" s="270"/>
      <c r="D10" s="270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</row>
    <row r="11" spans="1:19" x14ac:dyDescent="0.25">
      <c r="A11" s="262"/>
      <c r="C11" s="270"/>
      <c r="D11" s="270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</row>
    <row r="12" spans="1:19" x14ac:dyDescent="0.25">
      <c r="A12" s="262"/>
      <c r="C12" s="270"/>
      <c r="D12" s="270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</row>
    <row r="13" spans="1:19" x14ac:dyDescent="0.25">
      <c r="A13" s="262"/>
      <c r="C13" s="270"/>
      <c r="D13" s="270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</row>
    <row r="14" spans="1:19" x14ac:dyDescent="0.25">
      <c r="A14" s="262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</row>
    <row r="15" spans="1:19" x14ac:dyDescent="0.25">
      <c r="A15" s="262"/>
      <c r="C15" s="266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</row>
    <row r="16" spans="1:19" x14ac:dyDescent="0.25">
      <c r="A16" s="262"/>
      <c r="C16" s="266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</row>
    <row r="17" spans="1:19" x14ac:dyDescent="0.25">
      <c r="A17" s="262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  <c r="S17" s="268"/>
    </row>
    <row r="18" spans="1:19" x14ac:dyDescent="0.25">
      <c r="A18" s="262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</row>
    <row r="19" spans="1:19" x14ac:dyDescent="0.25">
      <c r="A19" s="262"/>
      <c r="C19" s="268"/>
      <c r="D19" s="268"/>
      <c r="E19" s="268"/>
      <c r="F19" s="268"/>
      <c r="G19"/>
      <c r="H19" s="268"/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</row>
    <row r="20" spans="1:19" x14ac:dyDescent="0.25">
      <c r="A20" s="262"/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</row>
    <row r="21" spans="1:19" ht="16.5" customHeight="1" x14ac:dyDescent="0.25">
      <c r="A21" s="262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</row>
    <row r="22" spans="1:19" x14ac:dyDescent="0.25">
      <c r="A22" s="262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</row>
    <row r="23" spans="1:19" x14ac:dyDescent="0.25">
      <c r="A23" s="262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8"/>
    </row>
    <row r="24" spans="1:19" x14ac:dyDescent="0.25">
      <c r="A24" s="262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</row>
    <row r="25" spans="1:19" x14ac:dyDescent="0.25">
      <c r="A25" s="262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</row>
    <row r="26" spans="1:19" x14ac:dyDescent="0.25">
      <c r="A26" s="262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</row>
    <row r="27" spans="1:19" x14ac:dyDescent="0.25">
      <c r="A27" s="262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</row>
    <row r="28" spans="1:19" x14ac:dyDescent="0.25">
      <c r="A28" s="262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</row>
    <row r="29" spans="1:19" x14ac:dyDescent="0.25">
      <c r="A29" s="262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</row>
    <row r="30" spans="1:19" x14ac:dyDescent="0.25">
      <c r="A30" s="262"/>
      <c r="C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</row>
    <row r="31" spans="1:19" x14ac:dyDescent="0.25">
      <c r="A31" s="262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</row>
    <row r="32" spans="1:19" x14ac:dyDescent="0.25">
      <c r="A32" s="262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</row>
    <row r="33" spans="1:19" x14ac:dyDescent="0.25">
      <c r="A33" s="262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</row>
    <row r="34" spans="1:19" x14ac:dyDescent="0.25">
      <c r="A34" s="262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</row>
    <row r="35" spans="1:19" x14ac:dyDescent="0.25">
      <c r="A35" s="262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</row>
    <row r="36" spans="1:19" x14ac:dyDescent="0.25">
      <c r="A36" s="262"/>
    </row>
    <row r="37" spans="1:19" x14ac:dyDescent="0.25">
      <c r="A37" s="262"/>
    </row>
    <row r="38" spans="1:19" x14ac:dyDescent="0.25">
      <c r="A38" s="262"/>
    </row>
    <row r="39" spans="1:19" x14ac:dyDescent="0.25">
      <c r="A39" s="262"/>
    </row>
    <row r="40" spans="1:19" x14ac:dyDescent="0.25">
      <c r="A40" s="262">
        <f ca="1">_xlfn.SHEETS()</f>
        <v>16</v>
      </c>
    </row>
    <row r="41" spans="1:19" x14ac:dyDescent="0.25">
      <c r="A41" s="359">
        <v>45789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workbookViewId="0"/>
  </sheetViews>
  <sheetFormatPr defaultColWidth="0" defaultRowHeight="12.75" zeroHeight="1" outlineLevelRow="1" x14ac:dyDescent="0.2"/>
  <cols>
    <col min="1" max="1" width="8.125" style="8" customWidth="1"/>
    <col min="2" max="2" width="20.75" style="8" customWidth="1"/>
    <col min="3" max="3" width="20.5" style="8" customWidth="1"/>
    <col min="4" max="4" width="16.875" style="8" bestFit="1" customWidth="1"/>
    <col min="5" max="5" width="12.375" style="8" customWidth="1"/>
    <col min="6" max="6" width="14.25" customWidth="1"/>
    <col min="7" max="7" width="11.6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75" x14ac:dyDescent="0.3">
      <c r="A2" s="50" t="str">
        <f>proj</f>
        <v>AR transformer replacement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75" x14ac:dyDescent="0.3">
      <c r="A3" s="177" t="s">
        <v>165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2">
      <c r="A4" s="101"/>
      <c r="B4" s="101"/>
      <c r="D4" s="85"/>
      <c r="E4" s="85"/>
      <c r="F4" s="85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</row>
    <row r="5" spans="1:33" s="2" customFormat="1" hidden="1" outlineLevel="1" x14ac:dyDescent="0.2">
      <c r="A5" s="85" t="s">
        <v>161</v>
      </c>
      <c r="B5" s="85"/>
      <c r="D5" s="86"/>
      <c r="E5" s="85"/>
      <c r="F5" s="85"/>
      <c r="G5" s="88"/>
      <c r="H5" s="163">
        <f>Consol!H5</f>
        <v>0</v>
      </c>
      <c r="I5" s="163">
        <f>Consol!I5</f>
        <v>0.98294637436598087</v>
      </c>
      <c r="J5" s="163">
        <f>Consol!J5</f>
        <v>0.94970664189949849</v>
      </c>
      <c r="K5" s="163">
        <f>Consol!K5</f>
        <v>0.91759095835700344</v>
      </c>
      <c r="L5" s="163">
        <f>Consol!L5</f>
        <v>0.88656131242222558</v>
      </c>
      <c r="M5" s="163">
        <f>Consol!M5</f>
        <v>0.85658097818572532</v>
      </c>
      <c r="N5" s="163">
        <f>Consol!N5</f>
        <v>0.8276144716770294</v>
      </c>
      <c r="O5" s="163">
        <f>Consol!O5</f>
        <v>0.79962750886669509</v>
      </c>
      <c r="P5" s="163">
        <f>Consol!P5</f>
        <v>0.77258696508859437</v>
      </c>
      <c r="Q5" s="163">
        <f>Consol!Q5</f>
        <v>0.74646083583439071</v>
      </c>
      <c r="R5" s="163">
        <f>Consol!R5</f>
        <v>0.72121819887380756</v>
      </c>
      <c r="S5" s="163">
        <f>Consol!S5</f>
        <v>0.69682917765585273</v>
      </c>
      <c r="T5" s="163">
        <f>Consol!T5</f>
        <v>0.67326490594768384</v>
      </c>
      <c r="U5" s="163">
        <f>Consol!U5</f>
        <v>0.6504974936692598</v>
      </c>
      <c r="V5" s="163">
        <f>Consol!V5</f>
        <v>0.62849999388334288</v>
      </c>
      <c r="W5" s="163">
        <f>Consol!W5</f>
        <v>0.60724637090178057</v>
      </c>
      <c r="X5" s="163">
        <f>Consol!X5</f>
        <v>0.58671146947031949</v>
      </c>
      <c r="Y5" s="163">
        <f>Consol!Y5</f>
        <v>0.56687098499547783</v>
      </c>
      <c r="Z5" s="163">
        <f>Consol!Z5</f>
        <v>0.54770143477823952</v>
      </c>
      <c r="AA5" s="163">
        <f>Consol!AA5</f>
        <v>0.52918013022052135</v>
      </c>
      <c r="AB5" s="163">
        <f>Consol!AB5</f>
        <v>0.5112851499715183</v>
      </c>
      <c r="AC5" s="163">
        <f>Consol!AC5</f>
        <v>0.4939953139821433</v>
      </c>
      <c r="AD5" s="163">
        <f>Consol!AD5</f>
        <v>0.47729015843685346</v>
      </c>
      <c r="AE5" s="163">
        <f>Consol!AE5</f>
        <v>0.46114991153319179</v>
      </c>
      <c r="AF5" s="163">
        <f>Consol!AF5</f>
        <v>0.4455554700803786</v>
      </c>
      <c r="AG5" s="163">
        <f>Consol!AG5</f>
        <v>0.43048837688925473</v>
      </c>
    </row>
    <row r="6" spans="1:33" s="2" customFormat="1" hidden="1" outlineLevel="1" x14ac:dyDescent="0.2">
      <c r="A6" s="164" t="str">
        <f>'Option1 (base case)'!A6</f>
        <v>Count</v>
      </c>
      <c r="B6" s="85"/>
      <c r="D6" s="86"/>
      <c r="E6" s="85"/>
      <c r="F6" s="85"/>
      <c r="G6" s="88"/>
      <c r="H6" s="164">
        <f>Consol!H6</f>
        <v>0</v>
      </c>
      <c r="I6" s="164">
        <f>Consol!I6</f>
        <v>1</v>
      </c>
      <c r="J6" s="164">
        <f>Consol!J6</f>
        <v>2</v>
      </c>
      <c r="K6" s="164">
        <f>Consol!K6</f>
        <v>3</v>
      </c>
      <c r="L6" s="164">
        <f>Consol!L6</f>
        <v>4</v>
      </c>
      <c r="M6" s="164">
        <f>Consol!M6</f>
        <v>5</v>
      </c>
      <c r="N6" s="164">
        <f>Consol!N6</f>
        <v>6</v>
      </c>
      <c r="O6" s="164">
        <f>Consol!O6</f>
        <v>7</v>
      </c>
      <c r="P6" s="164">
        <f>Consol!P6</f>
        <v>8</v>
      </c>
      <c r="Q6" s="164">
        <f>Consol!Q6</f>
        <v>9</v>
      </c>
      <c r="R6" s="164">
        <f>Consol!R6</f>
        <v>10</v>
      </c>
      <c r="S6" s="164">
        <f>Consol!S6</f>
        <v>11</v>
      </c>
      <c r="T6" s="164">
        <f>Consol!T6</f>
        <v>12</v>
      </c>
      <c r="U6" s="164">
        <f>Consol!U6</f>
        <v>13</v>
      </c>
      <c r="V6" s="164">
        <f>Consol!V6</f>
        <v>14</v>
      </c>
      <c r="W6" s="164">
        <f>Consol!W6</f>
        <v>15</v>
      </c>
      <c r="X6" s="164">
        <f>Consol!X6</f>
        <v>16</v>
      </c>
      <c r="Y6" s="164">
        <f>Consol!Y6</f>
        <v>17</v>
      </c>
      <c r="Z6" s="164">
        <f>Consol!Z6</f>
        <v>18</v>
      </c>
      <c r="AA6" s="164">
        <f>Consol!AA6</f>
        <v>19</v>
      </c>
      <c r="AB6" s="164">
        <f>Consol!AB6</f>
        <v>20</v>
      </c>
      <c r="AC6" s="164">
        <f>Consol!AC6</f>
        <v>21</v>
      </c>
      <c r="AD6" s="164">
        <f>Consol!AD6</f>
        <v>22</v>
      </c>
      <c r="AE6" s="164">
        <f>Consol!AE6</f>
        <v>23</v>
      </c>
      <c r="AF6" s="164">
        <f>Consol!AF6</f>
        <v>24</v>
      </c>
      <c r="AG6" s="164">
        <f>Consol!AG6</f>
        <v>25</v>
      </c>
    </row>
    <row r="7" spans="1:33" s="2" customFormat="1" hidden="1" outlineLevel="1" x14ac:dyDescent="0.2">
      <c r="A7" s="85" t="s">
        <v>162</v>
      </c>
      <c r="B7" s="85"/>
      <c r="D7" s="86"/>
      <c r="E7" s="85"/>
      <c r="F7" s="85"/>
      <c r="G7" s="88"/>
      <c r="H7" s="223" t="b">
        <f>Consol!H7</f>
        <v>1</v>
      </c>
      <c r="I7" s="223" t="b">
        <f>Consol!I7</f>
        <v>1</v>
      </c>
      <c r="J7" s="223" t="b">
        <f>Consol!J7</f>
        <v>1</v>
      </c>
      <c r="K7" s="223" t="b">
        <f>Consol!K7</f>
        <v>1</v>
      </c>
      <c r="L7" s="223" t="b">
        <f>Consol!L7</f>
        <v>1</v>
      </c>
      <c r="M7" s="223" t="b">
        <f>Consol!M7</f>
        <v>1</v>
      </c>
      <c r="N7" s="223" t="b">
        <f>Consol!N7</f>
        <v>1</v>
      </c>
      <c r="O7" s="223" t="b">
        <f>Consol!O7</f>
        <v>1</v>
      </c>
      <c r="P7" s="223" t="b">
        <f>Consol!P7</f>
        <v>1</v>
      </c>
      <c r="Q7" s="223" t="b">
        <f>Consol!Q7</f>
        <v>1</v>
      </c>
      <c r="R7" s="223" t="b">
        <f>Consol!R7</f>
        <v>1</v>
      </c>
      <c r="S7" s="223" t="b">
        <f>Consol!S7</f>
        <v>1</v>
      </c>
      <c r="T7" s="223" t="b">
        <f>Consol!T7</f>
        <v>1</v>
      </c>
      <c r="U7" s="223" t="b">
        <f>Consol!U7</f>
        <v>1</v>
      </c>
      <c r="V7" s="223" t="b">
        <f>Consol!V7</f>
        <v>1</v>
      </c>
      <c r="W7" s="223" t="b">
        <f>Consol!W7</f>
        <v>1</v>
      </c>
      <c r="X7" s="223" t="b">
        <f>Consol!X7</f>
        <v>1</v>
      </c>
      <c r="Y7" s="223" t="b">
        <f>Consol!Y7</f>
        <v>1</v>
      </c>
      <c r="Z7" s="223" t="b">
        <f>Consol!Z7</f>
        <v>1</v>
      </c>
      <c r="AA7" s="223" t="b">
        <f>Consol!AA7</f>
        <v>1</v>
      </c>
      <c r="AB7" s="223" t="b">
        <f>Consol!AB7</f>
        <v>1</v>
      </c>
      <c r="AC7" s="223" t="b">
        <f>Consol!AC7</f>
        <v>1</v>
      </c>
      <c r="AD7" s="223" t="b">
        <f>Consol!AD7</f>
        <v>1</v>
      </c>
      <c r="AE7" s="223" t="b">
        <f>Consol!AE7</f>
        <v>0</v>
      </c>
      <c r="AF7" s="223" t="b">
        <f>Consol!AF7</f>
        <v>0</v>
      </c>
      <c r="AG7" s="223" t="b">
        <f>Consol!AG7</f>
        <v>0</v>
      </c>
    </row>
    <row r="8" spans="1:33" s="2" customFormat="1" ht="4.5" customHeight="1" collapsed="1" x14ac:dyDescent="0.2"/>
    <row r="9" spans="1:33" s="2" customFormat="1" ht="15" x14ac:dyDescent="0.25">
      <c r="A9" s="17"/>
      <c r="B9" s="17"/>
      <c r="C9" s="17"/>
      <c r="D9" s="17"/>
      <c r="E9" s="17"/>
      <c r="F9" s="73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x14ac:dyDescent="0.2">
      <c r="D10" s="7"/>
      <c r="E10" s="7"/>
      <c r="G10" s="194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5" x14ac:dyDescent="0.2">
      <c r="A11" s="78"/>
      <c r="B11" s="78"/>
      <c r="C11" s="78"/>
      <c r="D11" s="79"/>
      <c r="E11" s="79"/>
      <c r="F11" s="63" t="s">
        <v>4</v>
      </c>
      <c r="G11" s="195"/>
      <c r="H11" s="102" t="str" cm="1">
        <f t="array" ref="H11">IF(H6=$D$4,UPPER($A$4),IF(H6=end, "END", ""))</f>
        <v/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</row>
    <row r="12" spans="1:33" s="2" customFormat="1" x14ac:dyDescent="0.2">
      <c r="A12" s="216"/>
      <c r="B12" s="216"/>
      <c r="C12" s="216"/>
      <c r="D12" s="216"/>
      <c r="E12" s="216"/>
      <c r="F12" s="216"/>
      <c r="G12" s="217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1049823.0837519162</v>
      </c>
      <c r="AA12" s="28">
        <f>Consol!AB36</f>
        <v>1059127.6688070092</v>
      </c>
      <c r="AB12" s="28">
        <f>Consol!AC36</f>
        <v>1068491.3645218192</v>
      </c>
      <c r="AC12" s="28">
        <f>Consol!AD36</f>
        <v>1077906.1390751083</v>
      </c>
      <c r="AD12" s="28">
        <f>Consol!AE36</f>
        <v>0</v>
      </c>
      <c r="AE12" s="28">
        <f>Consol!AF36</f>
        <v>0</v>
      </c>
      <c r="AF12" s="28">
        <f>Consol!AG36</f>
        <v>0</v>
      </c>
      <c r="AG12" s="217"/>
    </row>
    <row r="13" spans="1:33" s="2" customFormat="1" x14ac:dyDescent="0.2">
      <c r="A13" s="216"/>
      <c r="B13" s="216"/>
      <c r="C13" s="216"/>
      <c r="D13" s="216"/>
      <c r="E13" s="216"/>
      <c r="F13" s="216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</row>
    <row r="14" spans="1:33" s="2" customFormat="1" x14ac:dyDescent="0.2">
      <c r="A14" s="222" t="s">
        <v>105</v>
      </c>
      <c r="B14" s="222" t="s">
        <v>22</v>
      </c>
      <c r="C14" s="222" t="s">
        <v>147</v>
      </c>
      <c r="D14" s="222" t="str">
        <f>A14&amp;B14</f>
        <v>OPTION 1 (base case)NPV</v>
      </c>
      <c r="E14" s="214"/>
      <c r="F14" s="28">
        <f>SUMPRODUCT($H14:$AG14, $H$5:$AG$5)</f>
        <v>0</v>
      </c>
      <c r="G14" s="217"/>
      <c r="H14" s="28">
        <f>'Option1 (base case)'!I86*conv_2026</f>
        <v>0</v>
      </c>
      <c r="I14" s="28">
        <f>'Option1 (base case)'!J86*conv_2026</f>
        <v>0</v>
      </c>
      <c r="J14" s="28">
        <f>'Option1 (base case)'!K86*conv_2026</f>
        <v>0</v>
      </c>
      <c r="K14" s="28">
        <f>'Option1 (base case)'!L86*conv_2026</f>
        <v>0</v>
      </c>
      <c r="L14" s="28">
        <f>'Option1 (base case)'!M86*conv_2026</f>
        <v>0</v>
      </c>
      <c r="M14" s="28">
        <f>'Option1 (base case)'!N86*conv_2026</f>
        <v>0</v>
      </c>
      <c r="N14" s="28">
        <f>'Option1 (base case)'!O86*conv_2026</f>
        <v>0</v>
      </c>
      <c r="O14" s="28">
        <f>'Option1 (base case)'!P86*conv_2026</f>
        <v>0</v>
      </c>
      <c r="P14" s="28">
        <f>'Option1 (base case)'!Q86*conv_2026</f>
        <v>0</v>
      </c>
      <c r="Q14" s="28">
        <f>'Option1 (base case)'!R86*conv_2026</f>
        <v>0</v>
      </c>
      <c r="R14" s="28">
        <f>'Option1 (base case)'!S86*conv_2026</f>
        <v>0</v>
      </c>
      <c r="S14" s="28">
        <f>'Option1 (base case)'!T86*conv_2026</f>
        <v>0</v>
      </c>
      <c r="T14" s="28">
        <f>'Option1 (base case)'!U86*conv_2026</f>
        <v>0</v>
      </c>
      <c r="U14" s="28">
        <f>'Option1 (base case)'!V86*conv_2026</f>
        <v>0</v>
      </c>
      <c r="V14" s="28">
        <f>'Option1 (base case)'!W86*conv_2026</f>
        <v>0</v>
      </c>
      <c r="W14" s="28">
        <f>'Option1 (base case)'!X86*conv_2026</f>
        <v>0</v>
      </c>
      <c r="X14" s="28">
        <f>'Option1 (base case)'!Y86*conv_2026</f>
        <v>0</v>
      </c>
      <c r="Y14" s="28">
        <f>'Option1 (base case)'!Z86*conv_2026</f>
        <v>0</v>
      </c>
      <c r="Z14" s="28">
        <f>'Option1 (base case)'!AA86*conv_2026</f>
        <v>0</v>
      </c>
      <c r="AA14" s="28">
        <f>'Option1 (base case)'!AB86*conv_2026</f>
        <v>0</v>
      </c>
      <c r="AB14" s="28">
        <f>'Option1 (base case)'!AC86*conv_2026</f>
        <v>0</v>
      </c>
      <c r="AC14" s="28">
        <f>'Option1 (base case)'!AD86*conv_2026</f>
        <v>0</v>
      </c>
      <c r="AD14" s="28">
        <f>'Option1 (base case)'!AE86*conv_2026</f>
        <v>0</v>
      </c>
      <c r="AE14" s="28">
        <f>'Option1 (base case)'!AF86*conv_2026</f>
        <v>0</v>
      </c>
      <c r="AF14" s="28">
        <f>'Option1 (base case)'!AG86*conv_2026</f>
        <v>0</v>
      </c>
      <c r="AG14" s="28">
        <f>'Option1 (base case)'!AH86*conv_2026</f>
        <v>0</v>
      </c>
    </row>
    <row r="15" spans="1:33" s="2" customFormat="1" x14ac:dyDescent="0.2">
      <c r="A15" s="216"/>
      <c r="B15" s="216"/>
      <c r="C15" s="216"/>
      <c r="D15" s="216"/>
      <c r="E15" s="216"/>
      <c r="F15" s="216"/>
      <c r="G15" s="21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x14ac:dyDescent="0.2">
      <c r="A16" s="222" t="s">
        <v>105</v>
      </c>
      <c r="B16" s="222" t="str">
        <f>'Option1 (base case)'!A109</f>
        <v>sens1</v>
      </c>
      <c r="C16" s="222" t="str">
        <f>'Option1 (base case)'!C109</f>
        <v>Capex 10% higher</v>
      </c>
      <c r="D16" s="222" t="str">
        <f t="shared" ref="D16:D23" si="0">A16&amp;B16</f>
        <v>OPTION 1 (base case)sens1</v>
      </c>
      <c r="E16" s="214"/>
      <c r="F16" s="28">
        <f>SUMPRODUCT($H16:$AG16, $H$5:$AG$5)</f>
        <v>0</v>
      </c>
      <c r="G16" s="217"/>
      <c r="H16" s="28">
        <f>(INDEX('Option1 (base case)'!H$105:H$116, MATCH($D16, 'Option1 (base case)'!$G$105:$G$116,0)))*conv_2026*H$7</f>
        <v>0</v>
      </c>
      <c r="I16" s="28">
        <f>(INDEX('Option1 (base case)'!I$105:I$116, MATCH($D16, 'Option1 (base case)'!$G$105:$G$116,0)))*conv_2026*I$7</f>
        <v>0</v>
      </c>
      <c r="J16" s="28">
        <f>(INDEX('Option1 (base case)'!J$105:J$116, MATCH($D16, 'Option1 (base case)'!$G$105:$G$116,0)))*conv_2026*J$7</f>
        <v>0</v>
      </c>
      <c r="K16" s="28">
        <f>(INDEX('Option1 (base case)'!K$105:K$116, MATCH($D16, 'Option1 (base case)'!$G$105:$G$116,0)))*conv_2026*K$7</f>
        <v>0</v>
      </c>
      <c r="L16" s="28">
        <f>(INDEX('Option1 (base case)'!L$105:L$116, MATCH($D16, 'Option1 (base case)'!$G$105:$G$116,0)))*conv_2026*L$7</f>
        <v>0</v>
      </c>
      <c r="M16" s="28">
        <f>(INDEX('Option1 (base case)'!M$105:M$116, MATCH($D16, 'Option1 (base case)'!$G$105:$G$116,0)))*conv_2026*M$7</f>
        <v>0</v>
      </c>
      <c r="N16" s="28">
        <f>(INDEX('Option1 (base case)'!N$105:N$116, MATCH($D16, 'Option1 (base case)'!$G$105:$G$116,0)))*conv_2026*N$7</f>
        <v>0</v>
      </c>
      <c r="O16" s="28">
        <f>(INDEX('Option1 (base case)'!O$105:O$116, MATCH($D16, 'Option1 (base case)'!$G$105:$G$116,0)))*conv_2026*O$7</f>
        <v>0</v>
      </c>
      <c r="P16" s="28">
        <f>(INDEX('Option1 (base case)'!P$105:P$116, MATCH($D16, 'Option1 (base case)'!$G$105:$G$116,0)))*conv_2026*P$7</f>
        <v>0</v>
      </c>
      <c r="Q16" s="28">
        <f>(INDEX('Option1 (base case)'!Q$105:Q$116, MATCH($D16, 'Option1 (base case)'!$G$105:$G$116,0)))*conv_2026*Q$7</f>
        <v>0</v>
      </c>
      <c r="R16" s="28">
        <f>(INDEX('Option1 (base case)'!R$105:R$116, MATCH($D16, 'Option1 (base case)'!$G$105:$G$116,0)))*conv_2026*R$7</f>
        <v>0</v>
      </c>
      <c r="S16" s="28">
        <f>(INDEX('Option1 (base case)'!S$105:S$116, MATCH($D16, 'Option1 (base case)'!$G$105:$G$116,0)))*conv_2026*S$7</f>
        <v>0</v>
      </c>
      <c r="T16" s="28">
        <f>(INDEX('Option1 (base case)'!T$105:T$116, MATCH($D16, 'Option1 (base case)'!$G$105:$G$116,0)))*conv_2026*T$7</f>
        <v>0</v>
      </c>
      <c r="U16" s="28">
        <f>(INDEX('Option1 (base case)'!U$105:U$116, MATCH($D16, 'Option1 (base case)'!$G$105:$G$116,0)))*conv_2026*U$7</f>
        <v>0</v>
      </c>
      <c r="V16" s="28">
        <f>(INDEX('Option1 (base case)'!V$105:V$116, MATCH($D16, 'Option1 (base case)'!$G$105:$G$116,0)))*conv_2026*V$7</f>
        <v>0</v>
      </c>
      <c r="W16" s="28">
        <f>(INDEX('Option1 (base case)'!W$105:W$116, MATCH($D16, 'Option1 (base case)'!$G$105:$G$116,0)))*conv_2026*W$7</f>
        <v>0</v>
      </c>
      <c r="X16" s="28">
        <f>(INDEX('Option1 (base case)'!X$105:X$116, MATCH($D16, 'Option1 (base case)'!$G$105:$G$116,0)))*conv_2026*X$7</f>
        <v>0</v>
      </c>
      <c r="Y16" s="28">
        <f>(INDEX('Option1 (base case)'!Y$105:Y$116, MATCH($D16, 'Option1 (base case)'!$G$105:$G$116,0)))*conv_2026*Y$7</f>
        <v>0</v>
      </c>
      <c r="Z16" s="28">
        <f>(INDEX('Option1 (base case)'!Z$105:Z$116, MATCH($D16, 'Option1 (base case)'!$G$105:$G$116,0)))*conv_2026*Z$7</f>
        <v>0</v>
      </c>
      <c r="AA16" s="28">
        <f>(INDEX('Option1 (base case)'!AA$105:AA$116, MATCH($D16, 'Option1 (base case)'!$G$105:$G$116,0)))*conv_2026*AA$7</f>
        <v>0</v>
      </c>
      <c r="AB16" s="28">
        <f>(INDEX('Option1 (base case)'!AB$105:AB$116, MATCH($D16, 'Option1 (base case)'!$G$105:$G$116,0)))*conv_2026*AB$7</f>
        <v>0</v>
      </c>
      <c r="AC16" s="28">
        <f>(INDEX('Option1 (base case)'!AC$105:AC$116, MATCH($D16, 'Option1 (base case)'!$G$105:$G$116,0)))*conv_2026*AC$7</f>
        <v>0</v>
      </c>
      <c r="AD16" s="28">
        <f>(INDEX('Option1 (base case)'!AD$105:AD$116, MATCH($D16, 'Option1 (base case)'!$G$105:$G$116,0)))*conv_2026*AD$7</f>
        <v>0</v>
      </c>
      <c r="AE16" s="28">
        <f>(INDEX('Option1 (base case)'!AE$105:AE$116, MATCH($D16, 'Option1 (base case)'!$G$105:$G$116,0)))*conv_2026*AE$7</f>
        <v>0</v>
      </c>
      <c r="AF16" s="28">
        <f>(INDEX('Option1 (base case)'!AF$105:AF$116, MATCH($D16, 'Option1 (base case)'!$G$105:$G$116,0)))*conv_2026*AF$7</f>
        <v>0</v>
      </c>
      <c r="AG16" s="28">
        <f>(INDEX('Option1 (base case)'!AG$105:AG$116, MATCH($D16, 'Option1 (base case)'!$G$105:$G$116,0)))*conv_2026*AG$7</f>
        <v>0</v>
      </c>
    </row>
    <row r="17" spans="1:35" s="2" customFormat="1" x14ac:dyDescent="0.2">
      <c r="A17" s="222" t="s">
        <v>105</v>
      </c>
      <c r="B17" s="222" t="str">
        <f>'Option1 (base case)'!A110</f>
        <v>sens2</v>
      </c>
      <c r="C17" s="222" t="str">
        <f>'Option1 (base case)'!C110</f>
        <v>Capex 10% lower</v>
      </c>
      <c r="D17" s="222" t="str">
        <f t="shared" si="0"/>
        <v>OPTION 1 (base case)sens2</v>
      </c>
      <c r="E17" s="214"/>
      <c r="F17" s="28">
        <f t="shared" ref="F17:F23" si="1">SUMPRODUCT($H17:$AG17, $H$5:$AG$5)</f>
        <v>0</v>
      </c>
      <c r="G17" s="222"/>
      <c r="H17" s="28">
        <f>(INDEX('Option1 (base case)'!H$105:H$116, MATCH($D17, 'Option1 (base case)'!$G$105:$G$116,0)))*conv_2026*H$7</f>
        <v>0</v>
      </c>
      <c r="I17" s="28">
        <f>(INDEX('Option1 (base case)'!I$105:I$116, MATCH($D17, 'Option1 (base case)'!$G$105:$G$116,0)))*conv_2026*I$7</f>
        <v>0</v>
      </c>
      <c r="J17" s="28">
        <f>(INDEX('Option1 (base case)'!J$105:J$116, MATCH($D17, 'Option1 (base case)'!$G$105:$G$116,0)))*conv_2026*J$7</f>
        <v>0</v>
      </c>
      <c r="K17" s="28">
        <f>(INDEX('Option1 (base case)'!K$105:K$116, MATCH($D17, 'Option1 (base case)'!$G$105:$G$116,0)))*conv_2026*K$7</f>
        <v>0</v>
      </c>
      <c r="L17" s="28">
        <f>(INDEX('Option1 (base case)'!L$105:L$116, MATCH($D17, 'Option1 (base case)'!$G$105:$G$116,0)))*conv_2026*L$7</f>
        <v>0</v>
      </c>
      <c r="M17" s="28">
        <f>(INDEX('Option1 (base case)'!M$105:M$116, MATCH($D17, 'Option1 (base case)'!$G$105:$G$116,0)))*conv_2026*M$7</f>
        <v>0</v>
      </c>
      <c r="N17" s="28">
        <f>(INDEX('Option1 (base case)'!N$105:N$116, MATCH($D17, 'Option1 (base case)'!$G$105:$G$116,0)))*conv_2026*N$7</f>
        <v>0</v>
      </c>
      <c r="O17" s="28">
        <f>(INDEX('Option1 (base case)'!O$105:O$116, MATCH($D17, 'Option1 (base case)'!$G$105:$G$116,0)))*conv_2026*O$7</f>
        <v>0</v>
      </c>
      <c r="P17" s="28">
        <f>(INDEX('Option1 (base case)'!P$105:P$116, MATCH($D17, 'Option1 (base case)'!$G$105:$G$116,0)))*conv_2026*P$7</f>
        <v>0</v>
      </c>
      <c r="Q17" s="28">
        <f>(INDEX('Option1 (base case)'!Q$105:Q$116, MATCH($D17, 'Option1 (base case)'!$G$105:$G$116,0)))*conv_2026*Q$7</f>
        <v>0</v>
      </c>
      <c r="R17" s="28">
        <f>(INDEX('Option1 (base case)'!R$105:R$116, MATCH($D17, 'Option1 (base case)'!$G$105:$G$116,0)))*conv_2026*R$7</f>
        <v>0</v>
      </c>
      <c r="S17" s="28">
        <f>(INDEX('Option1 (base case)'!S$105:S$116, MATCH($D17, 'Option1 (base case)'!$G$105:$G$116,0)))*conv_2026*S$7</f>
        <v>0</v>
      </c>
      <c r="T17" s="28">
        <f>(INDEX('Option1 (base case)'!T$105:T$116, MATCH($D17, 'Option1 (base case)'!$G$105:$G$116,0)))*conv_2026*T$7</f>
        <v>0</v>
      </c>
      <c r="U17" s="28">
        <f>(INDEX('Option1 (base case)'!U$105:U$116, MATCH($D17, 'Option1 (base case)'!$G$105:$G$116,0)))*conv_2026*U$7</f>
        <v>0</v>
      </c>
      <c r="V17" s="28">
        <f>(INDEX('Option1 (base case)'!V$105:V$116, MATCH($D17, 'Option1 (base case)'!$G$105:$G$116,0)))*conv_2026*V$7</f>
        <v>0</v>
      </c>
      <c r="W17" s="28">
        <f>(INDEX('Option1 (base case)'!W$105:W$116, MATCH($D17, 'Option1 (base case)'!$G$105:$G$116,0)))*conv_2026*W$7</f>
        <v>0</v>
      </c>
      <c r="X17" s="28">
        <f>(INDEX('Option1 (base case)'!X$105:X$116, MATCH($D17, 'Option1 (base case)'!$G$105:$G$116,0)))*conv_2026*X$7</f>
        <v>0</v>
      </c>
      <c r="Y17" s="28">
        <f>(INDEX('Option1 (base case)'!Y$105:Y$116, MATCH($D17, 'Option1 (base case)'!$G$105:$G$116,0)))*conv_2026*Y$7</f>
        <v>0</v>
      </c>
      <c r="Z17" s="28">
        <f>(INDEX('Option1 (base case)'!Z$105:Z$116, MATCH($D17, 'Option1 (base case)'!$G$105:$G$116,0)))*conv_2026*Z$7</f>
        <v>0</v>
      </c>
      <c r="AA17" s="28">
        <f>(INDEX('Option1 (base case)'!AA$105:AA$116, MATCH($D17, 'Option1 (base case)'!$G$105:$G$116,0)))*conv_2026*AA$7</f>
        <v>0</v>
      </c>
      <c r="AB17" s="28">
        <f>(INDEX('Option1 (base case)'!AB$105:AB$116, MATCH($D17, 'Option1 (base case)'!$G$105:$G$116,0)))*conv_2026*AB$7</f>
        <v>0</v>
      </c>
      <c r="AC17" s="28">
        <f>(INDEX('Option1 (base case)'!AC$105:AC$116, MATCH($D17, 'Option1 (base case)'!$G$105:$G$116,0)))*conv_2026*AC$7</f>
        <v>0</v>
      </c>
      <c r="AD17" s="28">
        <f>(INDEX('Option1 (base case)'!AD$105:AD$116, MATCH($D17, 'Option1 (base case)'!$G$105:$G$116,0)))*conv_2026*AD$7</f>
        <v>0</v>
      </c>
      <c r="AE17" s="28">
        <f>(INDEX('Option1 (base case)'!AE$105:AE$116, MATCH($D17, 'Option1 (base case)'!$G$105:$G$116,0)))*conv_2026*AE$7</f>
        <v>0</v>
      </c>
      <c r="AF17" s="28">
        <f>(INDEX('Option1 (base case)'!AF$105:AF$116, MATCH($D17, 'Option1 (base case)'!$G$105:$G$116,0)))*conv_2026*AF$7</f>
        <v>0</v>
      </c>
      <c r="AG17" s="28">
        <f>(INDEX('Option1 (base case)'!AG$105:AG$116, MATCH($D17, 'Option1 (base case)'!$G$105:$G$116,0)))*conv_2026*AG$7</f>
        <v>0</v>
      </c>
      <c r="AH17" s="6"/>
      <c r="AI17" s="6"/>
    </row>
    <row r="18" spans="1:35" s="2" customFormat="1" x14ac:dyDescent="0.2">
      <c r="A18" s="222" t="s">
        <v>105</v>
      </c>
      <c r="B18" s="222" t="str">
        <f>'Option1 (base case)'!A111</f>
        <v>sens3</v>
      </c>
      <c r="C18" s="222" t="str">
        <f>'Option1 (base case)'!C111</f>
        <v>Total benefits 10% higher</v>
      </c>
      <c r="D18" s="222" t="str">
        <f t="shared" si="0"/>
        <v>OPTION 1 (base case)sens3</v>
      </c>
      <c r="E18" s="214"/>
      <c r="F18" s="28">
        <f t="shared" si="1"/>
        <v>0</v>
      </c>
      <c r="G18" s="6"/>
      <c r="H18" s="28">
        <f>(INDEX('Option1 (base case)'!H$105:H$116, MATCH($D18, 'Option1 (base case)'!$G$105:$G$116,0)))*conv_2026*H$7</f>
        <v>0</v>
      </c>
      <c r="I18" s="28">
        <f>(INDEX('Option1 (base case)'!I$105:I$116, MATCH($D18, 'Option1 (base case)'!$G$105:$G$116,0)))*conv_2026*I$7</f>
        <v>0</v>
      </c>
      <c r="J18" s="28">
        <f>(INDEX('Option1 (base case)'!J$105:J$116, MATCH($D18, 'Option1 (base case)'!$G$105:$G$116,0)))*conv_2026*J$7</f>
        <v>0</v>
      </c>
      <c r="K18" s="28">
        <f>(INDEX('Option1 (base case)'!K$105:K$116, MATCH($D18, 'Option1 (base case)'!$G$105:$G$116,0)))*conv_2026*K$7</f>
        <v>0</v>
      </c>
      <c r="L18" s="28">
        <f>(INDEX('Option1 (base case)'!L$105:L$116, MATCH($D18, 'Option1 (base case)'!$G$105:$G$116,0)))*conv_2026*L$7</f>
        <v>0</v>
      </c>
      <c r="M18" s="28">
        <f>(INDEX('Option1 (base case)'!M$105:M$116, MATCH($D18, 'Option1 (base case)'!$G$105:$G$116,0)))*conv_2026*M$7</f>
        <v>0</v>
      </c>
      <c r="N18" s="28">
        <f>(INDEX('Option1 (base case)'!N$105:N$116, MATCH($D18, 'Option1 (base case)'!$G$105:$G$116,0)))*conv_2026*N$7</f>
        <v>0</v>
      </c>
      <c r="O18" s="28">
        <f>(INDEX('Option1 (base case)'!O$105:O$116, MATCH($D18, 'Option1 (base case)'!$G$105:$G$116,0)))*conv_2026*O$7</f>
        <v>0</v>
      </c>
      <c r="P18" s="28">
        <f>(INDEX('Option1 (base case)'!P$105:P$116, MATCH($D18, 'Option1 (base case)'!$G$105:$G$116,0)))*conv_2026*P$7</f>
        <v>0</v>
      </c>
      <c r="Q18" s="28">
        <f>(INDEX('Option1 (base case)'!Q$105:Q$116, MATCH($D18, 'Option1 (base case)'!$G$105:$G$116,0)))*conv_2026*Q$7</f>
        <v>0</v>
      </c>
      <c r="R18" s="28">
        <f>(INDEX('Option1 (base case)'!R$105:R$116, MATCH($D18, 'Option1 (base case)'!$G$105:$G$116,0)))*conv_2026*R$7</f>
        <v>0</v>
      </c>
      <c r="S18" s="28">
        <f>(INDEX('Option1 (base case)'!S$105:S$116, MATCH($D18, 'Option1 (base case)'!$G$105:$G$116,0)))*conv_2026*S$7</f>
        <v>0</v>
      </c>
      <c r="T18" s="28">
        <f>(INDEX('Option1 (base case)'!T$105:T$116, MATCH($D18, 'Option1 (base case)'!$G$105:$G$116,0)))*conv_2026*T$7</f>
        <v>0</v>
      </c>
      <c r="U18" s="28">
        <f>(INDEX('Option1 (base case)'!U$105:U$116, MATCH($D18, 'Option1 (base case)'!$G$105:$G$116,0)))*conv_2026*U$7</f>
        <v>0</v>
      </c>
      <c r="V18" s="28">
        <f>(INDEX('Option1 (base case)'!V$105:V$116, MATCH($D18, 'Option1 (base case)'!$G$105:$G$116,0)))*conv_2026*V$7</f>
        <v>0</v>
      </c>
      <c r="W18" s="28">
        <f>(INDEX('Option1 (base case)'!W$105:W$116, MATCH($D18, 'Option1 (base case)'!$G$105:$G$116,0)))*conv_2026*W$7</f>
        <v>0</v>
      </c>
      <c r="X18" s="28">
        <f>(INDEX('Option1 (base case)'!X$105:X$116, MATCH($D18, 'Option1 (base case)'!$G$105:$G$116,0)))*conv_2026*X$7</f>
        <v>0</v>
      </c>
      <c r="Y18" s="28">
        <f>(INDEX('Option1 (base case)'!Y$105:Y$116, MATCH($D18, 'Option1 (base case)'!$G$105:$G$116,0)))*conv_2026*Y$7</f>
        <v>0</v>
      </c>
      <c r="Z18" s="28">
        <f>(INDEX('Option1 (base case)'!Z$105:Z$116, MATCH($D18, 'Option1 (base case)'!$G$105:$G$116,0)))*conv_2026*Z$7</f>
        <v>0</v>
      </c>
      <c r="AA18" s="28">
        <f>(INDEX('Option1 (base case)'!AA$105:AA$116, MATCH($D18, 'Option1 (base case)'!$G$105:$G$116,0)))*conv_2026*AA$7</f>
        <v>0</v>
      </c>
      <c r="AB18" s="28">
        <f>(INDEX('Option1 (base case)'!AB$105:AB$116, MATCH($D18, 'Option1 (base case)'!$G$105:$G$116,0)))*conv_2026*AB$7</f>
        <v>0</v>
      </c>
      <c r="AC18" s="28">
        <f>(INDEX('Option1 (base case)'!AC$105:AC$116, MATCH($D18, 'Option1 (base case)'!$G$105:$G$116,0)))*conv_2026*AC$7</f>
        <v>0</v>
      </c>
      <c r="AD18" s="28">
        <f>(INDEX('Option1 (base case)'!AD$105:AD$116, MATCH($D18, 'Option1 (base case)'!$G$105:$G$116,0)))*conv_2026*AD$7</f>
        <v>0</v>
      </c>
      <c r="AE18" s="28">
        <f>(INDEX('Option1 (base case)'!AE$105:AE$116, MATCH($D18, 'Option1 (base case)'!$G$105:$G$116,0)))*conv_2026*AE$7</f>
        <v>0</v>
      </c>
      <c r="AF18" s="28">
        <f>(INDEX('Option1 (base case)'!AF$105:AF$116, MATCH($D18, 'Option1 (base case)'!$G$105:$G$116,0)))*conv_2026*AF$7</f>
        <v>0</v>
      </c>
      <c r="AG18" s="28">
        <f>(INDEX('Option1 (base case)'!AG$105:AG$116, MATCH($D18, 'Option1 (base case)'!$G$105:$G$116,0)))*conv_2026*AG$7</f>
        <v>0</v>
      </c>
      <c r="AH18" s="6"/>
      <c r="AI18" s="6"/>
    </row>
    <row r="19" spans="1:35" s="2" customFormat="1" x14ac:dyDescent="0.2">
      <c r="A19" s="222" t="s">
        <v>105</v>
      </c>
      <c r="B19" s="222" t="str">
        <f>'Option1 (base case)'!A112</f>
        <v>sens4</v>
      </c>
      <c r="C19" s="222" t="str">
        <f>'Option1 (base case)'!C112</f>
        <v>Total benefits 10% lower</v>
      </c>
      <c r="D19" s="222" t="str">
        <f t="shared" si="0"/>
        <v>OPTION 1 (base case)sens4</v>
      </c>
      <c r="E19" s="214"/>
      <c r="F19" s="28">
        <f t="shared" si="1"/>
        <v>0</v>
      </c>
      <c r="G19" s="6"/>
      <c r="H19" s="28">
        <f>(INDEX('Option1 (base case)'!H$105:H$116, MATCH($D19, 'Option1 (base case)'!$G$105:$G$116,0)))*conv_2026*H$7</f>
        <v>0</v>
      </c>
      <c r="I19" s="28">
        <f>(INDEX('Option1 (base case)'!I$105:I$116, MATCH($D19, 'Option1 (base case)'!$G$105:$G$116,0)))*conv_2026*I$7</f>
        <v>0</v>
      </c>
      <c r="J19" s="28">
        <f>(INDEX('Option1 (base case)'!J$105:J$116, MATCH($D19, 'Option1 (base case)'!$G$105:$G$116,0)))*conv_2026*J$7</f>
        <v>0</v>
      </c>
      <c r="K19" s="28">
        <f>(INDEX('Option1 (base case)'!K$105:K$116, MATCH($D19, 'Option1 (base case)'!$G$105:$G$116,0)))*conv_2026*K$7</f>
        <v>0</v>
      </c>
      <c r="L19" s="28">
        <f>(INDEX('Option1 (base case)'!L$105:L$116, MATCH($D19, 'Option1 (base case)'!$G$105:$G$116,0)))*conv_2026*L$7</f>
        <v>0</v>
      </c>
      <c r="M19" s="28">
        <f>(INDEX('Option1 (base case)'!M$105:M$116, MATCH($D19, 'Option1 (base case)'!$G$105:$G$116,0)))*conv_2026*M$7</f>
        <v>0</v>
      </c>
      <c r="N19" s="28">
        <f>(INDEX('Option1 (base case)'!N$105:N$116, MATCH($D19, 'Option1 (base case)'!$G$105:$G$116,0)))*conv_2026*N$7</f>
        <v>0</v>
      </c>
      <c r="O19" s="28">
        <f>(INDEX('Option1 (base case)'!O$105:O$116, MATCH($D19, 'Option1 (base case)'!$G$105:$G$116,0)))*conv_2026*O$7</f>
        <v>0</v>
      </c>
      <c r="P19" s="28">
        <f>(INDEX('Option1 (base case)'!P$105:P$116, MATCH($D19, 'Option1 (base case)'!$G$105:$G$116,0)))*conv_2026*P$7</f>
        <v>0</v>
      </c>
      <c r="Q19" s="28">
        <f>(INDEX('Option1 (base case)'!Q$105:Q$116, MATCH($D19, 'Option1 (base case)'!$G$105:$G$116,0)))*conv_2026*Q$7</f>
        <v>0</v>
      </c>
      <c r="R19" s="28">
        <f>(INDEX('Option1 (base case)'!R$105:R$116, MATCH($D19, 'Option1 (base case)'!$G$105:$G$116,0)))*conv_2026*R$7</f>
        <v>0</v>
      </c>
      <c r="S19" s="28">
        <f>(INDEX('Option1 (base case)'!S$105:S$116, MATCH($D19, 'Option1 (base case)'!$G$105:$G$116,0)))*conv_2026*S$7</f>
        <v>0</v>
      </c>
      <c r="T19" s="28">
        <f>(INDEX('Option1 (base case)'!T$105:T$116, MATCH($D19, 'Option1 (base case)'!$G$105:$G$116,0)))*conv_2026*T$7</f>
        <v>0</v>
      </c>
      <c r="U19" s="28">
        <f>(INDEX('Option1 (base case)'!U$105:U$116, MATCH($D19, 'Option1 (base case)'!$G$105:$G$116,0)))*conv_2026*U$7</f>
        <v>0</v>
      </c>
      <c r="V19" s="28">
        <f>(INDEX('Option1 (base case)'!V$105:V$116, MATCH($D19, 'Option1 (base case)'!$G$105:$G$116,0)))*conv_2026*V$7</f>
        <v>0</v>
      </c>
      <c r="W19" s="28">
        <f>(INDEX('Option1 (base case)'!W$105:W$116, MATCH($D19, 'Option1 (base case)'!$G$105:$G$116,0)))*conv_2026*W$7</f>
        <v>0</v>
      </c>
      <c r="X19" s="28">
        <f>(INDEX('Option1 (base case)'!X$105:X$116, MATCH($D19, 'Option1 (base case)'!$G$105:$G$116,0)))*conv_2026*X$7</f>
        <v>0</v>
      </c>
      <c r="Y19" s="28">
        <f>(INDEX('Option1 (base case)'!Y$105:Y$116, MATCH($D19, 'Option1 (base case)'!$G$105:$G$116,0)))*conv_2026*Y$7</f>
        <v>0</v>
      </c>
      <c r="Z19" s="28">
        <f>(INDEX('Option1 (base case)'!Z$105:Z$116, MATCH($D19, 'Option1 (base case)'!$G$105:$G$116,0)))*conv_2026*Z$7</f>
        <v>0</v>
      </c>
      <c r="AA19" s="28">
        <f>(INDEX('Option1 (base case)'!AA$105:AA$116, MATCH($D19, 'Option1 (base case)'!$G$105:$G$116,0)))*conv_2026*AA$7</f>
        <v>0</v>
      </c>
      <c r="AB19" s="28">
        <f>(INDEX('Option1 (base case)'!AB$105:AB$116, MATCH($D19, 'Option1 (base case)'!$G$105:$G$116,0)))*conv_2026*AB$7</f>
        <v>0</v>
      </c>
      <c r="AC19" s="28">
        <f>(INDEX('Option1 (base case)'!AC$105:AC$116, MATCH($D19, 'Option1 (base case)'!$G$105:$G$116,0)))*conv_2026*AC$7</f>
        <v>0</v>
      </c>
      <c r="AD19" s="28">
        <f>(INDEX('Option1 (base case)'!AD$105:AD$116, MATCH($D19, 'Option1 (base case)'!$G$105:$G$116,0)))*conv_2026*AD$7</f>
        <v>0</v>
      </c>
      <c r="AE19" s="28">
        <f>(INDEX('Option1 (base case)'!AE$105:AE$116, MATCH($D19, 'Option1 (base case)'!$G$105:$G$116,0)))*conv_2026*AE$7</f>
        <v>0</v>
      </c>
      <c r="AF19" s="28">
        <f>(INDEX('Option1 (base case)'!AF$105:AF$116, MATCH($D19, 'Option1 (base case)'!$G$105:$G$116,0)))*conv_2026*AF$7</f>
        <v>0</v>
      </c>
      <c r="AG19" s="28">
        <f>(INDEX('Option1 (base case)'!AG$105:AG$116, MATCH($D19, 'Option1 (base case)'!$G$105:$G$116,0)))*conv_2026*AG$7</f>
        <v>0</v>
      </c>
      <c r="AH19" s="6"/>
      <c r="AI19" s="6"/>
    </row>
    <row r="20" spans="1:35" s="2" customFormat="1" x14ac:dyDescent="0.2">
      <c r="A20" s="222" t="s">
        <v>105</v>
      </c>
      <c r="B20" s="222" t="str">
        <f>'Option1 (base case)'!A113</f>
        <v>sens5</v>
      </c>
      <c r="C20" s="222" t="str">
        <f>'Option1 (base case)'!C113</f>
        <v>Capex 10% higher &amp; Total benefits 10% lower</v>
      </c>
      <c r="D20" s="222" t="str">
        <f t="shared" si="0"/>
        <v>OPTION 1 (base case)sens5</v>
      </c>
      <c r="E20" s="214"/>
      <c r="F20" s="28">
        <f t="shared" si="1"/>
        <v>0</v>
      </c>
      <c r="G20" s="6"/>
      <c r="H20" s="28">
        <f>(INDEX('Option1 (base case)'!H$105:H$116, MATCH($D20, 'Option1 (base case)'!$G$105:$G$116,0)))*conv_2026*H$7</f>
        <v>0</v>
      </c>
      <c r="I20" s="28">
        <f>(INDEX('Option1 (base case)'!I$105:I$116, MATCH($D20, 'Option1 (base case)'!$G$105:$G$116,0)))*conv_2026*I$7</f>
        <v>0</v>
      </c>
      <c r="J20" s="28">
        <f>(INDEX('Option1 (base case)'!J$105:J$116, MATCH($D20, 'Option1 (base case)'!$G$105:$G$116,0)))*conv_2026*J$7</f>
        <v>0</v>
      </c>
      <c r="K20" s="28">
        <f>(INDEX('Option1 (base case)'!K$105:K$116, MATCH($D20, 'Option1 (base case)'!$G$105:$G$116,0)))*conv_2026*K$7</f>
        <v>0</v>
      </c>
      <c r="L20" s="28">
        <f>(INDEX('Option1 (base case)'!L$105:L$116, MATCH($D20, 'Option1 (base case)'!$G$105:$G$116,0)))*conv_2026*L$7</f>
        <v>0</v>
      </c>
      <c r="M20" s="28">
        <f>(INDEX('Option1 (base case)'!M$105:M$116, MATCH($D20, 'Option1 (base case)'!$G$105:$G$116,0)))*conv_2026*M$7</f>
        <v>0</v>
      </c>
      <c r="N20" s="28">
        <f>(INDEX('Option1 (base case)'!N$105:N$116, MATCH($D20, 'Option1 (base case)'!$G$105:$G$116,0)))*conv_2026*N$7</f>
        <v>0</v>
      </c>
      <c r="O20" s="28">
        <f>(INDEX('Option1 (base case)'!O$105:O$116, MATCH($D20, 'Option1 (base case)'!$G$105:$G$116,0)))*conv_2026*O$7</f>
        <v>0</v>
      </c>
      <c r="P20" s="28">
        <f>(INDEX('Option1 (base case)'!P$105:P$116, MATCH($D20, 'Option1 (base case)'!$G$105:$G$116,0)))*conv_2026*P$7</f>
        <v>0</v>
      </c>
      <c r="Q20" s="28">
        <f>(INDEX('Option1 (base case)'!Q$105:Q$116, MATCH($D20, 'Option1 (base case)'!$G$105:$G$116,0)))*conv_2026*Q$7</f>
        <v>0</v>
      </c>
      <c r="R20" s="28">
        <f>(INDEX('Option1 (base case)'!R$105:R$116, MATCH($D20, 'Option1 (base case)'!$G$105:$G$116,0)))*conv_2026*R$7</f>
        <v>0</v>
      </c>
      <c r="S20" s="28">
        <f>(INDEX('Option1 (base case)'!S$105:S$116, MATCH($D20, 'Option1 (base case)'!$G$105:$G$116,0)))*conv_2026*S$7</f>
        <v>0</v>
      </c>
      <c r="T20" s="28">
        <f>(INDEX('Option1 (base case)'!T$105:T$116, MATCH($D20, 'Option1 (base case)'!$G$105:$G$116,0)))*conv_2026*T$7</f>
        <v>0</v>
      </c>
      <c r="U20" s="28">
        <f>(INDEX('Option1 (base case)'!U$105:U$116, MATCH($D20, 'Option1 (base case)'!$G$105:$G$116,0)))*conv_2026*U$7</f>
        <v>0</v>
      </c>
      <c r="V20" s="28">
        <f>(INDEX('Option1 (base case)'!V$105:V$116, MATCH($D20, 'Option1 (base case)'!$G$105:$G$116,0)))*conv_2026*V$7</f>
        <v>0</v>
      </c>
      <c r="W20" s="28">
        <f>(INDEX('Option1 (base case)'!W$105:W$116, MATCH($D20, 'Option1 (base case)'!$G$105:$G$116,0)))*conv_2026*W$7</f>
        <v>0</v>
      </c>
      <c r="X20" s="28">
        <f>(INDEX('Option1 (base case)'!X$105:X$116, MATCH($D20, 'Option1 (base case)'!$G$105:$G$116,0)))*conv_2026*X$7</f>
        <v>0</v>
      </c>
      <c r="Y20" s="28">
        <f>(INDEX('Option1 (base case)'!Y$105:Y$116, MATCH($D20, 'Option1 (base case)'!$G$105:$G$116,0)))*conv_2026*Y$7</f>
        <v>0</v>
      </c>
      <c r="Z20" s="28">
        <f>(INDEX('Option1 (base case)'!Z$105:Z$116, MATCH($D20, 'Option1 (base case)'!$G$105:$G$116,0)))*conv_2026*Z$7</f>
        <v>0</v>
      </c>
      <c r="AA20" s="28">
        <f>(INDEX('Option1 (base case)'!AA$105:AA$116, MATCH($D20, 'Option1 (base case)'!$G$105:$G$116,0)))*conv_2026*AA$7</f>
        <v>0</v>
      </c>
      <c r="AB20" s="28">
        <f>(INDEX('Option1 (base case)'!AB$105:AB$116, MATCH($D20, 'Option1 (base case)'!$G$105:$G$116,0)))*conv_2026*AB$7</f>
        <v>0</v>
      </c>
      <c r="AC20" s="28">
        <f>(INDEX('Option1 (base case)'!AC$105:AC$116, MATCH($D20, 'Option1 (base case)'!$G$105:$G$116,0)))*conv_2026*AC$7</f>
        <v>0</v>
      </c>
      <c r="AD20" s="28">
        <f>(INDEX('Option1 (base case)'!AD$105:AD$116, MATCH($D20, 'Option1 (base case)'!$G$105:$G$116,0)))*conv_2026*AD$7</f>
        <v>0</v>
      </c>
      <c r="AE20" s="28">
        <f>(INDEX('Option1 (base case)'!AE$105:AE$116, MATCH($D20, 'Option1 (base case)'!$G$105:$G$116,0)))*conv_2026*AE$7</f>
        <v>0</v>
      </c>
      <c r="AF20" s="28">
        <f>(INDEX('Option1 (base case)'!AF$105:AF$116, MATCH($D20, 'Option1 (base case)'!$G$105:$G$116,0)))*conv_2026*AF$7</f>
        <v>0</v>
      </c>
      <c r="AG20" s="28">
        <f>(INDEX('Option1 (base case)'!AG$105:AG$116, MATCH($D20, 'Option1 (base case)'!$G$105:$G$116,0)))*conv_2026*AG$7</f>
        <v>0</v>
      </c>
      <c r="AH20" s="6"/>
      <c r="AI20" s="6"/>
    </row>
    <row r="21" spans="1:35" s="2" customFormat="1" x14ac:dyDescent="0.2">
      <c r="A21" s="222" t="s">
        <v>105</v>
      </c>
      <c r="B21" s="222" t="str">
        <f>'Option1 (base case)'!A114</f>
        <v>sens</v>
      </c>
      <c r="C21" s="222">
        <f>'Option1 (base case)'!C114</f>
        <v>0</v>
      </c>
      <c r="D21" s="222" t="str">
        <f t="shared" si="0"/>
        <v>OPTION 1 (base case)sens</v>
      </c>
      <c r="E21" s="214"/>
      <c r="F21" s="28">
        <f t="shared" si="1"/>
        <v>0</v>
      </c>
      <c r="G21" s="6"/>
      <c r="H21" s="28">
        <f>(INDEX('Option1 (base case)'!H$105:H$116, MATCH($D21, 'Option1 (base case)'!$G$105:$G$116,0)))*conv_2026*H$7</f>
        <v>0</v>
      </c>
      <c r="I21" s="28">
        <f>(INDEX('Option1 (base case)'!I$105:I$116, MATCH($D21, 'Option1 (base case)'!$G$105:$G$116,0)))*conv_2026*I$7</f>
        <v>0</v>
      </c>
      <c r="J21" s="28">
        <f>(INDEX('Option1 (base case)'!J$105:J$116, MATCH($D21, 'Option1 (base case)'!$G$105:$G$116,0)))*conv_2026*J$7</f>
        <v>0</v>
      </c>
      <c r="K21" s="28">
        <f>(INDEX('Option1 (base case)'!K$105:K$116, MATCH($D21, 'Option1 (base case)'!$G$105:$G$116,0)))*conv_2026*K$7</f>
        <v>0</v>
      </c>
      <c r="L21" s="28">
        <f>(INDEX('Option1 (base case)'!L$105:L$116, MATCH($D21, 'Option1 (base case)'!$G$105:$G$116,0)))*conv_2026*L$7</f>
        <v>0</v>
      </c>
      <c r="M21" s="28">
        <f>(INDEX('Option1 (base case)'!M$105:M$116, MATCH($D21, 'Option1 (base case)'!$G$105:$G$116,0)))*conv_2026*M$7</f>
        <v>0</v>
      </c>
      <c r="N21" s="28">
        <f>(INDEX('Option1 (base case)'!N$105:N$116, MATCH($D21, 'Option1 (base case)'!$G$105:$G$116,0)))*conv_2026*N$7</f>
        <v>0</v>
      </c>
      <c r="O21" s="28">
        <f>(INDEX('Option1 (base case)'!O$105:O$116, MATCH($D21, 'Option1 (base case)'!$G$105:$G$116,0)))*conv_2026*O$7</f>
        <v>0</v>
      </c>
      <c r="P21" s="28">
        <f>(INDEX('Option1 (base case)'!P$105:P$116, MATCH($D21, 'Option1 (base case)'!$G$105:$G$116,0)))*conv_2026*P$7</f>
        <v>0</v>
      </c>
      <c r="Q21" s="28">
        <f>(INDEX('Option1 (base case)'!Q$105:Q$116, MATCH($D21, 'Option1 (base case)'!$G$105:$G$116,0)))*conv_2026*Q$7</f>
        <v>0</v>
      </c>
      <c r="R21" s="28">
        <f>(INDEX('Option1 (base case)'!R$105:R$116, MATCH($D21, 'Option1 (base case)'!$G$105:$G$116,0)))*conv_2026*R$7</f>
        <v>0</v>
      </c>
      <c r="S21" s="28">
        <f>(INDEX('Option1 (base case)'!S$105:S$116, MATCH($D21, 'Option1 (base case)'!$G$105:$G$116,0)))*conv_2026*S$7</f>
        <v>0</v>
      </c>
      <c r="T21" s="28">
        <f>(INDEX('Option1 (base case)'!T$105:T$116, MATCH($D21, 'Option1 (base case)'!$G$105:$G$116,0)))*conv_2026*T$7</f>
        <v>0</v>
      </c>
      <c r="U21" s="28">
        <f>(INDEX('Option1 (base case)'!U$105:U$116, MATCH($D21, 'Option1 (base case)'!$G$105:$G$116,0)))*conv_2026*U$7</f>
        <v>0</v>
      </c>
      <c r="V21" s="28">
        <f>(INDEX('Option1 (base case)'!V$105:V$116, MATCH($D21, 'Option1 (base case)'!$G$105:$G$116,0)))*conv_2026*V$7</f>
        <v>0</v>
      </c>
      <c r="W21" s="28">
        <f>(INDEX('Option1 (base case)'!W$105:W$116, MATCH($D21, 'Option1 (base case)'!$G$105:$G$116,0)))*conv_2026*W$7</f>
        <v>0</v>
      </c>
      <c r="X21" s="28">
        <f>(INDEX('Option1 (base case)'!X$105:X$116, MATCH($D21, 'Option1 (base case)'!$G$105:$G$116,0)))*conv_2026*X$7</f>
        <v>0</v>
      </c>
      <c r="Y21" s="28">
        <f>(INDEX('Option1 (base case)'!Y$105:Y$116, MATCH($D21, 'Option1 (base case)'!$G$105:$G$116,0)))*conv_2026*Y$7</f>
        <v>0</v>
      </c>
      <c r="Z21" s="28">
        <f>(INDEX('Option1 (base case)'!Z$105:Z$116, MATCH($D21, 'Option1 (base case)'!$G$105:$G$116,0)))*conv_2026*Z$7</f>
        <v>0</v>
      </c>
      <c r="AA21" s="28">
        <f>(INDEX('Option1 (base case)'!AA$105:AA$116, MATCH($D21, 'Option1 (base case)'!$G$105:$G$116,0)))*conv_2026*AA$7</f>
        <v>0</v>
      </c>
      <c r="AB21" s="28">
        <f>(INDEX('Option1 (base case)'!AB$105:AB$116, MATCH($D21, 'Option1 (base case)'!$G$105:$G$116,0)))*conv_2026*AB$7</f>
        <v>0</v>
      </c>
      <c r="AC21" s="28">
        <f>(INDEX('Option1 (base case)'!AC$105:AC$116, MATCH($D21, 'Option1 (base case)'!$G$105:$G$116,0)))*conv_2026*AC$7</f>
        <v>0</v>
      </c>
      <c r="AD21" s="28">
        <f>(INDEX('Option1 (base case)'!AD$105:AD$116, MATCH($D21, 'Option1 (base case)'!$G$105:$G$116,0)))*conv_2026*AD$7</f>
        <v>0</v>
      </c>
      <c r="AE21" s="28">
        <f>(INDEX('Option1 (base case)'!AE$105:AE$116, MATCH($D21, 'Option1 (base case)'!$G$105:$G$116,0)))*conv_2026*AE$7</f>
        <v>0</v>
      </c>
      <c r="AF21" s="28">
        <f>(INDEX('Option1 (base case)'!AF$105:AF$116, MATCH($D21, 'Option1 (base case)'!$G$105:$G$116,0)))*conv_2026*AF$7</f>
        <v>0</v>
      </c>
      <c r="AG21" s="28">
        <f>(INDEX('Option1 (base case)'!AG$105:AG$116, MATCH($D21, 'Option1 (base case)'!$G$105:$G$116,0)))*conv_2026*AG$7</f>
        <v>0</v>
      </c>
      <c r="AH21" s="6"/>
      <c r="AI21" s="6"/>
    </row>
    <row r="22" spans="1:35" s="2" customFormat="1" x14ac:dyDescent="0.2">
      <c r="A22" s="222" t="s">
        <v>105</v>
      </c>
      <c r="B22" s="222" t="str">
        <f>'Option1 (base case)'!A115</f>
        <v>sens</v>
      </c>
      <c r="C22" s="222">
        <f>'Option1 (base case)'!C115</f>
        <v>0</v>
      </c>
      <c r="D22" s="222" t="str">
        <f t="shared" si="0"/>
        <v>OPTION 1 (base case)sens</v>
      </c>
      <c r="E22" s="214"/>
      <c r="F22" s="28">
        <f t="shared" si="1"/>
        <v>0</v>
      </c>
      <c r="G22" s="6"/>
      <c r="H22" s="28">
        <f>(INDEX('Option1 (base case)'!H$105:H$116, MATCH($D22, 'Option1 (base case)'!$G$105:$G$116,0)))*conv_2026*H$7</f>
        <v>0</v>
      </c>
      <c r="I22" s="28">
        <f>(INDEX('Option1 (base case)'!I$105:I$116, MATCH($D22, 'Option1 (base case)'!$G$105:$G$116,0)))*conv_2026*I$7</f>
        <v>0</v>
      </c>
      <c r="J22" s="28">
        <f>(INDEX('Option1 (base case)'!J$105:J$116, MATCH($D22, 'Option1 (base case)'!$G$105:$G$116,0)))*conv_2026*J$7</f>
        <v>0</v>
      </c>
      <c r="K22" s="28">
        <f>(INDEX('Option1 (base case)'!K$105:K$116, MATCH($D22, 'Option1 (base case)'!$G$105:$G$116,0)))*conv_2026*K$7</f>
        <v>0</v>
      </c>
      <c r="L22" s="28">
        <f>(INDEX('Option1 (base case)'!L$105:L$116, MATCH($D22, 'Option1 (base case)'!$G$105:$G$116,0)))*conv_2026*L$7</f>
        <v>0</v>
      </c>
      <c r="M22" s="28">
        <f>(INDEX('Option1 (base case)'!M$105:M$116, MATCH($D22, 'Option1 (base case)'!$G$105:$G$116,0)))*conv_2026*M$7</f>
        <v>0</v>
      </c>
      <c r="N22" s="28">
        <f>(INDEX('Option1 (base case)'!N$105:N$116, MATCH($D22, 'Option1 (base case)'!$G$105:$G$116,0)))*conv_2026*N$7</f>
        <v>0</v>
      </c>
      <c r="O22" s="28">
        <f>(INDEX('Option1 (base case)'!O$105:O$116, MATCH($D22, 'Option1 (base case)'!$G$105:$G$116,0)))*conv_2026*O$7</f>
        <v>0</v>
      </c>
      <c r="P22" s="28">
        <f>(INDEX('Option1 (base case)'!P$105:P$116, MATCH($D22, 'Option1 (base case)'!$G$105:$G$116,0)))*conv_2026*P$7</f>
        <v>0</v>
      </c>
      <c r="Q22" s="28">
        <f>(INDEX('Option1 (base case)'!Q$105:Q$116, MATCH($D22, 'Option1 (base case)'!$G$105:$G$116,0)))*conv_2026*Q$7</f>
        <v>0</v>
      </c>
      <c r="R22" s="28">
        <f>(INDEX('Option1 (base case)'!R$105:R$116, MATCH($D22, 'Option1 (base case)'!$G$105:$G$116,0)))*conv_2026*R$7</f>
        <v>0</v>
      </c>
      <c r="S22" s="28">
        <f>(INDEX('Option1 (base case)'!S$105:S$116, MATCH($D22, 'Option1 (base case)'!$G$105:$G$116,0)))*conv_2026*S$7</f>
        <v>0</v>
      </c>
      <c r="T22" s="28">
        <f>(INDEX('Option1 (base case)'!T$105:T$116, MATCH($D22, 'Option1 (base case)'!$G$105:$G$116,0)))*conv_2026*T$7</f>
        <v>0</v>
      </c>
      <c r="U22" s="28">
        <f>(INDEX('Option1 (base case)'!U$105:U$116, MATCH($D22, 'Option1 (base case)'!$G$105:$G$116,0)))*conv_2026*U$7</f>
        <v>0</v>
      </c>
      <c r="V22" s="28">
        <f>(INDEX('Option1 (base case)'!V$105:V$116, MATCH($D22, 'Option1 (base case)'!$G$105:$G$116,0)))*conv_2026*V$7</f>
        <v>0</v>
      </c>
      <c r="W22" s="28">
        <f>(INDEX('Option1 (base case)'!W$105:W$116, MATCH($D22, 'Option1 (base case)'!$G$105:$G$116,0)))*conv_2026*W$7</f>
        <v>0</v>
      </c>
      <c r="X22" s="28">
        <f>(INDEX('Option1 (base case)'!X$105:X$116, MATCH($D22, 'Option1 (base case)'!$G$105:$G$116,0)))*conv_2026*X$7</f>
        <v>0</v>
      </c>
      <c r="Y22" s="28">
        <f>(INDEX('Option1 (base case)'!Y$105:Y$116, MATCH($D22, 'Option1 (base case)'!$G$105:$G$116,0)))*conv_2026*Y$7</f>
        <v>0</v>
      </c>
      <c r="Z22" s="28">
        <f>(INDEX('Option1 (base case)'!Z$105:Z$116, MATCH($D22, 'Option1 (base case)'!$G$105:$G$116,0)))*conv_2026*Z$7</f>
        <v>0</v>
      </c>
      <c r="AA22" s="28">
        <f>(INDEX('Option1 (base case)'!AA$105:AA$116, MATCH($D22, 'Option1 (base case)'!$G$105:$G$116,0)))*conv_2026*AA$7</f>
        <v>0</v>
      </c>
      <c r="AB22" s="28">
        <f>(INDEX('Option1 (base case)'!AB$105:AB$116, MATCH($D22, 'Option1 (base case)'!$G$105:$G$116,0)))*conv_2026*AB$7</f>
        <v>0</v>
      </c>
      <c r="AC22" s="28">
        <f>(INDEX('Option1 (base case)'!AC$105:AC$116, MATCH($D22, 'Option1 (base case)'!$G$105:$G$116,0)))*conv_2026*AC$7</f>
        <v>0</v>
      </c>
      <c r="AD22" s="28">
        <f>(INDEX('Option1 (base case)'!AD$105:AD$116, MATCH($D22, 'Option1 (base case)'!$G$105:$G$116,0)))*conv_2026*AD$7</f>
        <v>0</v>
      </c>
      <c r="AE22" s="28">
        <f>(INDEX('Option1 (base case)'!AE$105:AE$116, MATCH($D22, 'Option1 (base case)'!$G$105:$G$116,0)))*conv_2026*AE$7</f>
        <v>0</v>
      </c>
      <c r="AF22" s="28">
        <f>(INDEX('Option1 (base case)'!AF$105:AF$116, MATCH($D22, 'Option1 (base case)'!$G$105:$G$116,0)))*conv_2026*AF$7</f>
        <v>0</v>
      </c>
      <c r="AG22" s="28">
        <f>(INDEX('Option1 (base case)'!AG$105:AG$116, MATCH($D22, 'Option1 (base case)'!$G$105:$G$116,0)))*conv_2026*AG$7</f>
        <v>0</v>
      </c>
      <c r="AH22" s="6"/>
      <c r="AI22" s="6"/>
    </row>
    <row r="23" spans="1:35" s="2" customFormat="1" x14ac:dyDescent="0.2">
      <c r="A23" s="222" t="s">
        <v>105</v>
      </c>
      <c r="B23" s="222" t="str">
        <f>'Option1 (base case)'!A116</f>
        <v>sens</v>
      </c>
      <c r="C23" s="222">
        <f>'Option1 (base case)'!C116</f>
        <v>0</v>
      </c>
      <c r="D23" s="222" t="str">
        <f t="shared" si="0"/>
        <v>OPTION 1 (base case)sens</v>
      </c>
      <c r="E23" s="214"/>
      <c r="F23" s="28">
        <f t="shared" si="1"/>
        <v>0</v>
      </c>
      <c r="G23" s="6"/>
      <c r="H23" s="28">
        <f>(INDEX('Option1 (base case)'!H$105:H$116, MATCH($D23, 'Option1 (base case)'!$G$105:$G$116,0)))*conv_2026*H$7</f>
        <v>0</v>
      </c>
      <c r="I23" s="28">
        <f>(INDEX('Option1 (base case)'!I$105:I$116, MATCH($D23, 'Option1 (base case)'!$G$105:$G$116,0)))*conv_2026*I$7</f>
        <v>0</v>
      </c>
      <c r="J23" s="28">
        <f>(INDEX('Option1 (base case)'!J$105:J$116, MATCH($D23, 'Option1 (base case)'!$G$105:$G$116,0)))*conv_2026*J$7</f>
        <v>0</v>
      </c>
      <c r="K23" s="28">
        <f>(INDEX('Option1 (base case)'!K$105:K$116, MATCH($D23, 'Option1 (base case)'!$G$105:$G$116,0)))*conv_2026*K$7</f>
        <v>0</v>
      </c>
      <c r="L23" s="28">
        <f>(INDEX('Option1 (base case)'!L$105:L$116, MATCH($D23, 'Option1 (base case)'!$G$105:$G$116,0)))*conv_2026*L$7</f>
        <v>0</v>
      </c>
      <c r="M23" s="28">
        <f>(INDEX('Option1 (base case)'!M$105:M$116, MATCH($D23, 'Option1 (base case)'!$G$105:$G$116,0)))*conv_2026*M$7</f>
        <v>0</v>
      </c>
      <c r="N23" s="28">
        <f>(INDEX('Option1 (base case)'!N$105:N$116, MATCH($D23, 'Option1 (base case)'!$G$105:$G$116,0)))*conv_2026*N$7</f>
        <v>0</v>
      </c>
      <c r="O23" s="28">
        <f>(INDEX('Option1 (base case)'!O$105:O$116, MATCH($D23, 'Option1 (base case)'!$G$105:$G$116,0)))*conv_2026*O$7</f>
        <v>0</v>
      </c>
      <c r="P23" s="28">
        <f>(INDEX('Option1 (base case)'!P$105:P$116, MATCH($D23, 'Option1 (base case)'!$G$105:$G$116,0)))*conv_2026*P$7</f>
        <v>0</v>
      </c>
      <c r="Q23" s="28">
        <f>(INDEX('Option1 (base case)'!Q$105:Q$116, MATCH($D23, 'Option1 (base case)'!$G$105:$G$116,0)))*conv_2026*Q$7</f>
        <v>0</v>
      </c>
      <c r="R23" s="28">
        <f>(INDEX('Option1 (base case)'!R$105:R$116, MATCH($D23, 'Option1 (base case)'!$G$105:$G$116,0)))*conv_2026*R$7</f>
        <v>0</v>
      </c>
      <c r="S23" s="28">
        <f>(INDEX('Option1 (base case)'!S$105:S$116, MATCH($D23, 'Option1 (base case)'!$G$105:$G$116,0)))*conv_2026*S$7</f>
        <v>0</v>
      </c>
      <c r="T23" s="28">
        <f>(INDEX('Option1 (base case)'!T$105:T$116, MATCH($D23, 'Option1 (base case)'!$G$105:$G$116,0)))*conv_2026*T$7</f>
        <v>0</v>
      </c>
      <c r="U23" s="28">
        <f>(INDEX('Option1 (base case)'!U$105:U$116, MATCH($D23, 'Option1 (base case)'!$G$105:$G$116,0)))*conv_2026*U$7</f>
        <v>0</v>
      </c>
      <c r="V23" s="28">
        <f>(INDEX('Option1 (base case)'!V$105:V$116, MATCH($D23, 'Option1 (base case)'!$G$105:$G$116,0)))*conv_2026*V$7</f>
        <v>0</v>
      </c>
      <c r="W23" s="28">
        <f>(INDEX('Option1 (base case)'!W$105:W$116, MATCH($D23, 'Option1 (base case)'!$G$105:$G$116,0)))*conv_2026*W$7</f>
        <v>0</v>
      </c>
      <c r="X23" s="28">
        <f>(INDEX('Option1 (base case)'!X$105:X$116, MATCH($D23, 'Option1 (base case)'!$G$105:$G$116,0)))*conv_2026*X$7</f>
        <v>0</v>
      </c>
      <c r="Y23" s="28">
        <f>(INDEX('Option1 (base case)'!Y$105:Y$116, MATCH($D23, 'Option1 (base case)'!$G$105:$G$116,0)))*conv_2026*Y$7</f>
        <v>0</v>
      </c>
      <c r="Z23" s="28">
        <f>(INDEX('Option1 (base case)'!Z$105:Z$116, MATCH($D23, 'Option1 (base case)'!$G$105:$G$116,0)))*conv_2026*Z$7</f>
        <v>0</v>
      </c>
      <c r="AA23" s="28">
        <f>(INDEX('Option1 (base case)'!AA$105:AA$116, MATCH($D23, 'Option1 (base case)'!$G$105:$G$116,0)))*conv_2026*AA$7</f>
        <v>0</v>
      </c>
      <c r="AB23" s="28">
        <f>(INDEX('Option1 (base case)'!AB$105:AB$116, MATCH($D23, 'Option1 (base case)'!$G$105:$G$116,0)))*conv_2026*AB$7</f>
        <v>0</v>
      </c>
      <c r="AC23" s="28">
        <f>(INDEX('Option1 (base case)'!AC$105:AC$116, MATCH($D23, 'Option1 (base case)'!$G$105:$G$116,0)))*conv_2026*AC$7</f>
        <v>0</v>
      </c>
      <c r="AD23" s="28">
        <f>(INDEX('Option1 (base case)'!AD$105:AD$116, MATCH($D23, 'Option1 (base case)'!$G$105:$G$116,0)))*conv_2026*AD$7</f>
        <v>0</v>
      </c>
      <c r="AE23" s="28">
        <f>(INDEX('Option1 (base case)'!AE$105:AE$116, MATCH($D23, 'Option1 (base case)'!$G$105:$G$116,0)))*conv_2026*AE$7</f>
        <v>0</v>
      </c>
      <c r="AF23" s="28">
        <f>(INDEX('Option1 (base case)'!AF$105:AF$116, MATCH($D23, 'Option1 (base case)'!$G$105:$G$116,0)))*conv_2026*AF$7</f>
        <v>0</v>
      </c>
      <c r="AG23" s="28">
        <f>(INDEX('Option1 (base case)'!AG$105:AG$116, MATCH($D23, 'Option1 (base case)'!$G$105:$G$116,0)))*conv_2026*AG$7</f>
        <v>0</v>
      </c>
      <c r="AH23" s="6"/>
      <c r="AI23" s="6"/>
    </row>
    <row r="24" spans="1:35" s="2" customFormat="1" x14ac:dyDescent="0.2">
      <c r="A24" s="216"/>
      <c r="B24" s="216"/>
      <c r="C24" s="216"/>
      <c r="D24" s="216"/>
      <c r="E24" s="216"/>
      <c r="F24" s="216"/>
      <c r="G24" s="217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x14ac:dyDescent="0.2">
      <c r="A25" s="216"/>
      <c r="B25" s="216"/>
      <c r="C25" s="216"/>
      <c r="D25" s="216"/>
      <c r="E25" s="216"/>
      <c r="F25" s="216"/>
      <c r="G25" s="217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x14ac:dyDescent="0.2">
      <c r="A26" s="216"/>
      <c r="B26" s="216"/>
      <c r="C26" s="216"/>
      <c r="D26" s="216"/>
      <c r="E26" s="216"/>
      <c r="F26" s="216"/>
      <c r="G26" s="217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x14ac:dyDescent="0.2">
      <c r="A27" s="216"/>
      <c r="B27" s="216"/>
      <c r="C27" s="216"/>
      <c r="D27" s="216"/>
      <c r="E27" s="216"/>
      <c r="F27" s="216"/>
      <c r="G27" s="217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x14ac:dyDescent="0.2">
      <c r="A28" s="222" t="s">
        <v>166</v>
      </c>
      <c r="B28" s="222" t="s">
        <v>22</v>
      </c>
      <c r="C28" s="222" t="s">
        <v>147</v>
      </c>
      <c r="D28" s="222" t="str">
        <f>A28&amp;B28</f>
        <v>Option 2NPV</v>
      </c>
      <c r="E28" s="214"/>
      <c r="F28" s="28">
        <f>SUMPRODUCT($H28:$AG28, $H$5:$AG$5)</f>
        <v>11366808.158957666</v>
      </c>
      <c r="G28" s="217"/>
      <c r="H28" s="28">
        <f>(INDEX(Option2!H$105:H$116, MATCH($D28, Option2!$G$105:$G$116,0)))*conv_2026*H$7</f>
        <v>0</v>
      </c>
      <c r="I28" s="28">
        <f>(INDEX(Option2!I$105:I$116, MATCH($D28, Option2!$G$105:$G$116,0)))*conv_2026*I$7</f>
        <v>0</v>
      </c>
      <c r="J28" s="28">
        <f>(INDEX(Option2!J$105:J$116, MATCH($D28, Option2!$G$105:$G$116,0)))*conv_2026*J$7</f>
        <v>0</v>
      </c>
      <c r="K28" s="28">
        <f>(INDEX(Option2!K$105:K$116, MATCH($D28, Option2!$G$105:$G$116,0)))*conv_2026*K$7</f>
        <v>0</v>
      </c>
      <c r="L28" s="28">
        <f>(INDEX(Option2!L$105:L$116, MATCH($D28, Option2!$G$105:$G$116,0)))*conv_2026*L$7</f>
        <v>-101065.36777772193</v>
      </c>
      <c r="M28" s="28">
        <f>(INDEX(Option2!M$105:M$116, MATCH($D28, Option2!$G$105:$G$116,0)))*conv_2026*M$7</f>
        <v>853438.68770461658</v>
      </c>
      <c r="N28" s="28">
        <f>(INDEX(Option2!N$105:N$116, MATCH($D28, Option2!$G$105:$G$116,0)))*conv_2026*N$7</f>
        <v>869213.01697499224</v>
      </c>
      <c r="O28" s="28">
        <f>(INDEX(Option2!O$105:O$116, MATCH($D28, Option2!$G$105:$G$116,0)))*conv_2026*O$7</f>
        <v>904947.31469186221</v>
      </c>
      <c r="P28" s="28">
        <f>(INDEX(Option2!P$105:P$116, MATCH($D28, Option2!$G$105:$G$116,0)))*conv_2026*P$7</f>
        <v>940944.82329320686</v>
      </c>
      <c r="Q28" s="28">
        <f>(INDEX(Option2!Q$105:Q$116, MATCH($D28, Option2!$G$105:$G$116,0)))*conv_2026*Q$7</f>
        <v>963652.51835686644</v>
      </c>
      <c r="R28" s="28">
        <f>(INDEX(Option2!R$105:R$116, MATCH($D28, Option2!$G$105:$G$116,0)))*conv_2026*R$7</f>
        <v>971244.43398212618</v>
      </c>
      <c r="S28" s="28">
        <f>(INDEX(Option2!S$105:S$116, MATCH($D28, Option2!$G$105:$G$116,0)))*conv_2026*S$7</f>
        <v>979204.0131909604</v>
      </c>
      <c r="T28" s="28">
        <f>(INDEX(Option2!T$105:T$116, MATCH($D28, Option2!$G$105:$G$116,0)))*conv_2026*T$7</f>
        <v>987451.2010186204</v>
      </c>
      <c r="U28" s="28">
        <f>(INDEX(Option2!U$105:U$116, MATCH($D28, Option2!$G$105:$G$116,0)))*conv_2026*U$7</f>
        <v>995928.98368248623</v>
      </c>
      <c r="V28" s="28">
        <f>(INDEX(Option2!V$105:V$116, MATCH($D28, Option2!$G$105:$G$116,0)))*conv_2026*V$7</f>
        <v>1004594.9543484186</v>
      </c>
      <c r="W28" s="28">
        <f>(INDEX(Option2!W$105:W$116, MATCH($D28, Option2!$G$105:$G$116,0)))*conv_2026*W$7</f>
        <v>1013416.7597146628</v>
      </c>
      <c r="X28" s="28">
        <f>(INDEX(Option2!X$105:X$116, MATCH($D28, Option2!$G$105:$G$116,0)))*conv_2026*X$7</f>
        <v>1022368.9781274741</v>
      </c>
      <c r="Y28" s="28">
        <f>(INDEX(Option2!Y$105:Y$116, MATCH($D28, Option2!$G$105:$G$116,0)))*conv_2026*Y$7</f>
        <v>1031431.2735094439</v>
      </c>
      <c r="Z28" s="28">
        <f>(INDEX(Option2!Z$105:Z$116, MATCH($D28, Option2!$G$105:$G$116,0)))*conv_2026*Z$7</f>
        <v>1040587.1764635801</v>
      </c>
      <c r="AA28" s="28">
        <f>(INDEX(Option2!AA$105:AA$116, MATCH($D28, Option2!$G$105:$G$116,0)))*conv_2026*AA$7</f>
        <v>1049823.0837519162</v>
      </c>
      <c r="AB28" s="28">
        <f>(INDEX(Option2!AB$105:AB$116, MATCH($D28, Option2!$G$105:$G$116,0)))*conv_2026*AB$7</f>
        <v>1059127.6688070095</v>
      </c>
      <c r="AC28" s="28">
        <f>(INDEX(Option2!AC$105:AC$116, MATCH($D28, Option2!$G$105:$G$116,0)))*conv_2026*AC$7</f>
        <v>1068491.3645218194</v>
      </c>
      <c r="AD28" s="28">
        <f>(INDEX(Option2!AD$105:AD$116, MATCH($D28, Option2!$G$105:$G$116,0)))*conv_2026*AD$7</f>
        <v>1077906.1390751083</v>
      </c>
      <c r="AE28" s="28">
        <f>(INDEX(Option2!AE$105:AE$116, MATCH($D28, Option2!$G$105:$G$116,0)))*conv_2026*AE$7</f>
        <v>0</v>
      </c>
      <c r="AF28" s="28">
        <f>(INDEX(Option2!AF$105:AF$116, MATCH($D28, Option2!$G$105:$G$116,0)))*conv_2026*AF$7</f>
        <v>0</v>
      </c>
      <c r="AG28" s="28">
        <f>(INDEX(Option2!AG$105:AG$116, MATCH($D28, Option2!$G$105:$G$116,0)))*conv_2026*AG$7</f>
        <v>0</v>
      </c>
    </row>
    <row r="29" spans="1:35" s="2" customFormat="1" x14ac:dyDescent="0.2">
      <c r="A29" s="216"/>
      <c r="B29" s="216"/>
      <c r="C29" s="216"/>
      <c r="D29" s="216"/>
      <c r="E29" s="216"/>
      <c r="F29" s="216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</row>
    <row r="30" spans="1:35" s="2" customFormat="1" x14ac:dyDescent="0.2">
      <c r="A30" s="222" t="s">
        <v>166</v>
      </c>
      <c r="B30" s="222" t="str">
        <f>Option2!A109</f>
        <v>sens1</v>
      </c>
      <c r="C30" s="222" t="str">
        <f>Option2!C109</f>
        <v>Capex 10% higher</v>
      </c>
      <c r="D30" s="222" t="str">
        <f t="shared" ref="D30:D37" si="2">A30&amp;B30</f>
        <v>Option 2sens1</v>
      </c>
      <c r="E30" s="214"/>
      <c r="F30" s="28">
        <f>SUMPRODUCT($H30:$AG30, $H$5:$AG$5)</f>
        <v>11003306.897033541</v>
      </c>
      <c r="G30" s="217"/>
      <c r="H30" s="28">
        <f>IF($B30=0,0, (INDEX(Option2!H$105:H$116, MATCH($D30, Option2!$G$105:$G$116,0)))*conv_2026*H$7)</f>
        <v>0</v>
      </c>
      <c r="I30" s="28">
        <f>IF($B30=0,0, (INDEX(Option2!I$105:I$116, MATCH($D30, Option2!$G$105:$G$116,0)))*conv_2026*I$7)</f>
        <v>0</v>
      </c>
      <c r="J30" s="28">
        <f>IF($B30=0,0, (INDEX(Option2!J$105:J$116, MATCH($D30, Option2!$G$105:$G$116,0)))*conv_2026*J$7)</f>
        <v>0</v>
      </c>
      <c r="K30" s="28">
        <f>IF($B30=0,0, (INDEX(Option2!K$105:K$116, MATCH($D30, Option2!$G$105:$G$116,0)))*conv_2026*K$7)</f>
        <v>0</v>
      </c>
      <c r="L30" s="28">
        <f>IF($B30=0,0, (INDEX(Option2!L$105:L$116, MATCH($D30, Option2!$G$105:$G$116,0)))*conv_2026*L$7)</f>
        <v>-111171.90455549413</v>
      </c>
      <c r="M30" s="28">
        <f>IF($B30=0,0, (INDEX(Option2!M$105:M$116, MATCH($D30, Option2!$G$105:$G$116,0)))*conv_2026*M$7)</f>
        <v>823119.07737130008</v>
      </c>
      <c r="N30" s="28">
        <f>IF($B30=0,0, (INDEX(Option2!N$105:N$116, MATCH($D30, Option2!$G$105:$G$116,0)))*conv_2026*N$7)</f>
        <v>838893.40664167562</v>
      </c>
      <c r="O30" s="28">
        <f>IF($B30=0,0, (INDEX(Option2!O$105:O$116, MATCH($D30, Option2!$G$105:$G$116,0)))*conv_2026*O$7)</f>
        <v>874627.7043585456</v>
      </c>
      <c r="P30" s="28">
        <f>IF($B30=0,0, (INDEX(Option2!P$105:P$116, MATCH($D30, Option2!$G$105:$G$116,0)))*conv_2026*P$7)</f>
        <v>910625.21295989025</v>
      </c>
      <c r="Q30" s="28">
        <f>IF($B30=0,0, (INDEX(Option2!Q$105:Q$116, MATCH($D30, Option2!$G$105:$G$116,0)))*conv_2026*Q$7)</f>
        <v>933332.90802354971</v>
      </c>
      <c r="R30" s="28">
        <f>IF($B30=0,0, (INDEX(Option2!R$105:R$116, MATCH($D30, Option2!$G$105:$G$116,0)))*conv_2026*R$7)</f>
        <v>940924.82364880946</v>
      </c>
      <c r="S30" s="28">
        <f>IF($B30=0,0, (INDEX(Option2!S$105:S$116, MATCH($D30, Option2!$G$105:$G$116,0)))*conv_2026*S$7)</f>
        <v>948884.40285764378</v>
      </c>
      <c r="T30" s="28">
        <f>IF($B30=0,0, (INDEX(Option2!T$105:T$116, MATCH($D30, Option2!$G$105:$G$116,0)))*conv_2026*T$7)</f>
        <v>957131.59068530367</v>
      </c>
      <c r="U30" s="28">
        <f>IF($B30=0,0, (INDEX(Option2!U$105:U$116, MATCH($D30, Option2!$G$105:$G$116,0)))*conv_2026*U$7)</f>
        <v>965609.37334916962</v>
      </c>
      <c r="V30" s="28">
        <f>IF($B30=0,0, (INDEX(Option2!V$105:V$116, MATCH($D30, Option2!$G$105:$G$116,0)))*conv_2026*V$7)</f>
        <v>974275.3440151019</v>
      </c>
      <c r="W30" s="28">
        <f>IF($B30=0,0, (INDEX(Option2!W$105:W$116, MATCH($D30, Option2!$G$105:$G$116,0)))*conv_2026*W$7)</f>
        <v>983097.14938134619</v>
      </c>
      <c r="X30" s="28">
        <f>IF($B30=0,0, (INDEX(Option2!X$105:X$116, MATCH($D30, Option2!$G$105:$G$116,0)))*conv_2026*X$7)</f>
        <v>992049.36779415747</v>
      </c>
      <c r="Y30" s="28">
        <f>IF($B30=0,0, (INDEX(Option2!Y$105:Y$116, MATCH($D30, Option2!$G$105:$G$116,0)))*conv_2026*Y$7)</f>
        <v>1001111.6631761272</v>
      </c>
      <c r="Z30" s="28">
        <f>IF($B30=0,0, (INDEX(Option2!Z$105:Z$116, MATCH($D30, Option2!$G$105:$G$116,0)))*conv_2026*Z$7)</f>
        <v>1010267.5661302635</v>
      </c>
      <c r="AA30" s="28">
        <f>IF($B30=0,0, (INDEX(Option2!AA$105:AA$116, MATCH($D30, Option2!$G$105:$G$116,0)))*conv_2026*AA$7)</f>
        <v>1019503.4734185996</v>
      </c>
      <c r="AB30" s="28">
        <f>IF($B30=0,0, (INDEX(Option2!AB$105:AB$116, MATCH($D30, Option2!$G$105:$G$116,0)))*conv_2026*AB$7)</f>
        <v>1028808.0584736927</v>
      </c>
      <c r="AC30" s="28">
        <f>IF($B30=0,0, (INDEX(Option2!AC$105:AC$116, MATCH($D30, Option2!$G$105:$G$116,0)))*conv_2026*AC$7)</f>
        <v>1038171.7541885027</v>
      </c>
      <c r="AD30" s="28">
        <f>IF($B30=0,0, (INDEX(Option2!AD$105:AD$116, MATCH($D30, Option2!$G$105:$G$116,0)))*conv_2026*AD$7)</f>
        <v>1047586.5287417917</v>
      </c>
      <c r="AE30" s="28">
        <f>IF($B30=0,0, (INDEX(Option2!AE$105:AE$116, MATCH($D30, Option2!$G$105:$G$116,0)))*conv_2026*AE$7)</f>
        <v>0</v>
      </c>
      <c r="AF30" s="28">
        <f>IF($B30=0,0, (INDEX(Option2!AF$105:AF$116, MATCH($D30, Option2!$G$105:$G$116,0)))*conv_2026*AF$7)</f>
        <v>0</v>
      </c>
      <c r="AG30" s="28">
        <f>IF($B30=0,0, (INDEX(Option2!AG$105:AG$116, MATCH($D30, Option2!$G$105:$G$116,0)))*conv_2026*AG$7)</f>
        <v>0</v>
      </c>
    </row>
    <row r="31" spans="1:35" s="6" customFormat="1" x14ac:dyDescent="0.2">
      <c r="A31" s="222" t="s">
        <v>166</v>
      </c>
      <c r="B31" s="222" t="str">
        <f>Option2!A110</f>
        <v>sens2</v>
      </c>
      <c r="C31" s="222" t="str">
        <f>Option2!C110</f>
        <v>Capex 10% lower</v>
      </c>
      <c r="D31" s="222" t="str">
        <f t="shared" si="2"/>
        <v>Option 2sens2</v>
      </c>
      <c r="E31" s="214"/>
      <c r="F31" s="28">
        <f t="shared" ref="F31:F37" si="3">SUMPRODUCT($H31:$AG31, $H$5:$AG$5)</f>
        <v>11730309.420881795</v>
      </c>
      <c r="G31" s="222"/>
      <c r="H31" s="28">
        <f>IF($B31=0,0, (INDEX(Option2!H$105:H$116, MATCH($D31, Option2!$G$105:$G$116,0)))*conv_2026*H$7)</f>
        <v>0</v>
      </c>
      <c r="I31" s="28">
        <f>IF($B31=0,0, (INDEX(Option2!I$105:I$116, MATCH($D31, Option2!$G$105:$G$116,0)))*conv_2026*I$7)</f>
        <v>0</v>
      </c>
      <c r="J31" s="28">
        <f>IF($B31=0,0, (INDEX(Option2!J$105:J$116, MATCH($D31, Option2!$G$105:$G$116,0)))*conv_2026*J$7)</f>
        <v>0</v>
      </c>
      <c r="K31" s="28">
        <f>IF($B31=0,0, (INDEX(Option2!K$105:K$116, MATCH($D31, Option2!$G$105:$G$116,0)))*conv_2026*K$7)</f>
        <v>0</v>
      </c>
      <c r="L31" s="28">
        <f>IF($B31=0,0, (INDEX(Option2!L$105:L$116, MATCH($D31, Option2!$G$105:$G$116,0)))*conv_2026*L$7)</f>
        <v>-90958.830999949743</v>
      </c>
      <c r="M31" s="28">
        <f>IF($B31=0,0, (INDEX(Option2!M$105:M$116, MATCH($D31, Option2!$G$105:$G$116,0)))*conv_2026*M$7)</f>
        <v>883758.29803793319</v>
      </c>
      <c r="N31" s="28">
        <f>IF($B31=0,0, (INDEX(Option2!N$105:N$116, MATCH($D31, Option2!$G$105:$G$116,0)))*conv_2026*N$7)</f>
        <v>899532.62730830885</v>
      </c>
      <c r="O31" s="28">
        <f>IF($B31=0,0, (INDEX(Option2!O$105:O$116, MATCH($D31, Option2!$G$105:$G$116,0)))*conv_2026*O$7)</f>
        <v>935266.92502517882</v>
      </c>
      <c r="P31" s="28">
        <f>IF($B31=0,0, (INDEX(Option2!P$105:P$116, MATCH($D31, Option2!$G$105:$G$116,0)))*conv_2026*P$7)</f>
        <v>971264.43362652347</v>
      </c>
      <c r="Q31" s="28">
        <f>IF($B31=0,0, (INDEX(Option2!Q$105:Q$116, MATCH($D31, Option2!$G$105:$G$116,0)))*conv_2026*Q$7)</f>
        <v>993972.12869018305</v>
      </c>
      <c r="R31" s="28">
        <f>IF($B31=0,0, (INDEX(Option2!R$105:R$116, MATCH($D31, Option2!$G$105:$G$116,0)))*conv_2026*R$7)</f>
        <v>1001564.0443154428</v>
      </c>
      <c r="S31" s="28">
        <f>IF($B31=0,0, (INDEX(Option2!S$105:S$116, MATCH($D31, Option2!$G$105:$G$116,0)))*conv_2026*S$7)</f>
        <v>1009523.6235242771</v>
      </c>
      <c r="T31" s="28">
        <f>IF($B31=0,0, (INDEX(Option2!T$105:T$116, MATCH($D31, Option2!$G$105:$G$116,0)))*conv_2026*T$7)</f>
        <v>1017770.811351937</v>
      </c>
      <c r="U31" s="28">
        <f>IF($B31=0,0, (INDEX(Option2!U$105:U$116, MATCH($D31, Option2!$G$105:$G$116,0)))*conv_2026*U$7)</f>
        <v>1026248.594015803</v>
      </c>
      <c r="V31" s="28">
        <f>IF($B31=0,0, (INDEX(Option2!V$105:V$116, MATCH($D31, Option2!$G$105:$G$116,0)))*conv_2026*V$7)</f>
        <v>1034914.5646817352</v>
      </c>
      <c r="W31" s="28">
        <f>IF($B31=0,0, (INDEX(Option2!W$105:W$116, MATCH($D31, Option2!$G$105:$G$116,0)))*conv_2026*W$7)</f>
        <v>1043736.3700479794</v>
      </c>
      <c r="X31" s="28">
        <f>IF($B31=0,0, (INDEX(Option2!X$105:X$116, MATCH($D31, Option2!$G$105:$G$116,0)))*conv_2026*X$7)</f>
        <v>1052688.5884607907</v>
      </c>
      <c r="Y31" s="28">
        <f>IF($B31=0,0, (INDEX(Option2!Y$105:Y$116, MATCH($D31, Option2!$G$105:$G$116,0)))*conv_2026*Y$7)</f>
        <v>1061750.8838427605</v>
      </c>
      <c r="Z31" s="28">
        <f>IF($B31=0,0, (INDEX(Option2!Z$105:Z$116, MATCH($D31, Option2!$G$105:$G$116,0)))*conv_2026*Z$7)</f>
        <v>1070906.7867968967</v>
      </c>
      <c r="AA31" s="28">
        <f>IF($B31=0,0, (INDEX(Option2!AA$105:AA$116, MATCH($D31, Option2!$G$105:$G$116,0)))*conv_2026*AA$7)</f>
        <v>1080142.6940852329</v>
      </c>
      <c r="AB31" s="28">
        <f>IF($B31=0,0, (INDEX(Option2!AB$105:AB$116, MATCH($D31, Option2!$G$105:$G$116,0)))*conv_2026*AB$7)</f>
        <v>1089447.279140326</v>
      </c>
      <c r="AC31" s="28">
        <f>IF($B31=0,0, (INDEX(Option2!AC$105:AC$116, MATCH($D31, Option2!$G$105:$G$116,0)))*conv_2026*AC$7)</f>
        <v>1098810.9748551359</v>
      </c>
      <c r="AD31" s="28">
        <f>IF($B31=0,0, (INDEX(Option2!AD$105:AD$116, MATCH($D31, Option2!$G$105:$G$116,0)))*conv_2026*AD$7)</f>
        <v>1108225.7494084251</v>
      </c>
      <c r="AE31" s="28">
        <f>IF($B31=0,0, (INDEX(Option2!AE$105:AE$116, MATCH($D31, Option2!$G$105:$G$116,0)))*conv_2026*AE$7)</f>
        <v>0</v>
      </c>
      <c r="AF31" s="28">
        <f>IF($B31=0,0, (INDEX(Option2!AF$105:AF$116, MATCH($D31, Option2!$G$105:$G$116,0)))*conv_2026*AF$7)</f>
        <v>0</v>
      </c>
      <c r="AG31" s="28">
        <f>IF($B31=0,0, (INDEX(Option2!AG$105:AG$116, MATCH($D31, Option2!$G$105:$G$116,0)))*conv_2026*AG$7)</f>
        <v>0</v>
      </c>
    </row>
    <row r="32" spans="1:35" s="6" customFormat="1" x14ac:dyDescent="0.2">
      <c r="A32" s="222" t="s">
        <v>166</v>
      </c>
      <c r="B32" s="222" t="str">
        <f>Option2!A111</f>
        <v>sens3</v>
      </c>
      <c r="C32" s="222" t="str">
        <f>Option2!C111</f>
        <v>Total benefits 10% higher</v>
      </c>
      <c r="D32" s="222" t="str">
        <f t="shared" si="2"/>
        <v>Option 2sens3</v>
      </c>
      <c r="E32" s="214"/>
      <c r="F32" s="28">
        <f t="shared" si="3"/>
        <v>12866990.236777561</v>
      </c>
      <c r="H32" s="28">
        <f>IF($B32=0,0, (INDEX(Option2!H$105:H$116, MATCH($D32, Option2!$G$105:$G$116,0)))*conv_2026*H$7)</f>
        <v>0</v>
      </c>
      <c r="I32" s="28">
        <f>IF($B32=0,0, (INDEX(Option2!I$105:I$116, MATCH($D32, Option2!$G$105:$G$116,0)))*conv_2026*I$7)</f>
        <v>0</v>
      </c>
      <c r="J32" s="28">
        <f>IF($B32=0,0, (INDEX(Option2!J$105:J$116, MATCH($D32, Option2!$G$105:$G$116,0)))*conv_2026*J$7)</f>
        <v>0</v>
      </c>
      <c r="K32" s="28">
        <f>IF($B32=0,0, (INDEX(Option2!K$105:K$116, MATCH($D32, Option2!$G$105:$G$116,0)))*conv_2026*K$7)</f>
        <v>0</v>
      </c>
      <c r="L32" s="28">
        <f>IF($B32=0,0, (INDEX(Option2!L$105:L$116, MATCH($D32, Option2!$G$105:$G$116,0)))*conv_2026*L$7)</f>
        <v>-101065.36777772193</v>
      </c>
      <c r="M32" s="28">
        <f>IF($B32=0,0, (INDEX(Option2!M$105:M$116, MATCH($D32, Option2!$G$105:$G$116,0)))*conv_2026*M$7)</f>
        <v>969102.16680839483</v>
      </c>
      <c r="N32" s="28">
        <f>IF($B32=0,0, (INDEX(Option2!N$105:N$116, MATCH($D32, Option2!$G$105:$G$116,0)))*conv_2026*N$7)</f>
        <v>986453.92900580808</v>
      </c>
      <c r="O32" s="28">
        <f>IF($B32=0,0, (INDEX(Option2!O$105:O$116, MATCH($D32, Option2!$G$105:$G$116,0)))*conv_2026*O$7)</f>
        <v>1025761.6564943651</v>
      </c>
      <c r="P32" s="28">
        <f>IF($B32=0,0, (INDEX(Option2!P$105:P$116, MATCH($D32, Option2!$G$105:$G$116,0)))*conv_2026*P$7)</f>
        <v>1065358.9159558441</v>
      </c>
      <c r="Q32" s="28">
        <f>IF($B32=0,0, (INDEX(Option2!Q$105:Q$116, MATCH($D32, Option2!$G$105:$G$116,0)))*conv_2026*Q$7)</f>
        <v>1090337.3805258696</v>
      </c>
      <c r="R32" s="28">
        <f>IF($B32=0,0, (INDEX(Option2!R$105:R$116, MATCH($D32, Option2!$G$105:$G$116,0)))*conv_2026*R$7)</f>
        <v>1098688.4877136555</v>
      </c>
      <c r="S32" s="28">
        <f>IF($B32=0,0, (INDEX(Option2!S$105:S$116, MATCH($D32, Option2!$G$105:$G$116,0)))*conv_2026*S$7)</f>
        <v>1107444.0248433731</v>
      </c>
      <c r="T32" s="28">
        <f>IF($B32=0,0, (INDEX(Option2!T$105:T$116, MATCH($D32, Option2!$G$105:$G$116,0)))*conv_2026*T$7)</f>
        <v>1116515.9314537989</v>
      </c>
      <c r="U32" s="28">
        <f>IF($B32=0,0, (INDEX(Option2!U$105:U$116, MATCH($D32, Option2!$G$105:$G$116,0)))*conv_2026*U$7)</f>
        <v>1125841.4923840514</v>
      </c>
      <c r="V32" s="28">
        <f>IF($B32=0,0, (INDEX(Option2!V$105:V$116, MATCH($D32, Option2!$G$105:$G$116,0)))*conv_2026*V$7)</f>
        <v>1135374.060116577</v>
      </c>
      <c r="W32" s="28">
        <f>IF($B32=0,0, (INDEX(Option2!W$105:W$116, MATCH($D32, Option2!$G$105:$G$116,0)))*conv_2026*W$7)</f>
        <v>1145078.0460194456</v>
      </c>
      <c r="X32" s="28">
        <f>IF($B32=0,0, (INDEX(Option2!X$105:X$116, MATCH($D32, Option2!$G$105:$G$116,0)))*conv_2026*X$7)</f>
        <v>1154925.4862735381</v>
      </c>
      <c r="Y32" s="28">
        <f>IF($B32=0,0, (INDEX(Option2!Y$105:Y$116, MATCH($D32, Option2!$G$105:$G$116,0)))*conv_2026*Y$7)</f>
        <v>1164894.0111937048</v>
      </c>
      <c r="Z32" s="28">
        <f>IF($B32=0,0, (INDEX(Option2!Z$105:Z$116, MATCH($D32, Option2!$G$105:$G$116,0)))*conv_2026*Z$7)</f>
        <v>1174965.5044432548</v>
      </c>
      <c r="AA32" s="28">
        <f>IF($B32=0,0, (INDEX(Option2!AA$105:AA$116, MATCH($D32, Option2!$G$105:$G$116,0)))*conv_2026*AA$7)</f>
        <v>1185125.0024604243</v>
      </c>
      <c r="AB32" s="28">
        <f>IF($B32=0,0, (INDEX(Option2!AB$105:AB$116, MATCH($D32, Option2!$G$105:$G$116,0)))*conv_2026*AB$7)</f>
        <v>1195360.0460210268</v>
      </c>
      <c r="AC32" s="28">
        <f>IF($B32=0,0, (INDEX(Option2!AC$105:AC$116, MATCH($D32, Option2!$G$105:$G$116,0)))*conv_2026*AC$7)</f>
        <v>1205660.1113073179</v>
      </c>
      <c r="AD32" s="28">
        <f>IF($B32=0,0, (INDEX(Option2!AD$105:AD$116, MATCH($D32, Option2!$G$105:$G$116,0)))*conv_2026*AD$7)</f>
        <v>1216016.3633159357</v>
      </c>
      <c r="AE32" s="28">
        <f>IF($B32=0,0, (INDEX(Option2!AE$105:AE$116, MATCH($D32, Option2!$G$105:$G$116,0)))*conv_2026*AE$7)</f>
        <v>0</v>
      </c>
      <c r="AF32" s="28">
        <f>IF($B32=0,0, (INDEX(Option2!AF$105:AF$116, MATCH($D32, Option2!$G$105:$G$116,0)))*conv_2026*AF$7)</f>
        <v>0</v>
      </c>
      <c r="AG32" s="28">
        <f>IF($B32=0,0, (INDEX(Option2!AG$105:AG$116, MATCH($D32, Option2!$G$105:$G$116,0)))*conv_2026*AG$7)</f>
        <v>0</v>
      </c>
    </row>
    <row r="33" spans="1:35" s="6" customFormat="1" x14ac:dyDescent="0.2">
      <c r="A33" s="222" t="s">
        <v>166</v>
      </c>
      <c r="B33" s="222" t="str">
        <f>Option2!A112</f>
        <v>sens4</v>
      </c>
      <c r="C33" s="222" t="str">
        <f>Option2!C112</f>
        <v>Total benefits 10% lower</v>
      </c>
      <c r="D33" s="222" t="str">
        <f t="shared" si="2"/>
        <v>Option 2sens4</v>
      </c>
      <c r="E33" s="214"/>
      <c r="F33" s="28">
        <f t="shared" si="3"/>
        <v>9866626.0811377745</v>
      </c>
      <c r="H33" s="28">
        <f>IF($B33=0,0, (INDEX(Option2!H$105:H$116, MATCH($D33, Option2!$G$105:$G$116,0)))*conv_2026*H$7)</f>
        <v>0</v>
      </c>
      <c r="I33" s="28">
        <f>IF($B33=0,0, (INDEX(Option2!I$105:I$116, MATCH($D33, Option2!$G$105:$G$116,0)))*conv_2026*I$7)</f>
        <v>0</v>
      </c>
      <c r="J33" s="28">
        <f>IF($B33=0,0, (INDEX(Option2!J$105:J$116, MATCH($D33, Option2!$G$105:$G$116,0)))*conv_2026*J$7)</f>
        <v>0</v>
      </c>
      <c r="K33" s="28">
        <f>IF($B33=0,0, (INDEX(Option2!K$105:K$116, MATCH($D33, Option2!$G$105:$G$116,0)))*conv_2026*K$7)</f>
        <v>0</v>
      </c>
      <c r="L33" s="28">
        <f>IF($B33=0,0, (INDEX(Option2!L$105:L$116, MATCH($D33, Option2!$G$105:$G$116,0)))*conv_2026*L$7)</f>
        <v>-101065.36777772193</v>
      </c>
      <c r="M33" s="28">
        <f>IF($B33=0,0, (INDEX(Option2!M$105:M$116, MATCH($D33, Option2!$G$105:$G$116,0)))*conv_2026*M$7)</f>
        <v>737775.20860083844</v>
      </c>
      <c r="N33" s="28">
        <f>IF($B33=0,0, (INDEX(Option2!N$105:N$116, MATCH($D33, Option2!$G$105:$G$116,0)))*conv_2026*N$7)</f>
        <v>751972.10494417639</v>
      </c>
      <c r="O33" s="28">
        <f>IF($B33=0,0, (INDEX(Option2!O$105:O$116, MATCH($D33, Option2!$G$105:$G$116,0)))*conv_2026*O$7)</f>
        <v>784132.97288935934</v>
      </c>
      <c r="P33" s="28">
        <f>IF($B33=0,0, (INDEX(Option2!P$105:P$116, MATCH($D33, Option2!$G$105:$G$116,0)))*conv_2026*P$7)</f>
        <v>816530.73063056963</v>
      </c>
      <c r="Q33" s="28">
        <f>IF($B33=0,0, (INDEX(Option2!Q$105:Q$116, MATCH($D33, Option2!$G$105:$G$116,0)))*conv_2026*Q$7)</f>
        <v>836967.65618786309</v>
      </c>
      <c r="R33" s="28">
        <f>IF($B33=0,0, (INDEX(Option2!R$105:R$116, MATCH($D33, Option2!$G$105:$G$116,0)))*conv_2026*R$7)</f>
        <v>843800.38025059691</v>
      </c>
      <c r="S33" s="28">
        <f>IF($B33=0,0, (INDEX(Option2!S$105:S$116, MATCH($D33, Option2!$G$105:$G$116,0)))*conv_2026*S$7)</f>
        <v>850964.0015385478</v>
      </c>
      <c r="T33" s="28">
        <f>IF($B33=0,0, (INDEX(Option2!T$105:T$116, MATCH($D33, Option2!$G$105:$G$116,0)))*conv_2026*T$7)</f>
        <v>858386.47058344178</v>
      </c>
      <c r="U33" s="28">
        <f>IF($B33=0,0, (INDEX(Option2!U$105:U$116, MATCH($D33, Option2!$G$105:$G$116,0)))*conv_2026*U$7)</f>
        <v>866016.47498092114</v>
      </c>
      <c r="V33" s="28">
        <f>IF($B33=0,0, (INDEX(Option2!V$105:V$116, MATCH($D33, Option2!$G$105:$G$116,0)))*conv_2026*V$7)</f>
        <v>873815.84858026006</v>
      </c>
      <c r="W33" s="28">
        <f>IF($B33=0,0, (INDEX(Option2!W$105:W$116, MATCH($D33, Option2!$G$105:$G$116,0)))*conv_2026*W$7)</f>
        <v>881755.47340987995</v>
      </c>
      <c r="X33" s="28">
        <f>IF($B33=0,0, (INDEX(Option2!X$105:X$116, MATCH($D33, Option2!$G$105:$G$116,0)))*conv_2026*X$7)</f>
        <v>889812.46998141007</v>
      </c>
      <c r="Y33" s="28">
        <f>IF($B33=0,0, (INDEX(Option2!Y$105:Y$116, MATCH($D33, Option2!$G$105:$G$116,0)))*conv_2026*Y$7)</f>
        <v>897968.5358251828</v>
      </c>
      <c r="Z33" s="28">
        <f>IF($B33=0,0, (INDEX(Option2!Z$105:Z$116, MATCH($D33, Option2!$G$105:$G$116,0)))*conv_2026*Z$7)</f>
        <v>906208.84848390555</v>
      </c>
      <c r="AA33" s="28">
        <f>IF($B33=0,0, (INDEX(Option2!AA$105:AA$116, MATCH($D33, Option2!$G$105:$G$116,0)))*conv_2026*AA$7)</f>
        <v>914521.16504340805</v>
      </c>
      <c r="AB33" s="28">
        <f>IF($B33=0,0, (INDEX(Option2!AB$105:AB$116, MATCH($D33, Option2!$G$105:$G$116,0)))*conv_2026*AB$7)</f>
        <v>922895.29159299179</v>
      </c>
      <c r="AC33" s="28">
        <f>IF($B33=0,0, (INDEX(Option2!AC$105:AC$116, MATCH($D33, Option2!$G$105:$G$116,0)))*conv_2026*AC$7)</f>
        <v>931322.61773632071</v>
      </c>
      <c r="AD33" s="28">
        <f>IF($B33=0,0, (INDEX(Option2!AD$105:AD$116, MATCH($D33, Option2!$G$105:$G$116,0)))*conv_2026*AD$7)</f>
        <v>939795.91483428096</v>
      </c>
      <c r="AE33" s="28">
        <f>IF($B33=0,0, (INDEX(Option2!AE$105:AE$116, MATCH($D33, Option2!$G$105:$G$116,0)))*conv_2026*AE$7)</f>
        <v>0</v>
      </c>
      <c r="AF33" s="28">
        <f>IF($B33=0,0, (INDEX(Option2!AF$105:AF$116, MATCH($D33, Option2!$G$105:$G$116,0)))*conv_2026*AF$7)</f>
        <v>0</v>
      </c>
      <c r="AG33" s="28">
        <f>IF($B33=0,0, (INDEX(Option2!AG$105:AG$116, MATCH($D33, Option2!$G$105:$G$116,0)))*conv_2026*AG$7)</f>
        <v>0</v>
      </c>
    </row>
    <row r="34" spans="1:35" s="6" customFormat="1" x14ac:dyDescent="0.2">
      <c r="A34" s="222" t="s">
        <v>166</v>
      </c>
      <c r="B34" s="222" t="str">
        <f>Option2!A113</f>
        <v>sens5</v>
      </c>
      <c r="C34" s="222" t="str">
        <f>Option2!C113</f>
        <v>Capex 10% higher &amp; Total benefits 10% lower</v>
      </c>
      <c r="D34" s="222" t="str">
        <f t="shared" si="2"/>
        <v>Option 2sens5</v>
      </c>
      <c r="E34" s="214"/>
      <c r="F34" s="28">
        <f t="shared" si="3"/>
        <v>9503124.8192136511</v>
      </c>
      <c r="H34" s="28">
        <f>IF($B34=0,0, (INDEX(Option2!H$105:H$116, MATCH($D34, Option2!$G$105:$G$116,0)))*conv_2026*H$7)</f>
        <v>0</v>
      </c>
      <c r="I34" s="28">
        <f>IF($B34=0,0, (INDEX(Option2!I$105:I$116, MATCH($D34, Option2!$G$105:$G$116,0)))*conv_2026*I$7)</f>
        <v>0</v>
      </c>
      <c r="J34" s="28">
        <f>IF($B34=0,0, (INDEX(Option2!J$105:J$116, MATCH($D34, Option2!$G$105:$G$116,0)))*conv_2026*J$7)</f>
        <v>0</v>
      </c>
      <c r="K34" s="28">
        <f>IF($B34=0,0, (INDEX(Option2!K$105:K$116, MATCH($D34, Option2!$G$105:$G$116,0)))*conv_2026*K$7)</f>
        <v>0</v>
      </c>
      <c r="L34" s="28">
        <f>IF($B34=0,0, (INDEX(Option2!L$105:L$116, MATCH($D34, Option2!$G$105:$G$116,0)))*conv_2026*L$7)</f>
        <v>-111171.90455549413</v>
      </c>
      <c r="M34" s="28">
        <f>IF($B34=0,0, (INDEX(Option2!M$105:M$116, MATCH($D34, Option2!$G$105:$G$116,0)))*conv_2026*M$7)</f>
        <v>707455.59826752183</v>
      </c>
      <c r="N34" s="28">
        <f>IF($B34=0,0, (INDEX(Option2!N$105:N$116, MATCH($D34, Option2!$G$105:$G$116,0)))*conv_2026*N$7)</f>
        <v>721652.4946108599</v>
      </c>
      <c r="O34" s="28">
        <f>IF($B34=0,0, (INDEX(Option2!O$105:O$116, MATCH($D34, Option2!$G$105:$G$116,0)))*conv_2026*O$7)</f>
        <v>753813.36255604285</v>
      </c>
      <c r="P34" s="28">
        <f>IF($B34=0,0, (INDEX(Option2!P$105:P$116, MATCH($D34, Option2!$G$105:$G$116,0)))*conv_2026*P$7)</f>
        <v>786211.12029725302</v>
      </c>
      <c r="Q34" s="28">
        <f>IF($B34=0,0, (INDEX(Option2!Q$105:Q$116, MATCH($D34, Option2!$G$105:$G$116,0)))*conv_2026*Q$7)</f>
        <v>806648.0458545466</v>
      </c>
      <c r="R34" s="28">
        <f>IF($B34=0,0, (INDEX(Option2!R$105:R$116, MATCH($D34, Option2!$G$105:$G$116,0)))*conv_2026*R$7)</f>
        <v>813480.7699172803</v>
      </c>
      <c r="S34" s="28">
        <f>IF($B34=0,0, (INDEX(Option2!S$105:S$116, MATCH($D34, Option2!$G$105:$G$116,0)))*conv_2026*S$7)</f>
        <v>820644.39120523119</v>
      </c>
      <c r="T34" s="28">
        <f>IF($B34=0,0, (INDEX(Option2!T$105:T$116, MATCH($D34, Option2!$G$105:$G$116,0)))*conv_2026*T$7)</f>
        <v>828066.86025012517</v>
      </c>
      <c r="U34" s="28">
        <f>IF($B34=0,0, (INDEX(Option2!U$105:U$116, MATCH($D34, Option2!$G$105:$G$116,0)))*conv_2026*U$7)</f>
        <v>835696.86464760441</v>
      </c>
      <c r="V34" s="28">
        <f>IF($B34=0,0, (INDEX(Option2!V$105:V$116, MATCH($D34, Option2!$G$105:$G$116,0)))*conv_2026*V$7)</f>
        <v>843496.23824694357</v>
      </c>
      <c r="W34" s="28">
        <f>IF($B34=0,0, (INDEX(Option2!W$105:W$116, MATCH($D34, Option2!$G$105:$G$116,0)))*conv_2026*W$7)</f>
        <v>851435.86307656334</v>
      </c>
      <c r="X34" s="28">
        <f>IF($B34=0,0, (INDEX(Option2!X$105:X$116, MATCH($D34, Option2!$G$105:$G$116,0)))*conv_2026*X$7)</f>
        <v>859492.85964809346</v>
      </c>
      <c r="Y34" s="28">
        <f>IF($B34=0,0, (INDEX(Option2!Y$105:Y$116, MATCH($D34, Option2!$G$105:$G$116,0)))*conv_2026*Y$7)</f>
        <v>867648.92549186631</v>
      </c>
      <c r="Z34" s="28">
        <f>IF($B34=0,0, (INDEX(Option2!Z$105:Z$116, MATCH($D34, Option2!$G$105:$G$116,0)))*conv_2026*Z$7)</f>
        <v>875889.23815058894</v>
      </c>
      <c r="AA34" s="28">
        <f>IF($B34=0,0, (INDEX(Option2!AA$105:AA$116, MATCH($D34, Option2!$G$105:$G$116,0)))*conv_2026*AA$7)</f>
        <v>884201.55471009144</v>
      </c>
      <c r="AB34" s="28">
        <f>IF($B34=0,0, (INDEX(Option2!AB$105:AB$116, MATCH($D34, Option2!$G$105:$G$116,0)))*conv_2026*AB$7)</f>
        <v>892575.6812596753</v>
      </c>
      <c r="AC34" s="28">
        <f>IF($B34=0,0, (INDEX(Option2!AC$105:AC$116, MATCH($D34, Option2!$G$105:$G$116,0)))*conv_2026*AC$7)</f>
        <v>901003.00740300422</v>
      </c>
      <c r="AD34" s="28">
        <f>IF($B34=0,0, (INDEX(Option2!AD$105:AD$116, MATCH($D34, Option2!$G$105:$G$116,0)))*conv_2026*AD$7)</f>
        <v>909476.30450096447</v>
      </c>
      <c r="AE34" s="28">
        <f>IF($B34=0,0, (INDEX(Option2!AE$105:AE$116, MATCH($D34, Option2!$G$105:$G$116,0)))*conv_2026*AE$7)</f>
        <v>0</v>
      </c>
      <c r="AF34" s="28">
        <f>IF($B34=0,0, (INDEX(Option2!AF$105:AF$116, MATCH($D34, Option2!$G$105:$G$116,0)))*conv_2026*AF$7)</f>
        <v>0</v>
      </c>
      <c r="AG34" s="28">
        <f>IF($B34=0,0, (INDEX(Option2!AG$105:AG$116, MATCH($D34, Option2!$G$105:$G$116,0)))*conv_2026*AG$7)</f>
        <v>0</v>
      </c>
    </row>
    <row r="35" spans="1:35" s="6" customFormat="1" x14ac:dyDescent="0.2">
      <c r="A35" s="222" t="s">
        <v>166</v>
      </c>
      <c r="B35" s="222" t="str">
        <f>Option2!A114</f>
        <v>sens</v>
      </c>
      <c r="C35" s="222">
        <f>Option2!C114</f>
        <v>0</v>
      </c>
      <c r="D35" s="222" t="str">
        <f t="shared" si="2"/>
        <v>Option 2sens</v>
      </c>
      <c r="E35" s="214"/>
      <c r="F35" s="28">
        <f t="shared" si="3"/>
        <v>11366808.158957666</v>
      </c>
      <c r="H35" s="28">
        <f>IF($B35=0,0, (INDEX(Option2!H$105:H$116, MATCH($D35, Option2!$G$105:$G$116,0)))*conv_2026*H$7)</f>
        <v>0</v>
      </c>
      <c r="I35" s="28">
        <f>IF($B35=0,0, (INDEX(Option2!I$105:I$116, MATCH($D35, Option2!$G$105:$G$116,0)))*conv_2026*I$7)</f>
        <v>0</v>
      </c>
      <c r="J35" s="28">
        <f>IF($B35=0,0, (INDEX(Option2!J$105:J$116, MATCH($D35, Option2!$G$105:$G$116,0)))*conv_2026*J$7)</f>
        <v>0</v>
      </c>
      <c r="K35" s="28">
        <f>IF($B35=0,0, (INDEX(Option2!K$105:K$116, MATCH($D35, Option2!$G$105:$G$116,0)))*conv_2026*K$7)</f>
        <v>0</v>
      </c>
      <c r="L35" s="28">
        <f>IF($B35=0,0, (INDEX(Option2!L$105:L$116, MATCH($D35, Option2!$G$105:$G$116,0)))*conv_2026*L$7)</f>
        <v>-101065.36777772193</v>
      </c>
      <c r="M35" s="28">
        <f>IF($B35=0,0, (INDEX(Option2!M$105:M$116, MATCH($D35, Option2!$G$105:$G$116,0)))*conv_2026*M$7)</f>
        <v>853438.68770461658</v>
      </c>
      <c r="N35" s="28">
        <f>IF($B35=0,0, (INDEX(Option2!N$105:N$116, MATCH($D35, Option2!$G$105:$G$116,0)))*conv_2026*N$7)</f>
        <v>869213.01697499224</v>
      </c>
      <c r="O35" s="28">
        <f>IF($B35=0,0, (INDEX(Option2!O$105:O$116, MATCH($D35, Option2!$G$105:$G$116,0)))*conv_2026*O$7)</f>
        <v>904947.31469186221</v>
      </c>
      <c r="P35" s="28">
        <f>IF($B35=0,0, (INDEX(Option2!P$105:P$116, MATCH($D35, Option2!$G$105:$G$116,0)))*conv_2026*P$7)</f>
        <v>940944.82329320686</v>
      </c>
      <c r="Q35" s="28">
        <f>IF($B35=0,0, (INDEX(Option2!Q$105:Q$116, MATCH($D35, Option2!$G$105:$G$116,0)))*conv_2026*Q$7)</f>
        <v>963652.51835686644</v>
      </c>
      <c r="R35" s="28">
        <f>IF($B35=0,0, (INDEX(Option2!R$105:R$116, MATCH($D35, Option2!$G$105:$G$116,0)))*conv_2026*R$7)</f>
        <v>971244.43398212618</v>
      </c>
      <c r="S35" s="28">
        <f>IF($B35=0,0, (INDEX(Option2!S$105:S$116, MATCH($D35, Option2!$G$105:$G$116,0)))*conv_2026*S$7)</f>
        <v>979204.0131909604</v>
      </c>
      <c r="T35" s="28">
        <f>IF($B35=0,0, (INDEX(Option2!T$105:T$116, MATCH($D35, Option2!$G$105:$G$116,0)))*conv_2026*T$7)</f>
        <v>987451.2010186204</v>
      </c>
      <c r="U35" s="28">
        <f>IF($B35=0,0, (INDEX(Option2!U$105:U$116, MATCH($D35, Option2!$G$105:$G$116,0)))*conv_2026*U$7)</f>
        <v>995928.98368248623</v>
      </c>
      <c r="V35" s="28">
        <f>IF($B35=0,0, (INDEX(Option2!V$105:V$116, MATCH($D35, Option2!$G$105:$G$116,0)))*conv_2026*V$7)</f>
        <v>1004594.9543484186</v>
      </c>
      <c r="W35" s="28">
        <f>IF($B35=0,0, (INDEX(Option2!W$105:W$116, MATCH($D35, Option2!$G$105:$G$116,0)))*conv_2026*W$7)</f>
        <v>1013416.7597146628</v>
      </c>
      <c r="X35" s="28">
        <f>IF($B35=0,0, (INDEX(Option2!X$105:X$116, MATCH($D35, Option2!$G$105:$G$116,0)))*conv_2026*X$7)</f>
        <v>1022368.9781274741</v>
      </c>
      <c r="Y35" s="28">
        <f>IF($B35=0,0, (INDEX(Option2!Y$105:Y$116, MATCH($D35, Option2!$G$105:$G$116,0)))*conv_2026*Y$7)</f>
        <v>1031431.2735094439</v>
      </c>
      <c r="Z35" s="28">
        <f>IF($B35=0,0, (INDEX(Option2!Z$105:Z$116, MATCH($D35, Option2!$G$105:$G$116,0)))*conv_2026*Z$7)</f>
        <v>1040587.1764635801</v>
      </c>
      <c r="AA35" s="28">
        <f>IF($B35=0,0, (INDEX(Option2!AA$105:AA$116, MATCH($D35, Option2!$G$105:$G$116,0)))*conv_2026*AA$7)</f>
        <v>1049823.0837519162</v>
      </c>
      <c r="AB35" s="28">
        <f>IF($B35=0,0, (INDEX(Option2!AB$105:AB$116, MATCH($D35, Option2!$G$105:$G$116,0)))*conv_2026*AB$7)</f>
        <v>1059127.6688070095</v>
      </c>
      <c r="AC35" s="28">
        <f>IF($B35=0,0, (INDEX(Option2!AC$105:AC$116, MATCH($D35, Option2!$G$105:$G$116,0)))*conv_2026*AC$7)</f>
        <v>1068491.3645218194</v>
      </c>
      <c r="AD35" s="28">
        <f>IF($B35=0,0, (INDEX(Option2!AD$105:AD$116, MATCH($D35, Option2!$G$105:$G$116,0)))*conv_2026*AD$7)</f>
        <v>1077906.1390751083</v>
      </c>
      <c r="AE35" s="28">
        <f>IF($B35=0,0, (INDEX(Option2!AE$105:AE$116, MATCH($D35, Option2!$G$105:$G$116,0)))*conv_2026*AE$7)</f>
        <v>0</v>
      </c>
      <c r="AF35" s="28">
        <f>IF($B35=0,0, (INDEX(Option2!AF$105:AF$116, MATCH($D35, Option2!$G$105:$G$116,0)))*conv_2026*AF$7)</f>
        <v>0</v>
      </c>
      <c r="AG35" s="28">
        <f>IF($B35=0,0, (INDEX(Option2!AG$105:AG$116, MATCH($D35, Option2!$G$105:$G$116,0)))*conv_2026*AG$7)</f>
        <v>0</v>
      </c>
    </row>
    <row r="36" spans="1:35" s="6" customFormat="1" x14ac:dyDescent="0.2">
      <c r="A36" s="222" t="s">
        <v>166</v>
      </c>
      <c r="B36" s="222" t="str">
        <f>Option2!A115</f>
        <v>sens</v>
      </c>
      <c r="C36" s="222">
        <f>Option2!C115</f>
        <v>0</v>
      </c>
      <c r="D36" s="222" t="str">
        <f t="shared" si="2"/>
        <v>Option 2sens</v>
      </c>
      <c r="E36" s="214"/>
      <c r="F36" s="28">
        <f t="shared" si="3"/>
        <v>11366808.158957666</v>
      </c>
      <c r="H36" s="28">
        <f>IF($B36=0,0, (INDEX(Option2!H$105:H$116, MATCH($D36, Option2!$G$105:$G$116,0)))*conv_2026*H$7)</f>
        <v>0</v>
      </c>
      <c r="I36" s="28">
        <f>IF($B36=0,0, (INDEX(Option2!I$105:I$116, MATCH($D36, Option2!$G$105:$G$116,0)))*conv_2026*I$7)</f>
        <v>0</v>
      </c>
      <c r="J36" s="28">
        <f>IF($B36=0,0, (INDEX(Option2!J$105:J$116, MATCH($D36, Option2!$G$105:$G$116,0)))*conv_2026*J$7)</f>
        <v>0</v>
      </c>
      <c r="K36" s="28">
        <f>IF($B36=0,0, (INDEX(Option2!K$105:K$116, MATCH($D36, Option2!$G$105:$G$116,0)))*conv_2026*K$7)</f>
        <v>0</v>
      </c>
      <c r="L36" s="28">
        <f>IF($B36=0,0, (INDEX(Option2!L$105:L$116, MATCH($D36, Option2!$G$105:$G$116,0)))*conv_2026*L$7)</f>
        <v>-101065.36777772193</v>
      </c>
      <c r="M36" s="28">
        <f>IF($B36=0,0, (INDEX(Option2!M$105:M$116, MATCH($D36, Option2!$G$105:$G$116,0)))*conv_2026*M$7)</f>
        <v>853438.68770461658</v>
      </c>
      <c r="N36" s="28">
        <f>IF($B36=0,0, (INDEX(Option2!N$105:N$116, MATCH($D36, Option2!$G$105:$G$116,0)))*conv_2026*N$7)</f>
        <v>869213.01697499224</v>
      </c>
      <c r="O36" s="28">
        <f>IF($B36=0,0, (INDEX(Option2!O$105:O$116, MATCH($D36, Option2!$G$105:$G$116,0)))*conv_2026*O$7)</f>
        <v>904947.31469186221</v>
      </c>
      <c r="P36" s="28">
        <f>IF($B36=0,0, (INDEX(Option2!P$105:P$116, MATCH($D36, Option2!$G$105:$G$116,0)))*conv_2026*P$7)</f>
        <v>940944.82329320686</v>
      </c>
      <c r="Q36" s="28">
        <f>IF($B36=0,0, (INDEX(Option2!Q$105:Q$116, MATCH($D36, Option2!$G$105:$G$116,0)))*conv_2026*Q$7)</f>
        <v>963652.51835686644</v>
      </c>
      <c r="R36" s="28">
        <f>IF($B36=0,0, (INDEX(Option2!R$105:R$116, MATCH($D36, Option2!$G$105:$G$116,0)))*conv_2026*R$7)</f>
        <v>971244.43398212618</v>
      </c>
      <c r="S36" s="28">
        <f>IF($B36=0,0, (INDEX(Option2!S$105:S$116, MATCH($D36, Option2!$G$105:$G$116,0)))*conv_2026*S$7)</f>
        <v>979204.0131909604</v>
      </c>
      <c r="T36" s="28">
        <f>IF($B36=0,0, (INDEX(Option2!T$105:T$116, MATCH($D36, Option2!$G$105:$G$116,0)))*conv_2026*T$7)</f>
        <v>987451.2010186204</v>
      </c>
      <c r="U36" s="28">
        <f>IF($B36=0,0, (INDEX(Option2!U$105:U$116, MATCH($D36, Option2!$G$105:$G$116,0)))*conv_2026*U$7)</f>
        <v>995928.98368248623</v>
      </c>
      <c r="V36" s="28">
        <f>IF($B36=0,0, (INDEX(Option2!V$105:V$116, MATCH($D36, Option2!$G$105:$G$116,0)))*conv_2026*V$7)</f>
        <v>1004594.9543484186</v>
      </c>
      <c r="W36" s="28">
        <f>IF($B36=0,0, (INDEX(Option2!W$105:W$116, MATCH($D36, Option2!$G$105:$G$116,0)))*conv_2026*W$7)</f>
        <v>1013416.7597146628</v>
      </c>
      <c r="X36" s="28">
        <f>IF($B36=0,0, (INDEX(Option2!X$105:X$116, MATCH($D36, Option2!$G$105:$G$116,0)))*conv_2026*X$7)</f>
        <v>1022368.9781274741</v>
      </c>
      <c r="Y36" s="28">
        <f>IF($B36=0,0, (INDEX(Option2!Y$105:Y$116, MATCH($D36, Option2!$G$105:$G$116,0)))*conv_2026*Y$7)</f>
        <v>1031431.2735094439</v>
      </c>
      <c r="Z36" s="28">
        <f>IF($B36=0,0, (INDEX(Option2!Z$105:Z$116, MATCH($D36, Option2!$G$105:$G$116,0)))*conv_2026*Z$7)</f>
        <v>1040587.1764635801</v>
      </c>
      <c r="AA36" s="28">
        <f>IF($B36=0,0, (INDEX(Option2!AA$105:AA$116, MATCH($D36, Option2!$G$105:$G$116,0)))*conv_2026*AA$7)</f>
        <v>1049823.0837519162</v>
      </c>
      <c r="AB36" s="28">
        <f>IF($B36=0,0, (INDEX(Option2!AB$105:AB$116, MATCH($D36, Option2!$G$105:$G$116,0)))*conv_2026*AB$7)</f>
        <v>1059127.6688070095</v>
      </c>
      <c r="AC36" s="28">
        <f>IF($B36=0,0, (INDEX(Option2!AC$105:AC$116, MATCH($D36, Option2!$G$105:$G$116,0)))*conv_2026*AC$7)</f>
        <v>1068491.3645218194</v>
      </c>
      <c r="AD36" s="28">
        <f>IF($B36=0,0, (INDEX(Option2!AD$105:AD$116, MATCH($D36, Option2!$G$105:$G$116,0)))*conv_2026*AD$7)</f>
        <v>1077906.1390751083</v>
      </c>
      <c r="AE36" s="28">
        <f>IF($B36=0,0, (INDEX(Option2!AE$105:AE$116, MATCH($D36, Option2!$G$105:$G$116,0)))*conv_2026*AE$7)</f>
        <v>0</v>
      </c>
      <c r="AF36" s="28">
        <f>IF($B36=0,0, (INDEX(Option2!AF$105:AF$116, MATCH($D36, Option2!$G$105:$G$116,0)))*conv_2026*AF$7)</f>
        <v>0</v>
      </c>
      <c r="AG36" s="28">
        <f>IF($B36=0,0, (INDEX(Option2!AG$105:AG$116, MATCH($D36, Option2!$G$105:$G$116,0)))*conv_2026*AG$7)</f>
        <v>0</v>
      </c>
    </row>
    <row r="37" spans="1:35" s="6" customFormat="1" x14ac:dyDescent="0.2">
      <c r="A37" s="222" t="s">
        <v>166</v>
      </c>
      <c r="B37" s="222" t="str">
        <f>Option2!A116</f>
        <v>sens</v>
      </c>
      <c r="C37" s="222">
        <f>Option2!C116</f>
        <v>0</v>
      </c>
      <c r="D37" s="222" t="str">
        <f t="shared" si="2"/>
        <v>Option 2sens</v>
      </c>
      <c r="E37" s="214"/>
      <c r="F37" s="28">
        <f t="shared" si="3"/>
        <v>11366808.158957666</v>
      </c>
      <c r="H37" s="28">
        <f>IF($B37=0,0, (INDEX(Option2!H$105:H$116, MATCH($D37, Option2!$G$105:$G$116,0)))*conv_2026*H$7)</f>
        <v>0</v>
      </c>
      <c r="I37" s="28">
        <f>IF($B37=0,0, (INDEX(Option2!I$105:I$116, MATCH($D37, Option2!$G$105:$G$116,0)))*conv_2026*I$7)</f>
        <v>0</v>
      </c>
      <c r="J37" s="28">
        <f>IF($B37=0,0, (INDEX(Option2!J$105:J$116, MATCH($D37, Option2!$G$105:$G$116,0)))*conv_2026*J$7)</f>
        <v>0</v>
      </c>
      <c r="K37" s="28">
        <f>IF($B37=0,0, (INDEX(Option2!K$105:K$116, MATCH($D37, Option2!$G$105:$G$116,0)))*conv_2026*K$7)</f>
        <v>0</v>
      </c>
      <c r="L37" s="28">
        <f>IF($B37=0,0, (INDEX(Option2!L$105:L$116, MATCH($D37, Option2!$G$105:$G$116,0)))*conv_2026*L$7)</f>
        <v>-101065.36777772193</v>
      </c>
      <c r="M37" s="28">
        <f>IF($B37=0,0, (INDEX(Option2!M$105:M$116, MATCH($D37, Option2!$G$105:$G$116,0)))*conv_2026*M$7)</f>
        <v>853438.68770461658</v>
      </c>
      <c r="N37" s="28">
        <f>IF($B37=0,0, (INDEX(Option2!N$105:N$116, MATCH($D37, Option2!$G$105:$G$116,0)))*conv_2026*N$7)</f>
        <v>869213.01697499224</v>
      </c>
      <c r="O37" s="28">
        <f>IF($B37=0,0, (INDEX(Option2!O$105:O$116, MATCH($D37, Option2!$G$105:$G$116,0)))*conv_2026*O$7)</f>
        <v>904947.31469186221</v>
      </c>
      <c r="P37" s="28">
        <f>IF($B37=0,0, (INDEX(Option2!P$105:P$116, MATCH($D37, Option2!$G$105:$G$116,0)))*conv_2026*P$7)</f>
        <v>940944.82329320686</v>
      </c>
      <c r="Q37" s="28">
        <f>IF($B37=0,0, (INDEX(Option2!Q$105:Q$116, MATCH($D37, Option2!$G$105:$G$116,0)))*conv_2026*Q$7)</f>
        <v>963652.51835686644</v>
      </c>
      <c r="R37" s="28">
        <f>IF($B37=0,0, (INDEX(Option2!R$105:R$116, MATCH($D37, Option2!$G$105:$G$116,0)))*conv_2026*R$7)</f>
        <v>971244.43398212618</v>
      </c>
      <c r="S37" s="28">
        <f>IF($B37=0,0, (INDEX(Option2!S$105:S$116, MATCH($D37, Option2!$G$105:$G$116,0)))*conv_2026*S$7)</f>
        <v>979204.0131909604</v>
      </c>
      <c r="T37" s="28">
        <f>IF($B37=0,0, (INDEX(Option2!T$105:T$116, MATCH($D37, Option2!$G$105:$G$116,0)))*conv_2026*T$7)</f>
        <v>987451.2010186204</v>
      </c>
      <c r="U37" s="28">
        <f>IF($B37=0,0, (INDEX(Option2!U$105:U$116, MATCH($D37, Option2!$G$105:$G$116,0)))*conv_2026*U$7)</f>
        <v>995928.98368248623</v>
      </c>
      <c r="V37" s="28">
        <f>IF($B37=0,0, (INDEX(Option2!V$105:V$116, MATCH($D37, Option2!$G$105:$G$116,0)))*conv_2026*V$7)</f>
        <v>1004594.9543484186</v>
      </c>
      <c r="W37" s="28">
        <f>IF($B37=0,0, (INDEX(Option2!W$105:W$116, MATCH($D37, Option2!$G$105:$G$116,0)))*conv_2026*W$7)</f>
        <v>1013416.7597146628</v>
      </c>
      <c r="X37" s="28">
        <f>IF($B37=0,0, (INDEX(Option2!X$105:X$116, MATCH($D37, Option2!$G$105:$G$116,0)))*conv_2026*X$7)</f>
        <v>1022368.9781274741</v>
      </c>
      <c r="Y37" s="28">
        <f>IF($B37=0,0, (INDEX(Option2!Y$105:Y$116, MATCH($D37, Option2!$G$105:$G$116,0)))*conv_2026*Y$7)</f>
        <v>1031431.2735094439</v>
      </c>
      <c r="Z37" s="28">
        <f>IF($B37=0,0, (INDEX(Option2!Z$105:Z$116, MATCH($D37, Option2!$G$105:$G$116,0)))*conv_2026*Z$7)</f>
        <v>1040587.1764635801</v>
      </c>
      <c r="AA37" s="28">
        <f>IF($B37=0,0, (INDEX(Option2!AA$105:AA$116, MATCH($D37, Option2!$G$105:$G$116,0)))*conv_2026*AA$7)</f>
        <v>1049823.0837519162</v>
      </c>
      <c r="AB37" s="28">
        <f>IF($B37=0,0, (INDEX(Option2!AB$105:AB$116, MATCH($D37, Option2!$G$105:$G$116,0)))*conv_2026*AB$7)</f>
        <v>1059127.6688070095</v>
      </c>
      <c r="AC37" s="28">
        <f>IF($B37=0,0, (INDEX(Option2!AC$105:AC$116, MATCH($D37, Option2!$G$105:$G$116,0)))*conv_2026*AC$7)</f>
        <v>1068491.3645218194</v>
      </c>
      <c r="AD37" s="28">
        <f>IF($B37=0,0, (INDEX(Option2!AD$105:AD$116, MATCH($D37, Option2!$G$105:$G$116,0)))*conv_2026*AD$7)</f>
        <v>1077906.1390751083</v>
      </c>
      <c r="AE37" s="28">
        <f>IF($B37=0,0, (INDEX(Option2!AE$105:AE$116, MATCH($D37, Option2!$G$105:$G$116,0)))*conv_2026*AE$7)</f>
        <v>0</v>
      </c>
      <c r="AF37" s="28">
        <f>IF($B37=0,0, (INDEX(Option2!AF$105:AF$116, MATCH($D37, Option2!$G$105:$G$116,0)))*conv_2026*AF$7)</f>
        <v>0</v>
      </c>
      <c r="AG37" s="28">
        <f>IF($B37=0,0, (INDEX(Option2!AG$105:AG$116, MATCH($D37, Option2!$G$105:$G$116,0)))*conv_2026*AG$7)</f>
        <v>0</v>
      </c>
    </row>
    <row r="38" spans="1:35" s="6" customFormat="1" x14ac:dyDescent="0.2">
      <c r="A38" s="222"/>
      <c r="B38" s="222"/>
      <c r="C38" s="222"/>
      <c r="D38" s="222"/>
      <c r="E38" s="222"/>
      <c r="F38" s="28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</row>
    <row r="39" spans="1:35" s="6" customFormat="1" x14ac:dyDescent="0.2">
      <c r="A39" s="222"/>
      <c r="B39" s="222"/>
      <c r="C39" s="222"/>
      <c r="D39" s="222"/>
      <c r="E39" s="222"/>
      <c r="F39" s="28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</row>
    <row r="40" spans="1:35" s="6" customFormat="1" x14ac:dyDescent="0.2">
      <c r="A40" s="222"/>
      <c r="B40" s="222"/>
      <c r="C40" s="222"/>
      <c r="D40" s="222"/>
      <c r="E40" s="222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0</v>
      </c>
      <c r="L40" s="28">
        <f>Consol!L50</f>
        <v>-12937.68326666121</v>
      </c>
      <c r="M40" s="28">
        <f>Consol!M50</f>
        <v>-12270.34733766783</v>
      </c>
      <c r="N40" s="28">
        <f>Consol!N50</f>
        <v>-11359.323536771426</v>
      </c>
      <c r="O40" s="28">
        <f>Consol!O50</f>
        <v>-10035.840547058873</v>
      </c>
      <c r="P40" s="28">
        <f>Consol!P50</f>
        <v>-8694.2596894754206</v>
      </c>
      <c r="Q40" s="28">
        <f>Consol!Q50</f>
        <v>-7633.1240642080083</v>
      </c>
      <c r="R40" s="28">
        <f>Consol!R50</f>
        <v>-6907.8751694841703</v>
      </c>
      <c r="S40" s="28">
        <f>Consol!S50</f>
        <v>-6175.2918248005226</v>
      </c>
      <c r="T40" s="28">
        <f>Consol!T50</f>
        <v>-5435.3614025366041</v>
      </c>
      <c r="U40" s="28">
        <f>Consol!U50</f>
        <v>-4688.1128318540505</v>
      </c>
      <c r="V40" s="28">
        <f>Consol!V50</f>
        <v>-3933.5452519547471</v>
      </c>
      <c r="W40" s="28">
        <f>Consol!W50</f>
        <v>-3171.6993865727636</v>
      </c>
      <c r="X40" s="28">
        <f>Consol!X50</f>
        <v>-2402.6129231504165</v>
      </c>
      <c r="Y40" s="28">
        <f>Consol!Y50</f>
        <v>-1626.266989495889</v>
      </c>
      <c r="Z40" s="28">
        <f>Consol!Z50</f>
        <v>-842.68128740987595</v>
      </c>
      <c r="AA40" s="28">
        <f>Consol!AA50</f>
        <v>-51.884449122153455</v>
      </c>
      <c r="AB40" s="28">
        <f>Consol!AB50</f>
        <v>746.09200161256013</v>
      </c>
      <c r="AC40" s="28">
        <f>Consol!AC50</f>
        <v>1551.2165598243882</v>
      </c>
      <c r="AD40" s="28">
        <f>Consol!AD50</f>
        <v>2363.5233100140322</v>
      </c>
      <c r="AE40" s="28">
        <f>Consol!AE50</f>
        <v>0</v>
      </c>
      <c r="AF40" s="28">
        <f>Consol!AF50</f>
        <v>0</v>
      </c>
      <c r="AG40" s="28">
        <f>Consol!AG50</f>
        <v>0</v>
      </c>
    </row>
    <row r="41" spans="1:35" s="6" customFormat="1" x14ac:dyDescent="0.2">
      <c r="A41" s="222"/>
      <c r="B41" s="222"/>
      <c r="C41" s="222"/>
      <c r="D41" s="222"/>
      <c r="E41" s="222"/>
      <c r="F41" s="28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</row>
    <row r="42" spans="1:35" s="6" customFormat="1" x14ac:dyDescent="0.2">
      <c r="A42" s="222" t="s">
        <v>167</v>
      </c>
      <c r="B42" s="222" t="s">
        <v>22</v>
      </c>
      <c r="C42" s="222" t="s">
        <v>147</v>
      </c>
      <c r="D42" s="222" t="str">
        <f>A42&amp;B42</f>
        <v>Option 3NPV</v>
      </c>
      <c r="E42" s="214"/>
      <c r="F42" s="28">
        <f t="shared" ref="F42:F51" si="4">SUMPRODUCT($H42:$AG42, $H$5:$AG$5)</f>
        <v>-72758.731043888285</v>
      </c>
      <c r="G42" s="217"/>
      <c r="H42" s="28">
        <f>(INDEX(Option3!H$105:H$116, MATCH($D42, Option3!$G$105:$G$116,0)))*conv_2026*H$7</f>
        <v>0</v>
      </c>
      <c r="I42" s="28">
        <f>(INDEX(Option3!I$105:I$116, MATCH($D42, Option3!$G$105:$G$116,0)))*conv_2026*I$7</f>
        <v>0</v>
      </c>
      <c r="J42" s="28">
        <f>(INDEX(Option3!J$105:J$116, MATCH($D42, Option3!$G$105:$G$116,0)))*conv_2026*J$7</f>
        <v>0</v>
      </c>
      <c r="K42" s="28">
        <f>(INDEX(Option3!K$105:K$116, MATCH($D42, Option3!$G$105:$G$116,0)))*conv_2026*K$7</f>
        <v>0</v>
      </c>
      <c r="L42" s="28">
        <f>(INDEX(Option3!L$105:L$116, MATCH($D42, Option3!$G$105:$G$116,0)))*conv_2026*L$7</f>
        <v>-12937.683266661214</v>
      </c>
      <c r="M42" s="28">
        <f>(INDEX(Option3!M$105:M$116, MATCH($D42, Option3!$G$105:$G$116,0)))*conv_2026*M$7</f>
        <v>-12270.347337667834</v>
      </c>
      <c r="N42" s="28">
        <f>(INDEX(Option3!N$105:N$116, MATCH($D42, Option3!$G$105:$G$116,0)))*conv_2026*N$7</f>
        <v>-11359.323536771428</v>
      </c>
      <c r="O42" s="28">
        <f>(INDEX(Option3!O$105:O$116, MATCH($D42, Option3!$G$105:$G$116,0)))*conv_2026*O$7</f>
        <v>-10035.840547058877</v>
      </c>
      <c r="P42" s="28">
        <f>(INDEX(Option3!P$105:P$116, MATCH($D42, Option3!$G$105:$G$116,0)))*conv_2026*P$7</f>
        <v>-8694.2596894754206</v>
      </c>
      <c r="Q42" s="28">
        <f>(INDEX(Option3!Q$105:Q$116, MATCH($D42, Option3!$G$105:$G$116,0)))*conv_2026*Q$7</f>
        <v>-7633.1240642080129</v>
      </c>
      <c r="R42" s="28">
        <f>(INDEX(Option3!R$105:R$116, MATCH($D42, Option3!$G$105:$G$116,0)))*conv_2026*R$7</f>
        <v>-6907.8751694841712</v>
      </c>
      <c r="S42" s="28">
        <f>(INDEX(Option3!S$105:S$116, MATCH($D42, Option3!$G$105:$G$116,0)))*conv_2026*S$7</f>
        <v>-6175.2918248005244</v>
      </c>
      <c r="T42" s="28">
        <f>(INDEX(Option3!T$105:T$116, MATCH($D42, Option3!$G$105:$G$116,0)))*conv_2026*T$7</f>
        <v>-5435.3614025366041</v>
      </c>
      <c r="U42" s="28">
        <f>(INDEX(Option3!U$105:U$116, MATCH($D42, Option3!$G$105:$G$116,0)))*conv_2026*U$7</f>
        <v>-4688.1128318540495</v>
      </c>
      <c r="V42" s="28">
        <f>(INDEX(Option3!V$105:V$116, MATCH($D42, Option3!$G$105:$G$116,0)))*conv_2026*V$7</f>
        <v>-3933.5452519547471</v>
      </c>
      <c r="W42" s="28">
        <f>(INDEX(Option3!W$105:W$116, MATCH($D42, Option3!$G$105:$G$116,0)))*conv_2026*W$7</f>
        <v>-3171.6993865727623</v>
      </c>
      <c r="X42" s="28">
        <f>(INDEX(Option3!X$105:X$116, MATCH($D42, Option3!$G$105:$G$116,0)))*conv_2026*X$7</f>
        <v>-2402.6129231504156</v>
      </c>
      <c r="Y42" s="28">
        <f>(INDEX(Option3!Y$105:Y$116, MATCH($D42, Option3!$G$105:$G$116,0)))*conv_2026*Y$7</f>
        <v>-1626.2669894958888</v>
      </c>
      <c r="Z42" s="28">
        <f>(INDEX(Option3!Z$105:Z$116, MATCH($D42, Option3!$G$105:$G$116,0)))*conv_2026*Z$7</f>
        <v>-842.68128740987925</v>
      </c>
      <c r="AA42" s="28">
        <f>(INDEX(Option3!AA$105:AA$116, MATCH($D42, Option3!$G$105:$G$116,0)))*conv_2026*AA$7</f>
        <v>-51.884449122154344</v>
      </c>
      <c r="AB42" s="28">
        <f>(INDEX(Option3!AB$105:AB$116, MATCH($D42, Option3!$G$105:$G$116,0)))*conv_2026*AB$7</f>
        <v>746.09200161255603</v>
      </c>
      <c r="AC42" s="28">
        <f>(INDEX(Option3!AC$105:AC$116, MATCH($D42, Option3!$G$105:$G$116,0)))*conv_2026*AC$7</f>
        <v>1551.2165598243873</v>
      </c>
      <c r="AD42" s="28">
        <f>(INDEX(Option3!AD$105:AD$116, MATCH($D42, Option3!$G$105:$G$116,0)))*conv_2026*AD$7</f>
        <v>2363.5233100140294</v>
      </c>
      <c r="AE42" s="28">
        <f>(INDEX(Option3!AE$105:AE$116, MATCH($D42, Option3!$G$105:$G$116,0)))*conv_2026*AE$7</f>
        <v>0</v>
      </c>
      <c r="AF42" s="28">
        <f>(INDEX(Option3!AF$105:AF$116, MATCH($D42, Option3!$G$105:$G$116,0)))*conv_2026*AF$7</f>
        <v>0</v>
      </c>
      <c r="AG42" s="28">
        <f>(INDEX(Option3!AG$105:AG$116, MATCH($D42, Option3!$G$105:$G$116,0)))*conv_2026*AG$7</f>
        <v>0</v>
      </c>
      <c r="AH42" s="2"/>
      <c r="AI42" s="2"/>
    </row>
    <row r="43" spans="1:35" s="6" customFormat="1" x14ac:dyDescent="0.2">
      <c r="A43" s="216"/>
      <c r="B43" s="216"/>
      <c r="C43" s="216"/>
      <c r="D43" s="216"/>
      <c r="E43" s="216"/>
      <c r="F43" s="216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"/>
      <c r="AI43" s="2"/>
    </row>
    <row r="44" spans="1:35" s="6" customFormat="1" x14ac:dyDescent="0.2">
      <c r="A44" s="222" t="s">
        <v>167</v>
      </c>
      <c r="B44" s="222" t="str">
        <f>Option3!A109</f>
        <v>sens1</v>
      </c>
      <c r="C44" s="222" t="str">
        <f>Option3!C109</f>
        <v>Capex 10% higher</v>
      </c>
      <c r="D44" s="222" t="str">
        <f t="shared" ref="D44:D51" si="5">A44&amp;B44</f>
        <v>Option 3sens1</v>
      </c>
      <c r="E44" s="214"/>
      <c r="F44" s="28">
        <f t="shared" si="4"/>
        <v>-124676.76978774052</v>
      </c>
      <c r="G44" s="217"/>
      <c r="H44" s="28">
        <f>(INDEX(Option3!H$105:H$116, MATCH($D44, Option3!$G$105:$G$116,0)))*conv_2026*H$7</f>
        <v>0</v>
      </c>
      <c r="I44" s="28">
        <f>(INDEX(Option3!I$105:I$116, MATCH($D44, Option3!$G$105:$G$116,0)))*conv_2026*I$7</f>
        <v>0</v>
      </c>
      <c r="J44" s="28">
        <f>(INDEX(Option3!J$105:J$116, MATCH($D44, Option3!$G$105:$G$116,0)))*conv_2026*J$7</f>
        <v>0</v>
      </c>
      <c r="K44" s="28">
        <f>(INDEX(Option3!K$105:K$116, MATCH($D44, Option3!$G$105:$G$116,0)))*conv_2026*K$7</f>
        <v>0</v>
      </c>
      <c r="L44" s="28">
        <f>(INDEX(Option3!L$105:L$116, MATCH($D44, Option3!$G$105:$G$116,0)))*conv_2026*L$7</f>
        <v>-17064.705875669344</v>
      </c>
      <c r="M44" s="28">
        <f>(INDEX(Option3!M$105:M$116, MATCH($D44, Option3!$G$105:$G$116,0)))*conv_2026*M$7</f>
        <v>-16397.369946675961</v>
      </c>
      <c r="N44" s="28">
        <f>(INDEX(Option3!N$105:N$116, MATCH($D44, Option3!$G$105:$G$116,0)))*conv_2026*N$7</f>
        <v>-15486.346145779557</v>
      </c>
      <c r="O44" s="28">
        <f>(INDEX(Option3!O$105:O$116, MATCH($D44, Option3!$G$105:$G$116,0)))*conv_2026*O$7</f>
        <v>-14162.863156067006</v>
      </c>
      <c r="P44" s="28">
        <f>(INDEX(Option3!P$105:P$116, MATCH($D44, Option3!$G$105:$G$116,0)))*conv_2026*P$7</f>
        <v>-12821.282298483551</v>
      </c>
      <c r="Q44" s="28">
        <f>(INDEX(Option3!Q$105:Q$116, MATCH($D44, Option3!$G$105:$G$116,0)))*conv_2026*Q$7</f>
        <v>-11760.146673216143</v>
      </c>
      <c r="R44" s="28">
        <f>(INDEX(Option3!R$105:R$116, MATCH($D44, Option3!$G$105:$G$116,0)))*conv_2026*R$7</f>
        <v>-11034.897778492301</v>
      </c>
      <c r="S44" s="28">
        <f>(INDEX(Option3!S$105:S$116, MATCH($D44, Option3!$G$105:$G$116,0)))*conv_2026*S$7</f>
        <v>-10302.314433808653</v>
      </c>
      <c r="T44" s="28">
        <f>(INDEX(Option3!T$105:T$116, MATCH($D44, Option3!$G$105:$G$116,0)))*conv_2026*T$7</f>
        <v>-9562.3840115447329</v>
      </c>
      <c r="U44" s="28">
        <f>(INDEX(Option3!U$105:U$116, MATCH($D44, Option3!$G$105:$G$116,0)))*conv_2026*U$7</f>
        <v>-8815.1354408621792</v>
      </c>
      <c r="V44" s="28">
        <f>(INDEX(Option3!V$105:V$116, MATCH($D44, Option3!$G$105:$G$116,0)))*conv_2026*V$7</f>
        <v>-8060.5678609628767</v>
      </c>
      <c r="W44" s="28">
        <f>(INDEX(Option3!W$105:W$116, MATCH($D44, Option3!$G$105:$G$116,0)))*conv_2026*W$7</f>
        <v>-7298.7219955808914</v>
      </c>
      <c r="X44" s="28">
        <f>(INDEX(Option3!X$105:X$116, MATCH($D44, Option3!$G$105:$G$116,0)))*conv_2026*X$7</f>
        <v>-6529.6355321585452</v>
      </c>
      <c r="Y44" s="28">
        <f>(INDEX(Option3!Y$105:Y$116, MATCH($D44, Option3!$G$105:$G$116,0)))*conv_2026*Y$7</f>
        <v>-5753.2895985040186</v>
      </c>
      <c r="Z44" s="28">
        <f>(INDEX(Option3!Z$105:Z$116, MATCH($D44, Option3!$G$105:$G$116,0)))*conv_2026*Z$7</f>
        <v>-4969.7038964180092</v>
      </c>
      <c r="AA44" s="28">
        <f>(INDEX(Option3!AA$105:AA$116, MATCH($D44, Option3!$G$105:$G$116,0)))*conv_2026*AA$7</f>
        <v>-4178.907058130284</v>
      </c>
      <c r="AB44" s="28">
        <f>(INDEX(Option3!AB$105:AB$116, MATCH($D44, Option3!$G$105:$G$116,0)))*conv_2026*AB$7</f>
        <v>-3380.930607395574</v>
      </c>
      <c r="AC44" s="28">
        <f>(INDEX(Option3!AC$105:AC$116, MATCH($D44, Option3!$G$105:$G$116,0)))*conv_2026*AC$7</f>
        <v>-2575.8060491837427</v>
      </c>
      <c r="AD44" s="28">
        <f>(INDEX(Option3!AD$105:AD$116, MATCH($D44, Option3!$G$105:$G$116,0)))*conv_2026*AD$7</f>
        <v>-1763.4992989941004</v>
      </c>
      <c r="AE44" s="28">
        <f>(INDEX(Option3!AE$105:AE$116, MATCH($D44, Option3!$G$105:$G$116,0)))*conv_2026*AE$7</f>
        <v>0</v>
      </c>
      <c r="AF44" s="28">
        <f>(INDEX(Option3!AF$105:AF$116, MATCH($D44, Option3!$G$105:$G$116,0)))*conv_2026*AF$7</f>
        <v>0</v>
      </c>
      <c r="AG44" s="28">
        <f>(INDEX(Option3!AG$105:AG$116, MATCH($D44, Option3!$G$105:$G$116,0)))*conv_2026*AG$7</f>
        <v>0</v>
      </c>
      <c r="AH44" s="2"/>
      <c r="AI44" s="2"/>
    </row>
    <row r="45" spans="1:35" s="6" customFormat="1" x14ac:dyDescent="0.2">
      <c r="A45" s="222" t="s">
        <v>167</v>
      </c>
      <c r="B45" s="222" t="str">
        <f>Option3!A110</f>
        <v>sens2</v>
      </c>
      <c r="C45" s="222" t="str">
        <f>Option3!C110</f>
        <v>Capex 10% lower</v>
      </c>
      <c r="D45" s="222" t="str">
        <f t="shared" si="5"/>
        <v>Option 3sens2</v>
      </c>
      <c r="E45" s="214"/>
      <c r="F45" s="28">
        <f t="shared" si="4"/>
        <v>-20840.692300036011</v>
      </c>
      <c r="G45" s="222"/>
      <c r="H45" s="28">
        <f>(INDEX(Option3!H$105:H$116, MATCH($D45, Option3!$G$105:$G$116,0)))*conv_2026*H$7</f>
        <v>0</v>
      </c>
      <c r="I45" s="28">
        <f>(INDEX(Option3!I$105:I$116, MATCH($D45, Option3!$G$105:$G$116,0)))*conv_2026*I$7</f>
        <v>0</v>
      </c>
      <c r="J45" s="28">
        <f>(INDEX(Option3!J$105:J$116, MATCH($D45, Option3!$G$105:$G$116,0)))*conv_2026*J$7</f>
        <v>0</v>
      </c>
      <c r="K45" s="28">
        <f>(INDEX(Option3!K$105:K$116, MATCH($D45, Option3!$G$105:$G$116,0)))*conv_2026*K$7</f>
        <v>0</v>
      </c>
      <c r="L45" s="28">
        <f>(INDEX(Option3!L$105:L$116, MATCH($D45, Option3!$G$105:$G$116,0)))*conv_2026*L$7</f>
        <v>-8810.660657653083</v>
      </c>
      <c r="M45" s="28">
        <f>(INDEX(Option3!M$105:M$116, MATCH($D45, Option3!$G$105:$G$116,0)))*conv_2026*M$7</f>
        <v>-8143.3247286597034</v>
      </c>
      <c r="N45" s="28">
        <f>(INDEX(Option3!N$105:N$116, MATCH($D45, Option3!$G$105:$G$116,0)))*conv_2026*N$7</f>
        <v>-7232.3009277632982</v>
      </c>
      <c r="O45" s="28">
        <f>(INDEX(Option3!O$105:O$116, MATCH($D45, Option3!$G$105:$G$116,0)))*conv_2026*O$7</f>
        <v>-5908.8179380507463</v>
      </c>
      <c r="P45" s="28">
        <f>(INDEX(Option3!P$105:P$116, MATCH($D45, Option3!$G$105:$G$116,0)))*conv_2026*P$7</f>
        <v>-4567.2370804672919</v>
      </c>
      <c r="Q45" s="28">
        <f>(INDEX(Option3!Q$105:Q$116, MATCH($D45, Option3!$G$105:$G$116,0)))*conv_2026*Q$7</f>
        <v>-3506.1014551998828</v>
      </c>
      <c r="R45" s="28">
        <f>(INDEX(Option3!R$105:R$116, MATCH($D45, Option3!$G$105:$G$116,0)))*conv_2026*R$7</f>
        <v>-2780.8525604760416</v>
      </c>
      <c r="S45" s="28">
        <f>(INDEX(Option3!S$105:S$116, MATCH($D45, Option3!$G$105:$G$116,0)))*conv_2026*S$7</f>
        <v>-2048.2692157923939</v>
      </c>
      <c r="T45" s="28">
        <f>(INDEX(Option3!T$105:T$116, MATCH($D45, Option3!$G$105:$G$116,0)))*conv_2026*T$7</f>
        <v>-1308.3387935284741</v>
      </c>
      <c r="U45" s="28">
        <f>(INDEX(Option3!U$105:U$116, MATCH($D45, Option3!$G$105:$G$116,0)))*conv_2026*U$7</f>
        <v>-561.09022284591993</v>
      </c>
      <c r="V45" s="28">
        <f>(INDEX(Option3!V$105:V$116, MATCH($D45, Option3!$G$105:$G$116,0)))*conv_2026*V$7</f>
        <v>193.477357053383</v>
      </c>
      <c r="W45" s="28">
        <f>(INDEX(Option3!W$105:W$116, MATCH($D45, Option3!$G$105:$G$116,0)))*conv_2026*W$7</f>
        <v>955.32322243536782</v>
      </c>
      <c r="X45" s="28">
        <f>(INDEX(Option3!X$105:X$116, MATCH($D45, Option3!$G$105:$G$116,0)))*conv_2026*X$7</f>
        <v>1724.4096858577145</v>
      </c>
      <c r="Y45" s="28">
        <f>(INDEX(Option3!Y$105:Y$116, MATCH($D45, Option3!$G$105:$G$116,0)))*conv_2026*Y$7</f>
        <v>2500.7556195122411</v>
      </c>
      <c r="Z45" s="28">
        <f>(INDEX(Option3!Z$105:Z$116, MATCH($D45, Option3!$G$105:$G$116,0)))*conv_2026*Z$7</f>
        <v>3284.3413215982509</v>
      </c>
      <c r="AA45" s="28">
        <f>(INDEX(Option3!AA$105:AA$116, MATCH($D45, Option3!$G$105:$G$116,0)))*conv_2026*AA$7</f>
        <v>4075.1381598859757</v>
      </c>
      <c r="AB45" s="28">
        <f>(INDEX(Option3!AB$105:AB$116, MATCH($D45, Option3!$G$105:$G$116,0)))*conv_2026*AB$7</f>
        <v>4873.1146106206852</v>
      </c>
      <c r="AC45" s="28">
        <f>(INDEX(Option3!AC$105:AC$116, MATCH($D45, Option3!$G$105:$G$116,0)))*conv_2026*AC$7</f>
        <v>5678.239168832517</v>
      </c>
      <c r="AD45" s="28">
        <f>(INDEX(Option3!AD$105:AD$116, MATCH($D45, Option3!$G$105:$G$116,0)))*conv_2026*AD$7</f>
        <v>6490.5459190221591</v>
      </c>
      <c r="AE45" s="28">
        <f>(INDEX(Option3!AE$105:AE$116, MATCH($D45, Option3!$G$105:$G$116,0)))*conv_2026*AE$7</f>
        <v>0</v>
      </c>
      <c r="AF45" s="28">
        <f>(INDEX(Option3!AF$105:AF$116, MATCH($D45, Option3!$G$105:$G$116,0)))*conv_2026*AF$7</f>
        <v>0</v>
      </c>
      <c r="AG45" s="28">
        <f>(INDEX(Option3!AG$105:AG$116, MATCH($D45, Option3!$G$105:$G$116,0)))*conv_2026*AG$7</f>
        <v>0</v>
      </c>
    </row>
    <row r="46" spans="1:35" s="6" customFormat="1" x14ac:dyDescent="0.2">
      <c r="A46" s="222" t="s">
        <v>167</v>
      </c>
      <c r="B46" s="222" t="str">
        <f>Option3!A111</f>
        <v>sens3</v>
      </c>
      <c r="C46" s="222" t="str">
        <f>Option3!C111</f>
        <v>Total benefits 10% higher</v>
      </c>
      <c r="D46" s="222" t="str">
        <f t="shared" si="5"/>
        <v>Option 3sens3</v>
      </c>
      <c r="E46" s="214"/>
      <c r="F46" s="28">
        <f t="shared" si="4"/>
        <v>-28116.56540442484</v>
      </c>
      <c r="H46" s="28">
        <f>(INDEX(Option3!H$105:H$116, MATCH($D46, Option3!$G$105:$G$116,0)))*conv_2026*H$7</f>
        <v>0</v>
      </c>
      <c r="I46" s="28">
        <f>(INDEX(Option3!I$105:I$116, MATCH($D46, Option3!$G$105:$G$116,0)))*conv_2026*I$7</f>
        <v>0</v>
      </c>
      <c r="J46" s="28">
        <f>(INDEX(Option3!J$105:J$116, MATCH($D46, Option3!$G$105:$G$116,0)))*conv_2026*J$7</f>
        <v>0</v>
      </c>
      <c r="K46" s="28">
        <f>(INDEX(Option3!K$105:K$116, MATCH($D46, Option3!$G$105:$G$116,0)))*conv_2026*K$7</f>
        <v>0</v>
      </c>
      <c r="L46" s="28">
        <f>(INDEX(Option3!L$105:L$116, MATCH($D46, Option3!$G$105:$G$116,0)))*conv_2026*L$7</f>
        <v>-10104.428984319205</v>
      </c>
      <c r="M46" s="28">
        <f>(INDEX(Option3!M$105:M$116, MATCH($D46, Option3!$G$105:$G$116,0)))*conv_2026*M$7</f>
        <v>-9370.3594624264861</v>
      </c>
      <c r="N46" s="28">
        <f>(INDEX(Option3!N$105:N$116, MATCH($D46, Option3!$G$105:$G$116,0)))*conv_2026*N$7</f>
        <v>-8368.2332814404399</v>
      </c>
      <c r="O46" s="28">
        <f>(INDEX(Option3!O$105:O$116, MATCH($D46, Option3!$G$105:$G$116,0)))*conv_2026*O$7</f>
        <v>-6912.4019927566333</v>
      </c>
      <c r="P46" s="28">
        <f>(INDEX(Option3!P$105:P$116, MATCH($D46, Option3!$G$105:$G$116,0)))*conv_2026*P$7</f>
        <v>-5436.663049414833</v>
      </c>
      <c r="Q46" s="28">
        <f>(INDEX(Option3!Q$105:Q$116, MATCH($D46, Option3!$G$105:$G$116,0)))*conv_2026*Q$7</f>
        <v>-4269.4138616206837</v>
      </c>
      <c r="R46" s="28">
        <f>(INDEX(Option3!R$105:R$116, MATCH($D46, Option3!$G$105:$G$116,0)))*conv_2026*R$7</f>
        <v>-3471.6400774244585</v>
      </c>
      <c r="S46" s="28">
        <f>(INDEX(Option3!S$105:S$116, MATCH($D46, Option3!$G$105:$G$116,0)))*conv_2026*S$7</f>
        <v>-2665.7983982724463</v>
      </c>
      <c r="T46" s="28">
        <f>(INDEX(Option3!T$105:T$116, MATCH($D46, Option3!$G$105:$G$116,0)))*conv_2026*T$7</f>
        <v>-1851.8749337821346</v>
      </c>
      <c r="U46" s="28">
        <f>(INDEX(Option3!U$105:U$116, MATCH($D46, Option3!$G$105:$G$116,0)))*conv_2026*U$7</f>
        <v>-1029.9015060313247</v>
      </c>
      <c r="V46" s="28">
        <f>(INDEX(Option3!V$105:V$116, MATCH($D46, Option3!$G$105:$G$116,0)))*conv_2026*V$7</f>
        <v>-199.87716814209179</v>
      </c>
      <c r="W46" s="28">
        <f>(INDEX(Option3!W$105:W$116, MATCH($D46, Option3!$G$105:$G$116,0)))*conv_2026*W$7</f>
        <v>638.15328377809169</v>
      </c>
      <c r="X46" s="28">
        <f>(INDEX(Option3!X$105:X$116, MATCH($D46, Option3!$G$105:$G$116,0)))*conv_2026*X$7</f>
        <v>1484.1483935426731</v>
      </c>
      <c r="Y46" s="28">
        <f>(INDEX(Option3!Y$105:Y$116, MATCH($D46, Option3!$G$105:$G$116,0)))*conv_2026*Y$7</f>
        <v>2338.1289205626526</v>
      </c>
      <c r="Z46" s="28">
        <f>(INDEX(Option3!Z$105:Z$116, MATCH($D46, Option3!$G$105:$G$116,0)))*conv_2026*Z$7</f>
        <v>3200.0731928572632</v>
      </c>
      <c r="AA46" s="28">
        <f>(INDEX(Option3!AA$105:AA$116, MATCH($D46, Option3!$G$105:$G$116,0)))*conv_2026*AA$7</f>
        <v>4069.9497149737604</v>
      </c>
      <c r="AB46" s="28">
        <f>(INDEX(Option3!AB$105:AB$116, MATCH($D46, Option3!$G$105:$G$116,0)))*conv_2026*AB$7</f>
        <v>4947.7238107819421</v>
      </c>
      <c r="AC46" s="28">
        <f>(INDEX(Option3!AC$105:AC$116, MATCH($D46, Option3!$G$105:$G$116,0)))*conv_2026*AC$7</f>
        <v>5833.3608248149558</v>
      </c>
      <c r="AD46" s="28">
        <f>(INDEX(Option3!AD$105:AD$116, MATCH($D46, Option3!$G$105:$G$116,0)))*conv_2026*AD$7</f>
        <v>6726.8982500235625</v>
      </c>
      <c r="AE46" s="28">
        <f>(INDEX(Option3!AE$105:AE$116, MATCH($D46, Option3!$G$105:$G$116,0)))*conv_2026*AE$7</f>
        <v>0</v>
      </c>
      <c r="AF46" s="28">
        <f>(INDEX(Option3!AF$105:AF$116, MATCH($D46, Option3!$G$105:$G$116,0)))*conv_2026*AF$7</f>
        <v>0</v>
      </c>
      <c r="AG46" s="28">
        <f>(INDEX(Option3!AG$105:AG$116, MATCH($D46, Option3!$G$105:$G$116,0)))*conv_2026*AG$7</f>
        <v>0</v>
      </c>
    </row>
    <row r="47" spans="1:35" s="6" customFormat="1" x14ac:dyDescent="0.2">
      <c r="A47" s="222" t="s">
        <v>167</v>
      </c>
      <c r="B47" s="222" t="str">
        <f>Option3!A112</f>
        <v>sens4</v>
      </c>
      <c r="C47" s="222" t="str">
        <f>Option3!C112</f>
        <v>Total benefits 10% lower</v>
      </c>
      <c r="D47" s="222" t="str">
        <f t="shared" si="5"/>
        <v>Option 3sens4</v>
      </c>
      <c r="E47" s="214"/>
      <c r="F47" s="28">
        <f t="shared" si="4"/>
        <v>-117400.89668335172</v>
      </c>
      <c r="H47" s="28">
        <f>(INDEX(Option3!H$105:H$116, MATCH($D47, Option3!$G$105:$G$116,0)))*conv_2026*H$7</f>
        <v>0</v>
      </c>
      <c r="I47" s="28">
        <f>(INDEX(Option3!I$105:I$116, MATCH($D47, Option3!$G$105:$G$116,0)))*conv_2026*I$7</f>
        <v>0</v>
      </c>
      <c r="J47" s="28">
        <f>(INDEX(Option3!J$105:J$116, MATCH($D47, Option3!$G$105:$G$116,0)))*conv_2026*J$7</f>
        <v>0</v>
      </c>
      <c r="K47" s="28">
        <f>(INDEX(Option3!K$105:K$116, MATCH($D47, Option3!$G$105:$G$116,0)))*conv_2026*K$7</f>
        <v>0</v>
      </c>
      <c r="L47" s="28">
        <f>(INDEX(Option3!L$105:L$116, MATCH($D47, Option3!$G$105:$G$116,0)))*conv_2026*L$7</f>
        <v>-15770.937549003222</v>
      </c>
      <c r="M47" s="28">
        <f>(INDEX(Option3!M$105:M$116, MATCH($D47, Option3!$G$105:$G$116,0)))*conv_2026*M$7</f>
        <v>-15170.33521290918</v>
      </c>
      <c r="N47" s="28">
        <f>(INDEX(Option3!N$105:N$116, MATCH($D47, Option3!$G$105:$G$116,0)))*conv_2026*N$7</f>
        <v>-14350.413792102416</v>
      </c>
      <c r="O47" s="28">
        <f>(INDEX(Option3!O$105:O$116, MATCH($D47, Option3!$G$105:$G$116,0)))*conv_2026*O$7</f>
        <v>-13159.279101361119</v>
      </c>
      <c r="P47" s="28">
        <f>(INDEX(Option3!P$105:P$116, MATCH($D47, Option3!$G$105:$G$116,0)))*conv_2026*P$7</f>
        <v>-11951.856329536007</v>
      </c>
      <c r="Q47" s="28">
        <f>(INDEX(Option3!Q$105:Q$116, MATCH($D47, Option3!$G$105:$G$116,0)))*conv_2026*Q$7</f>
        <v>-10996.834266795342</v>
      </c>
      <c r="R47" s="28">
        <f>(INDEX(Option3!R$105:R$116, MATCH($D47, Option3!$G$105:$G$116,0)))*conv_2026*R$7</f>
        <v>-10344.110261543883</v>
      </c>
      <c r="S47" s="28">
        <f>(INDEX(Option3!S$105:S$116, MATCH($D47, Option3!$G$105:$G$116,0)))*conv_2026*S$7</f>
        <v>-9684.7852513286016</v>
      </c>
      <c r="T47" s="28">
        <f>(INDEX(Option3!T$105:T$116, MATCH($D47, Option3!$G$105:$G$116,0)))*conv_2026*T$7</f>
        <v>-9018.8478712910728</v>
      </c>
      <c r="U47" s="28">
        <f>(INDEX(Option3!U$105:U$116, MATCH($D47, Option3!$G$105:$G$116,0)))*conv_2026*U$7</f>
        <v>-8346.3241576767759</v>
      </c>
      <c r="V47" s="28">
        <f>(INDEX(Option3!V$105:V$116, MATCH($D47, Option3!$G$105:$G$116,0)))*conv_2026*V$7</f>
        <v>-7667.213335767402</v>
      </c>
      <c r="W47" s="28">
        <f>(INDEX(Option3!W$105:W$116, MATCH($D47, Option3!$G$105:$G$116,0)))*conv_2026*W$7</f>
        <v>-6981.552056923616</v>
      </c>
      <c r="X47" s="28">
        <f>(INDEX(Option3!X$105:X$116, MATCH($D47, Option3!$G$105:$G$116,0)))*conv_2026*X$7</f>
        <v>-6289.3742398435043</v>
      </c>
      <c r="Y47" s="28">
        <f>(INDEX(Option3!Y$105:Y$116, MATCH($D47, Option3!$G$105:$G$116,0)))*conv_2026*Y$7</f>
        <v>-5590.6628995544306</v>
      </c>
      <c r="Z47" s="28">
        <f>(INDEX(Option3!Z$105:Z$116, MATCH($D47, Option3!$G$105:$G$116,0)))*conv_2026*Z$7</f>
        <v>-4885.4357676770214</v>
      </c>
      <c r="AA47" s="28">
        <f>(INDEX(Option3!AA$105:AA$116, MATCH($D47, Option3!$G$105:$G$116,0)))*conv_2026*AA$7</f>
        <v>-4173.7186132180695</v>
      </c>
      <c r="AB47" s="28">
        <f>(INDEX(Option3!AB$105:AB$116, MATCH($D47, Option3!$G$105:$G$116,0)))*conv_2026*AB$7</f>
        <v>-3455.5398075568296</v>
      </c>
      <c r="AC47" s="28">
        <f>(INDEX(Option3!AC$105:AC$116, MATCH($D47, Option3!$G$105:$G$116,0)))*conv_2026*AC$7</f>
        <v>-2730.9277051661816</v>
      </c>
      <c r="AD47" s="28">
        <f>(INDEX(Option3!AD$105:AD$116, MATCH($D47, Option3!$G$105:$G$116,0)))*conv_2026*AD$7</f>
        <v>-1999.8516299955033</v>
      </c>
      <c r="AE47" s="28">
        <f>(INDEX(Option3!AE$105:AE$116, MATCH($D47, Option3!$G$105:$G$116,0)))*conv_2026*AE$7</f>
        <v>0</v>
      </c>
      <c r="AF47" s="28">
        <f>(INDEX(Option3!AF$105:AF$116, MATCH($D47, Option3!$G$105:$G$116,0)))*conv_2026*AF$7</f>
        <v>0</v>
      </c>
      <c r="AG47" s="28">
        <f>(INDEX(Option3!AG$105:AG$116, MATCH($D47, Option3!$G$105:$G$116,0)))*conv_2026*AG$7</f>
        <v>0</v>
      </c>
    </row>
    <row r="48" spans="1:35" s="6" customFormat="1" x14ac:dyDescent="0.2">
      <c r="A48" s="222" t="s">
        <v>167</v>
      </c>
      <c r="B48" s="222" t="str">
        <f>Option3!A113</f>
        <v>sens5</v>
      </c>
      <c r="C48" s="222" t="str">
        <f>Option3!C113</f>
        <v>Capex 10% higher &amp; Total benefits 10% lower</v>
      </c>
      <c r="D48" s="222" t="str">
        <f t="shared" si="5"/>
        <v>Option 3sens5</v>
      </c>
      <c r="E48" s="214"/>
      <c r="F48" s="28">
        <f t="shared" si="4"/>
        <v>-169318.93542720398</v>
      </c>
      <c r="H48" s="28">
        <f>(INDEX(Option3!H$105:H$116, MATCH($D48, Option3!$G$105:$G$116,0)))*conv_2026*H$7</f>
        <v>0</v>
      </c>
      <c r="I48" s="28">
        <f>(INDEX(Option3!I$105:I$116, MATCH($D48, Option3!$G$105:$G$116,0)))*conv_2026*I$7</f>
        <v>0</v>
      </c>
      <c r="J48" s="28">
        <f>(INDEX(Option3!J$105:J$116, MATCH($D48, Option3!$G$105:$G$116,0)))*conv_2026*J$7</f>
        <v>0</v>
      </c>
      <c r="K48" s="28">
        <f>(INDEX(Option3!K$105:K$116, MATCH($D48, Option3!$G$105:$G$116,0)))*conv_2026*K$7</f>
        <v>0</v>
      </c>
      <c r="L48" s="28">
        <f>(INDEX(Option3!L$105:L$116, MATCH($D48, Option3!$G$105:$G$116,0)))*conv_2026*L$7</f>
        <v>-19897.960158011352</v>
      </c>
      <c r="M48" s="28">
        <f>(INDEX(Option3!M$105:M$116, MATCH($D48, Option3!$G$105:$G$116,0)))*conv_2026*M$7</f>
        <v>-19297.357821917311</v>
      </c>
      <c r="N48" s="28">
        <f>(INDEX(Option3!N$105:N$116, MATCH($D48, Option3!$G$105:$G$116,0)))*conv_2026*N$7</f>
        <v>-18477.436401110546</v>
      </c>
      <c r="O48" s="28">
        <f>(INDEX(Option3!O$105:O$116, MATCH($D48, Option3!$G$105:$G$116,0)))*conv_2026*O$7</f>
        <v>-17286.301710369247</v>
      </c>
      <c r="P48" s="28">
        <f>(INDEX(Option3!P$105:P$116, MATCH($D48, Option3!$G$105:$G$116,0)))*conv_2026*P$7</f>
        <v>-16078.87893854414</v>
      </c>
      <c r="Q48" s="28">
        <f>(INDEX(Option3!Q$105:Q$116, MATCH($D48, Option3!$G$105:$G$116,0)))*conv_2026*Q$7</f>
        <v>-15123.856875803471</v>
      </c>
      <c r="R48" s="28">
        <f>(INDEX(Option3!R$105:R$116, MATCH($D48, Option3!$G$105:$G$116,0)))*conv_2026*R$7</f>
        <v>-14471.132870552015</v>
      </c>
      <c r="S48" s="28">
        <f>(INDEX(Option3!S$105:S$116, MATCH($D48, Option3!$G$105:$G$116,0)))*conv_2026*S$7</f>
        <v>-13811.807860336732</v>
      </c>
      <c r="T48" s="28">
        <f>(INDEX(Option3!T$105:T$116, MATCH($D48, Option3!$G$105:$G$116,0)))*conv_2026*T$7</f>
        <v>-13145.870480299203</v>
      </c>
      <c r="U48" s="28">
        <f>(INDEX(Option3!U$105:U$116, MATCH($D48, Option3!$G$105:$G$116,0)))*conv_2026*U$7</f>
        <v>-12473.346766684905</v>
      </c>
      <c r="V48" s="28">
        <f>(INDEX(Option3!V$105:V$116, MATCH($D48, Option3!$G$105:$G$116,0)))*conv_2026*V$7</f>
        <v>-11794.235944775532</v>
      </c>
      <c r="W48" s="28">
        <f>(INDEX(Option3!W$105:W$116, MATCH($D48, Option3!$G$105:$G$116,0)))*conv_2026*W$7</f>
        <v>-11108.574665931745</v>
      </c>
      <c r="X48" s="28">
        <f>(INDEX(Option3!X$105:X$116, MATCH($D48, Option3!$G$105:$G$116,0)))*conv_2026*X$7</f>
        <v>-10416.396848851635</v>
      </c>
      <c r="Y48" s="28">
        <f>(INDEX(Option3!Y$105:Y$116, MATCH($D48, Option3!$G$105:$G$116,0)))*conv_2026*Y$7</f>
        <v>-9717.6855085625593</v>
      </c>
      <c r="Z48" s="28">
        <f>(INDEX(Option3!Z$105:Z$116, MATCH($D48, Option3!$G$105:$G$116,0)))*conv_2026*Z$7</f>
        <v>-9012.458376685152</v>
      </c>
      <c r="AA48" s="28">
        <f>(INDEX(Option3!AA$105:AA$116, MATCH($D48, Option3!$G$105:$G$116,0)))*conv_2026*AA$7</f>
        <v>-8300.7412222261992</v>
      </c>
      <c r="AB48" s="28">
        <f>(INDEX(Option3!AB$105:AB$116, MATCH($D48, Option3!$G$105:$G$116,0)))*conv_2026*AB$7</f>
        <v>-7582.5624165649606</v>
      </c>
      <c r="AC48" s="28">
        <f>(INDEX(Option3!AC$105:AC$116, MATCH($D48, Option3!$G$105:$G$116,0)))*conv_2026*AC$7</f>
        <v>-6857.9503141743116</v>
      </c>
      <c r="AD48" s="28">
        <f>(INDEX(Option3!AD$105:AD$116, MATCH($D48, Option3!$G$105:$G$116,0)))*conv_2026*AD$7</f>
        <v>-6126.8742390036332</v>
      </c>
      <c r="AE48" s="28">
        <f>(INDEX(Option3!AE$105:AE$116, MATCH($D48, Option3!$G$105:$G$116,0)))*conv_2026*AE$7</f>
        <v>0</v>
      </c>
      <c r="AF48" s="28">
        <f>(INDEX(Option3!AF$105:AF$116, MATCH($D48, Option3!$G$105:$G$116,0)))*conv_2026*AF$7</f>
        <v>0</v>
      </c>
      <c r="AG48" s="28">
        <f>(INDEX(Option3!AG$105:AG$116, MATCH($D48, Option3!$G$105:$G$116,0)))*conv_2026*AG$7</f>
        <v>0</v>
      </c>
    </row>
    <row r="49" spans="1:35" s="6" customFormat="1" x14ac:dyDescent="0.2">
      <c r="A49" s="222" t="s">
        <v>167</v>
      </c>
      <c r="B49" s="222" t="str">
        <f>Option3!A114</f>
        <v>sens</v>
      </c>
      <c r="C49" s="222">
        <f>Option3!C114</f>
        <v>0</v>
      </c>
      <c r="D49" s="222" t="str">
        <f t="shared" si="5"/>
        <v>Option 3sens</v>
      </c>
      <c r="E49" s="214"/>
      <c r="F49" s="28">
        <f t="shared" si="4"/>
        <v>-72758.731043888285</v>
      </c>
      <c r="H49" s="28">
        <f>(INDEX(Option3!H$105:H$116, MATCH($D49, Option3!$G$105:$G$116,0)))*conv_2026*H$7</f>
        <v>0</v>
      </c>
      <c r="I49" s="28">
        <f>(INDEX(Option3!I$105:I$116, MATCH($D49, Option3!$G$105:$G$116,0)))*conv_2026*I$7</f>
        <v>0</v>
      </c>
      <c r="J49" s="28">
        <f>(INDEX(Option3!J$105:J$116, MATCH($D49, Option3!$G$105:$G$116,0)))*conv_2026*J$7</f>
        <v>0</v>
      </c>
      <c r="K49" s="28">
        <f>(INDEX(Option3!K$105:K$116, MATCH($D49, Option3!$G$105:$G$116,0)))*conv_2026*K$7</f>
        <v>0</v>
      </c>
      <c r="L49" s="28">
        <f>(INDEX(Option3!L$105:L$116, MATCH($D49, Option3!$G$105:$G$116,0)))*conv_2026*L$7</f>
        <v>-12937.683266661214</v>
      </c>
      <c r="M49" s="28">
        <f>(INDEX(Option3!M$105:M$116, MATCH($D49, Option3!$G$105:$G$116,0)))*conv_2026*M$7</f>
        <v>-12270.347337667834</v>
      </c>
      <c r="N49" s="28">
        <f>(INDEX(Option3!N$105:N$116, MATCH($D49, Option3!$G$105:$G$116,0)))*conv_2026*N$7</f>
        <v>-11359.323536771428</v>
      </c>
      <c r="O49" s="28">
        <f>(INDEX(Option3!O$105:O$116, MATCH($D49, Option3!$G$105:$G$116,0)))*conv_2026*O$7</f>
        <v>-10035.840547058877</v>
      </c>
      <c r="P49" s="28">
        <f>(INDEX(Option3!P$105:P$116, MATCH($D49, Option3!$G$105:$G$116,0)))*conv_2026*P$7</f>
        <v>-8694.2596894754206</v>
      </c>
      <c r="Q49" s="28">
        <f>(INDEX(Option3!Q$105:Q$116, MATCH($D49, Option3!$G$105:$G$116,0)))*conv_2026*Q$7</f>
        <v>-7633.1240642080129</v>
      </c>
      <c r="R49" s="28">
        <f>(INDEX(Option3!R$105:R$116, MATCH($D49, Option3!$G$105:$G$116,0)))*conv_2026*R$7</f>
        <v>-6907.8751694841712</v>
      </c>
      <c r="S49" s="28">
        <f>(INDEX(Option3!S$105:S$116, MATCH($D49, Option3!$G$105:$G$116,0)))*conv_2026*S$7</f>
        <v>-6175.2918248005244</v>
      </c>
      <c r="T49" s="28">
        <f>(INDEX(Option3!T$105:T$116, MATCH($D49, Option3!$G$105:$G$116,0)))*conv_2026*T$7</f>
        <v>-5435.3614025366041</v>
      </c>
      <c r="U49" s="28">
        <f>(INDEX(Option3!U$105:U$116, MATCH($D49, Option3!$G$105:$G$116,0)))*conv_2026*U$7</f>
        <v>-4688.1128318540495</v>
      </c>
      <c r="V49" s="28">
        <f>(INDEX(Option3!V$105:V$116, MATCH($D49, Option3!$G$105:$G$116,0)))*conv_2026*V$7</f>
        <v>-3933.5452519547471</v>
      </c>
      <c r="W49" s="28">
        <f>(INDEX(Option3!W$105:W$116, MATCH($D49, Option3!$G$105:$G$116,0)))*conv_2026*W$7</f>
        <v>-3171.6993865727623</v>
      </c>
      <c r="X49" s="28">
        <f>(INDEX(Option3!X$105:X$116, MATCH($D49, Option3!$G$105:$G$116,0)))*conv_2026*X$7</f>
        <v>-2402.6129231504156</v>
      </c>
      <c r="Y49" s="28">
        <f>(INDEX(Option3!Y$105:Y$116, MATCH($D49, Option3!$G$105:$G$116,0)))*conv_2026*Y$7</f>
        <v>-1626.2669894958888</v>
      </c>
      <c r="Z49" s="28">
        <f>(INDEX(Option3!Z$105:Z$116, MATCH($D49, Option3!$G$105:$G$116,0)))*conv_2026*Z$7</f>
        <v>-842.68128740987925</v>
      </c>
      <c r="AA49" s="28">
        <f>(INDEX(Option3!AA$105:AA$116, MATCH($D49, Option3!$G$105:$G$116,0)))*conv_2026*AA$7</f>
        <v>-51.884449122154344</v>
      </c>
      <c r="AB49" s="28">
        <f>(INDEX(Option3!AB$105:AB$116, MATCH($D49, Option3!$G$105:$G$116,0)))*conv_2026*AB$7</f>
        <v>746.09200161255603</v>
      </c>
      <c r="AC49" s="28">
        <f>(INDEX(Option3!AC$105:AC$116, MATCH($D49, Option3!$G$105:$G$116,0)))*conv_2026*AC$7</f>
        <v>1551.2165598243873</v>
      </c>
      <c r="AD49" s="28">
        <f>(INDEX(Option3!AD$105:AD$116, MATCH($D49, Option3!$G$105:$G$116,0)))*conv_2026*AD$7</f>
        <v>2363.5233100140294</v>
      </c>
      <c r="AE49" s="28">
        <f>(INDEX(Option3!AE$105:AE$116, MATCH($D49, Option3!$G$105:$G$116,0)))*conv_2026*AE$7</f>
        <v>0</v>
      </c>
      <c r="AF49" s="28">
        <f>(INDEX(Option3!AF$105:AF$116, MATCH($D49, Option3!$G$105:$G$116,0)))*conv_2026*AF$7</f>
        <v>0</v>
      </c>
      <c r="AG49" s="28">
        <f>(INDEX(Option3!AG$105:AG$116, MATCH($D49, Option3!$G$105:$G$116,0)))*conv_2026*AG$7</f>
        <v>0</v>
      </c>
    </row>
    <row r="50" spans="1:35" s="6" customFormat="1" x14ac:dyDescent="0.2">
      <c r="A50" s="222" t="s">
        <v>167</v>
      </c>
      <c r="B50" s="222" t="str">
        <f>Option3!A115</f>
        <v>sens</v>
      </c>
      <c r="C50" s="222">
        <f>Option3!C115</f>
        <v>0</v>
      </c>
      <c r="D50" s="222" t="str">
        <f t="shared" si="5"/>
        <v>Option 3sens</v>
      </c>
      <c r="E50" s="214"/>
      <c r="F50" s="28">
        <f t="shared" si="4"/>
        <v>-72758.731043888285</v>
      </c>
      <c r="H50" s="28">
        <f>(INDEX(Option3!H$105:H$116, MATCH($D50, Option3!$G$105:$G$116,0)))*conv_2026*H$7</f>
        <v>0</v>
      </c>
      <c r="I50" s="28">
        <f>(INDEX(Option3!I$105:I$116, MATCH($D50, Option3!$G$105:$G$116,0)))*conv_2026*I$7</f>
        <v>0</v>
      </c>
      <c r="J50" s="28">
        <f>(INDEX(Option3!J$105:J$116, MATCH($D50, Option3!$G$105:$G$116,0)))*conv_2026*J$7</f>
        <v>0</v>
      </c>
      <c r="K50" s="28">
        <f>(INDEX(Option3!K$105:K$116, MATCH($D50, Option3!$G$105:$G$116,0)))*conv_2026*K$7</f>
        <v>0</v>
      </c>
      <c r="L50" s="28">
        <f>(INDEX(Option3!L$105:L$116, MATCH($D50, Option3!$G$105:$G$116,0)))*conv_2026*L$7</f>
        <v>-12937.683266661214</v>
      </c>
      <c r="M50" s="28">
        <f>(INDEX(Option3!M$105:M$116, MATCH($D50, Option3!$G$105:$G$116,0)))*conv_2026*M$7</f>
        <v>-12270.347337667834</v>
      </c>
      <c r="N50" s="28">
        <f>(INDEX(Option3!N$105:N$116, MATCH($D50, Option3!$G$105:$G$116,0)))*conv_2026*N$7</f>
        <v>-11359.323536771428</v>
      </c>
      <c r="O50" s="28">
        <f>(INDEX(Option3!O$105:O$116, MATCH($D50, Option3!$G$105:$G$116,0)))*conv_2026*O$7</f>
        <v>-10035.840547058877</v>
      </c>
      <c r="P50" s="28">
        <f>(INDEX(Option3!P$105:P$116, MATCH($D50, Option3!$G$105:$G$116,0)))*conv_2026*P$7</f>
        <v>-8694.2596894754206</v>
      </c>
      <c r="Q50" s="28">
        <f>(INDEX(Option3!Q$105:Q$116, MATCH($D50, Option3!$G$105:$G$116,0)))*conv_2026*Q$7</f>
        <v>-7633.1240642080129</v>
      </c>
      <c r="R50" s="28">
        <f>(INDEX(Option3!R$105:R$116, MATCH($D50, Option3!$G$105:$G$116,0)))*conv_2026*R$7</f>
        <v>-6907.8751694841712</v>
      </c>
      <c r="S50" s="28">
        <f>(INDEX(Option3!S$105:S$116, MATCH($D50, Option3!$G$105:$G$116,0)))*conv_2026*S$7</f>
        <v>-6175.2918248005244</v>
      </c>
      <c r="T50" s="28">
        <f>(INDEX(Option3!T$105:T$116, MATCH($D50, Option3!$G$105:$G$116,0)))*conv_2026*T$7</f>
        <v>-5435.3614025366041</v>
      </c>
      <c r="U50" s="28">
        <f>(INDEX(Option3!U$105:U$116, MATCH($D50, Option3!$G$105:$G$116,0)))*conv_2026*U$7</f>
        <v>-4688.1128318540495</v>
      </c>
      <c r="V50" s="28">
        <f>(INDEX(Option3!V$105:V$116, MATCH($D50, Option3!$G$105:$G$116,0)))*conv_2026*V$7</f>
        <v>-3933.5452519547471</v>
      </c>
      <c r="W50" s="28">
        <f>(INDEX(Option3!W$105:W$116, MATCH($D50, Option3!$G$105:$G$116,0)))*conv_2026*W$7</f>
        <v>-3171.6993865727623</v>
      </c>
      <c r="X50" s="28">
        <f>(INDEX(Option3!X$105:X$116, MATCH($D50, Option3!$G$105:$G$116,0)))*conv_2026*X$7</f>
        <v>-2402.6129231504156</v>
      </c>
      <c r="Y50" s="28">
        <f>(INDEX(Option3!Y$105:Y$116, MATCH($D50, Option3!$G$105:$G$116,0)))*conv_2026*Y$7</f>
        <v>-1626.2669894958888</v>
      </c>
      <c r="Z50" s="28">
        <f>(INDEX(Option3!Z$105:Z$116, MATCH($D50, Option3!$G$105:$G$116,0)))*conv_2026*Z$7</f>
        <v>-842.68128740987925</v>
      </c>
      <c r="AA50" s="28">
        <f>(INDEX(Option3!AA$105:AA$116, MATCH($D50, Option3!$G$105:$G$116,0)))*conv_2026*AA$7</f>
        <v>-51.884449122154344</v>
      </c>
      <c r="AB50" s="28">
        <f>(INDEX(Option3!AB$105:AB$116, MATCH($D50, Option3!$G$105:$G$116,0)))*conv_2026*AB$7</f>
        <v>746.09200161255603</v>
      </c>
      <c r="AC50" s="28">
        <f>(INDEX(Option3!AC$105:AC$116, MATCH($D50, Option3!$G$105:$G$116,0)))*conv_2026*AC$7</f>
        <v>1551.2165598243873</v>
      </c>
      <c r="AD50" s="28">
        <f>(INDEX(Option3!AD$105:AD$116, MATCH($D50, Option3!$G$105:$G$116,0)))*conv_2026*AD$7</f>
        <v>2363.5233100140294</v>
      </c>
      <c r="AE50" s="28">
        <f>(INDEX(Option3!AE$105:AE$116, MATCH($D50, Option3!$G$105:$G$116,0)))*conv_2026*AE$7</f>
        <v>0</v>
      </c>
      <c r="AF50" s="28">
        <f>(INDEX(Option3!AF$105:AF$116, MATCH($D50, Option3!$G$105:$G$116,0)))*conv_2026*AF$7</f>
        <v>0</v>
      </c>
      <c r="AG50" s="28">
        <f>(INDEX(Option3!AG$105:AG$116, MATCH($D50, Option3!$G$105:$G$116,0)))*conv_2026*AG$7</f>
        <v>0</v>
      </c>
    </row>
    <row r="51" spans="1:35" s="6" customFormat="1" x14ac:dyDescent="0.2">
      <c r="A51" s="222" t="s">
        <v>167</v>
      </c>
      <c r="B51" s="222" t="str">
        <f>Option3!A116</f>
        <v>sens</v>
      </c>
      <c r="C51" s="222">
        <f>Option3!C116</f>
        <v>0</v>
      </c>
      <c r="D51" s="222" t="str">
        <f t="shared" si="5"/>
        <v>Option 3sens</v>
      </c>
      <c r="E51" s="214"/>
      <c r="F51" s="28">
        <f t="shared" si="4"/>
        <v>-72758.731043888285</v>
      </c>
      <c r="H51" s="28">
        <f>(INDEX(Option3!H$105:H$116, MATCH($D51, Option3!$G$105:$G$116,0)))*conv_2026*H$7</f>
        <v>0</v>
      </c>
      <c r="I51" s="28">
        <f>(INDEX(Option3!I$105:I$116, MATCH($D51, Option3!$G$105:$G$116,0)))*conv_2026*I$7</f>
        <v>0</v>
      </c>
      <c r="J51" s="28">
        <f>(INDEX(Option3!J$105:J$116, MATCH($D51, Option3!$G$105:$G$116,0)))*conv_2026*J$7</f>
        <v>0</v>
      </c>
      <c r="K51" s="28">
        <f>(INDEX(Option3!K$105:K$116, MATCH($D51, Option3!$G$105:$G$116,0)))*conv_2026*K$7</f>
        <v>0</v>
      </c>
      <c r="L51" s="28">
        <f>(INDEX(Option3!L$105:L$116, MATCH($D51, Option3!$G$105:$G$116,0)))*conv_2026*L$7</f>
        <v>-12937.683266661214</v>
      </c>
      <c r="M51" s="28">
        <f>(INDEX(Option3!M$105:M$116, MATCH($D51, Option3!$G$105:$G$116,0)))*conv_2026*M$7</f>
        <v>-12270.347337667834</v>
      </c>
      <c r="N51" s="28">
        <f>(INDEX(Option3!N$105:N$116, MATCH($D51, Option3!$G$105:$G$116,0)))*conv_2026*N$7</f>
        <v>-11359.323536771428</v>
      </c>
      <c r="O51" s="28">
        <f>(INDEX(Option3!O$105:O$116, MATCH($D51, Option3!$G$105:$G$116,0)))*conv_2026*O$7</f>
        <v>-10035.840547058877</v>
      </c>
      <c r="P51" s="28">
        <f>(INDEX(Option3!P$105:P$116, MATCH($D51, Option3!$G$105:$G$116,0)))*conv_2026*P$7</f>
        <v>-8694.2596894754206</v>
      </c>
      <c r="Q51" s="28">
        <f>(INDEX(Option3!Q$105:Q$116, MATCH($D51, Option3!$G$105:$G$116,0)))*conv_2026*Q$7</f>
        <v>-7633.1240642080129</v>
      </c>
      <c r="R51" s="28">
        <f>(INDEX(Option3!R$105:R$116, MATCH($D51, Option3!$G$105:$G$116,0)))*conv_2026*R$7</f>
        <v>-6907.8751694841712</v>
      </c>
      <c r="S51" s="28">
        <f>(INDEX(Option3!S$105:S$116, MATCH($D51, Option3!$G$105:$G$116,0)))*conv_2026*S$7</f>
        <v>-6175.2918248005244</v>
      </c>
      <c r="T51" s="28">
        <f>(INDEX(Option3!T$105:T$116, MATCH($D51, Option3!$G$105:$G$116,0)))*conv_2026*T$7</f>
        <v>-5435.3614025366041</v>
      </c>
      <c r="U51" s="28">
        <f>(INDEX(Option3!U$105:U$116, MATCH($D51, Option3!$G$105:$G$116,0)))*conv_2026*U$7</f>
        <v>-4688.1128318540495</v>
      </c>
      <c r="V51" s="28">
        <f>(INDEX(Option3!V$105:V$116, MATCH($D51, Option3!$G$105:$G$116,0)))*conv_2026*V$7</f>
        <v>-3933.5452519547471</v>
      </c>
      <c r="W51" s="28">
        <f>(INDEX(Option3!W$105:W$116, MATCH($D51, Option3!$G$105:$G$116,0)))*conv_2026*W$7</f>
        <v>-3171.6993865727623</v>
      </c>
      <c r="X51" s="28">
        <f>(INDEX(Option3!X$105:X$116, MATCH($D51, Option3!$G$105:$G$116,0)))*conv_2026*X$7</f>
        <v>-2402.6129231504156</v>
      </c>
      <c r="Y51" s="28">
        <f>(INDEX(Option3!Y$105:Y$116, MATCH($D51, Option3!$G$105:$G$116,0)))*conv_2026*Y$7</f>
        <v>-1626.2669894958888</v>
      </c>
      <c r="Z51" s="28">
        <f>(INDEX(Option3!Z$105:Z$116, MATCH($D51, Option3!$G$105:$G$116,0)))*conv_2026*Z$7</f>
        <v>-842.68128740987925</v>
      </c>
      <c r="AA51" s="28">
        <f>(INDEX(Option3!AA$105:AA$116, MATCH($D51, Option3!$G$105:$G$116,0)))*conv_2026*AA$7</f>
        <v>-51.884449122154344</v>
      </c>
      <c r="AB51" s="28">
        <f>(INDEX(Option3!AB$105:AB$116, MATCH($D51, Option3!$G$105:$G$116,0)))*conv_2026*AB$7</f>
        <v>746.09200161255603</v>
      </c>
      <c r="AC51" s="28">
        <f>(INDEX(Option3!AC$105:AC$116, MATCH($D51, Option3!$G$105:$G$116,0)))*conv_2026*AC$7</f>
        <v>1551.2165598243873</v>
      </c>
      <c r="AD51" s="28">
        <f>(INDEX(Option3!AD$105:AD$116, MATCH($D51, Option3!$G$105:$G$116,0)))*conv_2026*AD$7</f>
        <v>2363.5233100140294</v>
      </c>
      <c r="AE51" s="28">
        <f>(INDEX(Option3!AE$105:AE$116, MATCH($D51, Option3!$G$105:$G$116,0)))*conv_2026*AE$7</f>
        <v>0</v>
      </c>
      <c r="AF51" s="28">
        <f>(INDEX(Option3!AF$105:AF$116, MATCH($D51, Option3!$G$105:$G$116,0)))*conv_2026*AF$7</f>
        <v>0</v>
      </c>
      <c r="AG51" s="28">
        <f>(INDEX(Option3!AG$105:AG$116, MATCH($D51, Option3!$G$105:$G$116,0)))*conv_2026*AG$7</f>
        <v>0</v>
      </c>
    </row>
    <row r="52" spans="1:35" s="6" customFormat="1" x14ac:dyDescent="0.2">
      <c r="A52" s="222"/>
      <c r="B52" s="222"/>
      <c r="C52" s="222"/>
      <c r="D52" s="222"/>
      <c r="E52" s="222"/>
      <c r="F52" s="28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</row>
    <row r="53" spans="1:35" s="6" customFormat="1" x14ac:dyDescent="0.2">
      <c r="A53" s="222"/>
      <c r="B53" s="222"/>
      <c r="C53" s="222"/>
      <c r="D53" s="222"/>
      <c r="E53" s="222"/>
      <c r="F53" s="28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</row>
    <row r="54" spans="1:35" s="6" customFormat="1" x14ac:dyDescent="0.2">
      <c r="A54" s="222"/>
      <c r="B54" s="222"/>
      <c r="C54" s="222"/>
      <c r="D54" s="222"/>
      <c r="E54" s="222"/>
      <c r="F54" s="28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</row>
    <row r="55" spans="1:35" s="6" customFormat="1" x14ac:dyDescent="0.2">
      <c r="A55" s="222"/>
      <c r="B55" s="222"/>
      <c r="C55" s="222"/>
      <c r="D55" s="222"/>
      <c r="E55" s="222"/>
      <c r="F55" s="28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</row>
    <row r="56" spans="1:35" s="6" customFormat="1" x14ac:dyDescent="0.2">
      <c r="A56" s="222" t="s">
        <v>168</v>
      </c>
      <c r="B56" s="222" t="s">
        <v>22</v>
      </c>
      <c r="C56" s="222" t="s">
        <v>147</v>
      </c>
      <c r="D56" s="222" t="str">
        <f>A56&amp;B56</f>
        <v>Option 4NPV</v>
      </c>
      <c r="E56" s="214"/>
      <c r="F56" s="28">
        <f t="shared" ref="F56:F65" si="6">SUMPRODUCT($H56:$AG56, $H$5:$AG$5)</f>
        <v>0</v>
      </c>
      <c r="G56" s="217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0</v>
      </c>
      <c r="M56" s="28">
        <f>(INDEX(Option4!M$106:M$117, MATCH($D56, Option4!$G$106:$G$117,0)))*conv_2026*M$7</f>
        <v>0</v>
      </c>
      <c r="N56" s="28">
        <f>(INDEX(Option4!N$106:N$117, MATCH($D56, Option4!$G$106:$G$117,0)))*conv_2026*N$7</f>
        <v>0</v>
      </c>
      <c r="O56" s="28">
        <f>(INDEX(Option4!O$106:O$117, MATCH($D56, Option4!$G$106:$G$117,0)))*conv_2026*O$7</f>
        <v>0</v>
      </c>
      <c r="P56" s="28">
        <f>(INDEX(Option4!P$106:P$117, MATCH($D56, Option4!$G$106:$G$117,0)))*conv_2026*P$7</f>
        <v>0</v>
      </c>
      <c r="Q56" s="28">
        <f>(INDEX(Option4!Q$106:Q$117, MATCH($D56, Option4!$G$106:$G$117,0)))*conv_2026*Q$7</f>
        <v>0</v>
      </c>
      <c r="R56" s="28">
        <f>(INDEX(Option4!R$106:R$117, MATCH($D56, Option4!$G$106:$G$117,0)))*conv_2026*R$7</f>
        <v>0</v>
      </c>
      <c r="S56" s="28">
        <f>(INDEX(Option4!S$106:S$117, MATCH($D56, Option4!$G$106:$G$117,0)))*conv_2026*S$7</f>
        <v>0</v>
      </c>
      <c r="T56" s="28">
        <f>(INDEX(Option4!T$106:T$117, MATCH($D56, Option4!$G$106:$G$117,0)))*conv_2026*T$7</f>
        <v>0</v>
      </c>
      <c r="U56" s="28">
        <f>(INDEX(Option4!U$106:U$117, MATCH($D56, Option4!$G$106:$G$117,0)))*conv_2026*U$7</f>
        <v>0</v>
      </c>
      <c r="V56" s="28">
        <f>(INDEX(Option4!V$106:V$117, MATCH($D56, Option4!$G$106:$G$117,0)))*conv_2026*V$7</f>
        <v>0</v>
      </c>
      <c r="W56" s="28">
        <f>(INDEX(Option4!W$106:W$117, MATCH($D56, Option4!$G$106:$G$117,0)))*conv_2026*W$7</f>
        <v>0</v>
      </c>
      <c r="X56" s="28">
        <f>(INDEX(Option4!X$106:X$117, MATCH($D56, Option4!$G$106:$G$117,0)))*conv_2026*X$7</f>
        <v>0</v>
      </c>
      <c r="Y56" s="28">
        <f>(INDEX(Option4!Y$106:Y$117, MATCH($D56, Option4!$G$106:$G$117,0)))*conv_2026*Y$7</f>
        <v>0</v>
      </c>
      <c r="Z56" s="28">
        <f>(INDEX(Option4!Z$106:Z$117, MATCH($D56, Option4!$G$106:$G$117,0)))*conv_2026*Z$7</f>
        <v>0</v>
      </c>
      <c r="AA56" s="28">
        <f>(INDEX(Option4!AA$106:AA$117, MATCH($D56, Option4!$G$106:$G$117,0)))*conv_2026*AA$7</f>
        <v>0</v>
      </c>
      <c r="AB56" s="28">
        <f>(INDEX(Option4!AB$106:AB$117, MATCH($D56, Option4!$G$106:$G$117,0)))*conv_2026*AB$7</f>
        <v>0</v>
      </c>
      <c r="AC56" s="28">
        <f>(INDEX(Option4!AC$106:AC$117, MATCH($D56, Option4!$G$106:$G$117,0)))*conv_2026*AC$7</f>
        <v>0</v>
      </c>
      <c r="AD56" s="28">
        <f>(INDEX(Option4!AD$106:AD$117, MATCH($D56, Option4!$G$106:$G$117,0)))*conv_2026*AD$7</f>
        <v>0</v>
      </c>
      <c r="AE56" s="28">
        <f>(INDEX(Option4!AE$106:AE$117, MATCH($D56, Option4!$G$106:$G$117,0)))*conv_2026*AE$7</f>
        <v>0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x14ac:dyDescent="0.2">
      <c r="A57" s="216"/>
      <c r="B57" s="216"/>
      <c r="C57" s="216"/>
      <c r="D57" s="216"/>
      <c r="E57" s="216"/>
      <c r="F57" s="216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17"/>
      <c r="AG57" s="217"/>
      <c r="AH57" s="2"/>
      <c r="AI57" s="2"/>
    </row>
    <row r="58" spans="1:35" s="6" customFormat="1" x14ac:dyDescent="0.2">
      <c r="A58" s="222" t="s">
        <v>168</v>
      </c>
      <c r="B58" s="222" t="str">
        <f>Option4!A110</f>
        <v>sens1</v>
      </c>
      <c r="C58" s="222" t="str">
        <f>Option4!C110</f>
        <v>Capex 10% higher</v>
      </c>
      <c r="D58" s="222" t="str">
        <f t="shared" ref="D58:D65" si="7">A58&amp;B58</f>
        <v>Option 4sens1</v>
      </c>
      <c r="E58" s="214"/>
      <c r="F58" s="28">
        <f t="shared" si="6"/>
        <v>0</v>
      </c>
      <c r="G58" s="217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0</v>
      </c>
      <c r="M58" s="28">
        <f>(INDEX(Option4!M$106:M$117, MATCH($D58, Option4!$G$106:$G$117,0)))*conv_2026*M$7</f>
        <v>0</v>
      </c>
      <c r="N58" s="28">
        <f>(INDEX(Option4!N$106:N$117, MATCH($D58, Option4!$G$106:$G$117,0)))*conv_2026*N$7</f>
        <v>0</v>
      </c>
      <c r="O58" s="28">
        <f>(INDEX(Option4!O$106:O$117, MATCH($D58, Option4!$G$106:$G$117,0)))*conv_2026*O$7</f>
        <v>0</v>
      </c>
      <c r="P58" s="28">
        <f>(INDEX(Option4!P$106:P$117, MATCH($D58, Option4!$G$106:$G$117,0)))*conv_2026*P$7</f>
        <v>0</v>
      </c>
      <c r="Q58" s="28">
        <f>(INDEX(Option4!Q$106:Q$117, MATCH($D58, Option4!$G$106:$G$117,0)))*conv_2026*Q$7</f>
        <v>0</v>
      </c>
      <c r="R58" s="28">
        <f>(INDEX(Option4!R$106:R$117, MATCH($D58, Option4!$G$106:$G$117,0)))*conv_2026*R$7</f>
        <v>0</v>
      </c>
      <c r="S58" s="28">
        <f>(INDEX(Option4!S$106:S$117, MATCH($D58, Option4!$G$106:$G$117,0)))*conv_2026*S$7</f>
        <v>0</v>
      </c>
      <c r="T58" s="28">
        <f>(INDEX(Option4!T$106:T$117, MATCH($D58, Option4!$G$106:$G$117,0)))*conv_2026*T$7</f>
        <v>0</v>
      </c>
      <c r="U58" s="28">
        <f>(INDEX(Option4!U$106:U$117, MATCH($D58, Option4!$G$106:$G$117,0)))*conv_2026*U$7</f>
        <v>0</v>
      </c>
      <c r="V58" s="28">
        <f>(INDEX(Option4!V$106:V$117, MATCH($D58, Option4!$G$106:$G$117,0)))*conv_2026*V$7</f>
        <v>0</v>
      </c>
      <c r="W58" s="28">
        <f>(INDEX(Option4!W$106:W$117, MATCH($D58, Option4!$G$106:$G$117,0)))*conv_2026*W$7</f>
        <v>0</v>
      </c>
      <c r="X58" s="28">
        <f>(INDEX(Option4!X$106:X$117, MATCH($D58, Option4!$G$106:$G$117,0)))*conv_2026*X$7</f>
        <v>0</v>
      </c>
      <c r="Y58" s="28">
        <f>(INDEX(Option4!Y$106:Y$117, MATCH($D58, Option4!$G$106:$G$117,0)))*conv_2026*Y$7</f>
        <v>0</v>
      </c>
      <c r="Z58" s="28">
        <f>(INDEX(Option4!Z$106:Z$117, MATCH($D58, Option4!$G$106:$G$117,0)))*conv_2026*Z$7</f>
        <v>0</v>
      </c>
      <c r="AA58" s="28">
        <f>(INDEX(Option4!AA$106:AA$117, MATCH($D58, Option4!$G$106:$G$117,0)))*conv_2026*AA$7</f>
        <v>0</v>
      </c>
      <c r="AB58" s="28">
        <f>(INDEX(Option4!AB$106:AB$117, MATCH($D58, Option4!$G$106:$G$117,0)))*conv_2026*AB$7</f>
        <v>0</v>
      </c>
      <c r="AC58" s="28">
        <f>(INDEX(Option4!AC$106:AC$117, MATCH($D58, Option4!$G$106:$G$117,0)))*conv_2026*AC$7</f>
        <v>0</v>
      </c>
      <c r="AD58" s="28">
        <f>(INDEX(Option4!AD$106:AD$117, MATCH($D58, Option4!$G$106:$G$117,0)))*conv_2026*AD$7</f>
        <v>0</v>
      </c>
      <c r="AE58" s="28">
        <f>(INDEX(Option4!AE$106:AE$117, MATCH($D58, Option4!$G$106:$G$117,0)))*conv_2026*AE$7</f>
        <v>0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x14ac:dyDescent="0.2">
      <c r="A59" s="222" t="s">
        <v>168</v>
      </c>
      <c r="B59" s="222" t="str">
        <f>Option4!A111</f>
        <v>sens2</v>
      </c>
      <c r="C59" s="222" t="str">
        <f>Option4!C111</f>
        <v>Capex 10% lower</v>
      </c>
      <c r="D59" s="222" t="str">
        <f t="shared" si="7"/>
        <v>Option 4sens2</v>
      </c>
      <c r="E59" s="214"/>
      <c r="F59" s="28">
        <f t="shared" si="6"/>
        <v>0</v>
      </c>
      <c r="G59" s="222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0</v>
      </c>
      <c r="M59" s="28">
        <f>(INDEX(Option4!M$106:M$117, MATCH($D59, Option4!$G$106:$G$117,0)))*conv_2026*M$7</f>
        <v>0</v>
      </c>
      <c r="N59" s="28">
        <f>(INDEX(Option4!N$106:N$117, MATCH($D59, Option4!$G$106:$G$117,0)))*conv_2026*N$7</f>
        <v>0</v>
      </c>
      <c r="O59" s="28">
        <f>(INDEX(Option4!O$106:O$117, MATCH($D59, Option4!$G$106:$G$117,0)))*conv_2026*O$7</f>
        <v>0</v>
      </c>
      <c r="P59" s="28">
        <f>(INDEX(Option4!P$106:P$117, MATCH($D59, Option4!$G$106:$G$117,0)))*conv_2026*P$7</f>
        <v>0</v>
      </c>
      <c r="Q59" s="28">
        <f>(INDEX(Option4!Q$106:Q$117, MATCH($D59, Option4!$G$106:$G$117,0)))*conv_2026*Q$7</f>
        <v>0</v>
      </c>
      <c r="R59" s="28">
        <f>(INDEX(Option4!R$106:R$117, MATCH($D59, Option4!$G$106:$G$117,0)))*conv_2026*R$7</f>
        <v>0</v>
      </c>
      <c r="S59" s="28">
        <f>(INDEX(Option4!S$106:S$117, MATCH($D59, Option4!$G$106:$G$117,0)))*conv_2026*S$7</f>
        <v>0</v>
      </c>
      <c r="T59" s="28">
        <f>(INDEX(Option4!T$106:T$117, MATCH($D59, Option4!$G$106:$G$117,0)))*conv_2026*T$7</f>
        <v>0</v>
      </c>
      <c r="U59" s="28">
        <f>(INDEX(Option4!U$106:U$117, MATCH($D59, Option4!$G$106:$G$117,0)))*conv_2026*U$7</f>
        <v>0</v>
      </c>
      <c r="V59" s="28">
        <f>(INDEX(Option4!V$106:V$117, MATCH($D59, Option4!$G$106:$G$117,0)))*conv_2026*V$7</f>
        <v>0</v>
      </c>
      <c r="W59" s="28">
        <f>(INDEX(Option4!W$106:W$117, MATCH($D59, Option4!$G$106:$G$117,0)))*conv_2026*W$7</f>
        <v>0</v>
      </c>
      <c r="X59" s="28">
        <f>(INDEX(Option4!X$106:X$117, MATCH($D59, Option4!$G$106:$G$117,0)))*conv_2026*X$7</f>
        <v>0</v>
      </c>
      <c r="Y59" s="28">
        <f>(INDEX(Option4!Y$106:Y$117, MATCH($D59, Option4!$G$106:$G$117,0)))*conv_2026*Y$7</f>
        <v>0</v>
      </c>
      <c r="Z59" s="28">
        <f>(INDEX(Option4!Z$106:Z$117, MATCH($D59, Option4!$G$106:$G$117,0)))*conv_2026*Z$7</f>
        <v>0</v>
      </c>
      <c r="AA59" s="28">
        <f>(INDEX(Option4!AA$106:AA$117, MATCH($D59, Option4!$G$106:$G$117,0)))*conv_2026*AA$7</f>
        <v>0</v>
      </c>
      <c r="AB59" s="28">
        <f>(INDEX(Option4!AB$106:AB$117, MATCH($D59, Option4!$G$106:$G$117,0)))*conv_2026*AB$7</f>
        <v>0</v>
      </c>
      <c r="AC59" s="28">
        <f>(INDEX(Option4!AC$106:AC$117, MATCH($D59, Option4!$G$106:$G$117,0)))*conv_2026*AC$7</f>
        <v>0</v>
      </c>
      <c r="AD59" s="28">
        <f>(INDEX(Option4!AD$106:AD$117, MATCH($D59, Option4!$G$106:$G$117,0)))*conv_2026*AD$7</f>
        <v>0</v>
      </c>
      <c r="AE59" s="28">
        <f>(INDEX(Option4!AE$106:AE$117, MATCH($D59, Option4!$G$106:$G$117,0)))*conv_2026*AE$7</f>
        <v>0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x14ac:dyDescent="0.2">
      <c r="A60" s="222" t="s">
        <v>168</v>
      </c>
      <c r="B60" s="222" t="str">
        <f>Option4!A112</f>
        <v>sens3</v>
      </c>
      <c r="C60" s="222" t="str">
        <f>Option4!C112</f>
        <v>Total benefits 10% higher</v>
      </c>
      <c r="D60" s="222" t="str">
        <f t="shared" si="7"/>
        <v>Option 4sens3</v>
      </c>
      <c r="E60" s="214"/>
      <c r="F60" s="28">
        <f t="shared" si="6"/>
        <v>0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0</v>
      </c>
      <c r="M60" s="28">
        <f>(INDEX(Option4!M$106:M$117, MATCH($D60, Option4!$G$106:$G$117,0)))*conv_2026*M$7</f>
        <v>0</v>
      </c>
      <c r="N60" s="28">
        <f>(INDEX(Option4!N$106:N$117, MATCH($D60, Option4!$G$106:$G$117,0)))*conv_2026*N$7</f>
        <v>0</v>
      </c>
      <c r="O60" s="28">
        <f>(INDEX(Option4!O$106:O$117, MATCH($D60, Option4!$G$106:$G$117,0)))*conv_2026*O$7</f>
        <v>0</v>
      </c>
      <c r="P60" s="28">
        <f>(INDEX(Option4!P$106:P$117, MATCH($D60, Option4!$G$106:$G$117,0)))*conv_2026*P$7</f>
        <v>0</v>
      </c>
      <c r="Q60" s="28">
        <f>(INDEX(Option4!Q$106:Q$117, MATCH($D60, Option4!$G$106:$G$117,0)))*conv_2026*Q$7</f>
        <v>0</v>
      </c>
      <c r="R60" s="28">
        <f>(INDEX(Option4!R$106:R$117, MATCH($D60, Option4!$G$106:$G$117,0)))*conv_2026*R$7</f>
        <v>0</v>
      </c>
      <c r="S60" s="28">
        <f>(INDEX(Option4!S$106:S$117, MATCH($D60, Option4!$G$106:$G$117,0)))*conv_2026*S$7</f>
        <v>0</v>
      </c>
      <c r="T60" s="28">
        <f>(INDEX(Option4!T$106:T$117, MATCH($D60, Option4!$G$106:$G$117,0)))*conv_2026*T$7</f>
        <v>0</v>
      </c>
      <c r="U60" s="28">
        <f>(INDEX(Option4!U$106:U$117, MATCH($D60, Option4!$G$106:$G$117,0)))*conv_2026*U$7</f>
        <v>0</v>
      </c>
      <c r="V60" s="28">
        <f>(INDEX(Option4!V$106:V$117, MATCH($D60, Option4!$G$106:$G$117,0)))*conv_2026*V$7</f>
        <v>0</v>
      </c>
      <c r="W60" s="28">
        <f>(INDEX(Option4!W$106:W$117, MATCH($D60, Option4!$G$106:$G$117,0)))*conv_2026*W$7</f>
        <v>0</v>
      </c>
      <c r="X60" s="28">
        <f>(INDEX(Option4!X$106:X$117, MATCH($D60, Option4!$G$106:$G$117,0)))*conv_2026*X$7</f>
        <v>0</v>
      </c>
      <c r="Y60" s="28">
        <f>(INDEX(Option4!Y$106:Y$117, MATCH($D60, Option4!$G$106:$G$117,0)))*conv_2026*Y$7</f>
        <v>0</v>
      </c>
      <c r="Z60" s="28">
        <f>(INDEX(Option4!Z$106:Z$117, MATCH($D60, Option4!$G$106:$G$117,0)))*conv_2026*Z$7</f>
        <v>0</v>
      </c>
      <c r="AA60" s="28">
        <f>(INDEX(Option4!AA$106:AA$117, MATCH($D60, Option4!$G$106:$G$117,0)))*conv_2026*AA$7</f>
        <v>0</v>
      </c>
      <c r="AB60" s="28">
        <f>(INDEX(Option4!AB$106:AB$117, MATCH($D60, Option4!$G$106:$G$117,0)))*conv_2026*AB$7</f>
        <v>0</v>
      </c>
      <c r="AC60" s="28">
        <f>(INDEX(Option4!AC$106:AC$117, MATCH($D60, Option4!$G$106:$G$117,0)))*conv_2026*AC$7</f>
        <v>0</v>
      </c>
      <c r="AD60" s="28">
        <f>(INDEX(Option4!AD$106:AD$117, MATCH($D60, Option4!$G$106:$G$117,0)))*conv_2026*AD$7</f>
        <v>0</v>
      </c>
      <c r="AE60" s="28">
        <f>(INDEX(Option4!AE$106:AE$117, MATCH($D60, Option4!$G$106:$G$117,0)))*conv_2026*AE$7</f>
        <v>0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x14ac:dyDescent="0.2">
      <c r="A61" s="222" t="s">
        <v>168</v>
      </c>
      <c r="B61" s="222" t="str">
        <f>Option4!A113</f>
        <v>sens4</v>
      </c>
      <c r="C61" s="222" t="str">
        <f>Option4!C113</f>
        <v>Total benefits 10% lower</v>
      </c>
      <c r="D61" s="222" t="str">
        <f t="shared" si="7"/>
        <v>Option 4sens4</v>
      </c>
      <c r="E61" s="214"/>
      <c r="F61" s="28">
        <f t="shared" si="6"/>
        <v>0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0</v>
      </c>
      <c r="M61" s="28">
        <f>(INDEX(Option4!M$106:M$117, MATCH($D61, Option4!$G$106:$G$117,0)))*conv_2026*M$7</f>
        <v>0</v>
      </c>
      <c r="N61" s="28">
        <f>(INDEX(Option4!N$106:N$117, MATCH($D61, Option4!$G$106:$G$117,0)))*conv_2026*N$7</f>
        <v>0</v>
      </c>
      <c r="O61" s="28">
        <f>(INDEX(Option4!O$106:O$117, MATCH($D61, Option4!$G$106:$G$117,0)))*conv_2026*O$7</f>
        <v>0</v>
      </c>
      <c r="P61" s="28">
        <f>(INDEX(Option4!P$106:P$117, MATCH($D61, Option4!$G$106:$G$117,0)))*conv_2026*P$7</f>
        <v>0</v>
      </c>
      <c r="Q61" s="28">
        <f>(INDEX(Option4!Q$106:Q$117, MATCH($D61, Option4!$G$106:$G$117,0)))*conv_2026*Q$7</f>
        <v>0</v>
      </c>
      <c r="R61" s="28">
        <f>(INDEX(Option4!R$106:R$117, MATCH($D61, Option4!$G$106:$G$117,0)))*conv_2026*R$7</f>
        <v>0</v>
      </c>
      <c r="S61" s="28">
        <f>(INDEX(Option4!S$106:S$117, MATCH($D61, Option4!$G$106:$G$117,0)))*conv_2026*S$7</f>
        <v>0</v>
      </c>
      <c r="T61" s="28">
        <f>(INDEX(Option4!T$106:T$117, MATCH($D61, Option4!$G$106:$G$117,0)))*conv_2026*T$7</f>
        <v>0</v>
      </c>
      <c r="U61" s="28">
        <f>(INDEX(Option4!U$106:U$117, MATCH($D61, Option4!$G$106:$G$117,0)))*conv_2026*U$7</f>
        <v>0</v>
      </c>
      <c r="V61" s="28">
        <f>(INDEX(Option4!V$106:V$117, MATCH($D61, Option4!$G$106:$G$117,0)))*conv_2026*V$7</f>
        <v>0</v>
      </c>
      <c r="W61" s="28">
        <f>(INDEX(Option4!W$106:W$117, MATCH($D61, Option4!$G$106:$G$117,0)))*conv_2026*W$7</f>
        <v>0</v>
      </c>
      <c r="X61" s="28">
        <f>(INDEX(Option4!X$106:X$117, MATCH($D61, Option4!$G$106:$G$117,0)))*conv_2026*X$7</f>
        <v>0</v>
      </c>
      <c r="Y61" s="28">
        <f>(INDEX(Option4!Y$106:Y$117, MATCH($D61, Option4!$G$106:$G$117,0)))*conv_2026*Y$7</f>
        <v>0</v>
      </c>
      <c r="Z61" s="28">
        <f>(INDEX(Option4!Z$106:Z$117, MATCH($D61, Option4!$G$106:$G$117,0)))*conv_2026*Z$7</f>
        <v>0</v>
      </c>
      <c r="AA61" s="28">
        <f>(INDEX(Option4!AA$106:AA$117, MATCH($D61, Option4!$G$106:$G$117,0)))*conv_2026*AA$7</f>
        <v>0</v>
      </c>
      <c r="AB61" s="28">
        <f>(INDEX(Option4!AB$106:AB$117, MATCH($D61, Option4!$G$106:$G$117,0)))*conv_2026*AB$7</f>
        <v>0</v>
      </c>
      <c r="AC61" s="28">
        <f>(INDEX(Option4!AC$106:AC$117, MATCH($D61, Option4!$G$106:$G$117,0)))*conv_2026*AC$7</f>
        <v>0</v>
      </c>
      <c r="AD61" s="28">
        <f>(INDEX(Option4!AD$106:AD$117, MATCH($D61, Option4!$G$106:$G$117,0)))*conv_2026*AD$7</f>
        <v>0</v>
      </c>
      <c r="AE61" s="28">
        <f>(INDEX(Option4!AE$106:AE$117, MATCH($D61, Option4!$G$106:$G$117,0)))*conv_2026*AE$7</f>
        <v>0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x14ac:dyDescent="0.2">
      <c r="A62" s="222" t="s">
        <v>168</v>
      </c>
      <c r="B62" s="222" t="str">
        <f>Option4!A114</f>
        <v>sens5</v>
      </c>
      <c r="C62" s="222" t="str">
        <f>Option4!C114</f>
        <v>Capex 10% higher &amp; Total benefits 10% lower</v>
      </c>
      <c r="D62" s="222" t="str">
        <f t="shared" si="7"/>
        <v>Option 4sens5</v>
      </c>
      <c r="E62" s="214"/>
      <c r="F62" s="28">
        <f t="shared" si="6"/>
        <v>0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0</v>
      </c>
      <c r="M62" s="28">
        <f>(INDEX(Option4!M$106:M$117, MATCH($D62, Option4!$G$106:$G$117,0)))*conv_2026*M$7</f>
        <v>0</v>
      </c>
      <c r="N62" s="28">
        <f>(INDEX(Option4!N$106:N$117, MATCH($D62, Option4!$G$106:$G$117,0)))*conv_2026*N$7</f>
        <v>0</v>
      </c>
      <c r="O62" s="28">
        <f>(INDEX(Option4!O$106:O$117, MATCH($D62, Option4!$G$106:$G$117,0)))*conv_2026*O$7</f>
        <v>0</v>
      </c>
      <c r="P62" s="28">
        <f>(INDEX(Option4!P$106:P$117, MATCH($D62, Option4!$G$106:$G$117,0)))*conv_2026*P$7</f>
        <v>0</v>
      </c>
      <c r="Q62" s="28">
        <f>(INDEX(Option4!Q$106:Q$117, MATCH($D62, Option4!$G$106:$G$117,0)))*conv_2026*Q$7</f>
        <v>0</v>
      </c>
      <c r="R62" s="28">
        <f>(INDEX(Option4!R$106:R$117, MATCH($D62, Option4!$G$106:$G$117,0)))*conv_2026*R$7</f>
        <v>0</v>
      </c>
      <c r="S62" s="28">
        <f>(INDEX(Option4!S$106:S$117, MATCH($D62, Option4!$G$106:$G$117,0)))*conv_2026*S$7</f>
        <v>0</v>
      </c>
      <c r="T62" s="28">
        <f>(INDEX(Option4!T$106:T$117, MATCH($D62, Option4!$G$106:$G$117,0)))*conv_2026*T$7</f>
        <v>0</v>
      </c>
      <c r="U62" s="28">
        <f>(INDEX(Option4!U$106:U$117, MATCH($D62, Option4!$G$106:$G$117,0)))*conv_2026*U$7</f>
        <v>0</v>
      </c>
      <c r="V62" s="28">
        <f>(INDEX(Option4!V$106:V$117, MATCH($D62, Option4!$G$106:$G$117,0)))*conv_2026*V$7</f>
        <v>0</v>
      </c>
      <c r="W62" s="28">
        <f>(INDEX(Option4!W$106:W$117, MATCH($D62, Option4!$G$106:$G$117,0)))*conv_2026*W$7</f>
        <v>0</v>
      </c>
      <c r="X62" s="28">
        <f>(INDEX(Option4!X$106:X$117, MATCH($D62, Option4!$G$106:$G$117,0)))*conv_2026*X$7</f>
        <v>0</v>
      </c>
      <c r="Y62" s="28">
        <f>(INDEX(Option4!Y$106:Y$117, MATCH($D62, Option4!$G$106:$G$117,0)))*conv_2026*Y$7</f>
        <v>0</v>
      </c>
      <c r="Z62" s="28">
        <f>(INDEX(Option4!Z$106:Z$117, MATCH($D62, Option4!$G$106:$G$117,0)))*conv_2026*Z$7</f>
        <v>0</v>
      </c>
      <c r="AA62" s="28">
        <f>(INDEX(Option4!AA$106:AA$117, MATCH($D62, Option4!$G$106:$G$117,0)))*conv_2026*AA$7</f>
        <v>0</v>
      </c>
      <c r="AB62" s="28">
        <f>(INDEX(Option4!AB$106:AB$117, MATCH($D62, Option4!$G$106:$G$117,0)))*conv_2026*AB$7</f>
        <v>0</v>
      </c>
      <c r="AC62" s="28">
        <f>(INDEX(Option4!AC$106:AC$117, MATCH($D62, Option4!$G$106:$G$117,0)))*conv_2026*AC$7</f>
        <v>0</v>
      </c>
      <c r="AD62" s="28">
        <f>(INDEX(Option4!AD$106:AD$117, MATCH($D62, Option4!$G$106:$G$117,0)))*conv_2026*AD$7</f>
        <v>0</v>
      </c>
      <c r="AE62" s="28">
        <f>(INDEX(Option4!AE$106:AE$117, MATCH($D62, Option4!$G$106:$G$117,0)))*conv_2026*AE$7</f>
        <v>0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x14ac:dyDescent="0.2">
      <c r="A63" s="222" t="s">
        <v>168</v>
      </c>
      <c r="B63" s="222" t="str">
        <f>Option4!A115</f>
        <v>sens</v>
      </c>
      <c r="C63" s="222">
        <f>Option4!C115</f>
        <v>0</v>
      </c>
      <c r="D63" s="222" t="str">
        <f t="shared" si="7"/>
        <v>Option 4sens</v>
      </c>
      <c r="E63" s="214"/>
      <c r="F63" s="28">
        <f t="shared" si="6"/>
        <v>0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0</v>
      </c>
      <c r="M63" s="28">
        <f>(INDEX(Option4!M$106:M$117, MATCH($D63, Option4!$G$106:$G$117,0)))*conv_2026*M$7</f>
        <v>0</v>
      </c>
      <c r="N63" s="28">
        <f>(INDEX(Option4!N$106:N$117, MATCH($D63, Option4!$G$106:$G$117,0)))*conv_2026*N$7</f>
        <v>0</v>
      </c>
      <c r="O63" s="28">
        <f>(INDEX(Option4!O$106:O$117, MATCH($D63, Option4!$G$106:$G$117,0)))*conv_2026*O$7</f>
        <v>0</v>
      </c>
      <c r="P63" s="28">
        <f>(INDEX(Option4!P$106:P$117, MATCH($D63, Option4!$G$106:$G$117,0)))*conv_2026*P$7</f>
        <v>0</v>
      </c>
      <c r="Q63" s="28">
        <f>(INDEX(Option4!Q$106:Q$117, MATCH($D63, Option4!$G$106:$G$117,0)))*conv_2026*Q$7</f>
        <v>0</v>
      </c>
      <c r="R63" s="28">
        <f>(INDEX(Option4!R$106:R$117, MATCH($D63, Option4!$G$106:$G$117,0)))*conv_2026*R$7</f>
        <v>0</v>
      </c>
      <c r="S63" s="28">
        <f>(INDEX(Option4!S$106:S$117, MATCH($D63, Option4!$G$106:$G$117,0)))*conv_2026*S$7</f>
        <v>0</v>
      </c>
      <c r="T63" s="28">
        <f>(INDEX(Option4!T$106:T$117, MATCH($D63, Option4!$G$106:$G$117,0)))*conv_2026*T$7</f>
        <v>0</v>
      </c>
      <c r="U63" s="28">
        <f>(INDEX(Option4!U$106:U$117, MATCH($D63, Option4!$G$106:$G$117,0)))*conv_2026*U$7</f>
        <v>0</v>
      </c>
      <c r="V63" s="28">
        <f>(INDEX(Option4!V$106:V$117, MATCH($D63, Option4!$G$106:$G$117,0)))*conv_2026*V$7</f>
        <v>0</v>
      </c>
      <c r="W63" s="28">
        <f>(INDEX(Option4!W$106:W$117, MATCH($D63, Option4!$G$106:$G$117,0)))*conv_2026*W$7</f>
        <v>0</v>
      </c>
      <c r="X63" s="28">
        <f>(INDEX(Option4!X$106:X$117, MATCH($D63, Option4!$G$106:$G$117,0)))*conv_2026*X$7</f>
        <v>0</v>
      </c>
      <c r="Y63" s="28">
        <f>(INDEX(Option4!Y$106:Y$117, MATCH($D63, Option4!$G$106:$G$117,0)))*conv_2026*Y$7</f>
        <v>0</v>
      </c>
      <c r="Z63" s="28">
        <f>(INDEX(Option4!Z$106:Z$117, MATCH($D63, Option4!$G$106:$G$117,0)))*conv_2026*Z$7</f>
        <v>0</v>
      </c>
      <c r="AA63" s="28">
        <f>(INDEX(Option4!AA$106:AA$117, MATCH($D63, Option4!$G$106:$G$117,0)))*conv_2026*AA$7</f>
        <v>0</v>
      </c>
      <c r="AB63" s="28">
        <f>(INDEX(Option4!AB$106:AB$117, MATCH($D63, Option4!$G$106:$G$117,0)))*conv_2026*AB$7</f>
        <v>0</v>
      </c>
      <c r="AC63" s="28">
        <f>(INDEX(Option4!AC$106:AC$117, MATCH($D63, Option4!$G$106:$G$117,0)))*conv_2026*AC$7</f>
        <v>0</v>
      </c>
      <c r="AD63" s="28">
        <f>(INDEX(Option4!AD$106:AD$117, MATCH($D63, Option4!$G$106:$G$117,0)))*conv_2026*AD$7</f>
        <v>0</v>
      </c>
      <c r="AE63" s="28">
        <f>(INDEX(Option4!AE$106:AE$117, MATCH($D63, Option4!$G$106:$G$117,0)))*conv_2026*AE$7</f>
        <v>0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x14ac:dyDescent="0.2">
      <c r="A64" s="222" t="s">
        <v>168</v>
      </c>
      <c r="B64" s="222" t="str">
        <f>Option4!A116</f>
        <v>sens</v>
      </c>
      <c r="C64" s="222">
        <f>Option4!C116</f>
        <v>0</v>
      </c>
      <c r="D64" s="222" t="str">
        <f t="shared" si="7"/>
        <v>Option 4sens</v>
      </c>
      <c r="E64" s="214"/>
      <c r="F64" s="28">
        <f t="shared" si="6"/>
        <v>0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0</v>
      </c>
      <c r="M64" s="28">
        <f>(INDEX(Option4!M$106:M$117, MATCH($D64, Option4!$G$106:$G$117,0)))*conv_2026*M$7</f>
        <v>0</v>
      </c>
      <c r="N64" s="28">
        <f>(INDEX(Option4!N$106:N$117, MATCH($D64, Option4!$G$106:$G$117,0)))*conv_2026*N$7</f>
        <v>0</v>
      </c>
      <c r="O64" s="28">
        <f>(INDEX(Option4!O$106:O$117, MATCH($D64, Option4!$G$106:$G$117,0)))*conv_2026*O$7</f>
        <v>0</v>
      </c>
      <c r="P64" s="28">
        <f>(INDEX(Option4!P$106:P$117, MATCH($D64, Option4!$G$106:$G$117,0)))*conv_2026*P$7</f>
        <v>0</v>
      </c>
      <c r="Q64" s="28">
        <f>(INDEX(Option4!Q$106:Q$117, MATCH($D64, Option4!$G$106:$G$117,0)))*conv_2026*Q$7</f>
        <v>0</v>
      </c>
      <c r="R64" s="28">
        <f>(INDEX(Option4!R$106:R$117, MATCH($D64, Option4!$G$106:$G$117,0)))*conv_2026*R$7</f>
        <v>0</v>
      </c>
      <c r="S64" s="28">
        <f>(INDEX(Option4!S$106:S$117, MATCH($D64, Option4!$G$106:$G$117,0)))*conv_2026*S$7</f>
        <v>0</v>
      </c>
      <c r="T64" s="28">
        <f>(INDEX(Option4!T$106:T$117, MATCH($D64, Option4!$G$106:$G$117,0)))*conv_2026*T$7</f>
        <v>0</v>
      </c>
      <c r="U64" s="28">
        <f>(INDEX(Option4!U$106:U$117, MATCH($D64, Option4!$G$106:$G$117,0)))*conv_2026*U$7</f>
        <v>0</v>
      </c>
      <c r="V64" s="28">
        <f>(INDEX(Option4!V$106:V$117, MATCH($D64, Option4!$G$106:$G$117,0)))*conv_2026*V$7</f>
        <v>0</v>
      </c>
      <c r="W64" s="28">
        <f>(INDEX(Option4!W$106:W$117, MATCH($D64, Option4!$G$106:$G$117,0)))*conv_2026*W$7</f>
        <v>0</v>
      </c>
      <c r="X64" s="28">
        <f>(INDEX(Option4!X$106:X$117, MATCH($D64, Option4!$G$106:$G$117,0)))*conv_2026*X$7</f>
        <v>0</v>
      </c>
      <c r="Y64" s="28">
        <f>(INDEX(Option4!Y$106:Y$117, MATCH($D64, Option4!$G$106:$G$117,0)))*conv_2026*Y$7</f>
        <v>0</v>
      </c>
      <c r="Z64" s="28">
        <f>(INDEX(Option4!Z$106:Z$117, MATCH($D64, Option4!$G$106:$G$117,0)))*conv_2026*Z$7</f>
        <v>0</v>
      </c>
      <c r="AA64" s="28">
        <f>(INDEX(Option4!AA$106:AA$117, MATCH($D64, Option4!$G$106:$G$117,0)))*conv_2026*AA$7</f>
        <v>0</v>
      </c>
      <c r="AB64" s="28">
        <f>(INDEX(Option4!AB$106:AB$117, MATCH($D64, Option4!$G$106:$G$117,0)))*conv_2026*AB$7</f>
        <v>0</v>
      </c>
      <c r="AC64" s="28">
        <f>(INDEX(Option4!AC$106:AC$117, MATCH($D64, Option4!$G$106:$G$117,0)))*conv_2026*AC$7</f>
        <v>0</v>
      </c>
      <c r="AD64" s="28">
        <f>(INDEX(Option4!AD$106:AD$117, MATCH($D64, Option4!$G$106:$G$117,0)))*conv_2026*AD$7</f>
        <v>0</v>
      </c>
      <c r="AE64" s="28">
        <f>(INDEX(Option4!AE$106:AE$117, MATCH($D64, Option4!$G$106:$G$117,0)))*conv_2026*AE$7</f>
        <v>0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x14ac:dyDescent="0.2">
      <c r="A65" s="222" t="s">
        <v>168</v>
      </c>
      <c r="B65" s="222" t="str">
        <f>Option4!A117</f>
        <v>sens</v>
      </c>
      <c r="C65" s="222">
        <f>Option4!C117</f>
        <v>0</v>
      </c>
      <c r="D65" s="222" t="str">
        <f t="shared" si="7"/>
        <v>Option 4sens</v>
      </c>
      <c r="E65" s="214"/>
      <c r="F65" s="28">
        <f t="shared" si="6"/>
        <v>0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0</v>
      </c>
      <c r="M65" s="28">
        <f>(INDEX(Option4!M$106:M$117, MATCH($D65, Option4!$G$106:$G$117,0)))*conv_2026*M$7</f>
        <v>0</v>
      </c>
      <c r="N65" s="28">
        <f>(INDEX(Option4!N$106:N$117, MATCH($D65, Option4!$G$106:$G$117,0)))*conv_2026*N$7</f>
        <v>0</v>
      </c>
      <c r="O65" s="28">
        <f>(INDEX(Option4!O$106:O$117, MATCH($D65, Option4!$G$106:$G$117,0)))*conv_2026*O$7</f>
        <v>0</v>
      </c>
      <c r="P65" s="28">
        <f>(INDEX(Option4!P$106:P$117, MATCH($D65, Option4!$G$106:$G$117,0)))*conv_2026*P$7</f>
        <v>0</v>
      </c>
      <c r="Q65" s="28">
        <f>(INDEX(Option4!Q$106:Q$117, MATCH($D65, Option4!$G$106:$G$117,0)))*conv_2026*Q$7</f>
        <v>0</v>
      </c>
      <c r="R65" s="28">
        <f>(INDEX(Option4!R$106:R$117, MATCH($D65, Option4!$G$106:$G$117,0)))*conv_2026*R$7</f>
        <v>0</v>
      </c>
      <c r="S65" s="28">
        <f>(INDEX(Option4!S$106:S$117, MATCH($D65, Option4!$G$106:$G$117,0)))*conv_2026*S$7</f>
        <v>0</v>
      </c>
      <c r="T65" s="28">
        <f>(INDEX(Option4!T$106:T$117, MATCH($D65, Option4!$G$106:$G$117,0)))*conv_2026*T$7</f>
        <v>0</v>
      </c>
      <c r="U65" s="28">
        <f>(INDEX(Option4!U$106:U$117, MATCH($D65, Option4!$G$106:$G$117,0)))*conv_2026*U$7</f>
        <v>0</v>
      </c>
      <c r="V65" s="28">
        <f>(INDEX(Option4!V$106:V$117, MATCH($D65, Option4!$G$106:$G$117,0)))*conv_2026*V$7</f>
        <v>0</v>
      </c>
      <c r="W65" s="28">
        <f>(INDEX(Option4!W$106:W$117, MATCH($D65, Option4!$G$106:$G$117,0)))*conv_2026*W$7</f>
        <v>0</v>
      </c>
      <c r="X65" s="28">
        <f>(INDEX(Option4!X$106:X$117, MATCH($D65, Option4!$G$106:$G$117,0)))*conv_2026*X$7</f>
        <v>0</v>
      </c>
      <c r="Y65" s="28">
        <f>(INDEX(Option4!Y$106:Y$117, MATCH($D65, Option4!$G$106:$G$117,0)))*conv_2026*Y$7</f>
        <v>0</v>
      </c>
      <c r="Z65" s="28">
        <f>(INDEX(Option4!Z$106:Z$117, MATCH($D65, Option4!$G$106:$G$117,0)))*conv_2026*Z$7</f>
        <v>0</v>
      </c>
      <c r="AA65" s="28">
        <f>(INDEX(Option4!AA$106:AA$117, MATCH($D65, Option4!$G$106:$G$117,0)))*conv_2026*AA$7</f>
        <v>0</v>
      </c>
      <c r="AB65" s="28">
        <f>(INDEX(Option4!AB$106:AB$117, MATCH($D65, Option4!$G$106:$G$117,0)))*conv_2026*AB$7</f>
        <v>0</v>
      </c>
      <c r="AC65" s="28">
        <f>(INDEX(Option4!AC$106:AC$117, MATCH($D65, Option4!$G$106:$G$117,0)))*conv_2026*AC$7</f>
        <v>0</v>
      </c>
      <c r="AD65" s="28">
        <f>(INDEX(Option4!AD$106:AD$117, MATCH($D65, Option4!$G$106:$G$117,0)))*conv_2026*AD$7</f>
        <v>0</v>
      </c>
      <c r="AE65" s="28">
        <f>(INDEX(Option4!AE$106:AE$117, MATCH($D65, Option4!$G$106:$G$117,0)))*conv_2026*AE$7</f>
        <v>0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x14ac:dyDescent="0.2">
      <c r="A66" s="222"/>
      <c r="B66" s="222"/>
      <c r="C66" s="222"/>
      <c r="D66" s="222"/>
      <c r="E66" s="222"/>
      <c r="F66" s="28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</row>
    <row r="67" spans="1:35" s="6" customFormat="1" x14ac:dyDescent="0.2">
      <c r="A67" s="222"/>
      <c r="B67" s="222"/>
      <c r="C67" s="222"/>
      <c r="D67" s="222"/>
      <c r="E67" s="222"/>
      <c r="F67" s="28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</row>
    <row r="68" spans="1:35" s="6" customFormat="1" x14ac:dyDescent="0.2">
      <c r="A68" s="222"/>
      <c r="B68" s="222"/>
      <c r="C68" s="222"/>
      <c r="D68" s="222"/>
      <c r="E68" s="222"/>
      <c r="F68" s="28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</row>
    <row r="69" spans="1:35" s="6" customFormat="1" x14ac:dyDescent="0.2">
      <c r="A69" s="222"/>
      <c r="B69" s="222"/>
      <c r="C69" s="222"/>
      <c r="D69" s="222"/>
      <c r="E69" s="222"/>
      <c r="F69" s="28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</row>
    <row r="70" spans="1:35" s="6" customFormat="1" x14ac:dyDescent="0.2">
      <c r="A70" s="222" t="s">
        <v>169</v>
      </c>
      <c r="B70" s="222" t="s">
        <v>22</v>
      </c>
      <c r="C70" s="222" t="s">
        <v>147</v>
      </c>
      <c r="D70" s="222" t="str">
        <f>A70&amp;B70</f>
        <v>Option 5NPV</v>
      </c>
      <c r="E70" s="214"/>
      <c r="F70" s="28">
        <f t="shared" ref="F70:F79" si="8">SUMPRODUCT($H70:$AG70, $H$5:$AG$5)</f>
        <v>0</v>
      </c>
      <c r="G70" s="217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x14ac:dyDescent="0.2">
      <c r="A71" s="216"/>
      <c r="B71" s="216"/>
      <c r="C71" s="216"/>
      <c r="D71" s="216"/>
      <c r="E71" s="216"/>
      <c r="F71" s="216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17"/>
      <c r="AG71" s="217"/>
      <c r="AH71" s="2"/>
      <c r="AI71" s="2"/>
    </row>
    <row r="72" spans="1:35" s="6" customFormat="1" x14ac:dyDescent="0.2">
      <c r="A72" s="222" t="s">
        <v>169</v>
      </c>
      <c r="B72" s="222" t="str">
        <f>Option5!A110</f>
        <v>sens1</v>
      </c>
      <c r="C72" s="222" t="str">
        <f>Option5!C110</f>
        <v>Capex 10% higher</v>
      </c>
      <c r="D72" s="222" t="str">
        <f t="shared" ref="D72:D79" si="9">A72&amp;B72</f>
        <v>Option 5sens1</v>
      </c>
      <c r="E72" s="214"/>
      <c r="F72" s="28">
        <f t="shared" si="8"/>
        <v>0</v>
      </c>
      <c r="G72" s="217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x14ac:dyDescent="0.2">
      <c r="A73" s="222" t="s">
        <v>169</v>
      </c>
      <c r="B73" s="222" t="str">
        <f>Option5!A111</f>
        <v>sens2</v>
      </c>
      <c r="C73" s="222" t="str">
        <f>Option5!C111</f>
        <v>Capex 10% lower</v>
      </c>
      <c r="D73" s="222" t="str">
        <f t="shared" si="9"/>
        <v>Option 5sens2</v>
      </c>
      <c r="E73" s="214"/>
      <c r="F73" s="28">
        <f t="shared" si="8"/>
        <v>0</v>
      </c>
      <c r="G73" s="222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x14ac:dyDescent="0.2">
      <c r="A74" s="222" t="s">
        <v>169</v>
      </c>
      <c r="B74" s="222" t="str">
        <f>Option5!A112</f>
        <v>sens3</v>
      </c>
      <c r="C74" s="222" t="str">
        <f>Option5!C112</f>
        <v>Total benefits 10% higher</v>
      </c>
      <c r="D74" s="222" t="str">
        <f t="shared" si="9"/>
        <v>Option 5sens3</v>
      </c>
      <c r="E74" s="214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x14ac:dyDescent="0.2">
      <c r="A75" s="222" t="s">
        <v>169</v>
      </c>
      <c r="B75" s="222" t="str">
        <f>Option5!A113</f>
        <v>sens4</v>
      </c>
      <c r="C75" s="222" t="str">
        <f>Option5!C113</f>
        <v>Total benefits 10% lower</v>
      </c>
      <c r="D75" s="222" t="str">
        <f t="shared" si="9"/>
        <v>Option 5sens4</v>
      </c>
      <c r="E75" s="214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x14ac:dyDescent="0.2">
      <c r="A76" s="222" t="s">
        <v>169</v>
      </c>
      <c r="B76" s="222" t="str">
        <f>Option5!A114</f>
        <v>sens5</v>
      </c>
      <c r="C76" s="222" t="str">
        <f>Option5!C114</f>
        <v>Capex 10% higher &amp; Total benefits 10% lower</v>
      </c>
      <c r="D76" s="222" t="str">
        <f t="shared" si="9"/>
        <v>Option 5sens5</v>
      </c>
      <c r="E76" s="214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x14ac:dyDescent="0.2">
      <c r="A77" s="222" t="s">
        <v>169</v>
      </c>
      <c r="B77" s="222" t="str">
        <f>Option5!A115</f>
        <v>sens</v>
      </c>
      <c r="C77" s="222">
        <f>Option5!C115</f>
        <v>0</v>
      </c>
      <c r="D77" s="222" t="str">
        <f t="shared" si="9"/>
        <v>Option 5sens</v>
      </c>
      <c r="E77" s="214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x14ac:dyDescent="0.2">
      <c r="A78" s="222" t="s">
        <v>169</v>
      </c>
      <c r="B78" s="222" t="str">
        <f>Option5!A116</f>
        <v>sens</v>
      </c>
      <c r="C78" s="222">
        <f>Option5!C116</f>
        <v>0</v>
      </c>
      <c r="D78" s="222" t="str">
        <f t="shared" si="9"/>
        <v>Option 5sens</v>
      </c>
      <c r="E78" s="214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x14ac:dyDescent="0.2">
      <c r="A79" s="222" t="s">
        <v>169</v>
      </c>
      <c r="B79" s="222" t="str">
        <f>Option5!A117</f>
        <v>sens</v>
      </c>
      <c r="C79" s="222">
        <f>Option5!C117</f>
        <v>0</v>
      </c>
      <c r="D79" s="222" t="str">
        <f t="shared" si="9"/>
        <v>Option 5sens</v>
      </c>
      <c r="E79" s="214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2">
      <c r="F80" s="219"/>
    </row>
    <row r="81" spans="1:34" s="6" customFormat="1" x14ac:dyDescent="0.2">
      <c r="F81" s="219"/>
    </row>
    <row r="82" spans="1:34" s="6" customFormat="1" x14ac:dyDescent="0.2">
      <c r="F82" s="219"/>
    </row>
    <row r="83" spans="1:34" s="6" customFormat="1" x14ac:dyDescent="0.2">
      <c r="F83" s="219"/>
    </row>
    <row r="84" spans="1:34" s="6" customFormat="1" ht="15" x14ac:dyDescent="0.25">
      <c r="A84" s="176" t="s">
        <v>24</v>
      </c>
      <c r="B84" s="48"/>
      <c r="C84" s="17"/>
      <c r="D84" s="17"/>
      <c r="E84" s="73"/>
      <c r="F84" s="17"/>
      <c r="G84" s="196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8"/>
      <c r="AH84" s="8"/>
    </row>
    <row r="85" spans="1:34" s="6" customFormat="1" x14ac:dyDescent="0.2">
      <c r="F85" s="219"/>
    </row>
    <row r="86" spans="1:34" s="6" customFormat="1" x14ac:dyDescent="0.2">
      <c r="F86" s="219"/>
    </row>
    <row r="87" spans="1:34" s="6" customFormat="1" x14ac:dyDescent="0.2">
      <c r="E87" s="219"/>
    </row>
    <row r="88" spans="1:34" s="6" customFormat="1" x14ac:dyDescent="0.2">
      <c r="C88" s="233" t="b" cm="1">
        <f t="array" ref="C88:G88">TRANSPOSE(Data!F9:F13)</f>
        <v>0</v>
      </c>
      <c r="D88" s="233" t="b">
        <v>0</v>
      </c>
      <c r="E88" s="234" t="b">
        <v>0</v>
      </c>
      <c r="F88" s="233" t="b">
        <v>1</v>
      </c>
      <c r="G88" s="233" t="b">
        <v>1</v>
      </c>
      <c r="K88" s="6" t="b">
        <f>AND(_xlfn.ANCHORARRAY(C88))</f>
        <v>0</v>
      </c>
    </row>
    <row r="89" spans="1:34" s="6" customFormat="1" x14ac:dyDescent="0.2">
      <c r="A89" s="53"/>
      <c r="B89" s="53"/>
      <c r="C89" s="235" t="str" cm="1">
        <f t="array" ref="C89:G89">TRANSPOSE(options)</f>
        <v>Option 1 (base case)</v>
      </c>
      <c r="D89" s="235" t="str">
        <v>Option 2</v>
      </c>
      <c r="E89" s="235" t="str">
        <v>Option 3</v>
      </c>
      <c r="F89" s="235" t="str">
        <v>Option 4</v>
      </c>
      <c r="G89" s="235" t="str">
        <v>Option 5</v>
      </c>
      <c r="I89" s="235" t="s">
        <v>170</v>
      </c>
      <c r="K89" s="53" t="s">
        <v>171</v>
      </c>
    </row>
    <row r="90" spans="1:34" s="6" customFormat="1" x14ac:dyDescent="0.2">
      <c r="A90" s="225" t="s">
        <v>22</v>
      </c>
      <c r="B90" s="225" t="s">
        <v>172</v>
      </c>
      <c r="C90" s="92">
        <f t="shared" ref="C90:G98" si="10">IF(OR($B90=0,C$88),"", INDEX($F$14:$F$81, MATCH(C$89&amp;$A90,$D$14:$D$81,0))/10^6)</f>
        <v>0</v>
      </c>
      <c r="D90" s="92">
        <f t="shared" si="10"/>
        <v>11.366808158957665</v>
      </c>
      <c r="E90" s="92">
        <f t="shared" si="10"/>
        <v>-7.2758731043888289E-2</v>
      </c>
      <c r="F90" s="92" t="str">
        <f t="shared" si="10"/>
        <v/>
      </c>
      <c r="G90" s="92" t="str">
        <f t="shared" si="10"/>
        <v/>
      </c>
      <c r="H90" s="161"/>
      <c r="I90" s="92">
        <f t="shared" ref="I90:I98" si="11">_xlfn.MAXIFS(C90:G90,_xlfn.ANCHORARRAY( C$88),FALSE)</f>
        <v>11.366808158957665</v>
      </c>
      <c r="K90" s="6" t="str">
        <f t="shared" ref="K90:K98" si="12">IF(OR(B90=0,$K$88),"", INDEX(_xlfn.ANCHORARRAY($C$89), MATCH(I90, $C90:$G90,0)))</f>
        <v>Option 2</v>
      </c>
    </row>
    <row r="91" spans="1:34" s="6" customFormat="1" x14ac:dyDescent="0.2">
      <c r="A91" s="225" t="str">
        <f>"sens"&amp;Assumptions!B111</f>
        <v>sens1</v>
      </c>
      <c r="B91" s="225" t="str">
        <f>Assumptions!C111</f>
        <v>Capex 10% higher</v>
      </c>
      <c r="C91" s="92">
        <f t="shared" si="10"/>
        <v>0</v>
      </c>
      <c r="D91" s="92">
        <f t="shared" si="10"/>
        <v>11.003306897033541</v>
      </c>
      <c r="E91" s="92">
        <f t="shared" si="10"/>
        <v>-0.12467676978774052</v>
      </c>
      <c r="F91" s="92" t="str">
        <f t="shared" si="10"/>
        <v/>
      </c>
      <c r="G91" s="92" t="str">
        <f t="shared" si="10"/>
        <v/>
      </c>
      <c r="H91" s="161"/>
      <c r="I91" s="92">
        <f t="shared" si="11"/>
        <v>11.003306897033541</v>
      </c>
      <c r="K91" s="6" t="str">
        <f t="shared" si="12"/>
        <v>Option 2</v>
      </c>
    </row>
    <row r="92" spans="1:34" s="6" customFormat="1" x14ac:dyDescent="0.2">
      <c r="A92" s="225" t="str">
        <f>"sens"&amp;Assumptions!B112</f>
        <v>sens2</v>
      </c>
      <c r="B92" s="225" t="str">
        <f>Assumptions!C112</f>
        <v>Capex 10% lower</v>
      </c>
      <c r="C92" s="92">
        <f t="shared" si="10"/>
        <v>0</v>
      </c>
      <c r="D92" s="92">
        <f t="shared" si="10"/>
        <v>11.730309420881795</v>
      </c>
      <c r="E92" s="92">
        <f t="shared" si="10"/>
        <v>-2.0840692300036011E-2</v>
      </c>
      <c r="F92" s="92" t="str">
        <f t="shared" si="10"/>
        <v/>
      </c>
      <c r="G92" s="92" t="str">
        <f t="shared" si="10"/>
        <v/>
      </c>
      <c r="H92" s="161"/>
      <c r="I92" s="92">
        <f t="shared" si="11"/>
        <v>11.730309420881795</v>
      </c>
      <c r="K92" s="6" t="str">
        <f t="shared" si="12"/>
        <v>Option 2</v>
      </c>
    </row>
    <row r="93" spans="1:34" s="6" customFormat="1" x14ac:dyDescent="0.2">
      <c r="A93" s="225" t="str">
        <f>"sens"&amp;Assumptions!B113</f>
        <v>sens3</v>
      </c>
      <c r="B93" s="225" t="str">
        <f>Assumptions!C113</f>
        <v>Total benefits 10% higher</v>
      </c>
      <c r="C93" s="92">
        <f t="shared" si="10"/>
        <v>0</v>
      </c>
      <c r="D93" s="92">
        <f t="shared" si="10"/>
        <v>12.866990236777561</v>
      </c>
      <c r="E93" s="92">
        <f t="shared" si="10"/>
        <v>-2.811656540442484E-2</v>
      </c>
      <c r="F93" s="92" t="str">
        <f t="shared" si="10"/>
        <v/>
      </c>
      <c r="G93" s="92" t="str">
        <f t="shared" si="10"/>
        <v/>
      </c>
      <c r="H93" s="161"/>
      <c r="I93" s="92">
        <f t="shared" si="11"/>
        <v>12.866990236777561</v>
      </c>
      <c r="K93" s="6" t="str">
        <f t="shared" si="12"/>
        <v>Option 2</v>
      </c>
    </row>
    <row r="94" spans="1:34" s="6" customFormat="1" x14ac:dyDescent="0.2">
      <c r="A94" s="225" t="str">
        <f>"sens"&amp;Assumptions!B114</f>
        <v>sens4</v>
      </c>
      <c r="B94" s="225" t="str">
        <f>Assumptions!C114</f>
        <v>Total benefits 10% lower</v>
      </c>
      <c r="C94" s="92">
        <f t="shared" si="10"/>
        <v>0</v>
      </c>
      <c r="D94" s="92">
        <f t="shared" si="10"/>
        <v>9.866626081137774</v>
      </c>
      <c r="E94" s="92">
        <f t="shared" si="10"/>
        <v>-0.11740089668335171</v>
      </c>
      <c r="F94" s="92" t="str">
        <f t="shared" si="10"/>
        <v/>
      </c>
      <c r="G94" s="92" t="str">
        <f t="shared" si="10"/>
        <v/>
      </c>
      <c r="H94" s="161"/>
      <c r="I94" s="92">
        <f t="shared" si="11"/>
        <v>9.866626081137774</v>
      </c>
      <c r="K94" s="6" t="str">
        <f t="shared" si="12"/>
        <v>Option 2</v>
      </c>
    </row>
    <row r="95" spans="1:34" s="6" customFormat="1" x14ac:dyDescent="0.2">
      <c r="A95" s="225" t="str">
        <f>"sens"&amp;Assumptions!B115</f>
        <v>sens5</v>
      </c>
      <c r="B95" s="225" t="str">
        <f>Assumptions!C115</f>
        <v>Capex 10% higher &amp; Total benefits 10% lower</v>
      </c>
      <c r="C95" s="92">
        <f t="shared" si="10"/>
        <v>0</v>
      </c>
      <c r="D95" s="92">
        <f t="shared" si="10"/>
        <v>9.5031248192136513</v>
      </c>
      <c r="E95" s="92">
        <f t="shared" si="10"/>
        <v>-0.16931893542720397</v>
      </c>
      <c r="F95" s="92" t="str">
        <f t="shared" si="10"/>
        <v/>
      </c>
      <c r="G95" s="92" t="str">
        <f t="shared" si="10"/>
        <v/>
      </c>
      <c r="H95" s="161"/>
      <c r="I95" s="92">
        <f t="shared" si="11"/>
        <v>9.5031248192136513</v>
      </c>
      <c r="K95" s="6" t="str">
        <f t="shared" si="12"/>
        <v>Option 2</v>
      </c>
    </row>
    <row r="96" spans="1:34" s="6" customFormat="1" x14ac:dyDescent="0.2">
      <c r="A96" s="225" t="str">
        <f>"sens"&amp;Assumptions!B116</f>
        <v>sens</v>
      </c>
      <c r="B96" s="225">
        <f>Assumptions!C116</f>
        <v>0</v>
      </c>
      <c r="C96" s="92" t="str">
        <f t="shared" si="10"/>
        <v/>
      </c>
      <c r="D96" s="92" t="str">
        <f t="shared" si="10"/>
        <v/>
      </c>
      <c r="E96" s="92" t="str">
        <f t="shared" si="10"/>
        <v/>
      </c>
      <c r="F96" s="92" t="str">
        <f t="shared" si="10"/>
        <v/>
      </c>
      <c r="G96" s="92" t="str">
        <f t="shared" si="10"/>
        <v/>
      </c>
      <c r="H96" s="161"/>
      <c r="I96" s="92">
        <f t="shared" si="11"/>
        <v>0</v>
      </c>
      <c r="K96" s="6" t="str">
        <f t="shared" si="12"/>
        <v/>
      </c>
    </row>
    <row r="97" spans="1:11" x14ac:dyDescent="0.2">
      <c r="A97" s="225" t="str">
        <f>"sens"&amp;Assumptions!B117</f>
        <v>sens</v>
      </c>
      <c r="B97" s="225">
        <f>Assumptions!C117</f>
        <v>0</v>
      </c>
      <c r="C97" s="92" t="str">
        <f t="shared" si="10"/>
        <v/>
      </c>
      <c r="D97" s="92" t="str">
        <f t="shared" si="10"/>
        <v/>
      </c>
      <c r="E97" s="92" t="str">
        <f t="shared" si="10"/>
        <v/>
      </c>
      <c r="F97" s="92" t="str">
        <f t="shared" si="10"/>
        <v/>
      </c>
      <c r="G97" s="92" t="str">
        <f t="shared" si="10"/>
        <v/>
      </c>
      <c r="H97" s="238"/>
      <c r="I97" s="92">
        <f t="shared" si="11"/>
        <v>0</v>
      </c>
      <c r="K97" s="6" t="str">
        <f t="shared" si="12"/>
        <v/>
      </c>
    </row>
    <row r="98" spans="1:11" x14ac:dyDescent="0.2">
      <c r="A98" s="225" t="str">
        <f>"sens"&amp;Assumptions!B118</f>
        <v>sens</v>
      </c>
      <c r="B98" s="225">
        <f>Assumptions!C118</f>
        <v>0</v>
      </c>
      <c r="C98" s="92" t="str">
        <f t="shared" si="10"/>
        <v/>
      </c>
      <c r="D98" s="92" t="str">
        <f t="shared" si="10"/>
        <v/>
      </c>
      <c r="E98" s="92" t="str">
        <f t="shared" si="10"/>
        <v/>
      </c>
      <c r="F98" s="92" t="str">
        <f t="shared" si="10"/>
        <v/>
      </c>
      <c r="G98" s="92" t="str">
        <f t="shared" si="10"/>
        <v/>
      </c>
      <c r="H98" s="238"/>
      <c r="I98" s="92">
        <f t="shared" si="11"/>
        <v>0</v>
      </c>
      <c r="K98" s="6" t="str">
        <f t="shared" si="12"/>
        <v/>
      </c>
    </row>
    <row r="99" spans="1:11" x14ac:dyDescent="0.2">
      <c r="C99" s="28"/>
      <c r="E99"/>
      <c r="F99" s="8"/>
    </row>
    <row r="100" spans="1:11" x14ac:dyDescent="0.2">
      <c r="E100"/>
      <c r="F100" s="8"/>
    </row>
    <row r="101" spans="1:11" x14ac:dyDescent="0.2">
      <c r="E101"/>
      <c r="F101" s="8"/>
    </row>
    <row r="102" spans="1:11" x14ac:dyDescent="0.2">
      <c r="E102"/>
      <c r="F102" s="8"/>
    </row>
    <row r="103" spans="1:11" x14ac:dyDescent="0.2">
      <c r="E103"/>
      <c r="F103" s="8"/>
    </row>
    <row r="104" spans="1:11" x14ac:dyDescent="0.2">
      <c r="E104"/>
      <c r="F104" s="8"/>
    </row>
    <row r="105" spans="1:11" x14ac:dyDescent="0.2">
      <c r="E105"/>
      <c r="F105" s="8"/>
    </row>
    <row r="106" spans="1:11" x14ac:dyDescent="0.2"/>
    <row r="107" spans="1:11" x14ac:dyDescent="0.2"/>
    <row r="108" spans="1:11" x14ac:dyDescent="0.2"/>
    <row r="109" spans="1:11" x14ac:dyDescent="0.2"/>
    <row r="110" spans="1:11" x14ac:dyDescent="0.2"/>
    <row r="111" spans="1:11" x14ac:dyDescent="0.2"/>
    <row r="112" spans="1:1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39"/>
  <sheetViews>
    <sheetView showGridLines="0" workbookViewId="0"/>
  </sheetViews>
  <sheetFormatPr defaultColWidth="8" defaultRowHeight="12.75" x14ac:dyDescent="0.2"/>
  <cols>
    <col min="1" max="1" width="2.625" style="1" customWidth="1"/>
    <col min="2" max="2" width="5.25" style="1" customWidth="1"/>
    <col min="3" max="3" width="10.75" style="1" customWidth="1"/>
    <col min="4" max="4" width="31.75" style="1" bestFit="1" customWidth="1"/>
    <col min="5" max="5" width="15.875" style="1" customWidth="1"/>
    <col min="6" max="6" width="15.125" style="1" customWidth="1"/>
    <col min="7" max="7" width="14" style="1" customWidth="1"/>
    <col min="8" max="8" width="14.75" style="1" customWidth="1"/>
    <col min="9" max="28" width="8.625" style="1" customWidth="1"/>
    <col min="29" max="16384" width="8" style="1"/>
  </cols>
  <sheetData>
    <row r="1" spans="1:44" ht="18.75" x14ac:dyDescent="0.3">
      <c r="A1" s="13" t="str">
        <f>bus</f>
        <v>CitiPower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75" x14ac:dyDescent="0.3">
      <c r="A2" s="50" t="str">
        <f>proj</f>
        <v>AR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75" x14ac:dyDescent="0.3">
      <c r="A3" s="5" t="s">
        <v>173</v>
      </c>
      <c r="B3" s="281"/>
      <c r="C3" s="5"/>
      <c r="D3" s="5"/>
    </row>
    <row r="5" spans="1:44" ht="15" x14ac:dyDescent="0.2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2">
      <c r="C6" s="3"/>
      <c r="D6" s="3"/>
    </row>
    <row r="7" spans="1:44" x14ac:dyDescent="0.2">
      <c r="A7" s="283"/>
      <c r="B7" s="284" t="s">
        <v>174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2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2">
      <c r="A9" s="286"/>
      <c r="B9" s="286"/>
      <c r="C9" s="286"/>
      <c r="D9" s="287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2">
      <c r="A10" s="286"/>
      <c r="B10" s="286"/>
      <c r="C10" s="286"/>
      <c r="D10" s="286"/>
      <c r="E10" s="288" t="s">
        <v>52</v>
      </c>
      <c r="F10" s="288" t="s">
        <v>91</v>
      </c>
      <c r="G10" s="288" t="s">
        <v>92</v>
      </c>
      <c r="H10" s="288" t="s">
        <v>93</v>
      </c>
      <c r="I10" s="288" t="s">
        <v>94</v>
      </c>
      <c r="J10" s="288" t="s">
        <v>95</v>
      </c>
      <c r="K10" s="288" t="s">
        <v>175</v>
      </c>
      <c r="L10" s="288" t="s">
        <v>176</v>
      </c>
      <c r="M10" s="288" t="s">
        <v>177</v>
      </c>
      <c r="N10" s="288" t="s">
        <v>178</v>
      </c>
      <c r="O10" s="288" t="s">
        <v>179</v>
      </c>
      <c r="P10" s="288" t="s">
        <v>180</v>
      </c>
      <c r="Q10" s="288" t="s">
        <v>181</v>
      </c>
      <c r="R10" s="288" t="s">
        <v>182</v>
      </c>
      <c r="S10" s="288" t="s">
        <v>183</v>
      </c>
      <c r="T10" s="288" t="s">
        <v>184</v>
      </c>
      <c r="U10" s="288" t="s">
        <v>185</v>
      </c>
      <c r="V10" s="288" t="s">
        <v>186</v>
      </c>
      <c r="W10" s="288" t="s">
        <v>187</v>
      </c>
      <c r="X10" s="288" t="s">
        <v>188</v>
      </c>
      <c r="Y10" s="288" t="s">
        <v>189</v>
      </c>
      <c r="Z10" s="288" t="s">
        <v>190</v>
      </c>
      <c r="AA10" s="288" t="s">
        <v>191</v>
      </c>
      <c r="AB10" s="288" t="s">
        <v>192</v>
      </c>
      <c r="AC10" s="288" t="s">
        <v>193</v>
      </c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2">
      <c r="A11" s="286"/>
      <c r="B11" s="286"/>
      <c r="C11" s="286"/>
      <c r="D11" s="289" t="s">
        <v>103</v>
      </c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2">
      <c r="A12" s="286"/>
      <c r="B12" s="286"/>
      <c r="C12" s="286"/>
      <c r="D12" s="290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2">
      <c r="A13" s="286"/>
      <c r="B13" s="286"/>
      <c r="C13" s="286"/>
      <c r="D13" s="292" t="s">
        <v>197</v>
      </c>
      <c r="E13" s="293">
        <f>E12</f>
        <v>0</v>
      </c>
      <c r="F13" s="293">
        <f t="shared" ref="F13:AC13" si="0">F12</f>
        <v>0</v>
      </c>
      <c r="G13" s="293">
        <f t="shared" si="0"/>
        <v>0</v>
      </c>
      <c r="H13" s="293">
        <f t="shared" si="0"/>
        <v>0</v>
      </c>
      <c r="I13" s="293">
        <f t="shared" si="0"/>
        <v>0</v>
      </c>
      <c r="J13" s="293">
        <f t="shared" si="0"/>
        <v>0</v>
      </c>
      <c r="K13" s="293">
        <f t="shared" si="0"/>
        <v>0</v>
      </c>
      <c r="L13" s="293">
        <f t="shared" si="0"/>
        <v>0</v>
      </c>
      <c r="M13" s="293">
        <f t="shared" si="0"/>
        <v>0</v>
      </c>
      <c r="N13" s="293">
        <f t="shared" si="0"/>
        <v>0</v>
      </c>
      <c r="O13" s="293">
        <f t="shared" si="0"/>
        <v>0</v>
      </c>
      <c r="P13" s="293">
        <f t="shared" si="0"/>
        <v>0</v>
      </c>
      <c r="Q13" s="293">
        <f t="shared" si="0"/>
        <v>0</v>
      </c>
      <c r="R13" s="293">
        <f t="shared" si="0"/>
        <v>0</v>
      </c>
      <c r="S13" s="293">
        <f t="shared" si="0"/>
        <v>0</v>
      </c>
      <c r="T13" s="293">
        <f t="shared" si="0"/>
        <v>0</v>
      </c>
      <c r="U13" s="293">
        <f t="shared" si="0"/>
        <v>0</v>
      </c>
      <c r="V13" s="293">
        <f t="shared" si="0"/>
        <v>0</v>
      </c>
      <c r="W13" s="293">
        <f t="shared" si="0"/>
        <v>0</v>
      </c>
      <c r="X13" s="293">
        <f t="shared" si="0"/>
        <v>0</v>
      </c>
      <c r="Y13" s="293">
        <f t="shared" si="0"/>
        <v>0</v>
      </c>
      <c r="Z13" s="293">
        <f t="shared" si="0"/>
        <v>0</v>
      </c>
      <c r="AA13" s="293">
        <f t="shared" si="0"/>
        <v>0</v>
      </c>
      <c r="AB13" s="293">
        <f t="shared" si="0"/>
        <v>0</v>
      </c>
      <c r="AC13" s="293">
        <f t="shared" si="0"/>
        <v>0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2">
      <c r="A14" s="28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2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2">
      <c r="A16" s="294"/>
      <c r="B16" s="284" t="str">
        <f>Assumptions!C15&amp;" - "&amp;Assumptions!E15</f>
        <v>Option 2 - Replace #2 transformer completed in 2029-2030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</row>
    <row r="17" spans="1:44" x14ac:dyDescent="0.2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2">
      <c r="A18" s="286"/>
      <c r="B18" s="286"/>
      <c r="C18" s="286"/>
      <c r="D18" s="286"/>
      <c r="E18" s="286"/>
      <c r="F18" s="286"/>
      <c r="G18" s="360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2">
      <c r="A19" s="286"/>
      <c r="B19" s="286"/>
      <c r="C19" s="286"/>
      <c r="D19" s="286"/>
      <c r="E19" s="288" t="s">
        <v>52</v>
      </c>
      <c r="F19" s="288" t="s">
        <v>91</v>
      </c>
      <c r="G19" s="288" t="s">
        <v>92</v>
      </c>
      <c r="H19" s="288" t="s">
        <v>93</v>
      </c>
      <c r="I19" s="288" t="s">
        <v>94</v>
      </c>
      <c r="J19" s="288" t="s">
        <v>95</v>
      </c>
      <c r="K19" s="288" t="s">
        <v>175</v>
      </c>
      <c r="L19" s="288" t="s">
        <v>176</v>
      </c>
      <c r="M19" s="288" t="s">
        <v>177</v>
      </c>
      <c r="N19" s="288" t="s">
        <v>178</v>
      </c>
      <c r="O19" s="288" t="s">
        <v>179</v>
      </c>
      <c r="P19" s="288" t="s">
        <v>180</v>
      </c>
      <c r="Q19" s="288" t="s">
        <v>181</v>
      </c>
      <c r="R19" s="288" t="s">
        <v>182</v>
      </c>
      <c r="S19" s="288" t="s">
        <v>183</v>
      </c>
      <c r="T19" s="288" t="s">
        <v>184</v>
      </c>
      <c r="U19" s="288" t="s">
        <v>185</v>
      </c>
      <c r="V19" s="288" t="s">
        <v>186</v>
      </c>
      <c r="W19" s="288" t="s">
        <v>187</v>
      </c>
      <c r="X19" s="288" t="s">
        <v>188</v>
      </c>
      <c r="Y19" s="288" t="s">
        <v>189</v>
      </c>
      <c r="Z19" s="288" t="s">
        <v>190</v>
      </c>
      <c r="AA19" s="288" t="s">
        <v>191</v>
      </c>
      <c r="AB19" s="288" t="s">
        <v>192</v>
      </c>
      <c r="AC19" s="288" t="s">
        <v>193</v>
      </c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</row>
    <row r="20" spans="1:44" x14ac:dyDescent="0.2">
      <c r="A20" s="286"/>
      <c r="B20" s="286"/>
      <c r="C20" s="286"/>
      <c r="D20" s="290" t="s">
        <v>196</v>
      </c>
      <c r="E20" s="291"/>
      <c r="F20" s="291"/>
      <c r="G20" s="291">
        <v>2142006.2666666666</v>
      </c>
      <c r="H20" s="291">
        <v>4284012.5333333332</v>
      </c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2">
      <c r="A21" s="286"/>
      <c r="B21" s="286"/>
      <c r="C21" s="286"/>
      <c r="D21" s="292" t="s">
        <v>197</v>
      </c>
      <c r="E21" s="295">
        <f>E20</f>
        <v>0</v>
      </c>
      <c r="F21" s="295">
        <f t="shared" ref="F21:AC21" si="1">F20</f>
        <v>0</v>
      </c>
      <c r="G21" s="295">
        <f t="shared" si="1"/>
        <v>2142006.2666666666</v>
      </c>
      <c r="H21" s="295">
        <f t="shared" si="1"/>
        <v>4284012.5333333332</v>
      </c>
      <c r="I21" s="295">
        <f t="shared" si="1"/>
        <v>0</v>
      </c>
      <c r="J21" s="295">
        <f t="shared" si="1"/>
        <v>0</v>
      </c>
      <c r="K21" s="295">
        <f t="shared" si="1"/>
        <v>0</v>
      </c>
      <c r="L21" s="295">
        <f t="shared" si="1"/>
        <v>0</v>
      </c>
      <c r="M21" s="295">
        <f t="shared" si="1"/>
        <v>0</v>
      </c>
      <c r="N21" s="295">
        <f t="shared" si="1"/>
        <v>0</v>
      </c>
      <c r="O21" s="295">
        <f t="shared" si="1"/>
        <v>0</v>
      </c>
      <c r="P21" s="295">
        <f t="shared" si="1"/>
        <v>0</v>
      </c>
      <c r="Q21" s="295">
        <f t="shared" si="1"/>
        <v>0</v>
      </c>
      <c r="R21" s="295">
        <f t="shared" si="1"/>
        <v>0</v>
      </c>
      <c r="S21" s="295">
        <f t="shared" si="1"/>
        <v>0</v>
      </c>
      <c r="T21" s="295">
        <f t="shared" si="1"/>
        <v>0</v>
      </c>
      <c r="U21" s="295">
        <f t="shared" si="1"/>
        <v>0</v>
      </c>
      <c r="V21" s="295">
        <f t="shared" si="1"/>
        <v>0</v>
      </c>
      <c r="W21" s="295">
        <f t="shared" si="1"/>
        <v>0</v>
      </c>
      <c r="X21" s="295">
        <f t="shared" si="1"/>
        <v>0</v>
      </c>
      <c r="Y21" s="295">
        <f t="shared" si="1"/>
        <v>0</v>
      </c>
      <c r="Z21" s="295">
        <f t="shared" si="1"/>
        <v>0</v>
      </c>
      <c r="AA21" s="295">
        <f t="shared" si="1"/>
        <v>0</v>
      </c>
      <c r="AB21" s="295">
        <f t="shared" si="1"/>
        <v>0</v>
      </c>
      <c r="AC21" s="295">
        <f t="shared" si="1"/>
        <v>0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2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2">
      <c r="A23" s="286"/>
      <c r="B23" s="286"/>
      <c r="C23" s="286"/>
      <c r="D23" s="286"/>
      <c r="E23" s="288" t="s">
        <v>52</v>
      </c>
      <c r="F23" s="288" t="s">
        <v>91</v>
      </c>
      <c r="G23" s="288" t="s">
        <v>92</v>
      </c>
      <c r="H23" s="288" t="s">
        <v>93</v>
      </c>
      <c r="I23" s="288" t="s">
        <v>94</v>
      </c>
      <c r="J23" s="288" t="s">
        <v>95</v>
      </c>
      <c r="K23" s="288" t="s">
        <v>175</v>
      </c>
      <c r="L23" s="288" t="s">
        <v>176</v>
      </c>
      <c r="M23" s="288" t="s">
        <v>177</v>
      </c>
      <c r="N23" s="288" t="s">
        <v>178</v>
      </c>
      <c r="O23" s="288" t="s">
        <v>179</v>
      </c>
      <c r="P23" s="288" t="s">
        <v>180</v>
      </c>
      <c r="Q23" s="288" t="s">
        <v>181</v>
      </c>
      <c r="R23" s="288" t="s">
        <v>182</v>
      </c>
      <c r="S23" s="288" t="s">
        <v>183</v>
      </c>
      <c r="T23" s="288" t="s">
        <v>184</v>
      </c>
      <c r="U23" s="288" t="s">
        <v>185</v>
      </c>
      <c r="V23" s="288" t="s">
        <v>186</v>
      </c>
      <c r="W23" s="288" t="s">
        <v>187</v>
      </c>
      <c r="X23" s="288" t="s">
        <v>188</v>
      </c>
      <c r="Y23" s="288" t="s">
        <v>189</v>
      </c>
      <c r="Z23" s="288" t="s">
        <v>190</v>
      </c>
      <c r="AA23" s="288" t="s">
        <v>191</v>
      </c>
      <c r="AB23" s="288" t="s">
        <v>192</v>
      </c>
      <c r="AC23" s="288" t="s">
        <v>193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2">
      <c r="A24" s="286"/>
      <c r="B24" s="286"/>
      <c r="C24" s="286"/>
      <c r="D24" s="289" t="s">
        <v>194</v>
      </c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2">
      <c r="A25" s="286"/>
      <c r="B25" s="286"/>
      <c r="C25" s="286"/>
      <c r="D25" s="290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2">
      <c r="A26" s="286"/>
      <c r="B26" s="286"/>
      <c r="C26" s="286"/>
      <c r="D26" s="292" t="s">
        <v>195</v>
      </c>
      <c r="E26" s="293">
        <f>E25</f>
        <v>0</v>
      </c>
      <c r="F26" s="293">
        <f t="shared" ref="F26:AC26" si="2">F25</f>
        <v>0</v>
      </c>
      <c r="G26" s="293">
        <f t="shared" si="2"/>
        <v>0</v>
      </c>
      <c r="H26" s="293">
        <f t="shared" si="2"/>
        <v>0</v>
      </c>
      <c r="I26" s="293">
        <f t="shared" si="2"/>
        <v>0</v>
      </c>
      <c r="J26" s="293">
        <f t="shared" si="2"/>
        <v>0</v>
      </c>
      <c r="K26" s="293">
        <f t="shared" si="2"/>
        <v>0</v>
      </c>
      <c r="L26" s="293">
        <f t="shared" si="2"/>
        <v>0</v>
      </c>
      <c r="M26" s="293">
        <f t="shared" si="2"/>
        <v>0</v>
      </c>
      <c r="N26" s="293">
        <f t="shared" si="2"/>
        <v>0</v>
      </c>
      <c r="O26" s="293">
        <f t="shared" si="2"/>
        <v>0</v>
      </c>
      <c r="P26" s="293">
        <f t="shared" si="2"/>
        <v>0</v>
      </c>
      <c r="Q26" s="293">
        <f t="shared" si="2"/>
        <v>0</v>
      </c>
      <c r="R26" s="293">
        <f t="shared" si="2"/>
        <v>0</v>
      </c>
      <c r="S26" s="293">
        <f t="shared" si="2"/>
        <v>0</v>
      </c>
      <c r="T26" s="293">
        <f t="shared" si="2"/>
        <v>0</v>
      </c>
      <c r="U26" s="293">
        <f t="shared" si="2"/>
        <v>0</v>
      </c>
      <c r="V26" s="293">
        <f t="shared" si="2"/>
        <v>0</v>
      </c>
      <c r="W26" s="293">
        <f t="shared" si="2"/>
        <v>0</v>
      </c>
      <c r="X26" s="293">
        <f t="shared" si="2"/>
        <v>0</v>
      </c>
      <c r="Y26" s="293">
        <f t="shared" si="2"/>
        <v>0</v>
      </c>
      <c r="Z26" s="293">
        <f t="shared" si="2"/>
        <v>0</v>
      </c>
      <c r="AA26" s="293">
        <f t="shared" si="2"/>
        <v>0</v>
      </c>
      <c r="AB26" s="293">
        <f t="shared" si="2"/>
        <v>0</v>
      </c>
      <c r="AC26" s="293">
        <f t="shared" si="2"/>
        <v>0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2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2">
      <c r="A28" s="286"/>
      <c r="B28" s="286"/>
      <c r="C28" s="286"/>
      <c r="D28" s="286"/>
      <c r="E28" s="286"/>
      <c r="F28" s="297"/>
      <c r="G28" s="286"/>
      <c r="H28" s="286"/>
      <c r="I28" s="286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29" spans="1:44" x14ac:dyDescent="0.2">
      <c r="A29" s="294"/>
      <c r="B29" s="284" t="str">
        <f>Assumptions!C16&amp;" - "&amp;Assumptions!E16</f>
        <v>Option 3 - Refurb transformer #2 completed in 2028-2029</v>
      </c>
      <c r="C29" s="294"/>
      <c r="D29" s="294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</row>
    <row r="30" spans="1:44" x14ac:dyDescent="0.2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</row>
    <row r="31" spans="1:44" x14ac:dyDescent="0.2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</row>
    <row r="32" spans="1:44" x14ac:dyDescent="0.2">
      <c r="A32" s="286"/>
      <c r="B32" s="286"/>
      <c r="C32" s="286"/>
      <c r="D32" s="286"/>
      <c r="E32" s="288" t="s">
        <v>52</v>
      </c>
      <c r="F32" s="288" t="s">
        <v>91</v>
      </c>
      <c r="G32" s="288" t="s">
        <v>92</v>
      </c>
      <c r="H32" s="288" t="s">
        <v>93</v>
      </c>
      <c r="I32" s="288" t="s">
        <v>94</v>
      </c>
      <c r="J32" s="288" t="s">
        <v>95</v>
      </c>
      <c r="K32" s="288" t="s">
        <v>175</v>
      </c>
      <c r="L32" s="288" t="s">
        <v>176</v>
      </c>
      <c r="M32" s="288" t="s">
        <v>177</v>
      </c>
      <c r="N32" s="288" t="s">
        <v>178</v>
      </c>
      <c r="O32" s="288" t="s">
        <v>179</v>
      </c>
      <c r="P32" s="288" t="s">
        <v>180</v>
      </c>
      <c r="Q32" s="288" t="s">
        <v>181</v>
      </c>
      <c r="R32" s="288" t="s">
        <v>182</v>
      </c>
      <c r="S32" s="288" t="s">
        <v>183</v>
      </c>
      <c r="T32" s="288" t="s">
        <v>184</v>
      </c>
      <c r="U32" s="288" t="s">
        <v>185</v>
      </c>
      <c r="V32" s="288" t="s">
        <v>186</v>
      </c>
      <c r="W32" s="288" t="s">
        <v>187</v>
      </c>
      <c r="X32" s="288" t="s">
        <v>188</v>
      </c>
      <c r="Y32" s="288" t="s">
        <v>189</v>
      </c>
      <c r="Z32" s="288" t="s">
        <v>190</v>
      </c>
      <c r="AA32" s="288" t="s">
        <v>191</v>
      </c>
      <c r="AB32" s="288" t="s">
        <v>192</v>
      </c>
      <c r="AC32" s="288" t="s">
        <v>193</v>
      </c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2">
      <c r="A33" s="286"/>
      <c r="B33" s="286"/>
      <c r="C33" s="286"/>
      <c r="D33" s="290" t="s">
        <v>196</v>
      </c>
      <c r="E33" s="291"/>
      <c r="F33" s="291"/>
      <c r="G33" s="291">
        <v>530000</v>
      </c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2">
      <c r="A34" s="286"/>
      <c r="B34" s="286"/>
      <c r="C34" s="286"/>
      <c r="D34" s="292" t="s">
        <v>197</v>
      </c>
      <c r="E34" s="295">
        <f>E33</f>
        <v>0</v>
      </c>
      <c r="F34" s="295">
        <f t="shared" ref="F34:AC34" si="3">F33</f>
        <v>0</v>
      </c>
      <c r="G34" s="295">
        <f t="shared" si="3"/>
        <v>530000</v>
      </c>
      <c r="H34" s="295">
        <f t="shared" si="3"/>
        <v>0</v>
      </c>
      <c r="I34" s="295">
        <f t="shared" si="3"/>
        <v>0</v>
      </c>
      <c r="J34" s="295">
        <f t="shared" si="3"/>
        <v>0</v>
      </c>
      <c r="K34" s="295">
        <f t="shared" si="3"/>
        <v>0</v>
      </c>
      <c r="L34" s="295">
        <f t="shared" si="3"/>
        <v>0</v>
      </c>
      <c r="M34" s="295">
        <f t="shared" si="3"/>
        <v>0</v>
      </c>
      <c r="N34" s="295">
        <f t="shared" si="3"/>
        <v>0</v>
      </c>
      <c r="O34" s="295">
        <f t="shared" si="3"/>
        <v>0</v>
      </c>
      <c r="P34" s="295">
        <f t="shared" si="3"/>
        <v>0</v>
      </c>
      <c r="Q34" s="295">
        <f t="shared" si="3"/>
        <v>0</v>
      </c>
      <c r="R34" s="295">
        <f t="shared" si="3"/>
        <v>0</v>
      </c>
      <c r="S34" s="295">
        <f t="shared" si="3"/>
        <v>0</v>
      </c>
      <c r="T34" s="295">
        <f t="shared" si="3"/>
        <v>0</v>
      </c>
      <c r="U34" s="295">
        <f t="shared" si="3"/>
        <v>0</v>
      </c>
      <c r="V34" s="295">
        <f t="shared" si="3"/>
        <v>0</v>
      </c>
      <c r="W34" s="295">
        <f t="shared" si="3"/>
        <v>0</v>
      </c>
      <c r="X34" s="295">
        <f t="shared" si="3"/>
        <v>0</v>
      </c>
      <c r="Y34" s="295">
        <f t="shared" si="3"/>
        <v>0</v>
      </c>
      <c r="Z34" s="295">
        <f t="shared" si="3"/>
        <v>0</v>
      </c>
      <c r="AA34" s="295">
        <f t="shared" si="3"/>
        <v>0</v>
      </c>
      <c r="AB34" s="295">
        <f t="shared" si="3"/>
        <v>0</v>
      </c>
      <c r="AC34" s="295">
        <f t="shared" si="3"/>
        <v>0</v>
      </c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2">
      <c r="A35" s="286"/>
      <c r="B35" s="286"/>
      <c r="C35" s="286"/>
      <c r="D35" s="286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2">
      <c r="A36" s="286"/>
      <c r="B36" s="286"/>
      <c r="C36" s="286"/>
      <c r="D36" s="286"/>
      <c r="E36" s="288" t="s">
        <v>52</v>
      </c>
      <c r="F36" s="288" t="s">
        <v>91</v>
      </c>
      <c r="G36" s="288" t="s">
        <v>92</v>
      </c>
      <c r="H36" s="288" t="s">
        <v>93</v>
      </c>
      <c r="I36" s="288" t="s">
        <v>94</v>
      </c>
      <c r="J36" s="288" t="s">
        <v>95</v>
      </c>
      <c r="K36" s="288" t="s">
        <v>175</v>
      </c>
      <c r="L36" s="288" t="s">
        <v>176</v>
      </c>
      <c r="M36" s="288" t="s">
        <v>177</v>
      </c>
      <c r="N36" s="288" t="s">
        <v>178</v>
      </c>
      <c r="O36" s="288" t="s">
        <v>179</v>
      </c>
      <c r="P36" s="288" t="s">
        <v>180</v>
      </c>
      <c r="Q36" s="288" t="s">
        <v>181</v>
      </c>
      <c r="R36" s="288" t="s">
        <v>182</v>
      </c>
      <c r="S36" s="288" t="s">
        <v>183</v>
      </c>
      <c r="T36" s="288" t="s">
        <v>184</v>
      </c>
      <c r="U36" s="288" t="s">
        <v>185</v>
      </c>
      <c r="V36" s="288" t="s">
        <v>186</v>
      </c>
      <c r="W36" s="288" t="s">
        <v>187</v>
      </c>
      <c r="X36" s="288" t="s">
        <v>188</v>
      </c>
      <c r="Y36" s="288" t="s">
        <v>189</v>
      </c>
      <c r="Z36" s="288" t="s">
        <v>190</v>
      </c>
      <c r="AA36" s="288" t="s">
        <v>191</v>
      </c>
      <c r="AB36" s="288" t="s">
        <v>192</v>
      </c>
      <c r="AC36" s="288" t="s">
        <v>193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2">
      <c r="A37" s="286"/>
      <c r="B37" s="286"/>
      <c r="C37" s="286"/>
      <c r="D37" s="289" t="s">
        <v>194</v>
      </c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2">
      <c r="A38" s="286"/>
      <c r="B38" s="286"/>
      <c r="C38" s="286"/>
      <c r="D38" s="290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2">
      <c r="A39" s="286"/>
      <c r="B39" s="286"/>
      <c r="C39" s="286"/>
      <c r="D39" s="292" t="s">
        <v>195</v>
      </c>
      <c r="E39" s="293">
        <f>E38</f>
        <v>0</v>
      </c>
      <c r="F39" s="293">
        <f t="shared" ref="F39:AC39" si="4">F38</f>
        <v>0</v>
      </c>
      <c r="G39" s="293">
        <f t="shared" si="4"/>
        <v>0</v>
      </c>
      <c r="H39" s="293">
        <f t="shared" si="4"/>
        <v>0</v>
      </c>
      <c r="I39" s="293">
        <f t="shared" si="4"/>
        <v>0</v>
      </c>
      <c r="J39" s="293">
        <f t="shared" si="4"/>
        <v>0</v>
      </c>
      <c r="K39" s="293">
        <f t="shared" si="4"/>
        <v>0</v>
      </c>
      <c r="L39" s="293">
        <f t="shared" si="4"/>
        <v>0</v>
      </c>
      <c r="M39" s="293">
        <f t="shared" si="4"/>
        <v>0</v>
      </c>
      <c r="N39" s="293">
        <f t="shared" si="4"/>
        <v>0</v>
      </c>
      <c r="O39" s="293">
        <f t="shared" si="4"/>
        <v>0</v>
      </c>
      <c r="P39" s="293">
        <f t="shared" si="4"/>
        <v>0</v>
      </c>
      <c r="Q39" s="293">
        <f t="shared" si="4"/>
        <v>0</v>
      </c>
      <c r="R39" s="293">
        <f t="shared" si="4"/>
        <v>0</v>
      </c>
      <c r="S39" s="293">
        <f t="shared" si="4"/>
        <v>0</v>
      </c>
      <c r="T39" s="293">
        <f t="shared" si="4"/>
        <v>0</v>
      </c>
      <c r="U39" s="293">
        <f t="shared" si="4"/>
        <v>0</v>
      </c>
      <c r="V39" s="293">
        <f t="shared" si="4"/>
        <v>0</v>
      </c>
      <c r="W39" s="293">
        <f t="shared" si="4"/>
        <v>0</v>
      </c>
      <c r="X39" s="293">
        <f t="shared" si="4"/>
        <v>0</v>
      </c>
      <c r="Y39" s="293">
        <f t="shared" si="4"/>
        <v>0</v>
      </c>
      <c r="Z39" s="293">
        <f t="shared" si="4"/>
        <v>0</v>
      </c>
      <c r="AA39" s="293">
        <f t="shared" si="4"/>
        <v>0</v>
      </c>
      <c r="AB39" s="293">
        <f t="shared" si="4"/>
        <v>0</v>
      </c>
      <c r="AC39" s="293">
        <f t="shared" si="4"/>
        <v>0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40"/>
  <sheetViews>
    <sheetView showGridLines="0" workbookViewId="0"/>
  </sheetViews>
  <sheetFormatPr defaultColWidth="8" defaultRowHeight="12.75" x14ac:dyDescent="0.2"/>
  <cols>
    <col min="1" max="1" width="2.625" style="1" customWidth="1"/>
    <col min="2" max="2" width="5.25" style="1" customWidth="1"/>
    <col min="3" max="3" width="10.75" style="1" customWidth="1"/>
    <col min="4" max="4" width="23.875" style="1" bestFit="1" customWidth="1"/>
    <col min="5" max="5" width="12.125" style="1" customWidth="1"/>
    <col min="6" max="6" width="15.125" style="1" customWidth="1"/>
    <col min="7" max="7" width="14" style="1" customWidth="1"/>
    <col min="8" max="8" width="14.75" style="1" customWidth="1"/>
    <col min="9" max="28" width="8.625" style="1" customWidth="1"/>
    <col min="29" max="16384" width="8" style="1"/>
  </cols>
  <sheetData>
    <row r="1" spans="1:44" ht="18.75" x14ac:dyDescent="0.3">
      <c r="A1" s="13" t="str">
        <f>bus</f>
        <v>CitiPower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75" x14ac:dyDescent="0.3">
      <c r="A2" s="50" t="str">
        <f>proj</f>
        <v>AR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75" x14ac:dyDescent="0.3">
      <c r="A3" s="5" t="s">
        <v>198</v>
      </c>
      <c r="B3" s="281"/>
      <c r="C3" s="5"/>
      <c r="D3" s="5"/>
    </row>
    <row r="5" spans="1:44" ht="15" x14ac:dyDescent="0.2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2">
      <c r="C6" s="3"/>
      <c r="D6" s="3"/>
    </row>
    <row r="7" spans="1:44" x14ac:dyDescent="0.2">
      <c r="A7" s="283"/>
      <c r="B7" s="284" t="s">
        <v>174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2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2">
      <c r="A9" s="286"/>
      <c r="B9" s="286"/>
      <c r="C9" s="286"/>
      <c r="D9" s="286"/>
      <c r="E9" s="288" t="s">
        <v>52</v>
      </c>
      <c r="F9" s="288" t="s">
        <v>91</v>
      </c>
      <c r="G9" s="288" t="s">
        <v>92</v>
      </c>
      <c r="H9" s="288" t="s">
        <v>93</v>
      </c>
      <c r="I9" s="288" t="s">
        <v>94</v>
      </c>
      <c r="J9" s="288" t="s">
        <v>95</v>
      </c>
      <c r="K9" s="288" t="s">
        <v>175</v>
      </c>
      <c r="L9" s="288" t="s">
        <v>176</v>
      </c>
      <c r="M9" s="288" t="s">
        <v>177</v>
      </c>
      <c r="N9" s="288" t="s">
        <v>178</v>
      </c>
      <c r="O9" s="288" t="s">
        <v>179</v>
      </c>
      <c r="P9" s="288" t="s">
        <v>180</v>
      </c>
      <c r="Q9" s="288" t="s">
        <v>181</v>
      </c>
      <c r="R9" s="288" t="s">
        <v>182</v>
      </c>
      <c r="S9" s="288" t="s">
        <v>183</v>
      </c>
      <c r="T9" s="288" t="s">
        <v>184</v>
      </c>
      <c r="U9" s="288" t="s">
        <v>185</v>
      </c>
      <c r="V9" s="288" t="s">
        <v>186</v>
      </c>
      <c r="W9" s="288" t="s">
        <v>187</v>
      </c>
      <c r="X9" s="288" t="s">
        <v>188</v>
      </c>
      <c r="Y9" s="288" t="s">
        <v>189</v>
      </c>
      <c r="Z9" s="288" t="s">
        <v>190</v>
      </c>
      <c r="AA9" s="288" t="s">
        <v>191</v>
      </c>
      <c r="AB9" s="288" t="s">
        <v>192</v>
      </c>
      <c r="AC9" s="288" t="s">
        <v>193</v>
      </c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2">
      <c r="A10" s="286"/>
      <c r="B10" s="286"/>
      <c r="C10" s="286"/>
      <c r="D10" s="299" t="s">
        <v>199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2">
      <c r="A11" s="286"/>
      <c r="B11" s="286"/>
      <c r="C11" s="286"/>
      <c r="D11" s="286" t="s">
        <v>200</v>
      </c>
      <c r="E11" s="300">
        <f>'Tx risks'!F16</f>
        <v>902550.33179585391</v>
      </c>
      <c r="F11" s="300">
        <f>'Tx risks'!G16</f>
        <v>984245.67656817078</v>
      </c>
      <c r="G11" s="300">
        <f>'Tx risks'!H16</f>
        <v>1010336.4830719025</v>
      </c>
      <c r="H11" s="300">
        <f>'Tx risks'!I16</f>
        <v>1029627.6717804444</v>
      </c>
      <c r="I11" s="300">
        <f>'Tx risks'!J16</f>
        <v>1057561.348179973</v>
      </c>
      <c r="J11" s="300">
        <f>'Tx risks'!K16</f>
        <v>1096436.0033294377</v>
      </c>
      <c r="K11" s="300">
        <f>'Tx risks'!L16</f>
        <v>1153842.3323365403</v>
      </c>
      <c r="L11" s="300">
        <f>'Tx risks'!M16</f>
        <v>1212031.2951317944</v>
      </c>
      <c r="M11" s="300">
        <f>'Tx risks'!N16</f>
        <v>1257568.3077948198</v>
      </c>
      <c r="N11" s="300">
        <f>'Tx risks'!O16</f>
        <v>1287960.6884112922</v>
      </c>
      <c r="O11" s="300">
        <f>'Tx risks'!P16</f>
        <v>1318656.3375021154</v>
      </c>
      <c r="P11" s="300">
        <f>'Tx risks'!Q16</f>
        <v>1349654.2353886703</v>
      </c>
      <c r="Q11" s="300">
        <f>'Tx risks'!R16</f>
        <v>1380953.3631640577</v>
      </c>
      <c r="R11" s="300">
        <f>'Tx risks'!S16</f>
        <v>1412552.7288786359</v>
      </c>
      <c r="S11" s="300">
        <f>'Tx risks'!T16</f>
        <v>1444451.3413289962</v>
      </c>
      <c r="T11" s="300">
        <f>'Tx risks'!U16</f>
        <v>1476648.2493661009</v>
      </c>
      <c r="U11" s="300">
        <f>'Tx risks'!V16</f>
        <v>1509142.5156884103</v>
      </c>
      <c r="V11" s="300">
        <f>'Tx risks'!W16</f>
        <v>1541933.2430665877</v>
      </c>
      <c r="W11" s="300">
        <f>'Tx risks'!X16</f>
        <v>1575019.508769216</v>
      </c>
      <c r="X11" s="300">
        <f>'Tx risks'!Y16</f>
        <v>1608400.4432451269</v>
      </c>
      <c r="Y11" s="300">
        <f>'Tx risks'!Z16</f>
        <v>1642075.1776606895</v>
      </c>
      <c r="Z11" s="300">
        <f>'Tx risks'!AA16</f>
        <v>1676042.8832637856</v>
      </c>
      <c r="AA11" s="300">
        <f>'Tx risks'!AB16</f>
        <v>1710302.7320151622</v>
      </c>
      <c r="AB11" s="300">
        <f>'Tx risks'!AC16</f>
        <v>1744853.8965687468</v>
      </c>
      <c r="AC11" s="300">
        <f>'Tx risks'!AD16</f>
        <v>1779695.6028015029</v>
      </c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2">
      <c r="A12" s="286"/>
      <c r="B12" s="286"/>
      <c r="C12" s="286"/>
      <c r="D12" s="286" t="s">
        <v>201</v>
      </c>
      <c r="E12" s="300">
        <f>'Tx risks'!F17</f>
        <v>569.43302312389608</v>
      </c>
      <c r="F12" s="300">
        <f>'Tx risks'!G17</f>
        <v>584.88390844473759</v>
      </c>
      <c r="G12" s="300">
        <f>'Tx risks'!H17</f>
        <v>600.50471135378461</v>
      </c>
      <c r="H12" s="300">
        <f>'Tx risks'!I17</f>
        <v>616.29465798613819</v>
      </c>
      <c r="I12" s="300">
        <f>'Tx risks'!J17</f>
        <v>632.25297447689923</v>
      </c>
      <c r="J12" s="300">
        <f>'Tx risks'!K17</f>
        <v>648.37888696116886</v>
      </c>
      <c r="K12" s="300">
        <f>'Tx risks'!L17</f>
        <v>664.67167220072349</v>
      </c>
      <c r="L12" s="300">
        <f>'Tx risks'!M17</f>
        <v>681.13058526019313</v>
      </c>
      <c r="M12" s="300">
        <f>'Tx risks'!N17</f>
        <v>697.75491736611889</v>
      </c>
      <c r="N12" s="300">
        <f>'Tx risks'!O17</f>
        <v>714.54397420980615</v>
      </c>
      <c r="O12" s="300">
        <f>'Tx risks'!P17</f>
        <v>731.49704701779626</v>
      </c>
      <c r="P12" s="300">
        <f>'Tx risks'!Q17</f>
        <v>748.61347041092324</v>
      </c>
      <c r="Q12" s="300">
        <f>'Tx risks'!R17</f>
        <v>765.89257901002202</v>
      </c>
      <c r="R12" s="300">
        <f>'Tx risks'!S17</f>
        <v>783.3337219006911</v>
      </c>
      <c r="S12" s="300">
        <f>'Tx risks'!T17</f>
        <v>800.93624816852969</v>
      </c>
      <c r="T12" s="300">
        <f>'Tx risks'!U17</f>
        <v>818.69952859628359</v>
      </c>
      <c r="U12" s="300">
        <f>'Tx risks'!V17</f>
        <v>836.6229411990804</v>
      </c>
      <c r="V12" s="300">
        <f>'Tx risks'!W17</f>
        <v>854.70588568919459</v>
      </c>
      <c r="W12" s="300">
        <f>'Tx risks'!X17</f>
        <v>872.94774731413656</v>
      </c>
      <c r="X12" s="300">
        <f>'Tx risks'!Y17</f>
        <v>891.3479402509455</v>
      </c>
      <c r="Y12" s="300">
        <f>'Tx risks'!Z17</f>
        <v>909.90587867666011</v>
      </c>
      <c r="Z12" s="300">
        <f>'Tx risks'!AA17</f>
        <v>928.62099846546607</v>
      </c>
      <c r="AA12" s="300">
        <f>'Tx risks'!AB17</f>
        <v>928.62099846546607</v>
      </c>
      <c r="AB12" s="300">
        <f>'Tx risks'!AC17</f>
        <v>928.62099846546607</v>
      </c>
      <c r="AC12" s="300">
        <f>'Tx risks'!AD17</f>
        <v>928.62099846546607</v>
      </c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2">
      <c r="A13" s="286"/>
      <c r="B13" s="286"/>
      <c r="C13" s="286"/>
      <c r="D13" s="286" t="s">
        <v>202</v>
      </c>
      <c r="E13" s="300">
        <f>'Tx risks'!F18</f>
        <v>24285.357893167948</v>
      </c>
      <c r="F13" s="300">
        <f>'Tx risks'!G18</f>
        <v>24944.312088912386</v>
      </c>
      <c r="G13" s="300">
        <f>'Tx risks'!H18</f>
        <v>25610.512983169807</v>
      </c>
      <c r="H13" s="300">
        <f>'Tx risks'!I18</f>
        <v>26283.927571907654</v>
      </c>
      <c r="I13" s="300">
        <f>'Tx risks'!J18</f>
        <v>26964.522851093374</v>
      </c>
      <c r="J13" s="300">
        <f>'Tx risks'!K18</f>
        <v>27652.265816694409</v>
      </c>
      <c r="K13" s="300">
        <f>'Tx risks'!L18</f>
        <v>28347.125623820521</v>
      </c>
      <c r="L13" s="300">
        <f>'Tx risks'!M18</f>
        <v>29049.070502234765</v>
      </c>
      <c r="M13" s="300">
        <f>'Tx risks'!N18</f>
        <v>29758.070223944695</v>
      </c>
      <c r="N13" s="300">
        <f>'Tx risks'!O18</f>
        <v>30474.095177855692</v>
      </c>
      <c r="O13" s="300">
        <f>'Tx risks'!P18</f>
        <v>31197.115135975317</v>
      </c>
      <c r="P13" s="300">
        <f>'Tx risks'!Q18</f>
        <v>31927.101721004543</v>
      </c>
      <c r="Q13" s="300">
        <f>'Tx risks'!R18</f>
        <v>32664.026555644363</v>
      </c>
      <c r="R13" s="300">
        <f>'Tx risks'!S18</f>
        <v>33407.861879493546</v>
      </c>
      <c r="S13" s="300">
        <f>'Tx risks'!T18</f>
        <v>34158.579932150875</v>
      </c>
      <c r="T13" s="300">
        <f>'Tx risks'!U18</f>
        <v>34916.153878561861</v>
      </c>
      <c r="U13" s="300">
        <f>'Tx risks'!V18</f>
        <v>35680.557192120883</v>
      </c>
      <c r="V13" s="300">
        <f>'Tx risks'!W18</f>
        <v>36451.764271569045</v>
      </c>
      <c r="W13" s="300">
        <f>'Tx risks'!X18</f>
        <v>37229.748898749633</v>
      </c>
      <c r="X13" s="300">
        <f>'Tx risks'!Y18</f>
        <v>38014.486089301572</v>
      </c>
      <c r="Y13" s="300">
        <f>'Tx risks'!Z18</f>
        <v>38805.950858863762</v>
      </c>
      <c r="Z13" s="300">
        <f>'Tx risks'!AA18</f>
        <v>39604.1191484218</v>
      </c>
      <c r="AA13" s="300">
        <f>'Tx risks'!AB18</f>
        <v>39604.1191484218</v>
      </c>
      <c r="AB13" s="300">
        <f>'Tx risks'!AC18</f>
        <v>39604.1191484218</v>
      </c>
      <c r="AC13" s="300">
        <f>'Tx risks'!AD18</f>
        <v>39604.1191484218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2">
      <c r="A14" s="286"/>
      <c r="B14" s="286"/>
      <c r="C14" s="286"/>
      <c r="D14" s="286" t="s">
        <v>203</v>
      </c>
      <c r="E14" s="300">
        <f>'Tx risks'!F19</f>
        <v>2102.5077156480002</v>
      </c>
      <c r="F14" s="300">
        <f>'Tx risks'!G19</f>
        <v>2159.5567526400005</v>
      </c>
      <c r="G14" s="300">
        <f>'Tx risks'!H19</f>
        <v>2217.2331734080003</v>
      </c>
      <c r="H14" s="300">
        <f>'Tx risks'!I19</f>
        <v>2275.534120624</v>
      </c>
      <c r="I14" s="300">
        <f>'Tx risks'!J19</f>
        <v>2334.4567369599999</v>
      </c>
      <c r="J14" s="300">
        <f>'Tx risks'!K19</f>
        <v>2393.998165088</v>
      </c>
      <c r="K14" s="300">
        <f>'Tx risks'!L19</f>
        <v>2454.1557346079999</v>
      </c>
      <c r="L14" s="300">
        <f>'Tx risks'!M19</f>
        <v>2514.926695008</v>
      </c>
      <c r="M14" s="300">
        <f>'Tx risks'!N19</f>
        <v>2576.3084292959998</v>
      </c>
      <c r="N14" s="300">
        <f>'Tx risks'!O19</f>
        <v>2638.2983738879998</v>
      </c>
      <c r="O14" s="300">
        <f>'Tx risks'!P19</f>
        <v>2700.8939117920004</v>
      </c>
      <c r="P14" s="300">
        <f>'Tx risks'!Q19</f>
        <v>2764.0925862399999</v>
      </c>
      <c r="Q14" s="300">
        <f>'Tx risks'!R19</f>
        <v>2827.8919404640005</v>
      </c>
      <c r="R14" s="300">
        <f>'Tx risks'!S19</f>
        <v>2892.2895711040005</v>
      </c>
      <c r="S14" s="300">
        <f>'Tx risks'!T19</f>
        <v>2957.2830748000001</v>
      </c>
      <c r="T14" s="300">
        <f>'Tx risks'!U19</f>
        <v>3022.870128304</v>
      </c>
      <c r="U14" s="300">
        <f>'Tx risks'!V19</f>
        <v>3089.0484350720003</v>
      </c>
      <c r="V14" s="300">
        <f>'Tx risks'!W19</f>
        <v>3155.8157786720003</v>
      </c>
      <c r="W14" s="300">
        <f>'Tx risks'!X19</f>
        <v>3223.1698892639997</v>
      </c>
      <c r="X14" s="300">
        <f>'Tx risks'!Y19</f>
        <v>3291.1086038240001</v>
      </c>
      <c r="Y14" s="300">
        <f>'Tx risks'!Z19</f>
        <v>3359.6297593280005</v>
      </c>
      <c r="Z14" s="300">
        <f>'Tx risks'!AA19</f>
        <v>3428.7312728639999</v>
      </c>
      <c r="AA14" s="300">
        <f>'Tx risks'!AB19</f>
        <v>3428.7312728639999</v>
      </c>
      <c r="AB14" s="300">
        <f>'Tx risks'!AC19</f>
        <v>3428.7312728639999</v>
      </c>
      <c r="AC14" s="300">
        <f>'Tx risks'!AD19</f>
        <v>3428.7312728639999</v>
      </c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2">
      <c r="A15" s="286"/>
      <c r="B15" s="286"/>
      <c r="C15" s="286"/>
      <c r="D15" s="286" t="s">
        <v>344</v>
      </c>
      <c r="E15" s="300">
        <f>'Tx risks'!F20</f>
        <v>4505.3416666666672</v>
      </c>
      <c r="F15" s="300">
        <f>'Tx risks'!G20</f>
        <v>4505.3416666666672</v>
      </c>
      <c r="G15" s="300">
        <f>'Tx risks'!H20</f>
        <v>4505.3416666666672</v>
      </c>
      <c r="H15" s="300">
        <f>'Tx risks'!I20</f>
        <v>4505.3416666666672</v>
      </c>
      <c r="I15" s="300">
        <f>'Tx risks'!J20</f>
        <v>4505.3416666666672</v>
      </c>
      <c r="J15" s="300">
        <f>'Tx risks'!K20</f>
        <v>4505.3416666666672</v>
      </c>
      <c r="K15" s="300">
        <f>'Tx risks'!L20</f>
        <v>4505.3416666666672</v>
      </c>
      <c r="L15" s="300">
        <f>'Tx risks'!M20</f>
        <v>4505.3416666666672</v>
      </c>
      <c r="M15" s="300">
        <f>'Tx risks'!N20</f>
        <v>4505.3416666666672</v>
      </c>
      <c r="N15" s="300">
        <f>'Tx risks'!O20</f>
        <v>4505.3416666666672</v>
      </c>
      <c r="O15" s="300">
        <f>'Tx risks'!P20</f>
        <v>4505.3416666666672</v>
      </c>
      <c r="P15" s="300">
        <f>'Tx risks'!Q20</f>
        <v>4505.3416666666672</v>
      </c>
      <c r="Q15" s="300">
        <f>'Tx risks'!R20</f>
        <v>4505.3416666666672</v>
      </c>
      <c r="R15" s="300">
        <f>'Tx risks'!S20</f>
        <v>4505.3416666666672</v>
      </c>
      <c r="S15" s="300">
        <f>'Tx risks'!T20</f>
        <v>4505.3416666666672</v>
      </c>
      <c r="T15" s="300">
        <f>'Tx risks'!U20</f>
        <v>4505.3416666666672</v>
      </c>
      <c r="U15" s="300">
        <f>'Tx risks'!V20</f>
        <v>4505.3416666666672</v>
      </c>
      <c r="V15" s="300">
        <f>'Tx risks'!W20</f>
        <v>4505.3416666666672</v>
      </c>
      <c r="W15" s="300">
        <f>'Tx risks'!X20</f>
        <v>4505.3416666666672</v>
      </c>
      <c r="X15" s="300">
        <f>'Tx risks'!Y20</f>
        <v>4505.3416666666672</v>
      </c>
      <c r="Y15" s="300">
        <f>'Tx risks'!Z20</f>
        <v>4505.3416666666672</v>
      </c>
      <c r="Z15" s="300">
        <f>'Tx risks'!AA20</f>
        <v>4505.3416666666672</v>
      </c>
      <c r="AA15" s="300">
        <f>'Tx risks'!AB20</f>
        <v>4505.3416666666672</v>
      </c>
      <c r="AB15" s="300">
        <f>'Tx risks'!AC20</f>
        <v>4505.3416666666672</v>
      </c>
      <c r="AC15" s="300">
        <f>'Tx risks'!AD20</f>
        <v>4505.3416666666672</v>
      </c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2">
      <c r="A16" s="286"/>
      <c r="B16" s="286"/>
      <c r="C16" s="286"/>
      <c r="D16" s="301" t="s">
        <v>204</v>
      </c>
      <c r="E16" s="295">
        <f>SUM(E11:E15)</f>
        <v>934012.97209446051</v>
      </c>
      <c r="F16" s="295">
        <f>SUM(F11:F15)</f>
        <v>1016439.7709848346</v>
      </c>
      <c r="G16" s="295">
        <f>SUM(G11:G15)</f>
        <v>1043270.0756065007</v>
      </c>
      <c r="H16" s="295">
        <f>SUM(H11:H15)</f>
        <v>1063308.7697976287</v>
      </c>
      <c r="I16" s="295">
        <f>SUM(I11:I15)</f>
        <v>1091997.9224091698</v>
      </c>
      <c r="J16" s="295">
        <f>SUM(J11:J15)</f>
        <v>1131635.9878648478</v>
      </c>
      <c r="K16" s="295">
        <f>SUM(K11:K15)</f>
        <v>1189813.6270338362</v>
      </c>
      <c r="L16" s="295">
        <f>SUM(L11:L15)</f>
        <v>1248781.7645809641</v>
      </c>
      <c r="M16" s="295">
        <f>SUM(M11:M15)</f>
        <v>1295105.7830320932</v>
      </c>
      <c r="N16" s="295">
        <f>SUM(N11:N15)</f>
        <v>1326292.9676039121</v>
      </c>
      <c r="O16" s="295">
        <f>SUM(O11:O15)</f>
        <v>1357791.1852635671</v>
      </c>
      <c r="P16" s="295">
        <f>SUM(P11:P15)</f>
        <v>1389599.3848329925</v>
      </c>
      <c r="Q16" s="295">
        <f>SUM(Q11:Q15)</f>
        <v>1421716.5159058427</v>
      </c>
      <c r="R16" s="295">
        <f>SUM(R11:R15)</f>
        <v>1454141.5557178007</v>
      </c>
      <c r="S16" s="295">
        <f>SUM(S11:S15)</f>
        <v>1486873.4822507822</v>
      </c>
      <c r="T16" s="295">
        <f>SUM(T11:T15)</f>
        <v>1519911.3145682297</v>
      </c>
      <c r="U16" s="295">
        <f>SUM(U11:U15)</f>
        <v>1553254.0859234687</v>
      </c>
      <c r="V16" s="295">
        <f>SUM(V11:V15)</f>
        <v>1586900.8706691845</v>
      </c>
      <c r="W16" s="295">
        <f>SUM(W11:W15)</f>
        <v>1620850.7169712104</v>
      </c>
      <c r="X16" s="295">
        <f>SUM(X11:X15)</f>
        <v>1655102.7275451699</v>
      </c>
      <c r="Y16" s="295">
        <f>SUM(Y11:Y15)</f>
        <v>1689656.0058242243</v>
      </c>
      <c r="Z16" s="295">
        <f>SUM(Z11:Z15)</f>
        <v>1724509.6963502034</v>
      </c>
      <c r="AA16" s="295">
        <f>SUM(AA11:AA15)</f>
        <v>1758769.54510158</v>
      </c>
      <c r="AB16" s="295">
        <f>SUM(AB11:AB15)</f>
        <v>1793320.7096551645</v>
      </c>
      <c r="AC16" s="295">
        <f>SUM(AC11:AC15)</f>
        <v>1828162.4158879207</v>
      </c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</row>
    <row r="17" spans="1:44" x14ac:dyDescent="0.2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2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2">
      <c r="A19" s="283"/>
      <c r="B19" s="284" t="str">
        <f>Workings_costs!B16</f>
        <v>Option 2 - Replace #2 transformer completed in 2029-2030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3"/>
    </row>
    <row r="20" spans="1:44" x14ac:dyDescent="0.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2">
      <c r="A21" s="286"/>
      <c r="B21" s="286"/>
      <c r="C21" s="286"/>
      <c r="D21" s="286"/>
      <c r="E21" s="288" t="s">
        <v>52</v>
      </c>
      <c r="F21" s="288" t="s">
        <v>91</v>
      </c>
      <c r="G21" s="288" t="s">
        <v>92</v>
      </c>
      <c r="H21" s="288" t="s">
        <v>93</v>
      </c>
      <c r="I21" s="288" t="s">
        <v>94</v>
      </c>
      <c r="J21" s="288" t="s">
        <v>95</v>
      </c>
      <c r="K21" s="288" t="s">
        <v>175</v>
      </c>
      <c r="L21" s="288" t="s">
        <v>176</v>
      </c>
      <c r="M21" s="288" t="s">
        <v>177</v>
      </c>
      <c r="N21" s="288" t="s">
        <v>178</v>
      </c>
      <c r="O21" s="288" t="s">
        <v>179</v>
      </c>
      <c r="P21" s="288" t="s">
        <v>180</v>
      </c>
      <c r="Q21" s="288" t="s">
        <v>181</v>
      </c>
      <c r="R21" s="288" t="s">
        <v>182</v>
      </c>
      <c r="S21" s="288" t="s">
        <v>183</v>
      </c>
      <c r="T21" s="288" t="s">
        <v>184</v>
      </c>
      <c r="U21" s="288" t="s">
        <v>185</v>
      </c>
      <c r="V21" s="288" t="s">
        <v>186</v>
      </c>
      <c r="W21" s="288" t="s">
        <v>187</v>
      </c>
      <c r="X21" s="288" t="s">
        <v>188</v>
      </c>
      <c r="Y21" s="288" t="s">
        <v>189</v>
      </c>
      <c r="Z21" s="288" t="s">
        <v>190</v>
      </c>
      <c r="AA21" s="288" t="s">
        <v>191</v>
      </c>
      <c r="AB21" s="288" t="s">
        <v>192</v>
      </c>
      <c r="AC21" s="288" t="s">
        <v>193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2">
      <c r="A22" s="286"/>
      <c r="B22" s="286"/>
      <c r="C22" s="286"/>
      <c r="D22" s="299" t="s">
        <v>199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2">
      <c r="A23" s="286"/>
      <c r="B23" s="286"/>
      <c r="C23" s="286"/>
      <c r="D23" s="286" t="s">
        <v>200</v>
      </c>
      <c r="E23" s="300">
        <f>E11</f>
        <v>902550.33179585391</v>
      </c>
      <c r="F23" s="300">
        <f t="shared" ref="F23:H23" si="0">F11</f>
        <v>984245.67656817078</v>
      </c>
      <c r="G23" s="300">
        <f t="shared" si="0"/>
        <v>1010336.4830719025</v>
      </c>
      <c r="H23" s="300">
        <f t="shared" si="0"/>
        <v>1029627.6717804444</v>
      </c>
      <c r="I23" s="300">
        <f>'Tx risks'!J38</f>
        <v>29545.531410171992</v>
      </c>
      <c r="J23" s="300">
        <f>'Tx risks'!K38</f>
        <v>54521.892663951636</v>
      </c>
      <c r="K23" s="300">
        <f>'Tx risks'!L38</f>
        <v>79986.770823298386</v>
      </c>
      <c r="L23" s="300">
        <f>'Tx risks'!M38</f>
        <v>105990.26948874397</v>
      </c>
      <c r="M23" s="300">
        <f>'Tx risks'!N38</f>
        <v>131345.01880282999</v>
      </c>
      <c r="N23" s="300">
        <f>'Tx risks'!O38</f>
        <v>155208.8512811533</v>
      </c>
      <c r="O23" s="300">
        <f>'Tx risks'!P38</f>
        <v>179039.42782619307</v>
      </c>
      <c r="P23" s="300">
        <f>'Tx risks'!Q38</f>
        <v>202908.42171940004</v>
      </c>
      <c r="Q23" s="300">
        <f>'Tx risks'!R38</f>
        <v>226866.62371574948</v>
      </c>
      <c r="R23" s="300">
        <f>'Tx risks'!S38</f>
        <v>250951.60609679244</v>
      </c>
      <c r="S23" s="300">
        <f>'Tx risks'!T38</f>
        <v>275191.82269395544</v>
      </c>
      <c r="T23" s="300">
        <f>'Tx risks'!U38</f>
        <v>299609.47646200325</v>
      </c>
      <c r="U23" s="300">
        <f>'Tx risks'!V38</f>
        <v>324222.16684254957</v>
      </c>
      <c r="V23" s="300">
        <f>'Tx risks'!W38</f>
        <v>349044.02199334087</v>
      </c>
      <c r="W23" s="300">
        <f>'Tx risks'!X38</f>
        <v>374086.53932957619</v>
      </c>
      <c r="X23" s="300">
        <f>'Tx risks'!Y38</f>
        <v>399359.20011491625</v>
      </c>
      <c r="Y23" s="300">
        <f>'Tx risks'!Z38</f>
        <v>424869.88554310217</v>
      </c>
      <c r="Z23" s="300">
        <f>'Tx risks'!AA38</f>
        <v>450625.12123178574</v>
      </c>
      <c r="AA23" s="300">
        <f>'Tx risks'!AB38</f>
        <v>476630.44749675039</v>
      </c>
      <c r="AB23" s="300">
        <f>'Tx risks'!AC38</f>
        <v>502890.52617608698</v>
      </c>
      <c r="AC23" s="300">
        <f>'Tx risks'!AD38</f>
        <v>529409.27469040384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2">
      <c r="A24" s="286"/>
      <c r="B24" s="286"/>
      <c r="C24" s="286"/>
      <c r="D24" s="286" t="s">
        <v>201</v>
      </c>
      <c r="E24" s="300">
        <f>E12</f>
        <v>569.43302312389608</v>
      </c>
      <c r="F24" s="300">
        <f>F12</f>
        <v>584.88390844473759</v>
      </c>
      <c r="G24" s="300">
        <f>G12</f>
        <v>600.50471135378461</v>
      </c>
      <c r="H24" s="300">
        <f>H12</f>
        <v>616.29465798613819</v>
      </c>
      <c r="I24" s="300">
        <f>'Tx risks'!J39</f>
        <v>316.37510761012555</v>
      </c>
      <c r="J24" s="300">
        <f>'Tx risks'!K39</f>
        <v>324.99720655515318</v>
      </c>
      <c r="K24" s="300">
        <f>'Tx risks'!L39</f>
        <v>333.94514601696915</v>
      </c>
      <c r="L24" s="300">
        <f>'Tx risks'!M39</f>
        <v>343.18972525230379</v>
      </c>
      <c r="M24" s="300">
        <f>'Tx risks'!N39</f>
        <v>352.71261017219382</v>
      </c>
      <c r="N24" s="300">
        <f>'Tx risks'!O39</f>
        <v>362.50065230573779</v>
      </c>
      <c r="O24" s="300">
        <f>'Tx risks'!P39</f>
        <v>372.54369377208832</v>
      </c>
      <c r="P24" s="300">
        <f>'Tx risks'!Q39</f>
        <v>382.83354751455619</v>
      </c>
      <c r="Q24" s="300">
        <f>'Tx risks'!R39</f>
        <v>393.36336808335722</v>
      </c>
      <c r="R24" s="300">
        <f>'Tx risks'!S39</f>
        <v>404.12731171364612</v>
      </c>
      <c r="S24" s="300">
        <f>'Tx risks'!T39</f>
        <v>415.12027234356555</v>
      </c>
      <c r="T24" s="300">
        <f>'Tx risks'!U39</f>
        <v>426.33774781517525</v>
      </c>
      <c r="U24" s="300">
        <f>'Tx risks'!V39</f>
        <v>437.77570969157063</v>
      </c>
      <c r="V24" s="300">
        <f>'Tx risks'!W39</f>
        <v>449.43052008448797</v>
      </c>
      <c r="W24" s="300">
        <f>'Tx risks'!X39</f>
        <v>461.2988520980997</v>
      </c>
      <c r="X24" s="300">
        <f>'Tx risks'!Y39</f>
        <v>473.37766451567649</v>
      </c>
      <c r="Y24" s="300">
        <f>'Tx risks'!Z39</f>
        <v>485.66414755672037</v>
      </c>
      <c r="Z24" s="300">
        <f>'Tx risks'!AA39</f>
        <v>498.15569033124473</v>
      </c>
      <c r="AA24" s="300">
        <f>'Tx risks'!AB39</f>
        <v>498.15569033124473</v>
      </c>
      <c r="AB24" s="300">
        <f>'Tx risks'!AC39</f>
        <v>498.15569033124473</v>
      </c>
      <c r="AC24" s="300">
        <f>'Tx risks'!AD39</f>
        <v>498.15569033124473</v>
      </c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2">
      <c r="A25" s="286"/>
      <c r="B25" s="286"/>
      <c r="C25" s="286"/>
      <c r="D25" s="286" t="s">
        <v>202</v>
      </c>
      <c r="E25" s="300">
        <f>E13</f>
        <v>24285.357893167948</v>
      </c>
      <c r="F25" s="300">
        <f>F13</f>
        <v>24944.312088912386</v>
      </c>
      <c r="G25" s="300">
        <f>G13</f>
        <v>25610.512983169807</v>
      </c>
      <c r="H25" s="300">
        <f>H13</f>
        <v>26283.927571907654</v>
      </c>
      <c r="I25" s="300">
        <f>'Tx risks'!J40</f>
        <v>13492.864665015588</v>
      </c>
      <c r="J25" s="300">
        <f>'Tx risks'!K40</f>
        <v>13860.582640909553</v>
      </c>
      <c r="K25" s="300">
        <f>'Tx risks'!L40</f>
        <v>14242.197165203344</v>
      </c>
      <c r="L25" s="300">
        <f>'Tx risks'!M40</f>
        <v>14636.462875453526</v>
      </c>
      <c r="M25" s="300">
        <f>'Tx risks'!N40</f>
        <v>15042.597853692507</v>
      </c>
      <c r="N25" s="300">
        <f>'Tx risks'!O40</f>
        <v>15460.041339815729</v>
      </c>
      <c r="O25" s="300">
        <f>'Tx risks'!P40</f>
        <v>15888.360117339773</v>
      </c>
      <c r="P25" s="300">
        <f>'Tx risks'!Q40</f>
        <v>16327.205022107115</v>
      </c>
      <c r="Q25" s="300">
        <f>'Tx risks'!R40</f>
        <v>16776.284107231644</v>
      </c>
      <c r="R25" s="300">
        <f>'Tx risks'!S40</f>
        <v>17235.348146000211</v>
      </c>
      <c r="S25" s="300">
        <f>'Tx risks'!T40</f>
        <v>17704.179373487721</v>
      </c>
      <c r="T25" s="300">
        <f>'Tx risks'!U40</f>
        <v>18182.585780252441</v>
      </c>
      <c r="U25" s="300">
        <f>'Tx risks'!V40</f>
        <v>18670.395560255725</v>
      </c>
      <c r="V25" s="300">
        <f>'Tx risks'!W40</f>
        <v>19167.453563699662</v>
      </c>
      <c r="W25" s="300">
        <f>'Tx risks'!X40</f>
        <v>19673.617904089158</v>
      </c>
      <c r="X25" s="300">
        <f>'Tx risks'!Y40</f>
        <v>20188.758878660756</v>
      </c>
      <c r="Y25" s="300">
        <f>'Tx risks'!Z40</f>
        <v>20712.756655015863</v>
      </c>
      <c r="Z25" s="300">
        <f>'Tx risks'!AA40</f>
        <v>21245.499883100714</v>
      </c>
      <c r="AA25" s="300">
        <f>'Tx risks'!AB40</f>
        <v>21245.499883100714</v>
      </c>
      <c r="AB25" s="300">
        <f>'Tx risks'!AC40</f>
        <v>21245.499883100714</v>
      </c>
      <c r="AC25" s="300">
        <f>'Tx risks'!AD40</f>
        <v>21245.499883100714</v>
      </c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2">
      <c r="A26" s="286"/>
      <c r="B26" s="286"/>
      <c r="C26" s="286"/>
      <c r="D26" s="286" t="s">
        <v>203</v>
      </c>
      <c r="E26" s="300">
        <f>E14</f>
        <v>2102.5077156480002</v>
      </c>
      <c r="F26" s="300">
        <f>F14</f>
        <v>2159.5567526400005</v>
      </c>
      <c r="G26" s="300">
        <f>G14</f>
        <v>2217.2331734080003</v>
      </c>
      <c r="H26" s="300">
        <f>H14</f>
        <v>2275.534120624</v>
      </c>
      <c r="I26" s="300">
        <f>'Tx risks'!J41</f>
        <v>1168.146345184</v>
      </c>
      <c r="J26" s="300">
        <f>'Tx risks'!K41</f>
        <v>1199.9815721919999</v>
      </c>
      <c r="K26" s="300">
        <f>'Tx risks'!L41</f>
        <v>1233.0198945119998</v>
      </c>
      <c r="L26" s="300">
        <f>'Tx risks'!M41</f>
        <v>1267.153494744</v>
      </c>
      <c r="M26" s="300">
        <f>'Tx risks'!N41</f>
        <v>1302.3146782479998</v>
      </c>
      <c r="N26" s="300">
        <f>'Tx risks'!O41</f>
        <v>1338.4548971519998</v>
      </c>
      <c r="O26" s="300">
        <f>'Tx risks'!P41</f>
        <v>1375.5366456880001</v>
      </c>
      <c r="P26" s="300">
        <f>'Tx risks'!Q41</f>
        <v>1413.529694928</v>
      </c>
      <c r="Q26" s="300">
        <f>'Tx risks'!R41</f>
        <v>1452.4087695360004</v>
      </c>
      <c r="R26" s="300">
        <f>'Tx risks'!S41</f>
        <v>1492.1522926800003</v>
      </c>
      <c r="S26" s="300">
        <f>'Tx risks'!T41</f>
        <v>1532.7414113359998</v>
      </c>
      <c r="T26" s="300">
        <f>'Tx risks'!U41</f>
        <v>1574.1595022640001</v>
      </c>
      <c r="U26" s="300">
        <f>'Tx risks'!V41</f>
        <v>1616.3916913360003</v>
      </c>
      <c r="V26" s="300">
        <f>'Tx risks'!W41</f>
        <v>1659.4245464400001</v>
      </c>
      <c r="W26" s="300">
        <f>'Tx risks'!X41</f>
        <v>1703.2457837359998</v>
      </c>
      <c r="X26" s="300">
        <f>'Tx risks'!Y41</f>
        <v>1747.8441741920001</v>
      </c>
      <c r="Y26" s="300">
        <f>'Tx risks'!Z41</f>
        <v>1793.2093433040002</v>
      </c>
      <c r="Z26" s="300">
        <f>'Tx risks'!AA41</f>
        <v>1839.3316509279998</v>
      </c>
      <c r="AA26" s="300">
        <f>'Tx risks'!AB41</f>
        <v>1839.3316509279998</v>
      </c>
      <c r="AB26" s="300">
        <f>'Tx risks'!AC41</f>
        <v>1839.3316509279998</v>
      </c>
      <c r="AC26" s="300">
        <f>'Tx risks'!AD41</f>
        <v>1839.3316509279998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2">
      <c r="A27" s="286"/>
      <c r="B27" s="286"/>
      <c r="C27" s="286"/>
      <c r="D27" s="286" t="s">
        <v>344</v>
      </c>
      <c r="E27" s="300">
        <f>E15</f>
        <v>4505.3416666666672</v>
      </c>
      <c r="F27" s="300">
        <f>F15</f>
        <v>4505.3416666666672</v>
      </c>
      <c r="G27" s="300">
        <f>G15</f>
        <v>4505.3416666666672</v>
      </c>
      <c r="H27" s="300">
        <f>H15</f>
        <v>4505.3416666666672</v>
      </c>
      <c r="I27" s="300">
        <f>'Tx risks'!J42</f>
        <v>2351.1750000000002</v>
      </c>
      <c r="J27" s="300">
        <f>'Tx risks'!K42</f>
        <v>2351.1750000000002</v>
      </c>
      <c r="K27" s="300">
        <f>'Tx risks'!L42</f>
        <v>2351.1750000000002</v>
      </c>
      <c r="L27" s="300">
        <f>'Tx risks'!M42</f>
        <v>2351.1750000000002</v>
      </c>
      <c r="M27" s="300">
        <f>'Tx risks'!N42</f>
        <v>2351.1750000000002</v>
      </c>
      <c r="N27" s="300">
        <f>'Tx risks'!O42</f>
        <v>2351.1750000000002</v>
      </c>
      <c r="O27" s="300">
        <f>'Tx risks'!P42</f>
        <v>2351.1750000000002</v>
      </c>
      <c r="P27" s="300">
        <f>'Tx risks'!Q42</f>
        <v>2351.1750000000002</v>
      </c>
      <c r="Q27" s="300">
        <f>'Tx risks'!R42</f>
        <v>2351.1750000000002</v>
      </c>
      <c r="R27" s="300">
        <f>'Tx risks'!S42</f>
        <v>2351.1750000000002</v>
      </c>
      <c r="S27" s="300">
        <f>'Tx risks'!T42</f>
        <v>2351.1750000000002</v>
      </c>
      <c r="T27" s="300">
        <f>'Tx risks'!U42</f>
        <v>2351.1750000000002</v>
      </c>
      <c r="U27" s="300">
        <f>'Tx risks'!V42</f>
        <v>2351.1750000000002</v>
      </c>
      <c r="V27" s="300">
        <f>'Tx risks'!W42</f>
        <v>2351.1750000000002</v>
      </c>
      <c r="W27" s="300">
        <f>'Tx risks'!X42</f>
        <v>2351.1750000000002</v>
      </c>
      <c r="X27" s="300">
        <f>'Tx risks'!Y42</f>
        <v>2351.1750000000002</v>
      </c>
      <c r="Y27" s="300">
        <f>'Tx risks'!Z42</f>
        <v>2351.1750000000002</v>
      </c>
      <c r="Z27" s="300">
        <f>'Tx risks'!AA42</f>
        <v>2351.1750000000002</v>
      </c>
      <c r="AA27" s="300">
        <f>'Tx risks'!AB42</f>
        <v>2351.1750000000002</v>
      </c>
      <c r="AB27" s="300">
        <f>'Tx risks'!AC42</f>
        <v>2351.1750000000002</v>
      </c>
      <c r="AC27" s="300">
        <f>'Tx risks'!AD42</f>
        <v>2351.1750000000002</v>
      </c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2">
      <c r="A28" s="286"/>
      <c r="B28" s="286"/>
      <c r="C28" s="286"/>
      <c r="D28" s="301" t="s">
        <v>204</v>
      </c>
      <c r="E28" s="295">
        <f>SUM(E23:E27)</f>
        <v>934012.97209446051</v>
      </c>
      <c r="F28" s="295">
        <f>SUM(F23:F27)</f>
        <v>1016439.7709848346</v>
      </c>
      <c r="G28" s="295">
        <f>SUM(G23:G27)</f>
        <v>1043270.0756065007</v>
      </c>
      <c r="H28" s="295">
        <f>SUM(H23:H27)</f>
        <v>1063308.7697976287</v>
      </c>
      <c r="I28" s="295">
        <f>SUM(I23:I27)</f>
        <v>46874.092527981709</v>
      </c>
      <c r="J28" s="295">
        <f>SUM(J23:J27)</f>
        <v>72258.62908360835</v>
      </c>
      <c r="K28" s="295">
        <f>SUM(K23:K27)</f>
        <v>98147.1080290307</v>
      </c>
      <c r="L28" s="295">
        <f>SUM(L23:L27)</f>
        <v>124588.2505841938</v>
      </c>
      <c r="M28" s="295">
        <f>SUM(M23:M27)</f>
        <v>150393.81894494267</v>
      </c>
      <c r="N28" s="295">
        <f>SUM(N23:N27)</f>
        <v>174721.02317042675</v>
      </c>
      <c r="O28" s="295">
        <f>SUM(O23:O27)</f>
        <v>199027.04328299291</v>
      </c>
      <c r="P28" s="295">
        <f>SUM(P23:P27)</f>
        <v>223383.16498394968</v>
      </c>
      <c r="Q28" s="295">
        <f>SUM(Q23:Q27)</f>
        <v>247839.85496060047</v>
      </c>
      <c r="R28" s="295">
        <f>SUM(R23:R27)</f>
        <v>272434.40884718631</v>
      </c>
      <c r="S28" s="295">
        <f>SUM(S23:S27)</f>
        <v>297195.03875112272</v>
      </c>
      <c r="T28" s="295">
        <f>SUM(T23:T27)</f>
        <v>322143.73449233483</v>
      </c>
      <c r="U28" s="295">
        <f>SUM(U23:U27)</f>
        <v>347297.90480383288</v>
      </c>
      <c r="V28" s="295">
        <f>SUM(V23:V27)</f>
        <v>372671.50562356506</v>
      </c>
      <c r="W28" s="295">
        <f>SUM(W23:W27)</f>
        <v>398275.87686949945</v>
      </c>
      <c r="X28" s="295">
        <f>SUM(X23:X27)</f>
        <v>424120.35583228467</v>
      </c>
      <c r="Y28" s="295">
        <f>SUM(Y23:Y27)</f>
        <v>450212.69068897871</v>
      </c>
      <c r="Z28" s="295">
        <f>SUM(Z23:Z27)</f>
        <v>476559.28345614573</v>
      </c>
      <c r="AA28" s="295">
        <f>SUM(AA23:AA27)</f>
        <v>502564.60972111038</v>
      </c>
      <c r="AB28" s="295">
        <f>SUM(AB23:AB27)</f>
        <v>528824.68840044702</v>
      </c>
      <c r="AC28" s="295">
        <f>SUM(AC23:AC27)</f>
        <v>555343.43691476388</v>
      </c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31" spans="1:44" x14ac:dyDescent="0.2">
      <c r="A31" s="283"/>
      <c r="B31" s="284" t="str">
        <f>Workings_costs!B29</f>
        <v>Option 3 - Refurb transformer #2 completed in 2028-2029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3"/>
    </row>
    <row r="32" spans="1:44" x14ac:dyDescent="0.2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2">
      <c r="A33" s="286"/>
      <c r="B33" s="286"/>
      <c r="C33" s="286"/>
      <c r="D33" s="286"/>
      <c r="E33" s="288" t="s">
        <v>52</v>
      </c>
      <c r="F33" s="288" t="s">
        <v>91</v>
      </c>
      <c r="G33" s="288" t="s">
        <v>92</v>
      </c>
      <c r="H33" s="288" t="s">
        <v>93</v>
      </c>
      <c r="I33" s="288" t="s">
        <v>94</v>
      </c>
      <c r="J33" s="288" t="s">
        <v>95</v>
      </c>
      <c r="K33" s="288" t="s">
        <v>175</v>
      </c>
      <c r="L33" s="288" t="s">
        <v>176</v>
      </c>
      <c r="M33" s="288" t="s">
        <v>177</v>
      </c>
      <c r="N33" s="288" t="s">
        <v>178</v>
      </c>
      <c r="O33" s="288" t="s">
        <v>179</v>
      </c>
      <c r="P33" s="288" t="s">
        <v>180</v>
      </c>
      <c r="Q33" s="288" t="s">
        <v>181</v>
      </c>
      <c r="R33" s="288" t="s">
        <v>182</v>
      </c>
      <c r="S33" s="288" t="s">
        <v>183</v>
      </c>
      <c r="T33" s="288" t="s">
        <v>184</v>
      </c>
      <c r="U33" s="288" t="s">
        <v>185</v>
      </c>
      <c r="V33" s="288" t="s">
        <v>186</v>
      </c>
      <c r="W33" s="288" t="s">
        <v>187</v>
      </c>
      <c r="X33" s="288" t="s">
        <v>188</v>
      </c>
      <c r="Y33" s="288" t="s">
        <v>189</v>
      </c>
      <c r="Z33" s="288" t="s">
        <v>190</v>
      </c>
      <c r="AA33" s="288" t="s">
        <v>191</v>
      </c>
      <c r="AB33" s="288" t="s">
        <v>192</v>
      </c>
      <c r="AC33" s="288" t="s">
        <v>193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2">
      <c r="A34" s="286"/>
      <c r="B34" s="286"/>
      <c r="C34" s="286"/>
      <c r="D34" s="299" t="s">
        <v>199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2">
      <c r="A35" s="286"/>
      <c r="B35" s="286"/>
      <c r="C35" s="286"/>
      <c r="D35" s="286" t="s">
        <v>200</v>
      </c>
      <c r="E35" s="300">
        <f>E11</f>
        <v>902550.33179585391</v>
      </c>
      <c r="F35" s="300">
        <f t="shared" ref="F35:G35" si="1">F11</f>
        <v>984245.67656817078</v>
      </c>
      <c r="G35" s="300">
        <f t="shared" si="1"/>
        <v>1010336.4830719025</v>
      </c>
      <c r="H35" s="300">
        <f>'Tx risks'!I60</f>
        <v>1008958.1852193684</v>
      </c>
      <c r="I35" s="300">
        <f>'Tx risks'!J60</f>
        <v>1036329.0643394786</v>
      </c>
      <c r="J35" s="300">
        <f>'Tx risks'!K60</f>
        <v>1074421.1500195195</v>
      </c>
      <c r="K35" s="300">
        <f>'Tx risks'!L60</f>
        <v>1130672.6363681713</v>
      </c>
      <c r="L35" s="300">
        <f>'Tx risks'!M60</f>
        <v>1187690.8214807336</v>
      </c>
      <c r="M35" s="300">
        <f>'Tx risks'!N60</f>
        <v>1232310.8809109537</v>
      </c>
      <c r="N35" s="300">
        <f>'Tx risks'!O60</f>
        <v>1262090.2277588674</v>
      </c>
      <c r="O35" s="300">
        <f>'Tx risks'!P60</f>
        <v>1292166.6282702975</v>
      </c>
      <c r="P35" s="300">
        <f>'Tx risks'!Q60</f>
        <v>1322539.0504212177</v>
      </c>
      <c r="Q35" s="300">
        <f>'Tx risks'!R60</f>
        <v>1353206.4995834338</v>
      </c>
      <c r="R35" s="300">
        <f>'Tx risks'!S60</f>
        <v>1384167.9818528639</v>
      </c>
      <c r="S35" s="300">
        <f>'Tx risks'!T60</f>
        <v>1415422.5407208456</v>
      </c>
      <c r="T35" s="300">
        <f>'Tx risks'!U60</f>
        <v>1446969.2570904908</v>
      </c>
      <c r="U35" s="300">
        <f>'Tx risks'!V60</f>
        <v>1478807.1758742528</v>
      </c>
      <c r="V35" s="300">
        <f>'Tx risks'!W60</f>
        <v>1510935.4160866491</v>
      </c>
      <c r="W35" s="300">
        <f>'Tx risks'!X60</f>
        <v>1543353.0790878863</v>
      </c>
      <c r="X35" s="300">
        <f>'Tx risks'!Y60</f>
        <v>1576059.3220114317</v>
      </c>
      <c r="Y35" s="300">
        <f>'Tx risks'!Z60</f>
        <v>1609053.3026913169</v>
      </c>
      <c r="Z35" s="300">
        <f>'Tx risks'!AA60</f>
        <v>1642334.1612673351</v>
      </c>
      <c r="AA35" s="300">
        <f>'Tx risks'!AB60</f>
        <v>1675901.075283099</v>
      </c>
      <c r="AB35" s="300">
        <f>'Tx risks'!AC60</f>
        <v>1709753.2964755783</v>
      </c>
      <c r="AC35" s="300">
        <f>'Tx risks'!AD60</f>
        <v>1743890.0037377847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2">
      <c r="A36" s="286"/>
      <c r="B36" s="286"/>
      <c r="C36" s="286"/>
      <c r="D36" s="286" t="s">
        <v>201</v>
      </c>
      <c r="E36" s="300">
        <f>E12</f>
        <v>569.43302312389608</v>
      </c>
      <c r="F36" s="300">
        <f t="shared" ref="F36:G39" si="2">F12</f>
        <v>584.88390844473759</v>
      </c>
      <c r="G36" s="300">
        <f t="shared" si="2"/>
        <v>600.50471135378461</v>
      </c>
      <c r="H36" s="300">
        <f>'Tx risks'!I61</f>
        <v>431.40626276001137</v>
      </c>
      <c r="I36" s="300">
        <f>'Tx risks'!J61</f>
        <v>442.57708213382955</v>
      </c>
      <c r="J36" s="300">
        <f>'Tx risks'!K61</f>
        <v>453.86522521224754</v>
      </c>
      <c r="K36" s="300">
        <f>'Tx risks'!L61</f>
        <v>465.27017126374471</v>
      </c>
      <c r="L36" s="300">
        <f>'Tx risks'!M61</f>
        <v>476.79141402156455</v>
      </c>
      <c r="M36" s="300">
        <f>'Tx risks'!N61</f>
        <v>488.42844721895079</v>
      </c>
      <c r="N36" s="300">
        <f>'Tx risks'!O61</f>
        <v>500.18077905391141</v>
      </c>
      <c r="O36" s="300">
        <f>'Tx risks'!P61</f>
        <v>512.04793218921907</v>
      </c>
      <c r="P36" s="300">
        <f>'Tx risks'!Q61</f>
        <v>524.02942928764628</v>
      </c>
      <c r="Q36" s="300">
        <f>'Tx risks'!R61</f>
        <v>536.12480747672998</v>
      </c>
      <c r="R36" s="300">
        <f>'Tx risks'!S61</f>
        <v>548.33360388400729</v>
      </c>
      <c r="S36" s="300">
        <f>'Tx risks'!T61</f>
        <v>560.65537010177968</v>
      </c>
      <c r="T36" s="300">
        <f>'Tx risks'!U61</f>
        <v>573.08967218711314</v>
      </c>
      <c r="U36" s="300">
        <f>'Tx risks'!V61</f>
        <v>585.63606173230914</v>
      </c>
      <c r="V36" s="300">
        <f>'Tx risks'!W61</f>
        <v>598.29411925919806</v>
      </c>
      <c r="W36" s="300">
        <f>'Tx risks'!X61</f>
        <v>611.06341805722809</v>
      </c>
      <c r="X36" s="300">
        <f>'Tx risks'!Y61</f>
        <v>623.94355311299432</v>
      </c>
      <c r="Y36" s="300">
        <f>'Tx risks'!Z61</f>
        <v>636.93411941309137</v>
      </c>
      <c r="Z36" s="300">
        <f>'Tx risks'!AA61</f>
        <v>650.03470471173193</v>
      </c>
      <c r="AA36" s="300">
        <f>'Tx risks'!AB61</f>
        <v>650.03470471173193</v>
      </c>
      <c r="AB36" s="300">
        <f>'Tx risks'!AC61</f>
        <v>650.03470471173193</v>
      </c>
      <c r="AC36" s="300">
        <f>'Tx risks'!AD61</f>
        <v>650.03470471173193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2">
      <c r="A37" s="286"/>
      <c r="B37" s="286"/>
      <c r="C37" s="286"/>
      <c r="D37" s="286" t="s">
        <v>202</v>
      </c>
      <c r="E37" s="300">
        <f>E13</f>
        <v>24285.357893167948</v>
      </c>
      <c r="F37" s="300">
        <f t="shared" si="2"/>
        <v>24944.312088912386</v>
      </c>
      <c r="G37" s="300">
        <f t="shared" si="2"/>
        <v>25610.512983169807</v>
      </c>
      <c r="H37" s="300">
        <f>'Tx risks'!I62</f>
        <v>25758.24915001804</v>
      </c>
      <c r="I37" s="300">
        <f>'Tx risks'!J62</f>
        <v>26425.23239407151</v>
      </c>
      <c r="J37" s="300">
        <f>'Tx risks'!K62</f>
        <v>27099.220759457603</v>
      </c>
      <c r="K37" s="300">
        <f>'Tx risks'!L62</f>
        <v>27780.183154526963</v>
      </c>
      <c r="L37" s="300">
        <f>'Tx risks'!M62</f>
        <v>28468.089351287148</v>
      </c>
      <c r="M37" s="300">
        <f>'Tx risks'!N62</f>
        <v>29162.909121745732</v>
      </c>
      <c r="N37" s="300">
        <f>'Tx risks'!O62</f>
        <v>29864.613101567193</v>
      </c>
      <c r="O37" s="300">
        <f>'Tx risks'!P62</f>
        <v>30573.17279007296</v>
      </c>
      <c r="P37" s="300">
        <f>'Tx risks'!Q62</f>
        <v>31288.559686584456</v>
      </c>
      <c r="Q37" s="300">
        <f>'Tx risks'!R62</f>
        <v>32010.74615408001</v>
      </c>
      <c r="R37" s="300">
        <f>'Tx risks'!S62</f>
        <v>32739.704555537977</v>
      </c>
      <c r="S37" s="300">
        <f>'Tx risks'!T62</f>
        <v>33475.40811759363</v>
      </c>
      <c r="T37" s="300">
        <f>'Tx risks'!U62</f>
        <v>34217.830930539167</v>
      </c>
      <c r="U37" s="300">
        <f>'Tx risks'!V62</f>
        <v>34966.946221009857</v>
      </c>
      <c r="V37" s="300">
        <f>'Tx risks'!W62</f>
        <v>35722.728942954818</v>
      </c>
      <c r="W37" s="300">
        <f>'Tx risks'!X62</f>
        <v>36485.153618494718</v>
      </c>
      <c r="X37" s="300">
        <f>'Tx risks'!Y62</f>
        <v>37254.196065235621</v>
      </c>
      <c r="Y37" s="300">
        <f>'Tx risks'!Z62</f>
        <v>38029.832100783562</v>
      </c>
      <c r="Z37" s="300">
        <f>'Tx risks'!AA62</f>
        <v>38812.037110916135</v>
      </c>
      <c r="AA37" s="300">
        <f>'Tx risks'!AB62</f>
        <v>38812.037110916135</v>
      </c>
      <c r="AB37" s="300">
        <f>'Tx risks'!AC62</f>
        <v>38812.037110916135</v>
      </c>
      <c r="AC37" s="300">
        <f>'Tx risks'!AD62</f>
        <v>38812.037110916135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2">
      <c r="A38" s="286"/>
      <c r="B38" s="286"/>
      <c r="C38" s="286"/>
      <c r="D38" s="286" t="s">
        <v>203</v>
      </c>
      <c r="E38" s="300">
        <f>E14</f>
        <v>2102.5077156480002</v>
      </c>
      <c r="F38" s="300">
        <f t="shared" si="2"/>
        <v>2159.5567526400005</v>
      </c>
      <c r="G38" s="300">
        <f t="shared" si="2"/>
        <v>2217.2331734080003</v>
      </c>
      <c r="H38" s="300">
        <f>'Tx risks'!I63</f>
        <v>1433.5865032031998</v>
      </c>
      <c r="I38" s="300">
        <f>'Tx risks'!J63</f>
        <v>1470.7077442847999</v>
      </c>
      <c r="J38" s="300">
        <f>'Tx risks'!K63</f>
        <v>1508.2188584256</v>
      </c>
      <c r="K38" s="300">
        <f>'Tx risks'!L63</f>
        <v>1546.1181152064</v>
      </c>
      <c r="L38" s="300">
        <f>'Tx risks'!M63</f>
        <v>1584.4038322751999</v>
      </c>
      <c r="M38" s="300">
        <f>'Tx risks'!N63</f>
        <v>1623.0743272799998</v>
      </c>
      <c r="N38" s="300">
        <f>'Tx risks'!O63</f>
        <v>1662.1279659359998</v>
      </c>
      <c r="O38" s="300">
        <f>'Tx risks'!P63</f>
        <v>1701.5631620255999</v>
      </c>
      <c r="P38" s="300">
        <f>'Tx risks'!Q63</f>
        <v>1741.3783293311999</v>
      </c>
      <c r="Q38" s="300">
        <f>'Tx risks'!R63</f>
        <v>1781.5719297023998</v>
      </c>
      <c r="R38" s="300">
        <f>'Tx risks'!S63</f>
        <v>1822.1424249888</v>
      </c>
      <c r="S38" s="300">
        <f>'Tx risks'!T63</f>
        <v>1863.0883251071998</v>
      </c>
      <c r="T38" s="300">
        <f>'Tx risks'!U63</f>
        <v>1904.4081880415999</v>
      </c>
      <c r="U38" s="300">
        <f>'Tx risks'!V63</f>
        <v>1946.1005237088</v>
      </c>
      <c r="V38" s="300">
        <f>'Tx risks'!W63</f>
        <v>1988.1639381599998</v>
      </c>
      <c r="W38" s="300">
        <f>'Tx risks'!X63</f>
        <v>2030.5970134127999</v>
      </c>
      <c r="X38" s="300">
        <f>'Tx risks'!Y63</f>
        <v>2073.3984035856001</v>
      </c>
      <c r="Y38" s="300">
        <f>'Tx risks'!Z63</f>
        <v>2116.5667627968</v>
      </c>
      <c r="Z38" s="300">
        <f>'Tx risks'!AA63</f>
        <v>2160.1007211311999</v>
      </c>
      <c r="AA38" s="300">
        <f>'Tx risks'!AB63</f>
        <v>2160.1007211311999</v>
      </c>
      <c r="AB38" s="300">
        <f>'Tx risks'!AC63</f>
        <v>2160.1007211311999</v>
      </c>
      <c r="AC38" s="300">
        <f>'Tx risks'!AD63</f>
        <v>2160.1007211311999</v>
      </c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2">
      <c r="A39" s="286"/>
      <c r="B39" s="286"/>
      <c r="C39" s="286"/>
      <c r="D39" s="286" t="s">
        <v>344</v>
      </c>
      <c r="E39" s="300">
        <f>E15</f>
        <v>4505.3416666666672</v>
      </c>
      <c r="F39" s="300">
        <f t="shared" si="2"/>
        <v>4505.3416666666672</v>
      </c>
      <c r="G39" s="300">
        <f t="shared" si="2"/>
        <v>4505.3416666666672</v>
      </c>
      <c r="H39" s="300">
        <f>'Tx risks'!I64</f>
        <v>1126.3354166666668</v>
      </c>
      <c r="I39" s="300">
        <f>'Tx risks'!J64</f>
        <v>1126.3354166666668</v>
      </c>
      <c r="J39" s="300">
        <f>'Tx risks'!K64</f>
        <v>1126.3354166666668</v>
      </c>
      <c r="K39" s="300">
        <f>'Tx risks'!L64</f>
        <v>1126.3354166666668</v>
      </c>
      <c r="L39" s="300">
        <f>'Tx risks'!M64</f>
        <v>1126.3354166666668</v>
      </c>
      <c r="M39" s="300">
        <f>'Tx risks'!N64</f>
        <v>1126.3354166666668</v>
      </c>
      <c r="N39" s="300">
        <f>'Tx risks'!O64</f>
        <v>1126.3354166666668</v>
      </c>
      <c r="O39" s="300">
        <f>'Tx risks'!P64</f>
        <v>1126.3354166666668</v>
      </c>
      <c r="P39" s="300">
        <f>'Tx risks'!Q64</f>
        <v>1126.3354166666668</v>
      </c>
      <c r="Q39" s="300">
        <f>'Tx risks'!R64</f>
        <v>1126.3354166666668</v>
      </c>
      <c r="R39" s="300">
        <f>'Tx risks'!S64</f>
        <v>1126.3354166666668</v>
      </c>
      <c r="S39" s="300">
        <f>'Tx risks'!T64</f>
        <v>1126.3354166666668</v>
      </c>
      <c r="T39" s="300">
        <f>'Tx risks'!U64</f>
        <v>1126.3354166666668</v>
      </c>
      <c r="U39" s="300">
        <f>'Tx risks'!V64</f>
        <v>1126.3354166666668</v>
      </c>
      <c r="V39" s="300">
        <f>'Tx risks'!W64</f>
        <v>1126.3354166666668</v>
      </c>
      <c r="W39" s="300">
        <f>'Tx risks'!X64</f>
        <v>1126.3354166666668</v>
      </c>
      <c r="X39" s="300">
        <f>'Tx risks'!Y64</f>
        <v>1126.3354166666668</v>
      </c>
      <c r="Y39" s="300">
        <f>'Tx risks'!Z64</f>
        <v>1126.3354166666668</v>
      </c>
      <c r="Z39" s="300">
        <f>'Tx risks'!AA64</f>
        <v>1126.3354166666668</v>
      </c>
      <c r="AA39" s="300">
        <f>'Tx risks'!AB64</f>
        <v>1126.3354166666668</v>
      </c>
      <c r="AB39" s="300">
        <f>'Tx risks'!AC64</f>
        <v>1126.3354166666668</v>
      </c>
      <c r="AC39" s="300">
        <f>'Tx risks'!AD64</f>
        <v>1126.3354166666668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2">
      <c r="A40" s="286"/>
      <c r="B40" s="286"/>
      <c r="C40" s="286"/>
      <c r="D40" s="301" t="s">
        <v>204</v>
      </c>
      <c r="E40" s="295">
        <f>SUM(E35:E39)</f>
        <v>934012.97209446051</v>
      </c>
      <c r="F40" s="295">
        <f>SUM(F35:F39)</f>
        <v>1016439.7709848346</v>
      </c>
      <c r="G40" s="295">
        <f>SUM(G35:G39)</f>
        <v>1043270.0756065007</v>
      </c>
      <c r="H40" s="295">
        <f>SUM(H35:H39)</f>
        <v>1037707.7625520164</v>
      </c>
      <c r="I40" s="295">
        <f>SUM(I35:I39)</f>
        <v>1065793.9169766353</v>
      </c>
      <c r="J40" s="295">
        <f>SUM(J35:J39)</f>
        <v>1104608.7902792816</v>
      </c>
      <c r="K40" s="295">
        <f>SUM(K35:K39)</f>
        <v>1161590.5432258351</v>
      </c>
      <c r="L40" s="295">
        <f>SUM(L35:L39)</f>
        <v>1219346.4414949841</v>
      </c>
      <c r="M40" s="295">
        <f>SUM(M35:M39)</f>
        <v>1264711.6282238651</v>
      </c>
      <c r="N40" s="295">
        <f>SUM(N35:N39)</f>
        <v>1295243.4850220911</v>
      </c>
      <c r="O40" s="295">
        <f>SUM(O35:O39)</f>
        <v>1326079.7475712518</v>
      </c>
      <c r="P40" s="295">
        <f>SUM(P35:P39)</f>
        <v>1357219.3532830877</v>
      </c>
      <c r="Q40" s="295">
        <f>SUM(Q35:Q39)</f>
        <v>1388661.2778913595</v>
      </c>
      <c r="R40" s="295">
        <f>SUM(R35:R39)</f>
        <v>1420404.4978539415</v>
      </c>
      <c r="S40" s="295">
        <f>SUM(S35:S39)</f>
        <v>1452448.027950315</v>
      </c>
      <c r="T40" s="295">
        <f>SUM(T35:T39)</f>
        <v>1484790.9212979253</v>
      </c>
      <c r="U40" s="295">
        <f>SUM(U35:U39)</f>
        <v>1517432.1940973706</v>
      </c>
      <c r="V40" s="295">
        <f>SUM(V35:V39)</f>
        <v>1550370.9385036898</v>
      </c>
      <c r="W40" s="295">
        <f>SUM(W35:W39)</f>
        <v>1583606.2285545177</v>
      </c>
      <c r="X40" s="295">
        <f>SUM(X35:X39)</f>
        <v>1617137.1954500326</v>
      </c>
      <c r="Y40" s="295">
        <f>SUM(Y35:Y39)</f>
        <v>1650962.9710909771</v>
      </c>
      <c r="Z40" s="295">
        <f>SUM(Z35:Z39)</f>
        <v>1685082.6692207609</v>
      </c>
      <c r="AA40" s="295">
        <f>SUM(AA35:AA39)</f>
        <v>1718649.5832365248</v>
      </c>
      <c r="AB40" s="295">
        <f>SUM(AB35:AB39)</f>
        <v>1752501.8044290042</v>
      </c>
      <c r="AC40" s="295">
        <f>SUM(AC35:AC39)</f>
        <v>1786638.5116912106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J71"/>
  <sheetViews>
    <sheetView showGridLines="0" workbookViewId="0">
      <selection activeCell="A3" sqref="A3"/>
    </sheetView>
  </sheetViews>
  <sheetFormatPr defaultRowHeight="12.75" x14ac:dyDescent="0.2"/>
  <cols>
    <col min="1" max="1" width="27.875" style="361" bestFit="1" customWidth="1"/>
    <col min="2" max="2" width="9" style="361"/>
    <col min="3" max="3" width="19.125" style="361" bestFit="1" customWidth="1"/>
    <col min="4" max="4" width="21.625" style="361" bestFit="1" customWidth="1"/>
    <col min="5" max="5" width="9" style="361" bestFit="1" customWidth="1"/>
    <col min="6" max="6" width="12.125" style="361" bestFit="1" customWidth="1"/>
    <col min="7" max="7" width="9.875" style="361" bestFit="1" customWidth="1"/>
    <col min="8" max="8" width="10.25" style="361" bestFit="1" customWidth="1"/>
    <col min="9" max="36" width="9.875" style="361" bestFit="1" customWidth="1"/>
    <col min="37" max="16384" width="9" style="361"/>
  </cols>
  <sheetData>
    <row r="1" spans="1:36" customFormat="1" ht="18.75" x14ac:dyDescent="0.3">
      <c r="A1" s="13" t="str">
        <f>bus</f>
        <v>CitiPower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customFormat="1" ht="18.75" x14ac:dyDescent="0.3">
      <c r="A2" s="50" t="str">
        <f>proj</f>
        <v>AR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2">
      <c r="A5" s="397" t="s">
        <v>205</v>
      </c>
      <c r="B5" s="397"/>
      <c r="C5" s="312" t="s">
        <v>206</v>
      </c>
      <c r="D5" s="312"/>
      <c r="F5" s="310" t="s">
        <v>207</v>
      </c>
      <c r="G5" s="311" t="s">
        <v>208</v>
      </c>
      <c r="H5" s="312" t="s">
        <v>209</v>
      </c>
      <c r="I5" s="312" t="s">
        <v>210</v>
      </c>
    </row>
    <row r="6" spans="1:36" x14ac:dyDescent="0.2">
      <c r="A6" s="367" t="s">
        <v>211</v>
      </c>
      <c r="B6" s="398" t="s">
        <v>71</v>
      </c>
      <c r="C6" s="313" t="s">
        <v>212</v>
      </c>
      <c r="D6" s="399"/>
      <c r="F6" s="313" t="s">
        <v>213</v>
      </c>
      <c r="G6" s="314">
        <v>1.53242142E-3</v>
      </c>
      <c r="H6" s="311">
        <v>1</v>
      </c>
      <c r="I6" s="315"/>
    </row>
    <row r="7" spans="1:36" x14ac:dyDescent="0.2">
      <c r="A7" s="367" t="s">
        <v>214</v>
      </c>
      <c r="B7" s="398" t="s">
        <v>215</v>
      </c>
      <c r="C7" s="313" t="s">
        <v>216</v>
      </c>
      <c r="D7" s="399"/>
      <c r="F7" s="313" t="s">
        <v>217</v>
      </c>
      <c r="G7" s="314">
        <v>1.53242142E-3</v>
      </c>
      <c r="H7" s="311">
        <v>1</v>
      </c>
      <c r="I7" s="315"/>
    </row>
    <row r="8" spans="1:36" x14ac:dyDescent="0.2">
      <c r="A8" s="400" t="s">
        <v>68</v>
      </c>
      <c r="B8" s="401">
        <v>45.386140842230837</v>
      </c>
      <c r="C8" s="400" t="s">
        <v>218</v>
      </c>
      <c r="D8" s="402">
        <v>7711222.5599999996</v>
      </c>
      <c r="F8" s="313" t="s">
        <v>219</v>
      </c>
      <c r="G8" s="314" t="b">
        <v>1</v>
      </c>
      <c r="H8" s="311">
        <v>1</v>
      </c>
      <c r="I8" s="315"/>
    </row>
    <row r="9" spans="1:36" x14ac:dyDescent="0.2">
      <c r="A9" s="400" t="s">
        <v>220</v>
      </c>
      <c r="B9" s="403">
        <v>0.5</v>
      </c>
      <c r="C9" s="400" t="s">
        <v>221</v>
      </c>
      <c r="D9" s="402">
        <v>166900</v>
      </c>
      <c r="F9" s="313" t="s">
        <v>222</v>
      </c>
      <c r="G9" s="316">
        <v>0</v>
      </c>
      <c r="H9" s="311">
        <v>1</v>
      </c>
      <c r="I9" s="315"/>
    </row>
    <row r="10" spans="1:36" ht="19.5" customHeight="1" x14ac:dyDescent="0.2">
      <c r="A10" s="404" t="s">
        <v>223</v>
      </c>
      <c r="B10" s="405" t="s">
        <v>224</v>
      </c>
      <c r="C10" s="312" t="s">
        <v>225</v>
      </c>
      <c r="D10" s="397" t="s">
        <v>226</v>
      </c>
      <c r="E10" s="312">
        <v>2025</v>
      </c>
      <c r="F10" s="312">
        <v>2026</v>
      </c>
      <c r="G10" s="312">
        <v>2027</v>
      </c>
      <c r="H10" s="312">
        <v>2028</v>
      </c>
      <c r="I10" s="312">
        <v>2029</v>
      </c>
      <c r="J10" s="312">
        <v>2030</v>
      </c>
      <c r="K10" s="312">
        <v>2031</v>
      </c>
      <c r="L10" s="312">
        <v>2032</v>
      </c>
      <c r="M10" s="312">
        <v>2033</v>
      </c>
      <c r="N10" s="312">
        <v>2034</v>
      </c>
      <c r="O10" s="312">
        <v>2035</v>
      </c>
      <c r="P10" s="312">
        <v>2036</v>
      </c>
      <c r="Q10" s="312">
        <v>2037</v>
      </c>
      <c r="R10" s="312">
        <v>2038</v>
      </c>
      <c r="S10" s="312">
        <v>2039</v>
      </c>
      <c r="T10" s="312">
        <v>2040</v>
      </c>
      <c r="U10" s="312">
        <v>2041</v>
      </c>
      <c r="V10" s="312">
        <v>2042</v>
      </c>
      <c r="W10" s="312">
        <v>2043</v>
      </c>
      <c r="X10" s="312">
        <v>2044</v>
      </c>
      <c r="Y10" s="312">
        <v>2045</v>
      </c>
      <c r="Z10" s="312">
        <v>2046</v>
      </c>
      <c r="AA10" s="312">
        <v>2047</v>
      </c>
      <c r="AB10" s="406">
        <v>2048</v>
      </c>
      <c r="AC10" s="406">
        <v>2049</v>
      </c>
      <c r="AD10" s="406">
        <v>2050</v>
      </c>
      <c r="AE10" s="406">
        <v>2051</v>
      </c>
      <c r="AF10" s="406">
        <v>2052</v>
      </c>
      <c r="AG10" s="406">
        <v>2053</v>
      </c>
      <c r="AH10" s="406">
        <v>2054</v>
      </c>
      <c r="AI10" s="406">
        <v>2055</v>
      </c>
      <c r="AJ10" s="406">
        <v>2056</v>
      </c>
    </row>
    <row r="11" spans="1:36" x14ac:dyDescent="0.2">
      <c r="A11" s="367" t="s">
        <v>227</v>
      </c>
      <c r="B11" s="407" t="b">
        <v>0</v>
      </c>
      <c r="C11" s="408">
        <v>2000000</v>
      </c>
      <c r="D11" s="367"/>
      <c r="E11" s="409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09"/>
      <c r="T11" s="409"/>
      <c r="U11" s="409"/>
      <c r="V11" s="409"/>
      <c r="W11" s="409"/>
      <c r="X11" s="409"/>
      <c r="Y11" s="409"/>
      <c r="Z11" s="409"/>
      <c r="AA11" s="409"/>
      <c r="AB11" s="409"/>
      <c r="AC11" s="409"/>
      <c r="AD11" s="409"/>
      <c r="AE11" s="409"/>
      <c r="AF11" s="409"/>
      <c r="AG11" s="409"/>
      <c r="AH11" s="409"/>
      <c r="AI11" s="409"/>
      <c r="AJ11" s="409"/>
    </row>
    <row r="12" spans="1:36" x14ac:dyDescent="0.2">
      <c r="A12" s="367" t="s">
        <v>229</v>
      </c>
      <c r="B12" s="407" t="b">
        <v>0</v>
      </c>
      <c r="C12" s="408">
        <v>50000</v>
      </c>
      <c r="D12" s="367" t="s">
        <v>347</v>
      </c>
      <c r="E12" s="410">
        <v>17992.26765529158</v>
      </c>
      <c r="F12" s="410">
        <v>19886.033821056892</v>
      </c>
      <c r="G12" s="410">
        <v>21686.040238352918</v>
      </c>
      <c r="H12" s="410">
        <v>22260.903093391142</v>
      </c>
      <c r="I12" s="410">
        <v>22685.948897034177</v>
      </c>
      <c r="J12" s="410">
        <v>23301.415995165087</v>
      </c>
      <c r="K12" s="410">
        <v>24157.947403830098</v>
      </c>
      <c r="L12" s="410">
        <v>25422.790105628781</v>
      </c>
      <c r="M12" s="410">
        <v>26704.876701127781</v>
      </c>
      <c r="N12" s="410">
        <v>27708.200883752586</v>
      </c>
      <c r="O12" s="410">
        <v>28377.840999710468</v>
      </c>
      <c r="P12" s="410">
        <v>29054.163077798712</v>
      </c>
      <c r="Q12" s="410">
        <v>29737.144651277464</v>
      </c>
      <c r="R12" s="410">
        <v>30426.763270410291</v>
      </c>
      <c r="S12" s="410">
        <v>31122.997079414286</v>
      </c>
      <c r="T12" s="410">
        <v>31825.8242389484</v>
      </c>
      <c r="U12" s="410">
        <v>32535.223792195859</v>
      </c>
      <c r="V12" s="410">
        <v>33251.175087443989</v>
      </c>
      <c r="W12" s="410">
        <v>33973.658355897307</v>
      </c>
      <c r="X12" s="410">
        <v>34702.653266868947</v>
      </c>
      <c r="Y12" s="410">
        <v>35438.140661400859</v>
      </c>
      <c r="Z12" s="410">
        <v>36180.101396344617</v>
      </c>
      <c r="AA12" s="410">
        <v>36928.517211674087</v>
      </c>
      <c r="AB12" s="410">
        <v>37683.369863069784</v>
      </c>
      <c r="AC12" s="410">
        <v>38444.641121485205</v>
      </c>
      <c r="AD12" s="410">
        <v>39212.313930545381</v>
      </c>
      <c r="AE12" s="410">
        <v>39986.370670329823</v>
      </c>
      <c r="AF12" s="410">
        <v>40766.794604250914</v>
      </c>
      <c r="AG12" s="410">
        <v>40766.794604250914</v>
      </c>
      <c r="AH12" s="410">
        <v>40766.794604250914</v>
      </c>
      <c r="AI12" s="410">
        <v>40766.794604250914</v>
      </c>
      <c r="AJ12" s="410">
        <v>40766.794604250914</v>
      </c>
    </row>
    <row r="13" spans="1:36" x14ac:dyDescent="0.2">
      <c r="A13" s="367" t="s">
        <v>230</v>
      </c>
      <c r="B13" s="407" t="b">
        <v>0</v>
      </c>
      <c r="C13" s="408">
        <v>300000</v>
      </c>
      <c r="D13" s="367" t="s">
        <v>232</v>
      </c>
      <c r="E13" s="411">
        <v>3.06484284E-3</v>
      </c>
      <c r="F13" s="411">
        <v>3.14935248E-3</v>
      </c>
      <c r="G13" s="411">
        <v>3.2348064000000004E-3</v>
      </c>
      <c r="H13" s="411">
        <v>3.3212000800000004E-3</v>
      </c>
      <c r="I13" s="411">
        <v>3.4085292400000003E-3</v>
      </c>
      <c r="J13" s="411">
        <v>3.4967895999999999E-3</v>
      </c>
      <c r="K13" s="411">
        <v>3.5859768799999998E-3</v>
      </c>
      <c r="L13" s="411">
        <v>3.6760870799999999E-3</v>
      </c>
      <c r="M13" s="411">
        <v>3.7671160800000002E-3</v>
      </c>
      <c r="N13" s="411">
        <v>3.8590599599999998E-3</v>
      </c>
      <c r="O13" s="411">
        <v>3.9519148799999999E-3</v>
      </c>
      <c r="P13" s="411">
        <v>4.0456769200000004E-3</v>
      </c>
      <c r="Q13" s="411">
        <v>4.1403424000000001E-3</v>
      </c>
      <c r="R13" s="411">
        <v>4.2359076400000006E-3</v>
      </c>
      <c r="S13" s="411">
        <v>4.3323690400000007E-3</v>
      </c>
      <c r="T13" s="411">
        <v>4.429723E-3</v>
      </c>
      <c r="U13" s="411">
        <v>4.5279660400000003E-3</v>
      </c>
      <c r="V13" s="411">
        <v>4.6270947200000006E-3</v>
      </c>
      <c r="W13" s="411">
        <v>4.7271057200000003E-3</v>
      </c>
      <c r="X13" s="411">
        <v>4.8279956399999999E-3</v>
      </c>
      <c r="Y13" s="411">
        <v>4.9297612400000003E-3</v>
      </c>
      <c r="Z13" s="411">
        <v>5.0323992800000005E-3</v>
      </c>
      <c r="AA13" s="411">
        <v>5.13590664E-3</v>
      </c>
      <c r="AB13" s="411">
        <v>5.13590664E-3</v>
      </c>
      <c r="AC13" s="411">
        <v>5.13590664E-3</v>
      </c>
      <c r="AD13" s="411">
        <v>5.13590664E-3</v>
      </c>
      <c r="AE13" s="411">
        <v>5.13590664E-3</v>
      </c>
      <c r="AF13" s="411">
        <v>5.13590664E-3</v>
      </c>
      <c r="AG13" s="411">
        <v>5.13590664E-3</v>
      </c>
      <c r="AH13" s="411">
        <v>5.13590664E-3</v>
      </c>
      <c r="AI13" s="411">
        <v>5.13590664E-3</v>
      </c>
      <c r="AJ13" s="411">
        <v>5.13590664E-3</v>
      </c>
    </row>
    <row r="14" spans="1:36" x14ac:dyDescent="0.2">
      <c r="A14" s="367" t="s">
        <v>231</v>
      </c>
      <c r="B14" s="407" t="b">
        <v>0</v>
      </c>
      <c r="C14" s="408">
        <v>4000</v>
      </c>
      <c r="D14" s="367" t="s">
        <v>234</v>
      </c>
      <c r="E14" s="411">
        <v>1.225937136E-2</v>
      </c>
      <c r="F14" s="411">
        <v>1.259740992E-2</v>
      </c>
      <c r="G14" s="411">
        <v>1.2939225600000001E-2</v>
      </c>
      <c r="H14" s="411">
        <v>1.3284800320000002E-2</v>
      </c>
      <c r="I14" s="411">
        <v>1.3634116960000001E-2</v>
      </c>
      <c r="J14" s="411">
        <v>1.39871584E-2</v>
      </c>
      <c r="K14" s="411">
        <v>1.4343907519999999E-2</v>
      </c>
      <c r="L14" s="411">
        <v>1.4704348319999999E-2</v>
      </c>
      <c r="M14" s="411">
        <v>1.5068464320000001E-2</v>
      </c>
      <c r="N14" s="411">
        <v>1.5436239839999999E-2</v>
      </c>
      <c r="O14" s="411">
        <v>1.580765952E-2</v>
      </c>
      <c r="P14" s="411">
        <v>1.6182707680000002E-2</v>
      </c>
      <c r="Q14" s="411">
        <v>1.65613696E-2</v>
      </c>
      <c r="R14" s="411">
        <v>1.6943630560000002E-2</v>
      </c>
      <c r="S14" s="411">
        <v>1.7329476160000003E-2</v>
      </c>
      <c r="T14" s="411">
        <v>1.7718892E-2</v>
      </c>
      <c r="U14" s="411">
        <v>1.8111864160000001E-2</v>
      </c>
      <c r="V14" s="411">
        <v>1.8508378880000002E-2</v>
      </c>
      <c r="W14" s="411">
        <v>1.8908422880000001E-2</v>
      </c>
      <c r="X14" s="411">
        <v>1.931198256E-2</v>
      </c>
      <c r="Y14" s="411">
        <v>1.9719044960000001E-2</v>
      </c>
      <c r="Z14" s="411">
        <v>2.0129597120000002E-2</v>
      </c>
      <c r="AA14" s="411">
        <v>2.054362656E-2</v>
      </c>
      <c r="AB14" s="411">
        <v>2.054362656E-2</v>
      </c>
      <c r="AC14" s="411">
        <v>2.054362656E-2</v>
      </c>
      <c r="AD14" s="411">
        <v>2.054362656E-2</v>
      </c>
      <c r="AE14" s="411">
        <v>2.054362656E-2</v>
      </c>
      <c r="AF14" s="411">
        <v>2.054362656E-2</v>
      </c>
      <c r="AG14" s="411">
        <v>2.054362656E-2</v>
      </c>
      <c r="AH14" s="411">
        <v>2.054362656E-2</v>
      </c>
      <c r="AI14" s="411">
        <v>2.054362656E-2</v>
      </c>
      <c r="AJ14" s="411">
        <v>2.054362656E-2</v>
      </c>
    </row>
    <row r="15" spans="1:36" x14ac:dyDescent="0.2">
      <c r="A15" s="367" t="s">
        <v>233</v>
      </c>
      <c r="B15" s="407" t="b">
        <v>0</v>
      </c>
      <c r="C15" s="408">
        <v>650</v>
      </c>
      <c r="D15" s="367"/>
      <c r="E15" s="367"/>
      <c r="F15" s="367"/>
      <c r="G15" s="367"/>
      <c r="H15" s="367"/>
      <c r="I15" s="367"/>
      <c r="J15" s="367"/>
      <c r="K15" s="367"/>
      <c r="L15" s="367"/>
      <c r="M15" s="367"/>
      <c r="N15" s="367"/>
      <c r="O15" s="367"/>
      <c r="P15" s="367"/>
      <c r="Q15" s="367"/>
      <c r="R15" s="367"/>
      <c r="S15" s="367"/>
      <c r="T15" s="367"/>
      <c r="U15" s="367"/>
      <c r="V15" s="367"/>
      <c r="W15" s="367"/>
      <c r="X15" s="367"/>
      <c r="Y15" s="367"/>
      <c r="Z15" s="367"/>
      <c r="AA15" s="367"/>
      <c r="AB15" s="367"/>
      <c r="AC15" s="367"/>
      <c r="AD15" s="367"/>
      <c r="AE15" s="367"/>
      <c r="AF15" s="367"/>
      <c r="AG15" s="367"/>
      <c r="AH15" s="367"/>
      <c r="AI15" s="367"/>
      <c r="AJ15" s="367"/>
    </row>
    <row r="16" spans="1:36" x14ac:dyDescent="0.2">
      <c r="A16" s="367" t="s">
        <v>235</v>
      </c>
      <c r="B16" s="412" t="b">
        <v>0</v>
      </c>
      <c r="C16" s="408">
        <v>300000</v>
      </c>
      <c r="D16" s="367" t="s">
        <v>200</v>
      </c>
      <c r="E16" s="413">
        <v>816599.59387417801</v>
      </c>
      <c r="F16" s="413">
        <v>902550.33179585391</v>
      </c>
      <c r="G16" s="413">
        <v>984245.67656817078</v>
      </c>
      <c r="H16" s="413">
        <v>1010336.4830719025</v>
      </c>
      <c r="I16" s="413">
        <v>1029627.6717804444</v>
      </c>
      <c r="J16" s="413">
        <v>1057561.348179973</v>
      </c>
      <c r="K16" s="413">
        <v>1096436.0033294377</v>
      </c>
      <c r="L16" s="413">
        <v>1153842.3323365403</v>
      </c>
      <c r="M16" s="413">
        <v>1212031.2951317944</v>
      </c>
      <c r="N16" s="413">
        <v>1257568.3077948198</v>
      </c>
      <c r="O16" s="413">
        <v>1287960.6884112922</v>
      </c>
      <c r="P16" s="413">
        <v>1318656.3375021154</v>
      </c>
      <c r="Q16" s="413">
        <v>1349654.2353886703</v>
      </c>
      <c r="R16" s="413">
        <v>1380953.3631640577</v>
      </c>
      <c r="S16" s="413">
        <v>1412552.7288786359</v>
      </c>
      <c r="T16" s="413">
        <v>1444451.3413289962</v>
      </c>
      <c r="U16" s="413">
        <v>1476648.2493661009</v>
      </c>
      <c r="V16" s="413">
        <v>1509142.5156884103</v>
      </c>
      <c r="W16" s="413">
        <v>1541933.2430665877</v>
      </c>
      <c r="X16" s="413">
        <v>1575019.508769216</v>
      </c>
      <c r="Y16" s="413">
        <v>1608400.4432451269</v>
      </c>
      <c r="Z16" s="413">
        <v>1642075.1776606895</v>
      </c>
      <c r="AA16" s="413">
        <v>1676042.8832637856</v>
      </c>
      <c r="AB16" s="413">
        <v>1710302.7320151622</v>
      </c>
      <c r="AC16" s="413">
        <v>1744853.8965687468</v>
      </c>
      <c r="AD16" s="413">
        <v>1779695.6028015029</v>
      </c>
      <c r="AE16" s="413">
        <v>1814827.0510132376</v>
      </c>
      <c r="AF16" s="413">
        <v>1850247.4815948282</v>
      </c>
      <c r="AG16" s="413">
        <v>1850247.4815948282</v>
      </c>
      <c r="AH16" s="413">
        <v>1850247.4815948282</v>
      </c>
      <c r="AI16" s="413">
        <v>1850247.4815948282</v>
      </c>
      <c r="AJ16" s="413">
        <v>1850247.4815948282</v>
      </c>
    </row>
    <row r="17" spans="1:36" x14ac:dyDescent="0.2">
      <c r="A17" s="367" t="s">
        <v>236</v>
      </c>
      <c r="B17" s="412" t="b">
        <v>0</v>
      </c>
      <c r="C17" s="408">
        <v>530000</v>
      </c>
      <c r="D17" s="367" t="s">
        <v>238</v>
      </c>
      <c r="E17" s="413">
        <v>554.15287265045276</v>
      </c>
      <c r="F17" s="413">
        <v>569.43302312389608</v>
      </c>
      <c r="G17" s="413">
        <v>584.88390844473759</v>
      </c>
      <c r="H17" s="413">
        <v>600.50471135378461</v>
      </c>
      <c r="I17" s="413">
        <v>616.29465798613819</v>
      </c>
      <c r="J17" s="413">
        <v>632.25297447689923</v>
      </c>
      <c r="K17" s="413">
        <v>648.37888696116886</v>
      </c>
      <c r="L17" s="413">
        <v>664.67167220072349</v>
      </c>
      <c r="M17" s="413">
        <v>681.13058526019313</v>
      </c>
      <c r="N17" s="413">
        <v>697.75491736611889</v>
      </c>
      <c r="O17" s="413">
        <v>714.54397420980615</v>
      </c>
      <c r="P17" s="413">
        <v>731.49704701779626</v>
      </c>
      <c r="Q17" s="413">
        <v>748.61347041092324</v>
      </c>
      <c r="R17" s="413">
        <v>765.89257901002202</v>
      </c>
      <c r="S17" s="413">
        <v>783.3337219006911</v>
      </c>
      <c r="T17" s="413">
        <v>800.93624816852969</v>
      </c>
      <c r="U17" s="413">
        <v>818.69952859628359</v>
      </c>
      <c r="V17" s="413">
        <v>836.6229411990804</v>
      </c>
      <c r="W17" s="413">
        <v>854.70588568919459</v>
      </c>
      <c r="X17" s="413">
        <v>872.94774731413656</v>
      </c>
      <c r="Y17" s="413">
        <v>891.3479402509455</v>
      </c>
      <c r="Z17" s="413">
        <v>909.90587867666011</v>
      </c>
      <c r="AA17" s="413">
        <v>928.62099846546607</v>
      </c>
      <c r="AB17" s="413">
        <v>928.62099846546607</v>
      </c>
      <c r="AC17" s="413">
        <v>928.62099846546607</v>
      </c>
      <c r="AD17" s="413">
        <v>928.62099846546607</v>
      </c>
      <c r="AE17" s="413">
        <v>928.62099846546607</v>
      </c>
      <c r="AF17" s="413">
        <v>928.62099846546607</v>
      </c>
      <c r="AG17" s="413">
        <v>928.62099846546607</v>
      </c>
      <c r="AH17" s="413">
        <v>928.62099846546607</v>
      </c>
      <c r="AI17" s="413">
        <v>928.62099846546607</v>
      </c>
      <c r="AJ17" s="413">
        <v>928.62099846546607</v>
      </c>
    </row>
    <row r="18" spans="1:36" x14ac:dyDescent="0.2">
      <c r="A18" s="367" t="s">
        <v>237</v>
      </c>
      <c r="B18" s="407" t="b">
        <v>0</v>
      </c>
      <c r="C18" s="408">
        <v>6426018.7999999998</v>
      </c>
      <c r="D18" s="367" t="s">
        <v>240</v>
      </c>
      <c r="E18" s="413">
        <v>23633.685250662471</v>
      </c>
      <c r="F18" s="413">
        <v>24285.357893167948</v>
      </c>
      <c r="G18" s="413">
        <v>24944.312088912386</v>
      </c>
      <c r="H18" s="413">
        <v>25610.512983169807</v>
      </c>
      <c r="I18" s="413">
        <v>26283.927571907654</v>
      </c>
      <c r="J18" s="413">
        <v>26964.522851093374</v>
      </c>
      <c r="K18" s="413">
        <v>27652.265816694409</v>
      </c>
      <c r="L18" s="413">
        <v>28347.125623820521</v>
      </c>
      <c r="M18" s="413">
        <v>29049.070502234765</v>
      </c>
      <c r="N18" s="413">
        <v>29758.070223944695</v>
      </c>
      <c r="O18" s="413">
        <v>30474.095177855692</v>
      </c>
      <c r="P18" s="413">
        <v>31197.115135975317</v>
      </c>
      <c r="Q18" s="413">
        <v>31927.101721004543</v>
      </c>
      <c r="R18" s="413">
        <v>32664.026555644363</v>
      </c>
      <c r="S18" s="413">
        <v>33407.861879493546</v>
      </c>
      <c r="T18" s="413">
        <v>34158.579932150875</v>
      </c>
      <c r="U18" s="413">
        <v>34916.153878561861</v>
      </c>
      <c r="V18" s="413">
        <v>35680.557192120883</v>
      </c>
      <c r="W18" s="413">
        <v>36451.764271569045</v>
      </c>
      <c r="X18" s="413">
        <v>37229.748898749633</v>
      </c>
      <c r="Y18" s="413">
        <v>38014.486089301572</v>
      </c>
      <c r="Z18" s="413">
        <v>38805.950858863762</v>
      </c>
      <c r="AA18" s="413">
        <v>39604.1191484218</v>
      </c>
      <c r="AB18" s="413">
        <v>39604.1191484218</v>
      </c>
      <c r="AC18" s="413">
        <v>39604.1191484218</v>
      </c>
      <c r="AD18" s="413">
        <v>39604.1191484218</v>
      </c>
      <c r="AE18" s="413">
        <v>39604.1191484218</v>
      </c>
      <c r="AF18" s="413">
        <v>39604.1191484218</v>
      </c>
      <c r="AG18" s="413">
        <v>39604.1191484218</v>
      </c>
      <c r="AH18" s="413">
        <v>39604.1191484218</v>
      </c>
      <c r="AI18" s="413">
        <v>39604.1191484218</v>
      </c>
      <c r="AJ18" s="413">
        <v>39604.1191484218</v>
      </c>
    </row>
    <row r="19" spans="1:36" x14ac:dyDescent="0.2">
      <c r="A19" s="367" t="s">
        <v>239</v>
      </c>
      <c r="B19" s="407" t="b">
        <v>0</v>
      </c>
      <c r="C19" s="408">
        <v>0</v>
      </c>
      <c r="D19" s="367" t="s">
        <v>242</v>
      </c>
      <c r="E19" s="413">
        <v>2046.0890799839999</v>
      </c>
      <c r="F19" s="413">
        <v>2102.5077156480002</v>
      </c>
      <c r="G19" s="413">
        <v>2159.5567526400005</v>
      </c>
      <c r="H19" s="413">
        <v>2217.2331734080003</v>
      </c>
      <c r="I19" s="413">
        <v>2275.534120624</v>
      </c>
      <c r="J19" s="413">
        <v>2334.4567369599999</v>
      </c>
      <c r="K19" s="413">
        <v>2393.998165088</v>
      </c>
      <c r="L19" s="413">
        <v>2454.1557346079999</v>
      </c>
      <c r="M19" s="413">
        <v>2514.926695008</v>
      </c>
      <c r="N19" s="413">
        <v>2576.3084292959998</v>
      </c>
      <c r="O19" s="413">
        <v>2638.2983738879998</v>
      </c>
      <c r="P19" s="413">
        <v>2700.8939117920004</v>
      </c>
      <c r="Q19" s="413">
        <v>2764.0925862399999</v>
      </c>
      <c r="R19" s="413">
        <v>2827.8919404640005</v>
      </c>
      <c r="S19" s="413">
        <v>2892.2895711040005</v>
      </c>
      <c r="T19" s="413">
        <v>2957.2830748000001</v>
      </c>
      <c r="U19" s="413">
        <v>3022.870128304</v>
      </c>
      <c r="V19" s="413">
        <v>3089.0484350720003</v>
      </c>
      <c r="W19" s="413">
        <v>3155.8157786720003</v>
      </c>
      <c r="X19" s="413">
        <v>3223.1698892639997</v>
      </c>
      <c r="Y19" s="413">
        <v>3291.1086038240001</v>
      </c>
      <c r="Z19" s="413">
        <v>3359.6297593280005</v>
      </c>
      <c r="AA19" s="413">
        <v>3428.7312728639999</v>
      </c>
      <c r="AB19" s="413">
        <v>3428.7312728639999</v>
      </c>
      <c r="AC19" s="413">
        <v>3428.7312728639999</v>
      </c>
      <c r="AD19" s="413">
        <v>3428.7312728639999</v>
      </c>
      <c r="AE19" s="413">
        <v>3428.7312728639999</v>
      </c>
      <c r="AF19" s="413">
        <v>3428.7312728639999</v>
      </c>
      <c r="AG19" s="413">
        <v>3428.7312728639999</v>
      </c>
      <c r="AH19" s="413">
        <v>3428.7312728639999</v>
      </c>
      <c r="AI19" s="413">
        <v>3428.7312728639999</v>
      </c>
      <c r="AJ19" s="413">
        <v>3428.7312728639999</v>
      </c>
    </row>
    <row r="20" spans="1:36" x14ac:dyDescent="0.2">
      <c r="A20" s="367" t="s">
        <v>241</v>
      </c>
      <c r="B20" s="407" t="b">
        <v>0</v>
      </c>
      <c r="C20" s="408">
        <v>0</v>
      </c>
      <c r="D20" s="367" t="s">
        <v>245</v>
      </c>
      <c r="E20" s="414">
        <v>4505.3416666666672</v>
      </c>
      <c r="F20" s="414">
        <v>4505.3416666666672</v>
      </c>
      <c r="G20" s="414">
        <v>4505.3416666666672</v>
      </c>
      <c r="H20" s="414">
        <v>4505.3416666666672</v>
      </c>
      <c r="I20" s="414">
        <v>4505.3416666666672</v>
      </c>
      <c r="J20" s="414">
        <v>4505.3416666666672</v>
      </c>
      <c r="K20" s="414">
        <v>4505.3416666666672</v>
      </c>
      <c r="L20" s="414">
        <v>4505.3416666666672</v>
      </c>
      <c r="M20" s="414">
        <v>4505.3416666666672</v>
      </c>
      <c r="N20" s="414">
        <v>4505.3416666666672</v>
      </c>
      <c r="O20" s="414">
        <v>4505.3416666666672</v>
      </c>
      <c r="P20" s="414">
        <v>4505.3416666666672</v>
      </c>
      <c r="Q20" s="414">
        <v>4505.3416666666672</v>
      </c>
      <c r="R20" s="414">
        <v>4505.3416666666672</v>
      </c>
      <c r="S20" s="414">
        <v>4505.3416666666672</v>
      </c>
      <c r="T20" s="414">
        <v>4505.3416666666672</v>
      </c>
      <c r="U20" s="414">
        <v>4505.3416666666672</v>
      </c>
      <c r="V20" s="414">
        <v>4505.3416666666672</v>
      </c>
      <c r="W20" s="414">
        <v>4505.3416666666672</v>
      </c>
      <c r="X20" s="414">
        <v>4505.3416666666672</v>
      </c>
      <c r="Y20" s="414">
        <v>4505.3416666666672</v>
      </c>
      <c r="Z20" s="414">
        <v>4505.3416666666672</v>
      </c>
      <c r="AA20" s="414">
        <v>4505.3416666666672</v>
      </c>
      <c r="AB20" s="414">
        <v>4505.3416666666672</v>
      </c>
      <c r="AC20" s="414">
        <v>4505.3416666666672</v>
      </c>
      <c r="AD20" s="414">
        <v>4505.3416666666672</v>
      </c>
      <c r="AE20" s="414">
        <v>4505.3416666666672</v>
      </c>
      <c r="AF20" s="414">
        <v>4505.3416666666672</v>
      </c>
      <c r="AG20" s="414">
        <v>4505.3416666666672</v>
      </c>
      <c r="AH20" s="414">
        <v>4505.3416666666672</v>
      </c>
      <c r="AI20" s="414">
        <v>4505.3416666666672</v>
      </c>
      <c r="AJ20" s="414">
        <v>4505.3416666666672</v>
      </c>
    </row>
    <row r="21" spans="1:36" x14ac:dyDescent="0.2">
      <c r="A21" s="367" t="s">
        <v>243</v>
      </c>
      <c r="B21" s="407" t="b">
        <v>0</v>
      </c>
      <c r="C21" s="408" t="s">
        <v>244</v>
      </c>
      <c r="D21" s="367" t="s">
        <v>247</v>
      </c>
      <c r="E21" s="415">
        <v>0</v>
      </c>
      <c r="F21" s="415">
        <v>0</v>
      </c>
      <c r="G21" s="415">
        <v>0</v>
      </c>
      <c r="H21" s="415">
        <v>0</v>
      </c>
      <c r="I21" s="415">
        <v>0</v>
      </c>
      <c r="J21" s="415">
        <v>0</v>
      </c>
      <c r="K21" s="415">
        <v>0</v>
      </c>
      <c r="L21" s="415">
        <v>0</v>
      </c>
      <c r="M21" s="415">
        <v>0</v>
      </c>
      <c r="N21" s="415">
        <v>0</v>
      </c>
      <c r="O21" s="415">
        <v>0</v>
      </c>
      <c r="P21" s="415">
        <v>0</v>
      </c>
      <c r="Q21" s="415">
        <v>0</v>
      </c>
      <c r="R21" s="415">
        <v>0</v>
      </c>
      <c r="S21" s="415">
        <v>0</v>
      </c>
      <c r="T21" s="415">
        <v>0</v>
      </c>
      <c r="U21" s="415">
        <v>0</v>
      </c>
      <c r="V21" s="415">
        <v>0</v>
      </c>
      <c r="W21" s="415">
        <v>0</v>
      </c>
      <c r="X21" s="415">
        <v>0</v>
      </c>
      <c r="Y21" s="415">
        <v>0</v>
      </c>
      <c r="Z21" s="415">
        <v>0</v>
      </c>
      <c r="AA21" s="415">
        <v>0</v>
      </c>
      <c r="AB21" s="415">
        <v>0</v>
      </c>
      <c r="AC21" s="415">
        <v>0</v>
      </c>
      <c r="AD21" s="415">
        <v>0</v>
      </c>
      <c r="AE21" s="415">
        <v>0</v>
      </c>
      <c r="AF21" s="415">
        <v>0</v>
      </c>
      <c r="AG21" s="415">
        <v>0</v>
      </c>
      <c r="AH21" s="415">
        <v>0</v>
      </c>
      <c r="AI21" s="415">
        <v>0</v>
      </c>
      <c r="AJ21" s="415">
        <v>0</v>
      </c>
    </row>
    <row r="22" spans="1:36" x14ac:dyDescent="0.2">
      <c r="A22" s="367" t="s">
        <v>246</v>
      </c>
      <c r="B22" s="407" t="b">
        <v>1</v>
      </c>
      <c r="C22" s="408">
        <v>0</v>
      </c>
      <c r="D22" s="367" t="s">
        <v>249</v>
      </c>
      <c r="E22" s="414">
        <v>0</v>
      </c>
      <c r="F22" s="414">
        <v>0</v>
      </c>
      <c r="G22" s="414">
        <v>0</v>
      </c>
      <c r="H22" s="414">
        <v>0</v>
      </c>
      <c r="I22" s="414">
        <v>0</v>
      </c>
      <c r="J22" s="414">
        <v>0</v>
      </c>
      <c r="K22" s="414">
        <v>0</v>
      </c>
      <c r="L22" s="414">
        <v>0</v>
      </c>
      <c r="M22" s="414">
        <v>0</v>
      </c>
      <c r="N22" s="414">
        <v>0</v>
      </c>
      <c r="O22" s="414">
        <v>0</v>
      </c>
      <c r="P22" s="414">
        <v>0</v>
      </c>
      <c r="Q22" s="414">
        <v>0</v>
      </c>
      <c r="R22" s="414">
        <v>0</v>
      </c>
      <c r="S22" s="414">
        <v>0</v>
      </c>
      <c r="T22" s="414">
        <v>0</v>
      </c>
      <c r="U22" s="414">
        <v>0</v>
      </c>
      <c r="V22" s="414">
        <v>0</v>
      </c>
      <c r="W22" s="414">
        <v>0</v>
      </c>
      <c r="X22" s="414">
        <v>0</v>
      </c>
      <c r="Y22" s="414">
        <v>0</v>
      </c>
      <c r="Z22" s="414">
        <v>0</v>
      </c>
      <c r="AA22" s="414">
        <v>0</v>
      </c>
      <c r="AB22" s="414">
        <v>0</v>
      </c>
      <c r="AC22" s="414">
        <v>0</v>
      </c>
      <c r="AD22" s="414">
        <v>0</v>
      </c>
      <c r="AE22" s="414">
        <v>0</v>
      </c>
      <c r="AF22" s="414">
        <v>0</v>
      </c>
      <c r="AG22" s="414">
        <v>0</v>
      </c>
      <c r="AH22" s="414">
        <v>0</v>
      </c>
      <c r="AI22" s="414">
        <v>0</v>
      </c>
      <c r="AJ22" s="414">
        <v>0</v>
      </c>
    </row>
    <row r="23" spans="1:36" x14ac:dyDescent="0.2">
      <c r="A23" s="367" t="s">
        <v>248</v>
      </c>
      <c r="B23" s="412">
        <v>0</v>
      </c>
      <c r="C23" s="408">
        <v>0</v>
      </c>
      <c r="D23" s="416" t="s">
        <v>250</v>
      </c>
      <c r="E23" s="417">
        <v>0</v>
      </c>
      <c r="F23" s="417">
        <v>0</v>
      </c>
      <c r="G23" s="417">
        <v>0</v>
      </c>
      <c r="H23" s="417">
        <v>0</v>
      </c>
      <c r="I23" s="417">
        <v>0</v>
      </c>
      <c r="J23" s="417">
        <v>0</v>
      </c>
      <c r="K23" s="417">
        <v>0</v>
      </c>
      <c r="L23" s="417">
        <v>0</v>
      </c>
      <c r="M23" s="417">
        <v>0</v>
      </c>
      <c r="N23" s="417">
        <v>0</v>
      </c>
      <c r="O23" s="417">
        <v>0</v>
      </c>
      <c r="P23" s="417">
        <v>0</v>
      </c>
      <c r="Q23" s="417">
        <v>0</v>
      </c>
      <c r="R23" s="417">
        <v>0</v>
      </c>
      <c r="S23" s="417">
        <v>0</v>
      </c>
      <c r="T23" s="417">
        <v>0</v>
      </c>
      <c r="U23" s="417">
        <v>0</v>
      </c>
      <c r="V23" s="417">
        <v>0</v>
      </c>
      <c r="W23" s="417">
        <v>0</v>
      </c>
      <c r="X23" s="417">
        <v>0</v>
      </c>
      <c r="Y23" s="417">
        <v>0</v>
      </c>
      <c r="Z23" s="417">
        <v>0</v>
      </c>
      <c r="AA23" s="417">
        <v>0</v>
      </c>
      <c r="AB23" s="417">
        <v>0</v>
      </c>
      <c r="AC23" s="417">
        <v>0</v>
      </c>
      <c r="AD23" s="417">
        <v>0</v>
      </c>
      <c r="AE23" s="417">
        <v>0</v>
      </c>
      <c r="AF23" s="417">
        <v>0</v>
      </c>
      <c r="AG23" s="417">
        <v>0</v>
      </c>
      <c r="AH23" s="417">
        <v>0</v>
      </c>
      <c r="AI23" s="417">
        <v>0</v>
      </c>
      <c r="AJ23" s="417">
        <v>0</v>
      </c>
    </row>
    <row r="24" spans="1:36" x14ac:dyDescent="0.2">
      <c r="A24" s="381"/>
      <c r="B24" s="381"/>
      <c r="C24" s="408">
        <v>0</v>
      </c>
      <c r="D24" s="418" t="s">
        <v>251</v>
      </c>
      <c r="E24" s="419">
        <v>847338.8627441416</v>
      </c>
      <c r="F24" s="419">
        <v>934012.97209446051</v>
      </c>
      <c r="G24" s="419">
        <v>1016439.7709848346</v>
      </c>
      <c r="H24" s="419">
        <v>1043270.0756065007</v>
      </c>
      <c r="I24" s="419">
        <v>1063308.7697976287</v>
      </c>
      <c r="J24" s="419">
        <v>1091997.9224091698</v>
      </c>
      <c r="K24" s="419">
        <v>1131635.9878648478</v>
      </c>
      <c r="L24" s="419">
        <v>1189813.6270338362</v>
      </c>
      <c r="M24" s="419">
        <v>1248781.7645809641</v>
      </c>
      <c r="N24" s="419">
        <v>1295105.7830320932</v>
      </c>
      <c r="O24" s="419">
        <v>1326292.9676039121</v>
      </c>
      <c r="P24" s="419">
        <v>1357791.1852635671</v>
      </c>
      <c r="Q24" s="419">
        <v>1389599.3848329925</v>
      </c>
      <c r="R24" s="419">
        <v>1421716.5159058427</v>
      </c>
      <c r="S24" s="419">
        <v>1454141.5557178007</v>
      </c>
      <c r="T24" s="419">
        <v>1486873.4822507822</v>
      </c>
      <c r="U24" s="419">
        <v>1519911.3145682297</v>
      </c>
      <c r="V24" s="419">
        <v>1553254.0859234687</v>
      </c>
      <c r="W24" s="419">
        <v>1586900.8706691845</v>
      </c>
      <c r="X24" s="419">
        <v>1620850.7169712104</v>
      </c>
      <c r="Y24" s="419">
        <v>1655102.7275451699</v>
      </c>
      <c r="Z24" s="419">
        <v>1689656.0058242243</v>
      </c>
      <c r="AA24" s="419">
        <v>1724509.6963502034</v>
      </c>
      <c r="AB24" s="419">
        <v>1758769.54510158</v>
      </c>
      <c r="AC24" s="419">
        <v>1793320.7096551645</v>
      </c>
      <c r="AD24" s="419">
        <v>1828162.4158879207</v>
      </c>
      <c r="AE24" s="419">
        <v>1863293.8640996553</v>
      </c>
      <c r="AF24" s="419">
        <v>1898714.2946812459</v>
      </c>
      <c r="AG24" s="419">
        <v>1898714.2946812459</v>
      </c>
      <c r="AH24" s="419">
        <v>1898714.2946812459</v>
      </c>
      <c r="AI24" s="419">
        <v>1898714.2946812459</v>
      </c>
      <c r="AJ24" s="419">
        <v>1898714.2946812459</v>
      </c>
    </row>
    <row r="25" spans="1:36" x14ac:dyDescent="0.2">
      <c r="A25" s="420"/>
      <c r="B25" s="420"/>
      <c r="C25" s="420"/>
    </row>
    <row r="27" spans="1:36" x14ac:dyDescent="0.2">
      <c r="A27" s="397" t="s">
        <v>205</v>
      </c>
      <c r="B27" s="397"/>
      <c r="C27" s="312" t="s">
        <v>206</v>
      </c>
      <c r="D27" s="312"/>
      <c r="F27" s="310" t="s">
        <v>207</v>
      </c>
      <c r="G27" s="311" t="s">
        <v>208</v>
      </c>
      <c r="H27" s="312" t="s">
        <v>209</v>
      </c>
      <c r="I27" s="312" t="s">
        <v>210</v>
      </c>
    </row>
    <row r="28" spans="1:36" x14ac:dyDescent="0.2">
      <c r="A28" s="302" t="s">
        <v>211</v>
      </c>
      <c r="B28" s="303" t="s">
        <v>71</v>
      </c>
      <c r="C28" s="304" t="s">
        <v>212</v>
      </c>
      <c r="D28" s="305"/>
      <c r="F28" s="313" t="s">
        <v>213</v>
      </c>
      <c r="G28" s="314">
        <v>1.53242142E-3</v>
      </c>
      <c r="H28" s="311">
        <v>1</v>
      </c>
      <c r="I28" s="315"/>
    </row>
    <row r="29" spans="1:36" x14ac:dyDescent="0.2">
      <c r="A29" s="302" t="s">
        <v>214</v>
      </c>
      <c r="B29" s="303" t="s">
        <v>215</v>
      </c>
      <c r="C29" s="304" t="s">
        <v>216</v>
      </c>
      <c r="D29" s="305"/>
      <c r="F29" s="313" t="s">
        <v>217</v>
      </c>
      <c r="G29" s="314">
        <v>1.53242142E-3</v>
      </c>
      <c r="H29" s="311">
        <v>1</v>
      </c>
      <c r="I29" s="315"/>
    </row>
    <row r="30" spans="1:36" x14ac:dyDescent="0.2">
      <c r="A30" s="306" t="s">
        <v>68</v>
      </c>
      <c r="B30" s="307">
        <v>45.386140842230837</v>
      </c>
      <c r="C30" s="306" t="s">
        <v>218</v>
      </c>
      <c r="D30" s="308">
        <v>7711222.5599999996</v>
      </c>
      <c r="F30" s="313" t="s">
        <v>219</v>
      </c>
      <c r="G30" s="314" t="b">
        <v>1</v>
      </c>
      <c r="H30" s="311">
        <v>1</v>
      </c>
      <c r="I30" s="315"/>
    </row>
    <row r="31" spans="1:36" x14ac:dyDescent="0.2">
      <c r="A31" s="306" t="s">
        <v>220</v>
      </c>
      <c r="B31" s="309">
        <v>0.5</v>
      </c>
      <c r="C31" s="306" t="s">
        <v>221</v>
      </c>
      <c r="D31" s="308">
        <v>166900</v>
      </c>
      <c r="F31" s="313" t="s">
        <v>222</v>
      </c>
      <c r="G31" s="316">
        <v>0</v>
      </c>
      <c r="H31" s="311">
        <v>1</v>
      </c>
      <c r="I31" s="315"/>
    </row>
    <row r="32" spans="1:36" x14ac:dyDescent="0.2">
      <c r="A32" s="362" t="s">
        <v>252</v>
      </c>
      <c r="B32" s="363" t="s">
        <v>224</v>
      </c>
      <c r="C32" s="364" t="s">
        <v>225</v>
      </c>
      <c r="D32" s="365" t="s">
        <v>226</v>
      </c>
      <c r="E32" s="364">
        <v>2025</v>
      </c>
      <c r="F32" s="364">
        <v>2026</v>
      </c>
      <c r="G32" s="364">
        <v>2027</v>
      </c>
      <c r="H32" s="364">
        <v>2028</v>
      </c>
      <c r="I32" s="364">
        <v>2029</v>
      </c>
      <c r="J32" s="364">
        <v>2030</v>
      </c>
      <c r="K32" s="364">
        <v>2031</v>
      </c>
      <c r="L32" s="364">
        <v>2032</v>
      </c>
      <c r="M32" s="364">
        <v>2033</v>
      </c>
      <c r="N32" s="364">
        <v>2034</v>
      </c>
      <c r="O32" s="364">
        <v>2035</v>
      </c>
      <c r="P32" s="364">
        <v>2036</v>
      </c>
      <c r="Q32" s="364">
        <v>2037</v>
      </c>
      <c r="R32" s="364">
        <v>2038</v>
      </c>
      <c r="S32" s="364">
        <v>2039</v>
      </c>
      <c r="T32" s="364">
        <v>2040</v>
      </c>
      <c r="U32" s="364">
        <v>2041</v>
      </c>
      <c r="V32" s="364">
        <v>2042</v>
      </c>
      <c r="W32" s="364">
        <v>2043</v>
      </c>
      <c r="X32" s="364">
        <v>2044</v>
      </c>
      <c r="Y32" s="364">
        <v>2045</v>
      </c>
      <c r="Z32" s="364">
        <v>2046</v>
      </c>
      <c r="AA32" s="364">
        <v>2047</v>
      </c>
      <c r="AB32" s="366">
        <v>2048</v>
      </c>
      <c r="AC32" s="366">
        <v>2049</v>
      </c>
      <c r="AD32" s="366">
        <v>2050</v>
      </c>
      <c r="AE32" s="366">
        <v>2051</v>
      </c>
      <c r="AF32" s="366">
        <v>2052</v>
      </c>
      <c r="AG32" s="366">
        <v>2053</v>
      </c>
      <c r="AH32" s="366">
        <v>2054</v>
      </c>
      <c r="AI32" s="366">
        <v>2055</v>
      </c>
      <c r="AJ32" s="366">
        <v>2056</v>
      </c>
    </row>
    <row r="33" spans="1:36" x14ac:dyDescent="0.2">
      <c r="A33" s="367" t="s">
        <v>227</v>
      </c>
      <c r="B33" s="368" t="b">
        <v>0</v>
      </c>
      <c r="C33" s="369">
        <v>2000000</v>
      </c>
      <c r="D33" s="367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70"/>
      <c r="Y33" s="370"/>
      <c r="Z33" s="370"/>
      <c r="AA33" s="370"/>
      <c r="AB33" s="370"/>
      <c r="AC33" s="370"/>
      <c r="AD33" s="370"/>
      <c r="AE33" s="370"/>
      <c r="AF33" s="370"/>
      <c r="AG33" s="370"/>
      <c r="AH33" s="370"/>
      <c r="AI33" s="370"/>
      <c r="AJ33" s="370"/>
    </row>
    <row r="34" spans="1:36" x14ac:dyDescent="0.2">
      <c r="A34" s="367" t="s">
        <v>229</v>
      </c>
      <c r="B34" s="368" t="b">
        <v>0</v>
      </c>
      <c r="C34" s="369">
        <v>50000</v>
      </c>
      <c r="D34" s="371" t="s">
        <v>347</v>
      </c>
      <c r="E34" s="372"/>
      <c r="F34" s="372"/>
      <c r="G34" s="372"/>
      <c r="H34" s="372"/>
      <c r="I34" s="372"/>
      <c r="J34" s="372">
        <v>650.98135382069108</v>
      </c>
      <c r="K34" s="372">
        <v>1201.2894608836223</v>
      </c>
      <c r="L34" s="372">
        <v>1762.3611379814076</v>
      </c>
      <c r="M34" s="372">
        <v>2335.3003256474781</v>
      </c>
      <c r="N34" s="372">
        <v>2893.9455165268482</v>
      </c>
      <c r="O34" s="372">
        <v>3419.7411015993407</v>
      </c>
      <c r="P34" s="372">
        <v>3944.8039534482891</v>
      </c>
      <c r="Q34" s="372">
        <v>4470.7132607890308</v>
      </c>
      <c r="R34" s="372">
        <v>4998.5881043372365</v>
      </c>
      <c r="S34" s="372">
        <v>5529.2563200986524</v>
      </c>
      <c r="T34" s="372">
        <v>6063.3448358291644</v>
      </c>
      <c r="U34" s="372">
        <v>6601.3428527332071</v>
      </c>
      <c r="V34" s="372">
        <v>7143.6381420838443</v>
      </c>
      <c r="W34" s="372">
        <v>7690.5419918091575</v>
      </c>
      <c r="X34" s="372">
        <v>8242.3077262717306</v>
      </c>
      <c r="Y34" s="372">
        <v>8799.1442476492957</v>
      </c>
      <c r="Z34" s="372">
        <v>9361.2252035266629</v>
      </c>
      <c r="AA34" s="372">
        <v>9928.6943738668488</v>
      </c>
      <c r="AB34" s="372">
        <v>10501.673829321393</v>
      </c>
      <c r="AC34" s="372">
        <v>11080.266284904268</v>
      </c>
      <c r="AD34" s="372">
        <v>11664.558053761641</v>
      </c>
      <c r="AE34" s="372">
        <v>12254.623432741191</v>
      </c>
      <c r="AF34" s="372">
        <v>12850.524771730463</v>
      </c>
      <c r="AG34" s="372">
        <v>12850.524771730463</v>
      </c>
      <c r="AH34" s="372">
        <v>12850.524771730463</v>
      </c>
      <c r="AI34" s="372">
        <v>12850.524771730463</v>
      </c>
      <c r="AJ34" s="372">
        <v>12850.524771730463</v>
      </c>
    </row>
    <row r="35" spans="1:36" x14ac:dyDescent="0.2">
      <c r="A35" s="367" t="s">
        <v>230</v>
      </c>
      <c r="B35" s="368" t="b">
        <v>0</v>
      </c>
      <c r="C35" s="369">
        <v>300000</v>
      </c>
      <c r="D35" s="371" t="s">
        <v>232</v>
      </c>
      <c r="E35" s="373"/>
      <c r="F35" s="373"/>
      <c r="G35" s="373"/>
      <c r="H35" s="373"/>
      <c r="I35" s="373"/>
      <c r="J35" s="373">
        <v>1.7497698399999999E-3</v>
      </c>
      <c r="K35" s="373">
        <v>1.7974559199999999E-3</v>
      </c>
      <c r="L35" s="373">
        <v>1.8469441199999998E-3</v>
      </c>
      <c r="M35" s="373">
        <v>1.8980729400000001E-3</v>
      </c>
      <c r="N35" s="373">
        <v>1.9507409799999998E-3</v>
      </c>
      <c r="O35" s="373">
        <v>2.0048755199999998E-3</v>
      </c>
      <c r="P35" s="373">
        <v>2.0604203800000001E-3</v>
      </c>
      <c r="Q35" s="373">
        <v>2.1173302799999999E-3</v>
      </c>
      <c r="R35" s="373">
        <v>2.1755673600000005E-3</v>
      </c>
      <c r="S35" s="373">
        <v>2.2350993000000005E-3</v>
      </c>
      <c r="T35" s="373">
        <v>2.2958978599999999E-3</v>
      </c>
      <c r="U35" s="373">
        <v>2.3579381400000003E-3</v>
      </c>
      <c r="V35" s="373">
        <v>2.4211978600000004E-3</v>
      </c>
      <c r="W35" s="373">
        <v>2.4856569E-3</v>
      </c>
      <c r="X35" s="373">
        <v>2.5512968599999998E-3</v>
      </c>
      <c r="Y35" s="373">
        <v>2.6181009200000002E-3</v>
      </c>
      <c r="Z35" s="373">
        <v>2.6860535400000003E-3</v>
      </c>
      <c r="AA35" s="373">
        <v>2.7551402799999999E-3</v>
      </c>
      <c r="AB35" s="373">
        <v>2.7551402799999999E-3</v>
      </c>
      <c r="AC35" s="373">
        <v>2.7551402799999999E-3</v>
      </c>
      <c r="AD35" s="373">
        <v>2.7551402799999999E-3</v>
      </c>
      <c r="AE35" s="373">
        <v>2.7551402799999999E-3</v>
      </c>
      <c r="AF35" s="373">
        <v>2.7551402799999999E-3</v>
      </c>
      <c r="AG35" s="373">
        <v>2.7551402799999999E-3</v>
      </c>
      <c r="AH35" s="373">
        <v>2.7551402799999999E-3</v>
      </c>
      <c r="AI35" s="373">
        <v>2.7551402799999999E-3</v>
      </c>
      <c r="AJ35" s="373">
        <v>2.7551402799999999E-3</v>
      </c>
    </row>
    <row r="36" spans="1:36" x14ac:dyDescent="0.2">
      <c r="A36" s="367" t="s">
        <v>231</v>
      </c>
      <c r="B36" s="368" t="b">
        <v>0</v>
      </c>
      <c r="C36" s="369">
        <v>4000</v>
      </c>
      <c r="D36" s="371" t="s">
        <v>234</v>
      </c>
      <c r="E36" s="373"/>
      <c r="F36" s="373"/>
      <c r="G36" s="373"/>
      <c r="H36" s="373"/>
      <c r="I36" s="373"/>
      <c r="J36" s="373">
        <v>6.9990793599999995E-3</v>
      </c>
      <c r="K36" s="373">
        <v>7.1898236799999996E-3</v>
      </c>
      <c r="L36" s="373">
        <v>7.3877764799999994E-3</v>
      </c>
      <c r="M36" s="373">
        <v>7.5922917600000006E-3</v>
      </c>
      <c r="N36" s="373">
        <v>7.8029639199999994E-3</v>
      </c>
      <c r="O36" s="373">
        <v>8.0195020799999992E-3</v>
      </c>
      <c r="P36" s="373">
        <v>8.2416815200000004E-3</v>
      </c>
      <c r="Q36" s="373">
        <v>8.4693211199999997E-3</v>
      </c>
      <c r="R36" s="373">
        <v>8.702269440000002E-3</v>
      </c>
      <c r="S36" s="373">
        <v>8.9403972000000019E-3</v>
      </c>
      <c r="T36" s="373">
        <v>9.1835914399999996E-3</v>
      </c>
      <c r="U36" s="373">
        <v>9.4317525600000011E-3</v>
      </c>
      <c r="V36" s="373">
        <v>9.6847914400000016E-3</v>
      </c>
      <c r="W36" s="373">
        <v>9.9426276000000001E-3</v>
      </c>
      <c r="X36" s="373">
        <v>1.0205187439999999E-2</v>
      </c>
      <c r="Y36" s="373">
        <v>1.0472403680000001E-2</v>
      </c>
      <c r="Z36" s="373">
        <v>1.0744214160000001E-2</v>
      </c>
      <c r="AA36" s="373">
        <v>1.1020561119999999E-2</v>
      </c>
      <c r="AB36" s="373">
        <v>1.1020561119999999E-2</v>
      </c>
      <c r="AC36" s="373">
        <v>1.1020561119999999E-2</v>
      </c>
      <c r="AD36" s="373">
        <v>1.1020561119999999E-2</v>
      </c>
      <c r="AE36" s="373">
        <v>1.1020561119999999E-2</v>
      </c>
      <c r="AF36" s="373">
        <v>1.1020561119999999E-2</v>
      </c>
      <c r="AG36" s="373">
        <v>1.1020561119999999E-2</v>
      </c>
      <c r="AH36" s="373">
        <v>1.1020561119999999E-2</v>
      </c>
      <c r="AI36" s="373">
        <v>1.1020561119999999E-2</v>
      </c>
      <c r="AJ36" s="373">
        <v>1.1020561119999999E-2</v>
      </c>
    </row>
    <row r="37" spans="1:36" x14ac:dyDescent="0.2">
      <c r="A37" s="367" t="s">
        <v>233</v>
      </c>
      <c r="B37" s="368" t="b">
        <v>0</v>
      </c>
      <c r="C37" s="369">
        <v>650</v>
      </c>
      <c r="D37" s="371"/>
      <c r="E37" s="371"/>
      <c r="F37" s="371"/>
      <c r="G37" s="371"/>
      <c r="H37" s="371"/>
      <c r="I37" s="371"/>
      <c r="J37" s="371"/>
      <c r="K37" s="371"/>
      <c r="L37" s="371"/>
      <c r="M37" s="371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  <c r="AA37" s="371"/>
      <c r="AB37" s="371"/>
      <c r="AC37" s="371"/>
      <c r="AD37" s="371"/>
      <c r="AE37" s="371"/>
      <c r="AF37" s="371"/>
      <c r="AG37" s="371"/>
      <c r="AH37" s="371"/>
      <c r="AI37" s="371"/>
      <c r="AJ37" s="371"/>
    </row>
    <row r="38" spans="1:36" x14ac:dyDescent="0.2">
      <c r="A38" s="367" t="s">
        <v>235</v>
      </c>
      <c r="B38" s="374" t="b">
        <v>0</v>
      </c>
      <c r="C38" s="369">
        <v>300000</v>
      </c>
      <c r="D38" s="371" t="s">
        <v>200</v>
      </c>
      <c r="E38" s="375">
        <v>0</v>
      </c>
      <c r="F38" s="375">
        <v>0</v>
      </c>
      <c r="G38" s="375">
        <v>0</v>
      </c>
      <c r="H38" s="375">
        <v>0</v>
      </c>
      <c r="I38" s="375">
        <v>0</v>
      </c>
      <c r="J38" s="375">
        <v>29545.531410171992</v>
      </c>
      <c r="K38" s="375">
        <v>54521.892663951636</v>
      </c>
      <c r="L38" s="375">
        <v>79986.770823298386</v>
      </c>
      <c r="M38" s="375">
        <v>105990.26948874397</v>
      </c>
      <c r="N38" s="375">
        <v>131345.01880282999</v>
      </c>
      <c r="O38" s="375">
        <v>155208.8512811533</v>
      </c>
      <c r="P38" s="375">
        <v>179039.42782619307</v>
      </c>
      <c r="Q38" s="375">
        <v>202908.42171940004</v>
      </c>
      <c r="R38" s="375">
        <v>226866.62371574948</v>
      </c>
      <c r="S38" s="375">
        <v>250951.60609679244</v>
      </c>
      <c r="T38" s="375">
        <v>275191.82269395544</v>
      </c>
      <c r="U38" s="375">
        <v>299609.47646200325</v>
      </c>
      <c r="V38" s="375">
        <v>324222.16684254957</v>
      </c>
      <c r="W38" s="375">
        <v>349044.02199334087</v>
      </c>
      <c r="X38" s="375">
        <v>374086.53932957619</v>
      </c>
      <c r="Y38" s="375">
        <v>399359.20011491625</v>
      </c>
      <c r="Z38" s="375">
        <v>424869.88554310217</v>
      </c>
      <c r="AA38" s="375">
        <v>450625.12123178574</v>
      </c>
      <c r="AB38" s="375">
        <v>476630.44749675039</v>
      </c>
      <c r="AC38" s="375">
        <v>502890.52617608698</v>
      </c>
      <c r="AD38" s="375">
        <v>529409.27469040384</v>
      </c>
      <c r="AE38" s="375">
        <v>556190.06508689409</v>
      </c>
      <c r="AF38" s="375">
        <v>583235.72718633502</v>
      </c>
      <c r="AG38" s="375">
        <v>583235.72718633502</v>
      </c>
      <c r="AH38" s="375">
        <v>583235.72718633502</v>
      </c>
      <c r="AI38" s="375">
        <v>583235.72718633502</v>
      </c>
      <c r="AJ38" s="375">
        <v>583235.72718633502</v>
      </c>
    </row>
    <row r="39" spans="1:36" x14ac:dyDescent="0.2">
      <c r="A39" s="367" t="s">
        <v>236</v>
      </c>
      <c r="B39" s="374" t="b">
        <v>0</v>
      </c>
      <c r="C39" s="369">
        <v>530000</v>
      </c>
      <c r="D39" s="371" t="s">
        <v>238</v>
      </c>
      <c r="E39" s="376">
        <v>0</v>
      </c>
      <c r="F39" s="376">
        <v>0</v>
      </c>
      <c r="G39" s="376">
        <v>0</v>
      </c>
      <c r="H39" s="376">
        <v>0</v>
      </c>
      <c r="I39" s="376">
        <v>0</v>
      </c>
      <c r="J39" s="376">
        <v>316.37510761012555</v>
      </c>
      <c r="K39" s="376">
        <v>324.99720655515318</v>
      </c>
      <c r="L39" s="376">
        <v>333.94514601696915</v>
      </c>
      <c r="M39" s="376">
        <v>343.18972525230379</v>
      </c>
      <c r="N39" s="376">
        <v>352.71261017219382</v>
      </c>
      <c r="O39" s="376">
        <v>362.50065230573779</v>
      </c>
      <c r="P39" s="376">
        <v>372.54369377208832</v>
      </c>
      <c r="Q39" s="376">
        <v>382.83354751455619</v>
      </c>
      <c r="R39" s="376">
        <v>393.36336808335722</v>
      </c>
      <c r="S39" s="376">
        <v>404.12731171364612</v>
      </c>
      <c r="T39" s="376">
        <v>415.12027234356555</v>
      </c>
      <c r="U39" s="376">
        <v>426.33774781517525</v>
      </c>
      <c r="V39" s="376">
        <v>437.77570969157063</v>
      </c>
      <c r="W39" s="376">
        <v>449.43052008448797</v>
      </c>
      <c r="X39" s="376">
        <v>461.2988520980997</v>
      </c>
      <c r="Y39" s="376">
        <v>473.37766451567649</v>
      </c>
      <c r="Z39" s="376">
        <v>485.66414755672037</v>
      </c>
      <c r="AA39" s="376">
        <v>498.15569033124473</v>
      </c>
      <c r="AB39" s="376">
        <v>498.15569033124473</v>
      </c>
      <c r="AC39" s="376">
        <v>498.15569033124473</v>
      </c>
      <c r="AD39" s="376">
        <v>498.15569033124473</v>
      </c>
      <c r="AE39" s="376">
        <v>498.15569033124473</v>
      </c>
      <c r="AF39" s="376">
        <v>498.15569033124473</v>
      </c>
      <c r="AG39" s="376">
        <v>498.15569033124473</v>
      </c>
      <c r="AH39" s="376">
        <v>498.15569033124473</v>
      </c>
      <c r="AI39" s="376">
        <v>498.15569033124473</v>
      </c>
      <c r="AJ39" s="376">
        <v>498.15569033124473</v>
      </c>
    </row>
    <row r="40" spans="1:36" x14ac:dyDescent="0.2">
      <c r="A40" s="367" t="s">
        <v>237</v>
      </c>
      <c r="B40" s="368" t="b">
        <v>1</v>
      </c>
      <c r="C40" s="369">
        <v>6426018.7999999998</v>
      </c>
      <c r="D40" s="371" t="s">
        <v>240</v>
      </c>
      <c r="E40" s="376">
        <v>0</v>
      </c>
      <c r="F40" s="376">
        <v>0</v>
      </c>
      <c r="G40" s="376">
        <v>0</v>
      </c>
      <c r="H40" s="376">
        <v>0</v>
      </c>
      <c r="I40" s="376">
        <v>0</v>
      </c>
      <c r="J40" s="376">
        <v>13492.864665015588</v>
      </c>
      <c r="K40" s="376">
        <v>13860.582640909553</v>
      </c>
      <c r="L40" s="376">
        <v>14242.197165203344</v>
      </c>
      <c r="M40" s="376">
        <v>14636.462875453526</v>
      </c>
      <c r="N40" s="376">
        <v>15042.597853692507</v>
      </c>
      <c r="O40" s="376">
        <v>15460.041339815729</v>
      </c>
      <c r="P40" s="376">
        <v>15888.360117339773</v>
      </c>
      <c r="Q40" s="376">
        <v>16327.205022107115</v>
      </c>
      <c r="R40" s="376">
        <v>16776.284107231644</v>
      </c>
      <c r="S40" s="376">
        <v>17235.348146000211</v>
      </c>
      <c r="T40" s="376">
        <v>17704.179373487721</v>
      </c>
      <c r="U40" s="376">
        <v>18182.585780252441</v>
      </c>
      <c r="V40" s="376">
        <v>18670.395560255725</v>
      </c>
      <c r="W40" s="376">
        <v>19167.453563699662</v>
      </c>
      <c r="X40" s="376">
        <v>19673.617904089158</v>
      </c>
      <c r="Y40" s="376">
        <v>20188.758878660756</v>
      </c>
      <c r="Z40" s="376">
        <v>20712.756655015863</v>
      </c>
      <c r="AA40" s="376">
        <v>21245.499883100714</v>
      </c>
      <c r="AB40" s="376">
        <v>21245.499883100714</v>
      </c>
      <c r="AC40" s="376">
        <v>21245.499883100714</v>
      </c>
      <c r="AD40" s="376">
        <v>21245.499883100714</v>
      </c>
      <c r="AE40" s="376">
        <v>21245.499883100714</v>
      </c>
      <c r="AF40" s="376">
        <v>21245.499883100714</v>
      </c>
      <c r="AG40" s="376">
        <v>21245.499883100714</v>
      </c>
      <c r="AH40" s="376">
        <v>21245.499883100714</v>
      </c>
      <c r="AI40" s="376">
        <v>21245.499883100714</v>
      </c>
      <c r="AJ40" s="376">
        <v>21245.499883100714</v>
      </c>
    </row>
    <row r="41" spans="1:36" x14ac:dyDescent="0.2">
      <c r="A41" s="367" t="s">
        <v>239</v>
      </c>
      <c r="B41" s="368" t="b">
        <v>0</v>
      </c>
      <c r="C41" s="369">
        <v>0</v>
      </c>
      <c r="D41" s="371" t="s">
        <v>242</v>
      </c>
      <c r="E41" s="376">
        <v>0</v>
      </c>
      <c r="F41" s="376">
        <v>0</v>
      </c>
      <c r="G41" s="376">
        <v>0</v>
      </c>
      <c r="H41" s="376">
        <v>0</v>
      </c>
      <c r="I41" s="376">
        <v>0</v>
      </c>
      <c r="J41" s="376">
        <v>1168.146345184</v>
      </c>
      <c r="K41" s="376">
        <v>1199.9815721919999</v>
      </c>
      <c r="L41" s="376">
        <v>1233.0198945119998</v>
      </c>
      <c r="M41" s="376">
        <v>1267.153494744</v>
      </c>
      <c r="N41" s="376">
        <v>1302.3146782479998</v>
      </c>
      <c r="O41" s="376">
        <v>1338.4548971519998</v>
      </c>
      <c r="P41" s="376">
        <v>1375.5366456880001</v>
      </c>
      <c r="Q41" s="376">
        <v>1413.529694928</v>
      </c>
      <c r="R41" s="376">
        <v>1452.4087695360004</v>
      </c>
      <c r="S41" s="376">
        <v>1492.1522926800003</v>
      </c>
      <c r="T41" s="376">
        <v>1532.7414113359998</v>
      </c>
      <c r="U41" s="376">
        <v>1574.1595022640001</v>
      </c>
      <c r="V41" s="376">
        <v>1616.3916913360003</v>
      </c>
      <c r="W41" s="376">
        <v>1659.4245464400001</v>
      </c>
      <c r="X41" s="376">
        <v>1703.2457837359998</v>
      </c>
      <c r="Y41" s="376">
        <v>1747.8441741920001</v>
      </c>
      <c r="Z41" s="376">
        <v>1793.2093433040002</v>
      </c>
      <c r="AA41" s="376">
        <v>1839.3316509279998</v>
      </c>
      <c r="AB41" s="376">
        <v>1839.3316509279998</v>
      </c>
      <c r="AC41" s="376">
        <v>1839.3316509279998</v>
      </c>
      <c r="AD41" s="376">
        <v>1839.3316509279998</v>
      </c>
      <c r="AE41" s="376">
        <v>1839.3316509279998</v>
      </c>
      <c r="AF41" s="376">
        <v>1839.3316509279998</v>
      </c>
      <c r="AG41" s="376">
        <v>1839.3316509279998</v>
      </c>
      <c r="AH41" s="376">
        <v>1839.3316509279998</v>
      </c>
      <c r="AI41" s="376">
        <v>1839.3316509279998</v>
      </c>
      <c r="AJ41" s="376">
        <v>1839.3316509279998</v>
      </c>
    </row>
    <row r="42" spans="1:36" x14ac:dyDescent="0.2">
      <c r="A42" s="367" t="s">
        <v>241</v>
      </c>
      <c r="B42" s="368" t="b">
        <v>0</v>
      </c>
      <c r="C42" s="369">
        <v>0</v>
      </c>
      <c r="D42" s="371" t="s">
        <v>245</v>
      </c>
      <c r="E42" s="377">
        <v>0</v>
      </c>
      <c r="F42" s="377">
        <v>0</v>
      </c>
      <c r="G42" s="377">
        <v>0</v>
      </c>
      <c r="H42" s="377">
        <v>0</v>
      </c>
      <c r="I42" s="377">
        <v>0</v>
      </c>
      <c r="J42" s="377">
        <v>2351.1750000000002</v>
      </c>
      <c r="K42" s="377">
        <v>2351.1750000000002</v>
      </c>
      <c r="L42" s="377">
        <v>2351.1750000000002</v>
      </c>
      <c r="M42" s="377">
        <v>2351.1750000000002</v>
      </c>
      <c r="N42" s="377">
        <v>2351.1750000000002</v>
      </c>
      <c r="O42" s="377">
        <v>2351.1750000000002</v>
      </c>
      <c r="P42" s="377">
        <v>2351.1750000000002</v>
      </c>
      <c r="Q42" s="377">
        <v>2351.1750000000002</v>
      </c>
      <c r="R42" s="377">
        <v>2351.1750000000002</v>
      </c>
      <c r="S42" s="377">
        <v>2351.1750000000002</v>
      </c>
      <c r="T42" s="377">
        <v>2351.1750000000002</v>
      </c>
      <c r="U42" s="377">
        <v>2351.1750000000002</v>
      </c>
      <c r="V42" s="377">
        <v>2351.1750000000002</v>
      </c>
      <c r="W42" s="377">
        <v>2351.1750000000002</v>
      </c>
      <c r="X42" s="377">
        <v>2351.1750000000002</v>
      </c>
      <c r="Y42" s="377">
        <v>2351.1750000000002</v>
      </c>
      <c r="Z42" s="377">
        <v>2351.1750000000002</v>
      </c>
      <c r="AA42" s="377">
        <v>2351.1750000000002</v>
      </c>
      <c r="AB42" s="377">
        <v>2351.1750000000002</v>
      </c>
      <c r="AC42" s="377">
        <v>2351.1750000000002</v>
      </c>
      <c r="AD42" s="377">
        <v>2351.1750000000002</v>
      </c>
      <c r="AE42" s="377">
        <v>2351.1750000000002</v>
      </c>
      <c r="AF42" s="377">
        <v>2351.1750000000002</v>
      </c>
      <c r="AG42" s="377">
        <v>2351.1750000000002</v>
      </c>
      <c r="AH42" s="377">
        <v>2351.1750000000002</v>
      </c>
      <c r="AI42" s="377">
        <v>2351.1750000000002</v>
      </c>
      <c r="AJ42" s="377">
        <v>2351.1750000000002</v>
      </c>
    </row>
    <row r="43" spans="1:36" x14ac:dyDescent="0.2">
      <c r="A43" s="367" t="s">
        <v>243</v>
      </c>
      <c r="B43" s="368" t="b">
        <v>0</v>
      </c>
      <c r="C43" s="369" t="s">
        <v>244</v>
      </c>
      <c r="D43" s="371" t="s">
        <v>247</v>
      </c>
      <c r="E43" s="378">
        <v>0</v>
      </c>
      <c r="F43" s="378">
        <v>0</v>
      </c>
      <c r="G43" s="378">
        <v>0</v>
      </c>
      <c r="H43" s="378">
        <v>0</v>
      </c>
      <c r="I43" s="378">
        <v>0</v>
      </c>
      <c r="J43" s="378">
        <v>0</v>
      </c>
      <c r="K43" s="378">
        <v>0</v>
      </c>
      <c r="L43" s="378">
        <v>0</v>
      </c>
      <c r="M43" s="378">
        <v>0</v>
      </c>
      <c r="N43" s="378">
        <v>0</v>
      </c>
      <c r="O43" s="378">
        <v>0</v>
      </c>
      <c r="P43" s="378">
        <v>0</v>
      </c>
      <c r="Q43" s="378">
        <v>0</v>
      </c>
      <c r="R43" s="378">
        <v>0</v>
      </c>
      <c r="S43" s="378">
        <v>0</v>
      </c>
      <c r="T43" s="378">
        <v>0</v>
      </c>
      <c r="U43" s="378">
        <v>0</v>
      </c>
      <c r="V43" s="378">
        <v>0</v>
      </c>
      <c r="W43" s="378">
        <v>0</v>
      </c>
      <c r="X43" s="378">
        <v>0</v>
      </c>
      <c r="Y43" s="378">
        <v>0</v>
      </c>
      <c r="Z43" s="378">
        <v>0</v>
      </c>
      <c r="AA43" s="378">
        <v>0</v>
      </c>
      <c r="AB43" s="378">
        <v>0</v>
      </c>
      <c r="AC43" s="378">
        <v>0</v>
      </c>
      <c r="AD43" s="378">
        <v>0</v>
      </c>
      <c r="AE43" s="378">
        <v>0</v>
      </c>
      <c r="AF43" s="378">
        <v>0</v>
      </c>
      <c r="AG43" s="378">
        <v>0</v>
      </c>
      <c r="AH43" s="378">
        <v>0</v>
      </c>
      <c r="AI43" s="378">
        <v>0</v>
      </c>
      <c r="AJ43" s="378">
        <v>0</v>
      </c>
    </row>
    <row r="44" spans="1:36" x14ac:dyDescent="0.2">
      <c r="A44" s="367" t="s">
        <v>246</v>
      </c>
      <c r="B44" s="368" t="b">
        <v>1</v>
      </c>
      <c r="C44" s="369">
        <v>0</v>
      </c>
      <c r="D44" s="371" t="s">
        <v>249</v>
      </c>
      <c r="E44" s="378">
        <v>0</v>
      </c>
      <c r="F44" s="378">
        <v>0</v>
      </c>
      <c r="G44" s="378">
        <v>0</v>
      </c>
      <c r="H44" s="378">
        <v>0</v>
      </c>
      <c r="I44" s="378">
        <v>0</v>
      </c>
      <c r="J44" s="378">
        <v>0</v>
      </c>
      <c r="K44" s="378">
        <v>0</v>
      </c>
      <c r="L44" s="378">
        <v>0</v>
      </c>
      <c r="M44" s="378">
        <v>0</v>
      </c>
      <c r="N44" s="378">
        <v>0</v>
      </c>
      <c r="O44" s="378">
        <v>0</v>
      </c>
      <c r="P44" s="378">
        <v>0</v>
      </c>
      <c r="Q44" s="378">
        <v>0</v>
      </c>
      <c r="R44" s="378">
        <v>0</v>
      </c>
      <c r="S44" s="378">
        <v>0</v>
      </c>
      <c r="T44" s="378">
        <v>0</v>
      </c>
      <c r="U44" s="378">
        <v>0</v>
      </c>
      <c r="V44" s="378">
        <v>0</v>
      </c>
      <c r="W44" s="378">
        <v>0</v>
      </c>
      <c r="X44" s="378">
        <v>0</v>
      </c>
      <c r="Y44" s="378">
        <v>0</v>
      </c>
      <c r="Z44" s="378">
        <v>0</v>
      </c>
      <c r="AA44" s="378">
        <v>0</v>
      </c>
      <c r="AB44" s="378">
        <v>0</v>
      </c>
      <c r="AC44" s="378">
        <v>0</v>
      </c>
      <c r="AD44" s="378">
        <v>0</v>
      </c>
      <c r="AE44" s="378">
        <v>0</v>
      </c>
      <c r="AF44" s="378">
        <v>0</v>
      </c>
      <c r="AG44" s="378">
        <v>0</v>
      </c>
      <c r="AH44" s="378">
        <v>0</v>
      </c>
      <c r="AI44" s="378">
        <v>0</v>
      </c>
      <c r="AJ44" s="378">
        <v>0</v>
      </c>
    </row>
    <row r="45" spans="1:36" x14ac:dyDescent="0.2">
      <c r="A45" s="367" t="s">
        <v>248</v>
      </c>
      <c r="B45" s="374">
        <v>0</v>
      </c>
      <c r="C45" s="369">
        <v>0</v>
      </c>
      <c r="D45" s="379" t="s">
        <v>250</v>
      </c>
      <c r="E45" s="380">
        <v>0</v>
      </c>
      <c r="F45" s="380">
        <v>0</v>
      </c>
      <c r="G45" s="380">
        <v>0</v>
      </c>
      <c r="H45" s="380">
        <v>0</v>
      </c>
      <c r="I45" s="380">
        <v>0</v>
      </c>
      <c r="J45" s="380">
        <v>273965.01918837719</v>
      </c>
      <c r="K45" s="380">
        <v>273965.01918837719</v>
      </c>
      <c r="L45" s="380">
        <v>273965.01918837719</v>
      </c>
      <c r="M45" s="380">
        <v>273965.01918837719</v>
      </c>
      <c r="N45" s="380">
        <v>273965.01918837719</v>
      </c>
      <c r="O45" s="380">
        <v>273965.01918837719</v>
      </c>
      <c r="P45" s="380">
        <v>273965.01918837719</v>
      </c>
      <c r="Q45" s="380">
        <v>273965.01918837719</v>
      </c>
      <c r="R45" s="380">
        <v>273965.01918837719</v>
      </c>
      <c r="S45" s="380">
        <v>273965.01918837719</v>
      </c>
      <c r="T45" s="380">
        <v>273965.01918837719</v>
      </c>
      <c r="U45" s="380">
        <v>273965.01918837719</v>
      </c>
      <c r="V45" s="380">
        <v>273965.01918837719</v>
      </c>
      <c r="W45" s="380">
        <v>273965.01918837719</v>
      </c>
      <c r="X45" s="380">
        <v>273965.01918837719</v>
      </c>
      <c r="Y45" s="380">
        <v>273965.01918837719</v>
      </c>
      <c r="Z45" s="380">
        <v>273965.01918837719</v>
      </c>
      <c r="AA45" s="380">
        <v>273965.01918837719</v>
      </c>
      <c r="AB45" s="380">
        <v>273965.01918837719</v>
      </c>
      <c r="AC45" s="380">
        <v>273965.01918837719</v>
      </c>
      <c r="AD45" s="380">
        <v>273965.01918837719</v>
      </c>
      <c r="AE45" s="380">
        <v>273965.01918837719</v>
      </c>
      <c r="AF45" s="380">
        <v>273965.01918837719</v>
      </c>
      <c r="AG45" s="380">
        <v>273965.01918837719</v>
      </c>
      <c r="AH45" s="380">
        <v>273965.01918837719</v>
      </c>
      <c r="AI45" s="380">
        <v>273965.01918837719</v>
      </c>
      <c r="AJ45" s="380">
        <v>273965.01918837719</v>
      </c>
    </row>
    <row r="46" spans="1:36" x14ac:dyDescent="0.2">
      <c r="A46" s="381"/>
      <c r="B46" s="381"/>
      <c r="C46" s="369">
        <v>0</v>
      </c>
      <c r="D46" s="382" t="s">
        <v>251</v>
      </c>
      <c r="E46" s="383">
        <v>0</v>
      </c>
      <c r="F46" s="383">
        <v>0</v>
      </c>
      <c r="G46" s="383">
        <v>0</v>
      </c>
      <c r="H46" s="383">
        <v>0</v>
      </c>
      <c r="I46" s="383">
        <v>0</v>
      </c>
      <c r="J46" s="383">
        <v>320839.11171635892</v>
      </c>
      <c r="K46" s="383">
        <v>346223.64827198553</v>
      </c>
      <c r="L46" s="383">
        <v>372112.12721740792</v>
      </c>
      <c r="M46" s="383">
        <v>398553.26977257099</v>
      </c>
      <c r="N46" s="383">
        <v>424358.83813331986</v>
      </c>
      <c r="O46" s="383">
        <v>448686.04235880391</v>
      </c>
      <c r="P46" s="383">
        <v>472992.0624713701</v>
      </c>
      <c r="Q46" s="383">
        <v>497348.18417232687</v>
      </c>
      <c r="R46" s="383">
        <v>521804.87414897769</v>
      </c>
      <c r="S46" s="383">
        <v>546399.42803556356</v>
      </c>
      <c r="T46" s="383">
        <v>571160.05793949985</v>
      </c>
      <c r="U46" s="383">
        <v>596108.75368071208</v>
      </c>
      <c r="V46" s="383">
        <v>621262.92399221007</v>
      </c>
      <c r="W46" s="383">
        <v>646636.52481194225</v>
      </c>
      <c r="X46" s="383">
        <v>672240.89605787664</v>
      </c>
      <c r="Y46" s="383">
        <v>698085.37502066186</v>
      </c>
      <c r="Z46" s="383">
        <v>724177.70987735596</v>
      </c>
      <c r="AA46" s="383">
        <v>750524.30264452286</v>
      </c>
      <c r="AB46" s="383">
        <v>776529.62890948751</v>
      </c>
      <c r="AC46" s="383">
        <v>802789.70758882421</v>
      </c>
      <c r="AD46" s="383">
        <v>829308.45610314107</v>
      </c>
      <c r="AE46" s="383">
        <v>856089.24649963132</v>
      </c>
      <c r="AF46" s="383">
        <v>883134.90859907225</v>
      </c>
      <c r="AG46" s="383">
        <v>883134.90859907225</v>
      </c>
      <c r="AH46" s="383">
        <v>883134.90859907225</v>
      </c>
      <c r="AI46" s="383">
        <v>883134.90859907225</v>
      </c>
      <c r="AJ46" s="383">
        <v>883134.90859907225</v>
      </c>
    </row>
    <row r="47" spans="1:36" x14ac:dyDescent="0.2">
      <c r="A47" s="384"/>
      <c r="B47" s="384"/>
      <c r="C47" s="384"/>
    </row>
    <row r="49" spans="1:36" x14ac:dyDescent="0.2">
      <c r="A49" s="365" t="s">
        <v>205</v>
      </c>
      <c r="B49" s="365"/>
      <c r="C49" s="364" t="s">
        <v>206</v>
      </c>
      <c r="D49" s="364"/>
      <c r="F49" s="385" t="s">
        <v>207</v>
      </c>
      <c r="G49" s="386" t="s">
        <v>208</v>
      </c>
      <c r="H49" s="364" t="s">
        <v>209</v>
      </c>
      <c r="I49" s="364" t="s">
        <v>210</v>
      </c>
    </row>
    <row r="50" spans="1:36" x14ac:dyDescent="0.2">
      <c r="A50" s="367" t="s">
        <v>211</v>
      </c>
      <c r="B50" s="387" t="s">
        <v>71</v>
      </c>
      <c r="C50" s="313" t="s">
        <v>212</v>
      </c>
      <c r="D50" s="388"/>
      <c r="F50" s="313" t="s">
        <v>213</v>
      </c>
      <c r="G50" s="389">
        <v>1.5017729720000002E-3</v>
      </c>
      <c r="H50" s="386">
        <v>1</v>
      </c>
      <c r="I50" s="390"/>
    </row>
    <row r="51" spans="1:36" x14ac:dyDescent="0.2">
      <c r="A51" s="367" t="s">
        <v>214</v>
      </c>
      <c r="B51" s="387" t="s">
        <v>215</v>
      </c>
      <c r="C51" s="313" t="s">
        <v>216</v>
      </c>
      <c r="D51" s="388"/>
      <c r="F51" s="313" t="s">
        <v>217</v>
      </c>
      <c r="G51" s="389">
        <v>1.5017729720000002E-3</v>
      </c>
      <c r="H51" s="386">
        <v>1</v>
      </c>
      <c r="I51" s="390"/>
    </row>
    <row r="52" spans="1:36" x14ac:dyDescent="0.2">
      <c r="A52" s="391" t="s">
        <v>68</v>
      </c>
      <c r="B52" s="392">
        <v>45.386140842230837</v>
      </c>
      <c r="C52" s="391" t="s">
        <v>218</v>
      </c>
      <c r="D52" s="393">
        <v>7711222.5599999996</v>
      </c>
      <c r="F52" s="313" t="s">
        <v>219</v>
      </c>
      <c r="G52" s="389" t="b">
        <v>1</v>
      </c>
      <c r="H52" s="386">
        <v>1</v>
      </c>
      <c r="I52" s="390"/>
    </row>
    <row r="53" spans="1:36" x14ac:dyDescent="0.2">
      <c r="A53" s="391" t="s">
        <v>220</v>
      </c>
      <c r="B53" s="394">
        <v>0.5</v>
      </c>
      <c r="C53" s="391" t="s">
        <v>221</v>
      </c>
      <c r="D53" s="393">
        <v>166900</v>
      </c>
      <c r="F53" s="313" t="s">
        <v>222</v>
      </c>
      <c r="G53" s="395">
        <v>0</v>
      </c>
      <c r="H53" s="386">
        <v>1</v>
      </c>
      <c r="I53" s="390"/>
    </row>
    <row r="54" spans="1:36" x14ac:dyDescent="0.2">
      <c r="A54" s="362" t="s">
        <v>253</v>
      </c>
      <c r="B54" s="363" t="s">
        <v>224</v>
      </c>
      <c r="C54" s="364" t="s">
        <v>225</v>
      </c>
      <c r="D54" s="365" t="s">
        <v>226</v>
      </c>
      <c r="E54" s="364">
        <v>2025</v>
      </c>
      <c r="F54" s="364">
        <v>2026</v>
      </c>
      <c r="G54" s="364">
        <v>2027</v>
      </c>
      <c r="H54" s="364">
        <v>2028</v>
      </c>
      <c r="I54" s="364">
        <v>2029</v>
      </c>
      <c r="J54" s="364">
        <v>2030</v>
      </c>
      <c r="K54" s="364">
        <v>2031</v>
      </c>
      <c r="L54" s="364">
        <v>2032</v>
      </c>
      <c r="M54" s="364">
        <v>2033</v>
      </c>
      <c r="N54" s="364">
        <v>2034</v>
      </c>
      <c r="O54" s="364">
        <v>2035</v>
      </c>
      <c r="P54" s="364">
        <v>2036</v>
      </c>
      <c r="Q54" s="364">
        <v>2037</v>
      </c>
      <c r="R54" s="364">
        <v>2038</v>
      </c>
      <c r="S54" s="364">
        <v>2039</v>
      </c>
      <c r="T54" s="364">
        <v>2040</v>
      </c>
      <c r="U54" s="364">
        <v>2041</v>
      </c>
      <c r="V54" s="364">
        <v>2042</v>
      </c>
      <c r="W54" s="364">
        <v>2043</v>
      </c>
      <c r="X54" s="364">
        <v>2044</v>
      </c>
      <c r="Y54" s="364">
        <v>2045</v>
      </c>
      <c r="Z54" s="364">
        <v>2046</v>
      </c>
      <c r="AA54" s="364">
        <v>2047</v>
      </c>
      <c r="AB54" s="366">
        <v>2048</v>
      </c>
      <c r="AC54" s="366">
        <v>2049</v>
      </c>
      <c r="AD54" s="366">
        <v>2050</v>
      </c>
      <c r="AE54" s="366">
        <v>2051</v>
      </c>
      <c r="AF54" s="366">
        <v>2052</v>
      </c>
      <c r="AG54" s="366">
        <v>2053</v>
      </c>
      <c r="AH54" s="366">
        <v>2054</v>
      </c>
      <c r="AI54" s="366">
        <v>2055</v>
      </c>
      <c r="AJ54" s="366">
        <v>2056</v>
      </c>
    </row>
    <row r="55" spans="1:36" x14ac:dyDescent="0.2">
      <c r="A55" s="367" t="s">
        <v>227</v>
      </c>
      <c r="B55" s="368" t="b">
        <v>0</v>
      </c>
      <c r="C55" s="369">
        <v>2000000</v>
      </c>
      <c r="D55" s="367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70"/>
      <c r="U55" s="370"/>
      <c r="V55" s="370"/>
      <c r="W55" s="370"/>
      <c r="X55" s="370"/>
      <c r="Y55" s="370"/>
      <c r="Z55" s="370"/>
      <c r="AA55" s="370"/>
      <c r="AB55" s="370"/>
      <c r="AC55" s="370"/>
      <c r="AD55" s="370"/>
      <c r="AE55" s="370"/>
      <c r="AF55" s="370"/>
      <c r="AG55" s="370"/>
      <c r="AH55" s="370"/>
      <c r="AI55" s="370"/>
      <c r="AJ55" s="370"/>
    </row>
    <row r="56" spans="1:36" x14ac:dyDescent="0.2">
      <c r="A56" s="367" t="s">
        <v>229</v>
      </c>
      <c r="B56" s="368" t="b">
        <v>0</v>
      </c>
      <c r="C56" s="369">
        <v>50000</v>
      </c>
      <c r="D56" s="371" t="s">
        <v>347</v>
      </c>
      <c r="E56" s="372"/>
      <c r="F56" s="372"/>
      <c r="G56" s="372"/>
      <c r="H56" s="372"/>
      <c r="I56" s="372">
        <v>22230.5348394053</v>
      </c>
      <c r="J56" s="372">
        <v>22833.601736307937</v>
      </c>
      <c r="K56" s="372">
        <v>23672.890668417298</v>
      </c>
      <c r="L56" s="372">
        <v>24912.288539767287</v>
      </c>
      <c r="M56" s="372">
        <v>26168.579205915048</v>
      </c>
      <c r="N56" s="372">
        <v>27151.700013329064</v>
      </c>
      <c r="O56" s="372">
        <v>27807.833059569573</v>
      </c>
      <c r="P56" s="372">
        <v>28470.511136033052</v>
      </c>
      <c r="Q56" s="372">
        <v>29139.711503971346</v>
      </c>
      <c r="R56" s="372">
        <v>29815.412248584573</v>
      </c>
      <c r="S56" s="372">
        <v>30497.591471027321</v>
      </c>
      <c r="T56" s="372">
        <v>31186.228096393359</v>
      </c>
      <c r="U56" s="372">
        <v>31881.301874075991</v>
      </c>
      <c r="V56" s="372">
        <v>32582.791760480643</v>
      </c>
      <c r="W56" s="372">
        <v>33290.678344715219</v>
      </c>
      <c r="X56" s="372">
        <v>34004.941826907416</v>
      </c>
      <c r="Y56" s="372">
        <v>34725.563636045961</v>
      </c>
      <c r="Z56" s="372">
        <v>35452.525216555252</v>
      </c>
      <c r="AA56" s="372">
        <v>36185.80762299971</v>
      </c>
      <c r="AB56" s="372">
        <v>36925.392734068031</v>
      </c>
      <c r="AC56" s="372">
        <v>37671.264063162853</v>
      </c>
      <c r="AD56" s="372">
        <v>38423.403518704377</v>
      </c>
      <c r="AE56" s="372">
        <v>39181.794238522474</v>
      </c>
      <c r="AF56" s="372">
        <v>39946.419780199751</v>
      </c>
      <c r="AG56" s="372">
        <v>39946.419780199751</v>
      </c>
      <c r="AH56" s="372">
        <v>39946.419780199751</v>
      </c>
      <c r="AI56" s="372">
        <v>39946.419780199751</v>
      </c>
      <c r="AJ56" s="372">
        <v>39946.419780199751</v>
      </c>
    </row>
    <row r="57" spans="1:36" x14ac:dyDescent="0.2">
      <c r="A57" s="367" t="s">
        <v>230</v>
      </c>
      <c r="B57" s="368" t="b">
        <v>0</v>
      </c>
      <c r="C57" s="369">
        <v>300000</v>
      </c>
      <c r="D57" s="371" t="s">
        <v>232</v>
      </c>
      <c r="E57" s="373"/>
      <c r="F57" s="373"/>
      <c r="G57" s="373"/>
      <c r="H57" s="373"/>
      <c r="I57" s="373">
        <v>3.3403586720000002E-3</v>
      </c>
      <c r="J57" s="373">
        <v>3.4268538080000003E-3</v>
      </c>
      <c r="K57" s="373">
        <v>3.5142573760000005E-3</v>
      </c>
      <c r="L57" s="373">
        <v>3.6025653440000006E-3</v>
      </c>
      <c r="M57" s="373">
        <v>3.6917737920000005E-3</v>
      </c>
      <c r="N57" s="373">
        <v>3.7818788000000005E-3</v>
      </c>
      <c r="O57" s="373">
        <v>3.8728765600000003E-3</v>
      </c>
      <c r="P57" s="373">
        <v>3.9647633759999999E-3</v>
      </c>
      <c r="Q57" s="373">
        <v>4.0575355520000005E-3</v>
      </c>
      <c r="R57" s="373">
        <v>4.1511895040000002E-3</v>
      </c>
      <c r="S57" s="373">
        <v>4.2457216480000001E-3</v>
      </c>
      <c r="T57" s="373">
        <v>4.3411285120000002E-3</v>
      </c>
      <c r="U57" s="373">
        <v>4.4374067360000002E-3</v>
      </c>
      <c r="V57" s="373">
        <v>4.5345528480000008E-3</v>
      </c>
      <c r="W57" s="373">
        <v>4.6325636000000003E-3</v>
      </c>
      <c r="X57" s="373">
        <v>4.7314356879999998E-3</v>
      </c>
      <c r="Y57" s="373">
        <v>4.8311659760000005E-3</v>
      </c>
      <c r="Z57" s="373">
        <v>4.9317513280000003E-3</v>
      </c>
      <c r="AA57" s="373">
        <v>5.0331885520000005E-3</v>
      </c>
      <c r="AB57" s="373">
        <v>5.0331885520000005E-3</v>
      </c>
      <c r="AC57" s="373">
        <v>5.0331885520000005E-3</v>
      </c>
      <c r="AD57" s="373">
        <v>5.0331885520000005E-3</v>
      </c>
      <c r="AE57" s="373">
        <v>5.0331885520000005E-3</v>
      </c>
      <c r="AF57" s="373">
        <v>5.0331885520000005E-3</v>
      </c>
      <c r="AG57" s="373">
        <v>5.0331885520000005E-3</v>
      </c>
      <c r="AH57" s="373">
        <v>5.0331885520000005E-3</v>
      </c>
      <c r="AI57" s="373">
        <v>5.0331885520000005E-3</v>
      </c>
      <c r="AJ57" s="373">
        <v>5.0331885520000005E-3</v>
      </c>
    </row>
    <row r="58" spans="1:36" x14ac:dyDescent="0.2">
      <c r="A58" s="367" t="s">
        <v>231</v>
      </c>
      <c r="B58" s="368" t="b">
        <v>0</v>
      </c>
      <c r="C58" s="369">
        <v>4000</v>
      </c>
      <c r="D58" s="371" t="s">
        <v>234</v>
      </c>
      <c r="E58" s="373"/>
      <c r="F58" s="373"/>
      <c r="G58" s="373"/>
      <c r="H58" s="373"/>
      <c r="I58" s="373">
        <v>8.589493727999999E-3</v>
      </c>
      <c r="J58" s="373">
        <v>8.811909792E-3</v>
      </c>
      <c r="K58" s="373">
        <v>9.0366618239999998E-3</v>
      </c>
      <c r="L58" s="373">
        <v>9.2637394559999999E-3</v>
      </c>
      <c r="M58" s="373">
        <v>9.4931326079999989E-3</v>
      </c>
      <c r="N58" s="373">
        <v>9.724831199999999E-3</v>
      </c>
      <c r="O58" s="373">
        <v>9.9588254399999993E-3</v>
      </c>
      <c r="P58" s="373">
        <v>1.0195105824E-2</v>
      </c>
      <c r="Q58" s="373">
        <v>1.0433662848E-2</v>
      </c>
      <c r="R58" s="373">
        <v>1.0674487295999999E-2</v>
      </c>
      <c r="S58" s="373">
        <v>1.0917569952E-2</v>
      </c>
      <c r="T58" s="373">
        <v>1.1162901887999999E-2</v>
      </c>
      <c r="U58" s="373">
        <v>1.1410474464E-2</v>
      </c>
      <c r="V58" s="373">
        <v>1.1660278752E-2</v>
      </c>
      <c r="W58" s="373">
        <v>1.1912306399999999E-2</v>
      </c>
      <c r="X58" s="373">
        <v>1.2166548911999999E-2</v>
      </c>
      <c r="Y58" s="373">
        <v>1.2422998224E-2</v>
      </c>
      <c r="Z58" s="373">
        <v>1.2681646272E-2</v>
      </c>
      <c r="AA58" s="373">
        <v>1.2942484847999999E-2</v>
      </c>
      <c r="AB58" s="373">
        <v>1.2942484847999999E-2</v>
      </c>
      <c r="AC58" s="373">
        <v>1.2942484847999999E-2</v>
      </c>
      <c r="AD58" s="373">
        <v>1.2942484847999999E-2</v>
      </c>
      <c r="AE58" s="373">
        <v>1.2942484847999999E-2</v>
      </c>
      <c r="AF58" s="373">
        <v>1.2942484847999999E-2</v>
      </c>
      <c r="AG58" s="373">
        <v>1.2942484847999999E-2</v>
      </c>
      <c r="AH58" s="373">
        <v>1.2942484847999999E-2</v>
      </c>
      <c r="AI58" s="373">
        <v>1.2942484847999999E-2</v>
      </c>
      <c r="AJ58" s="373">
        <v>1.2942484847999999E-2</v>
      </c>
    </row>
    <row r="59" spans="1:36" x14ac:dyDescent="0.2">
      <c r="A59" s="367" t="s">
        <v>233</v>
      </c>
      <c r="B59" s="368" t="b">
        <v>0</v>
      </c>
      <c r="C59" s="369">
        <v>650</v>
      </c>
      <c r="D59" s="371"/>
      <c r="E59" s="371"/>
      <c r="F59" s="371"/>
      <c r="G59" s="371"/>
      <c r="H59" s="371"/>
      <c r="I59" s="371"/>
      <c r="J59" s="371"/>
      <c r="K59" s="371"/>
      <c r="L59" s="371"/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1"/>
      <c r="Z59" s="371"/>
      <c r="AA59" s="371"/>
      <c r="AB59" s="371"/>
      <c r="AC59" s="371"/>
      <c r="AD59" s="371"/>
      <c r="AE59" s="371"/>
      <c r="AF59" s="371"/>
      <c r="AG59" s="371"/>
      <c r="AH59" s="371"/>
      <c r="AI59" s="371"/>
      <c r="AJ59" s="371"/>
    </row>
    <row r="60" spans="1:36" x14ac:dyDescent="0.2">
      <c r="A60" s="367" t="s">
        <v>235</v>
      </c>
      <c r="B60" s="374" t="b">
        <v>0</v>
      </c>
      <c r="C60" s="369">
        <v>300000</v>
      </c>
      <c r="D60" s="371" t="s">
        <v>200</v>
      </c>
      <c r="E60" s="375">
        <v>0</v>
      </c>
      <c r="F60" s="375">
        <v>0</v>
      </c>
      <c r="G60" s="375">
        <v>0</v>
      </c>
      <c r="H60" s="375">
        <v>0</v>
      </c>
      <c r="I60" s="375">
        <v>1008958.1852193684</v>
      </c>
      <c r="J60" s="375">
        <v>1036329.0643394786</v>
      </c>
      <c r="K60" s="375">
        <v>1074421.1500195195</v>
      </c>
      <c r="L60" s="375">
        <v>1130672.6363681713</v>
      </c>
      <c r="M60" s="375">
        <v>1187690.8214807336</v>
      </c>
      <c r="N60" s="375">
        <v>1232310.8809109537</v>
      </c>
      <c r="O60" s="375">
        <v>1262090.2277588674</v>
      </c>
      <c r="P60" s="375">
        <v>1292166.6282702975</v>
      </c>
      <c r="Q60" s="375">
        <v>1322539.0504212177</v>
      </c>
      <c r="R60" s="375">
        <v>1353206.4995834338</v>
      </c>
      <c r="S60" s="375">
        <v>1384167.9818528639</v>
      </c>
      <c r="T60" s="375">
        <v>1415422.5407208456</v>
      </c>
      <c r="U60" s="375">
        <v>1446969.2570904908</v>
      </c>
      <c r="V60" s="375">
        <v>1478807.1758742528</v>
      </c>
      <c r="W60" s="375">
        <v>1510935.4160866491</v>
      </c>
      <c r="X60" s="375">
        <v>1543353.0790878863</v>
      </c>
      <c r="Y60" s="375">
        <v>1576059.3220114317</v>
      </c>
      <c r="Z60" s="375">
        <v>1609053.3026913169</v>
      </c>
      <c r="AA60" s="375">
        <v>1642334.1612673351</v>
      </c>
      <c r="AB60" s="375">
        <v>1675901.075283099</v>
      </c>
      <c r="AC60" s="375">
        <v>1709753.2964755783</v>
      </c>
      <c r="AD60" s="375">
        <v>1743890.0037377847</v>
      </c>
      <c r="AE60" s="375">
        <v>1778310.4317608897</v>
      </c>
      <c r="AF60" s="375">
        <v>1813013.8342870218</v>
      </c>
      <c r="AG60" s="375">
        <v>1813013.8342870218</v>
      </c>
      <c r="AH60" s="375">
        <v>1813013.8342870218</v>
      </c>
      <c r="AI60" s="375">
        <v>1813013.8342870218</v>
      </c>
      <c r="AJ60" s="375">
        <v>1813013.8342870218</v>
      </c>
    </row>
    <row r="61" spans="1:36" x14ac:dyDescent="0.2">
      <c r="A61" s="367" t="s">
        <v>236</v>
      </c>
      <c r="B61" s="374" t="b">
        <v>1</v>
      </c>
      <c r="C61" s="369">
        <v>530000</v>
      </c>
      <c r="D61" s="371" t="s">
        <v>238</v>
      </c>
      <c r="E61" s="376">
        <v>0</v>
      </c>
      <c r="F61" s="376">
        <v>0</v>
      </c>
      <c r="G61" s="376">
        <v>0</v>
      </c>
      <c r="H61" s="376">
        <v>0</v>
      </c>
      <c r="I61" s="376">
        <v>431.40626276001137</v>
      </c>
      <c r="J61" s="376">
        <v>442.57708213382955</v>
      </c>
      <c r="K61" s="376">
        <v>453.86522521224754</v>
      </c>
      <c r="L61" s="376">
        <v>465.27017126374471</v>
      </c>
      <c r="M61" s="376">
        <v>476.79141402156455</v>
      </c>
      <c r="N61" s="376">
        <v>488.42844721895079</v>
      </c>
      <c r="O61" s="376">
        <v>500.18077905391141</v>
      </c>
      <c r="P61" s="376">
        <v>512.04793218921907</v>
      </c>
      <c r="Q61" s="376">
        <v>524.02942928764628</v>
      </c>
      <c r="R61" s="376">
        <v>536.12480747672998</v>
      </c>
      <c r="S61" s="376">
        <v>548.33360388400729</v>
      </c>
      <c r="T61" s="376">
        <v>560.65537010177968</v>
      </c>
      <c r="U61" s="376">
        <v>573.08967218711314</v>
      </c>
      <c r="V61" s="376">
        <v>585.63606173230914</v>
      </c>
      <c r="W61" s="376">
        <v>598.29411925919806</v>
      </c>
      <c r="X61" s="376">
        <v>611.06341805722809</v>
      </c>
      <c r="Y61" s="376">
        <v>623.94355311299432</v>
      </c>
      <c r="Z61" s="376">
        <v>636.93411941309137</v>
      </c>
      <c r="AA61" s="376">
        <v>650.03470471173193</v>
      </c>
      <c r="AB61" s="376">
        <v>650.03470471173193</v>
      </c>
      <c r="AC61" s="376">
        <v>650.03470471173193</v>
      </c>
      <c r="AD61" s="376">
        <v>650.03470471173193</v>
      </c>
      <c r="AE61" s="376">
        <v>650.03470471173193</v>
      </c>
      <c r="AF61" s="376">
        <v>650.03470471173193</v>
      </c>
      <c r="AG61" s="376">
        <v>650.03470471173193</v>
      </c>
      <c r="AH61" s="376">
        <v>650.03470471173193</v>
      </c>
      <c r="AI61" s="376">
        <v>650.03470471173193</v>
      </c>
      <c r="AJ61" s="376">
        <v>650.03470471173193</v>
      </c>
    </row>
    <row r="62" spans="1:36" x14ac:dyDescent="0.2">
      <c r="A62" s="367" t="s">
        <v>237</v>
      </c>
      <c r="B62" s="368" t="b">
        <v>0</v>
      </c>
      <c r="C62" s="369">
        <v>6426018.7999999998</v>
      </c>
      <c r="D62" s="371" t="s">
        <v>240</v>
      </c>
      <c r="E62" s="376">
        <v>0</v>
      </c>
      <c r="F62" s="376">
        <v>0</v>
      </c>
      <c r="G62" s="376">
        <v>0</v>
      </c>
      <c r="H62" s="376">
        <v>0</v>
      </c>
      <c r="I62" s="376">
        <v>25758.24915001804</v>
      </c>
      <c r="J62" s="376">
        <v>26425.23239407151</v>
      </c>
      <c r="K62" s="376">
        <v>27099.220759457603</v>
      </c>
      <c r="L62" s="376">
        <v>27780.183154526963</v>
      </c>
      <c r="M62" s="376">
        <v>28468.089351287148</v>
      </c>
      <c r="N62" s="376">
        <v>29162.909121745732</v>
      </c>
      <c r="O62" s="376">
        <v>29864.613101567193</v>
      </c>
      <c r="P62" s="376">
        <v>30573.17279007296</v>
      </c>
      <c r="Q62" s="376">
        <v>31288.559686584456</v>
      </c>
      <c r="R62" s="376">
        <v>32010.74615408001</v>
      </c>
      <c r="S62" s="376">
        <v>32739.704555537977</v>
      </c>
      <c r="T62" s="376">
        <v>33475.40811759363</v>
      </c>
      <c r="U62" s="376">
        <v>34217.830930539167</v>
      </c>
      <c r="V62" s="376">
        <v>34966.946221009857</v>
      </c>
      <c r="W62" s="376">
        <v>35722.728942954818</v>
      </c>
      <c r="X62" s="376">
        <v>36485.153618494718</v>
      </c>
      <c r="Y62" s="376">
        <v>37254.196065235621</v>
      </c>
      <c r="Z62" s="376">
        <v>38029.832100783562</v>
      </c>
      <c r="AA62" s="376">
        <v>38812.037110916135</v>
      </c>
      <c r="AB62" s="376">
        <v>38812.037110916135</v>
      </c>
      <c r="AC62" s="376">
        <v>38812.037110916135</v>
      </c>
      <c r="AD62" s="376">
        <v>38812.037110916135</v>
      </c>
      <c r="AE62" s="376">
        <v>38812.037110916135</v>
      </c>
      <c r="AF62" s="376">
        <v>38812.037110916135</v>
      </c>
      <c r="AG62" s="376">
        <v>38812.037110916135</v>
      </c>
      <c r="AH62" s="376">
        <v>38812.037110916135</v>
      </c>
      <c r="AI62" s="376">
        <v>38812.037110916135</v>
      </c>
      <c r="AJ62" s="376">
        <v>38812.037110916135</v>
      </c>
    </row>
    <row r="63" spans="1:36" x14ac:dyDescent="0.2">
      <c r="A63" s="367" t="s">
        <v>239</v>
      </c>
      <c r="B63" s="368" t="b">
        <v>0</v>
      </c>
      <c r="C63" s="369">
        <v>0</v>
      </c>
      <c r="D63" s="371" t="s">
        <v>242</v>
      </c>
      <c r="E63" s="376">
        <v>0</v>
      </c>
      <c r="F63" s="376">
        <v>0</v>
      </c>
      <c r="G63" s="376">
        <v>0</v>
      </c>
      <c r="H63" s="376">
        <v>0</v>
      </c>
      <c r="I63" s="376">
        <v>1433.5865032031998</v>
      </c>
      <c r="J63" s="376">
        <v>1470.7077442847999</v>
      </c>
      <c r="K63" s="376">
        <v>1508.2188584256</v>
      </c>
      <c r="L63" s="376">
        <v>1546.1181152064</v>
      </c>
      <c r="M63" s="376">
        <v>1584.4038322751999</v>
      </c>
      <c r="N63" s="376">
        <v>1623.0743272799998</v>
      </c>
      <c r="O63" s="376">
        <v>1662.1279659359998</v>
      </c>
      <c r="P63" s="376">
        <v>1701.5631620255999</v>
      </c>
      <c r="Q63" s="376">
        <v>1741.3783293311999</v>
      </c>
      <c r="R63" s="376">
        <v>1781.5719297023998</v>
      </c>
      <c r="S63" s="376">
        <v>1822.1424249888</v>
      </c>
      <c r="T63" s="376">
        <v>1863.0883251071998</v>
      </c>
      <c r="U63" s="376">
        <v>1904.4081880415999</v>
      </c>
      <c r="V63" s="376">
        <v>1946.1005237088</v>
      </c>
      <c r="W63" s="376">
        <v>1988.1639381599998</v>
      </c>
      <c r="X63" s="376">
        <v>2030.5970134127999</v>
      </c>
      <c r="Y63" s="376">
        <v>2073.3984035856001</v>
      </c>
      <c r="Z63" s="376">
        <v>2116.5667627968</v>
      </c>
      <c r="AA63" s="376">
        <v>2160.1007211311999</v>
      </c>
      <c r="AB63" s="376">
        <v>2160.1007211311999</v>
      </c>
      <c r="AC63" s="376">
        <v>2160.1007211311999</v>
      </c>
      <c r="AD63" s="376">
        <v>2160.1007211311999</v>
      </c>
      <c r="AE63" s="376">
        <v>2160.1007211311999</v>
      </c>
      <c r="AF63" s="376">
        <v>2160.1007211311999</v>
      </c>
      <c r="AG63" s="376">
        <v>2160.1007211311999</v>
      </c>
      <c r="AH63" s="376">
        <v>2160.1007211311999</v>
      </c>
      <c r="AI63" s="376">
        <v>2160.1007211311999</v>
      </c>
      <c r="AJ63" s="376">
        <v>2160.1007211311999</v>
      </c>
    </row>
    <row r="64" spans="1:36" x14ac:dyDescent="0.2">
      <c r="A64" s="367" t="s">
        <v>241</v>
      </c>
      <c r="B64" s="368" t="b">
        <v>0</v>
      </c>
      <c r="C64" s="369">
        <v>0</v>
      </c>
      <c r="D64" s="371" t="s">
        <v>245</v>
      </c>
      <c r="E64" s="377">
        <v>0</v>
      </c>
      <c r="F64" s="377">
        <v>0</v>
      </c>
      <c r="G64" s="377">
        <v>0</v>
      </c>
      <c r="H64" s="377">
        <v>0</v>
      </c>
      <c r="I64" s="377">
        <v>1126.3354166666668</v>
      </c>
      <c r="J64" s="377">
        <v>1126.3354166666668</v>
      </c>
      <c r="K64" s="377">
        <v>1126.3354166666668</v>
      </c>
      <c r="L64" s="377">
        <v>1126.3354166666668</v>
      </c>
      <c r="M64" s="377">
        <v>1126.3354166666668</v>
      </c>
      <c r="N64" s="377">
        <v>1126.3354166666668</v>
      </c>
      <c r="O64" s="377">
        <v>1126.3354166666668</v>
      </c>
      <c r="P64" s="377">
        <v>1126.3354166666668</v>
      </c>
      <c r="Q64" s="377">
        <v>1126.3354166666668</v>
      </c>
      <c r="R64" s="377">
        <v>1126.3354166666668</v>
      </c>
      <c r="S64" s="377">
        <v>1126.3354166666668</v>
      </c>
      <c r="T64" s="377">
        <v>1126.3354166666668</v>
      </c>
      <c r="U64" s="377">
        <v>1126.3354166666668</v>
      </c>
      <c r="V64" s="377">
        <v>1126.3354166666668</v>
      </c>
      <c r="W64" s="377">
        <v>1126.3354166666668</v>
      </c>
      <c r="X64" s="377">
        <v>1126.3354166666668</v>
      </c>
      <c r="Y64" s="377">
        <v>1126.3354166666668</v>
      </c>
      <c r="Z64" s="377">
        <v>1126.3354166666668</v>
      </c>
      <c r="AA64" s="377">
        <v>1126.3354166666668</v>
      </c>
      <c r="AB64" s="377">
        <v>1126.3354166666668</v>
      </c>
      <c r="AC64" s="377">
        <v>1126.3354166666668</v>
      </c>
      <c r="AD64" s="377">
        <v>1126.3354166666668</v>
      </c>
      <c r="AE64" s="377">
        <v>1126.3354166666668</v>
      </c>
      <c r="AF64" s="377">
        <v>1126.3354166666668</v>
      </c>
      <c r="AG64" s="377">
        <v>1126.3354166666668</v>
      </c>
      <c r="AH64" s="377">
        <v>1126.3354166666668</v>
      </c>
      <c r="AI64" s="377">
        <v>1126.3354166666668</v>
      </c>
      <c r="AJ64" s="377">
        <v>1126.3354166666668</v>
      </c>
    </row>
    <row r="65" spans="1:36" x14ac:dyDescent="0.2">
      <c r="A65" s="367" t="s">
        <v>243</v>
      </c>
      <c r="B65" s="368" t="b">
        <v>0</v>
      </c>
      <c r="C65" s="369" t="s">
        <v>244</v>
      </c>
      <c r="D65" s="371" t="s">
        <v>247</v>
      </c>
      <c r="E65" s="378">
        <v>0</v>
      </c>
      <c r="F65" s="378">
        <v>0</v>
      </c>
      <c r="G65" s="378">
        <v>0</v>
      </c>
      <c r="H65" s="378">
        <v>0</v>
      </c>
      <c r="I65" s="378">
        <v>0</v>
      </c>
      <c r="J65" s="378">
        <v>0</v>
      </c>
      <c r="K65" s="378">
        <v>0</v>
      </c>
      <c r="L65" s="378">
        <v>0</v>
      </c>
      <c r="M65" s="378">
        <v>0</v>
      </c>
      <c r="N65" s="378">
        <v>0</v>
      </c>
      <c r="O65" s="378">
        <v>0</v>
      </c>
      <c r="P65" s="378">
        <v>0</v>
      </c>
      <c r="Q65" s="378">
        <v>0</v>
      </c>
      <c r="R65" s="378">
        <v>0</v>
      </c>
      <c r="S65" s="378">
        <v>0</v>
      </c>
      <c r="T65" s="378">
        <v>0</v>
      </c>
      <c r="U65" s="378">
        <v>0</v>
      </c>
      <c r="V65" s="378">
        <v>0</v>
      </c>
      <c r="W65" s="378">
        <v>0</v>
      </c>
      <c r="X65" s="378">
        <v>0</v>
      </c>
      <c r="Y65" s="378">
        <v>0</v>
      </c>
      <c r="Z65" s="378">
        <v>0</v>
      </c>
      <c r="AA65" s="378">
        <v>0</v>
      </c>
      <c r="AB65" s="378">
        <v>0</v>
      </c>
      <c r="AC65" s="378">
        <v>0</v>
      </c>
      <c r="AD65" s="378">
        <v>0</v>
      </c>
      <c r="AE65" s="378">
        <v>0</v>
      </c>
      <c r="AF65" s="378">
        <v>0</v>
      </c>
      <c r="AG65" s="378">
        <v>0</v>
      </c>
      <c r="AH65" s="378">
        <v>0</v>
      </c>
      <c r="AI65" s="378">
        <v>0</v>
      </c>
      <c r="AJ65" s="378">
        <v>0</v>
      </c>
    </row>
    <row r="66" spans="1:36" x14ac:dyDescent="0.2">
      <c r="A66" s="367" t="s">
        <v>246</v>
      </c>
      <c r="B66" s="368" t="b">
        <v>1</v>
      </c>
      <c r="C66" s="369">
        <v>0</v>
      </c>
      <c r="D66" s="371" t="s">
        <v>249</v>
      </c>
      <c r="E66" s="378">
        <v>0</v>
      </c>
      <c r="F66" s="378">
        <v>0</v>
      </c>
      <c r="G66" s="378">
        <v>0</v>
      </c>
      <c r="H66" s="378">
        <v>0</v>
      </c>
      <c r="I66" s="378">
        <v>0</v>
      </c>
      <c r="J66" s="378">
        <v>0</v>
      </c>
      <c r="K66" s="378">
        <v>0</v>
      </c>
      <c r="L66" s="378">
        <v>0</v>
      </c>
      <c r="M66" s="378">
        <v>0</v>
      </c>
      <c r="N66" s="378">
        <v>0</v>
      </c>
      <c r="O66" s="378">
        <v>0</v>
      </c>
      <c r="P66" s="378">
        <v>0</v>
      </c>
      <c r="Q66" s="378">
        <v>0</v>
      </c>
      <c r="R66" s="378">
        <v>0</v>
      </c>
      <c r="S66" s="378">
        <v>0</v>
      </c>
      <c r="T66" s="378">
        <v>0</v>
      </c>
      <c r="U66" s="378">
        <v>0</v>
      </c>
      <c r="V66" s="378">
        <v>0</v>
      </c>
      <c r="W66" s="378">
        <v>0</v>
      </c>
      <c r="X66" s="378">
        <v>0</v>
      </c>
      <c r="Y66" s="378">
        <v>0</v>
      </c>
      <c r="Z66" s="378">
        <v>0</v>
      </c>
      <c r="AA66" s="378">
        <v>0</v>
      </c>
      <c r="AB66" s="378">
        <v>0</v>
      </c>
      <c r="AC66" s="378">
        <v>0</v>
      </c>
      <c r="AD66" s="378">
        <v>0</v>
      </c>
      <c r="AE66" s="378">
        <v>0</v>
      </c>
      <c r="AF66" s="378">
        <v>0</v>
      </c>
      <c r="AG66" s="378">
        <v>0</v>
      </c>
      <c r="AH66" s="378">
        <v>0</v>
      </c>
      <c r="AI66" s="378">
        <v>0</v>
      </c>
      <c r="AJ66" s="378">
        <v>0</v>
      </c>
    </row>
    <row r="67" spans="1:36" x14ac:dyDescent="0.2">
      <c r="A67" s="367" t="s">
        <v>248</v>
      </c>
      <c r="B67" s="374">
        <v>0</v>
      </c>
      <c r="C67" s="369">
        <v>0</v>
      </c>
      <c r="D67" s="379" t="s">
        <v>250</v>
      </c>
      <c r="E67" s="380">
        <v>0</v>
      </c>
      <c r="F67" s="380">
        <v>0</v>
      </c>
      <c r="G67" s="380">
        <v>0</v>
      </c>
      <c r="H67" s="380">
        <v>0</v>
      </c>
      <c r="I67" s="380">
        <v>37291.370695003883</v>
      </c>
      <c r="J67" s="380">
        <v>37291.370695003883</v>
      </c>
      <c r="K67" s="380">
        <v>37291.370695003883</v>
      </c>
      <c r="L67" s="380">
        <v>37291.370695003883</v>
      </c>
      <c r="M67" s="380">
        <v>37291.370695003883</v>
      </c>
      <c r="N67" s="380">
        <v>37291.370695003883</v>
      </c>
      <c r="O67" s="380">
        <v>37291.370695003883</v>
      </c>
      <c r="P67" s="380">
        <v>37291.370695003883</v>
      </c>
      <c r="Q67" s="380">
        <v>37291.370695003883</v>
      </c>
      <c r="R67" s="380">
        <v>37291.370695003883</v>
      </c>
      <c r="S67" s="380">
        <v>37291.370695003883</v>
      </c>
      <c r="T67" s="380">
        <v>37291.370695003883</v>
      </c>
      <c r="U67" s="380">
        <v>37291.370695003883</v>
      </c>
      <c r="V67" s="380">
        <v>37291.370695003883</v>
      </c>
      <c r="W67" s="380">
        <v>37291.370695003883</v>
      </c>
      <c r="X67" s="380">
        <v>37291.370695003883</v>
      </c>
      <c r="Y67" s="380">
        <v>37291.370695003883</v>
      </c>
      <c r="Z67" s="380">
        <v>37291.370695003883</v>
      </c>
      <c r="AA67" s="380">
        <v>37291.370695003883</v>
      </c>
      <c r="AB67" s="380">
        <v>37291.370695003883</v>
      </c>
      <c r="AC67" s="380">
        <v>37291.370695003883</v>
      </c>
      <c r="AD67" s="380">
        <v>37291.370695003883</v>
      </c>
      <c r="AE67" s="380">
        <v>37291.370695003883</v>
      </c>
      <c r="AF67" s="380">
        <v>37291.370695003883</v>
      </c>
      <c r="AG67" s="380">
        <v>37291.370695003883</v>
      </c>
      <c r="AH67" s="380">
        <v>37291.370695003883</v>
      </c>
      <c r="AI67" s="380">
        <v>37291.370695003883</v>
      </c>
      <c r="AJ67" s="380">
        <v>37291.370695003883</v>
      </c>
    </row>
    <row r="68" spans="1:36" x14ac:dyDescent="0.2">
      <c r="A68" s="381"/>
      <c r="B68" s="381"/>
      <c r="C68" s="369">
        <v>0</v>
      </c>
      <c r="D68" s="382" t="s">
        <v>251</v>
      </c>
      <c r="E68" s="383">
        <v>0</v>
      </c>
      <c r="F68" s="383">
        <v>0</v>
      </c>
      <c r="G68" s="383">
        <v>0</v>
      </c>
      <c r="H68" s="383">
        <v>0</v>
      </c>
      <c r="I68" s="383">
        <v>1074999.1332470202</v>
      </c>
      <c r="J68" s="383">
        <v>1103085.2876716391</v>
      </c>
      <c r="K68" s="383">
        <v>1141900.1609742853</v>
      </c>
      <c r="L68" s="383">
        <v>1198881.9139208389</v>
      </c>
      <c r="M68" s="383">
        <v>1256637.8121899879</v>
      </c>
      <c r="N68" s="383">
        <v>1302002.9989188688</v>
      </c>
      <c r="O68" s="383">
        <v>1332534.8557170948</v>
      </c>
      <c r="P68" s="383">
        <v>1363371.1182662556</v>
      </c>
      <c r="Q68" s="383">
        <v>1394510.7239780915</v>
      </c>
      <c r="R68" s="383">
        <v>1425952.6485863633</v>
      </c>
      <c r="S68" s="383">
        <v>1457695.8685489453</v>
      </c>
      <c r="T68" s="383">
        <v>1489739.3986453188</v>
      </c>
      <c r="U68" s="383">
        <v>1522082.2919929291</v>
      </c>
      <c r="V68" s="383">
        <v>1554723.5647923744</v>
      </c>
      <c r="W68" s="383">
        <v>1587662.3091986936</v>
      </c>
      <c r="X68" s="383">
        <v>1620897.5992495215</v>
      </c>
      <c r="Y68" s="383">
        <v>1654428.5661450364</v>
      </c>
      <c r="Z68" s="383">
        <v>1688254.3417859809</v>
      </c>
      <c r="AA68" s="383">
        <v>1722374.0399157647</v>
      </c>
      <c r="AB68" s="383">
        <v>1755940.9539315286</v>
      </c>
      <c r="AC68" s="383">
        <v>1789793.175124008</v>
      </c>
      <c r="AD68" s="383">
        <v>1823929.8823862143</v>
      </c>
      <c r="AE68" s="383">
        <v>1858350.3104093194</v>
      </c>
      <c r="AF68" s="383">
        <v>1893053.7129354514</v>
      </c>
      <c r="AG68" s="383">
        <v>1893053.7129354514</v>
      </c>
      <c r="AH68" s="383">
        <v>1893053.7129354514</v>
      </c>
      <c r="AI68" s="383">
        <v>1893053.7129354514</v>
      </c>
      <c r="AJ68" s="383">
        <v>1893053.7129354514</v>
      </c>
    </row>
    <row r="69" spans="1:36" x14ac:dyDescent="0.2">
      <c r="A69" s="384"/>
      <c r="B69" s="384"/>
      <c r="C69" s="384"/>
    </row>
    <row r="71" spans="1:36" x14ac:dyDescent="0.2">
      <c r="H71" s="396"/>
    </row>
  </sheetData>
  <dataValidations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5"/>
  <sheetViews>
    <sheetView showGridLines="0" workbookViewId="0"/>
  </sheetViews>
  <sheetFormatPr defaultRowHeight="12.75" x14ac:dyDescent="0.2"/>
  <cols>
    <col min="2" max="2" width="21.375" customWidth="1"/>
    <col min="3" max="3" width="20.5" customWidth="1"/>
    <col min="4" max="4" width="14.5" style="43" customWidth="1"/>
    <col min="5" max="5" width="14.5" customWidth="1"/>
    <col min="8" max="11" width="14.375" customWidth="1"/>
    <col min="12" max="12" width="15.75" customWidth="1"/>
    <col min="13" max="18" width="14.375" customWidth="1"/>
  </cols>
  <sheetData>
    <row r="1" spans="1:23" ht="18.75" x14ac:dyDescent="0.3">
      <c r="A1" s="13" t="str">
        <f>bus</f>
        <v>CitiPower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75" x14ac:dyDescent="0.3">
      <c r="A2" s="50" t="str">
        <f>proj</f>
        <v>AR transformer replacement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75" x14ac:dyDescent="0.25">
      <c r="A3" s="5"/>
    </row>
    <row r="4" spans="1:23" s="1" customFormat="1" ht="15" x14ac:dyDescent="0.2">
      <c r="A4" s="16" t="s">
        <v>254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x14ac:dyDescent="0.2"/>
    <row r="6" spans="1:23" s="1" customFormat="1" x14ac:dyDescent="0.2">
      <c r="B6" s="69" t="s">
        <v>255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2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2">
      <c r="B8" s="20" t="s">
        <v>256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2">
      <c r="D9" s="10"/>
      <c r="O9"/>
      <c r="P9"/>
      <c r="Q9"/>
      <c r="R9"/>
      <c r="S9"/>
      <c r="T9"/>
      <c r="U9"/>
      <c r="V9"/>
      <c r="W9"/>
    </row>
    <row r="10" spans="1:23" s="1" customFormat="1" x14ac:dyDescent="0.2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2">
      <c r="A11"/>
      <c r="B11" s="20" t="s">
        <v>257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2">
      <c r="A12"/>
      <c r="B12" s="20" t="s">
        <v>258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2">
      <c r="A13"/>
      <c r="B13" s="20" t="s">
        <v>256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2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2">
      <c r="A15"/>
      <c r="B15" s="20" t="s">
        <v>259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2">
      <c r="A16"/>
      <c r="B16" s="20" t="s">
        <v>260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2">
      <c r="A17"/>
      <c r="B17" s="20" t="s">
        <v>261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2">
      <c r="B19" s="20" t="s">
        <v>262</v>
      </c>
      <c r="D19" s="20">
        <f>D17/D16</f>
        <v>1.1066964104811112</v>
      </c>
      <c r="L19" s="246"/>
    </row>
    <row r="20" spans="1:34" x14ac:dyDescent="0.2">
      <c r="B20" s="20"/>
      <c r="D20" s="20"/>
    </row>
    <row r="21" spans="1:34" x14ac:dyDescent="0.2">
      <c r="B21" s="20" t="s">
        <v>263</v>
      </c>
      <c r="C21" s="60">
        <f>vcr_date</f>
        <v>45657</v>
      </c>
      <c r="D21" s="20">
        <f>INDEX(hy_escalation, MATCH(C21,hy_dates,0))</f>
        <v>1.1482244927118261</v>
      </c>
    </row>
    <row r="22" spans="1:34" x14ac:dyDescent="0.2">
      <c r="B22" s="20" t="s">
        <v>264</v>
      </c>
      <c r="C22" s="60">
        <f>input_dollars</f>
        <v>45291</v>
      </c>
      <c r="D22" s="20">
        <f>INDEX(hy_escalation, MATCH(C22,hy_dates,0))</f>
        <v>1.0839971599793141</v>
      </c>
    </row>
    <row r="23" spans="1:34" x14ac:dyDescent="0.2">
      <c r="B23" s="20" t="s">
        <v>265</v>
      </c>
      <c r="D23" s="20">
        <f>D22/D21</f>
        <v>0.94406378444268968</v>
      </c>
    </row>
    <row r="25" spans="1:34" x14ac:dyDescent="0.2">
      <c r="B25" s="20" t="s">
        <v>266</v>
      </c>
      <c r="C25" s="6" t="str">
        <f>start</f>
        <v>2026-27</v>
      </c>
    </row>
    <row r="28" spans="1:34" s="1" customFormat="1" ht="15" x14ac:dyDescent="0.2">
      <c r="A28" s="16" t="s">
        <v>267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2">
      <c r="B31" s="167" t="s">
        <v>27</v>
      </c>
      <c r="C31" s="168" t="s">
        <v>153</v>
      </c>
      <c r="D31" s="169" t="s">
        <v>268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2">
      <c r="B32" s="114" t="s">
        <v>166</v>
      </c>
      <c r="C32" s="166">
        <f>Option2!$G$91</f>
        <v>3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2">
      <c r="B33" s="114" t="s">
        <v>167</v>
      </c>
      <c r="C33" s="166">
        <f>Option3!$G$91</f>
        <v>3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2">
      <c r="B34" s="114" t="s">
        <v>168</v>
      </c>
      <c r="C34" s="166" t="str">
        <f>Option4!$G$92</f>
        <v>Not used</v>
      </c>
      <c r="D34" s="8" t="b">
        <f>NOT(Data!C12)</f>
        <v>0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2">
      <c r="B35" s="114" t="s">
        <v>169</v>
      </c>
      <c r="C35" s="166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2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2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2">
      <c r="B38" s="170" t="s">
        <v>153</v>
      </c>
      <c r="C38" s="170" cm="1">
        <f t="array" ref="C38">IF(OR(NOT(Data!$C$10:$C$13)), _xlfn.MINIFS($C$32:$C$35,$D$32:$D$35,TRUE), 0)</f>
        <v>3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2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2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2">
      <c r="D41"/>
    </row>
    <row r="42" spans="1:34" x14ac:dyDescent="0.2">
      <c r="D42"/>
    </row>
    <row r="43" spans="1:34" x14ac:dyDescent="0.2">
      <c r="D43"/>
    </row>
    <row r="44" spans="1:34" x14ac:dyDescent="0.2">
      <c r="D44"/>
    </row>
    <row r="45" spans="1:34" x14ac:dyDescent="0.2">
      <c r="D45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workbookViewId="0"/>
  </sheetViews>
  <sheetFormatPr defaultColWidth="9" defaultRowHeight="12.75" x14ac:dyDescent="0.2"/>
  <cols>
    <col min="1" max="1" width="5.375" style="6" customWidth="1"/>
    <col min="2" max="2" width="24.5" style="6" customWidth="1"/>
    <col min="3" max="3" width="9" style="6"/>
    <col min="4" max="4" width="9.875" style="6" bestFit="1" customWidth="1"/>
    <col min="5" max="5" width="10.875" style="6" customWidth="1"/>
    <col min="6" max="14" width="9" style="6"/>
    <col min="15" max="15" width="30.125" style="6" customWidth="1"/>
    <col min="16" max="16" width="43.25" style="6" customWidth="1"/>
    <col min="17" max="20" width="9" style="6"/>
    <col min="21" max="21" width="11.375" style="6" bestFit="1" customWidth="1"/>
    <col min="22" max="26" width="9" style="6"/>
    <col min="27" max="27" width="19.125" style="6" customWidth="1"/>
    <col min="28" max="16384" width="9" style="6"/>
  </cols>
  <sheetData>
    <row r="1" spans="1:27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4"/>
      <c r="V1"/>
      <c r="W1"/>
    </row>
    <row r="2" spans="1:27" ht="18.75" x14ac:dyDescent="0.3">
      <c r="A2" s="50" t="str">
        <f>proj</f>
        <v>AR transformer replacement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75" x14ac:dyDescent="0.25">
      <c r="A3" s="5"/>
      <c r="B3" s="5"/>
      <c r="C3" s="5"/>
      <c r="D3" s="5"/>
      <c r="E3" s="5"/>
      <c r="F3" s="5"/>
      <c r="T3"/>
      <c r="U3"/>
      <c r="V3"/>
      <c r="W3"/>
    </row>
    <row r="4" spans="1:27" x14ac:dyDescent="0.2">
      <c r="T4"/>
      <c r="U4"/>
      <c r="V4"/>
    </row>
    <row r="5" spans="1:27" ht="15" x14ac:dyDescent="0.25">
      <c r="A5" s="17" t="s">
        <v>271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x14ac:dyDescent="0.2">
      <c r="T6"/>
      <c r="U6"/>
      <c r="V6"/>
    </row>
    <row r="7" spans="1:27" x14ac:dyDescent="0.2">
      <c r="A7" s="12" t="s">
        <v>272</v>
      </c>
      <c r="T7"/>
      <c r="U7"/>
      <c r="V7"/>
    </row>
    <row r="8" spans="1:27" x14ac:dyDescent="0.2">
      <c r="A8" s="53"/>
      <c r="B8" s="53"/>
      <c r="C8" s="47" t="s">
        <v>273</v>
      </c>
      <c r="D8" s="47" t="s">
        <v>274</v>
      </c>
      <c r="F8" s="6" t="s">
        <v>275</v>
      </c>
      <c r="T8"/>
      <c r="U8"/>
      <c r="V8"/>
    </row>
    <row r="9" spans="1:27" x14ac:dyDescent="0.2">
      <c r="A9" s="25" t="s">
        <v>276</v>
      </c>
      <c r="B9" s="76" t="s">
        <v>269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x14ac:dyDescent="0.2">
      <c r="A10" s="25" t="s">
        <v>277</v>
      </c>
      <c r="B10" s="76" t="s">
        <v>166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x14ac:dyDescent="0.2">
      <c r="A11" s="25" t="s">
        <v>278</v>
      </c>
      <c r="B11" s="76" t="s">
        <v>167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x14ac:dyDescent="0.2">
      <c r="A12" s="25" t="s">
        <v>279</v>
      </c>
      <c r="B12" s="76" t="s">
        <v>168</v>
      </c>
      <c r="C12" s="19" t="b">
        <f>SUM(Option4!I$17:AB$17, Option4!I$19:AB$19)=0</f>
        <v>1</v>
      </c>
      <c r="D12" s="6" t="str">
        <f>IF(C12, $C$8, "")</f>
        <v>Not used</v>
      </c>
      <c r="F12" s="6" t="b">
        <f>C12</f>
        <v>1</v>
      </c>
      <c r="T12"/>
      <c r="U12"/>
      <c r="V12"/>
      <c r="W12"/>
      <c r="Z12"/>
      <c r="AA12"/>
    </row>
    <row r="13" spans="1:27" x14ac:dyDescent="0.2">
      <c r="A13" s="25" t="s">
        <v>280</v>
      </c>
      <c r="B13" s="76" t="s">
        <v>169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x14ac:dyDescent="0.2">
      <c r="T14"/>
      <c r="U14"/>
      <c r="V14"/>
      <c r="W14"/>
      <c r="Z14"/>
      <c r="AA14"/>
    </row>
    <row r="15" spans="1:27" x14ac:dyDescent="0.2">
      <c r="T15"/>
      <c r="U15"/>
      <c r="V15"/>
      <c r="W15"/>
      <c r="Z15"/>
      <c r="AA15"/>
    </row>
    <row r="16" spans="1:27" x14ac:dyDescent="0.2">
      <c r="A16" s="6" t="s">
        <v>49</v>
      </c>
      <c r="D16" s="21" t="s">
        <v>281</v>
      </c>
      <c r="E16" s="6" t="b">
        <f>Assumptions!E20=Data!D16</f>
        <v>0</v>
      </c>
      <c r="T16"/>
      <c r="U16"/>
      <c r="V16"/>
      <c r="W16"/>
      <c r="Z16"/>
      <c r="AA16"/>
    </row>
    <row r="17" spans="1:27" x14ac:dyDescent="0.2">
      <c r="T17"/>
      <c r="U17"/>
      <c r="V17"/>
      <c r="W17"/>
      <c r="Z17"/>
      <c r="AA17"/>
    </row>
    <row r="18" spans="1:27" x14ac:dyDescent="0.2">
      <c r="T18"/>
      <c r="U18"/>
      <c r="V18"/>
      <c r="W18"/>
      <c r="Z18"/>
      <c r="AA18"/>
    </row>
    <row r="19" spans="1:27" x14ac:dyDescent="0.2">
      <c r="B19" s="76" t="s">
        <v>47</v>
      </c>
      <c r="C19" s="19"/>
      <c r="T19"/>
      <c r="U19"/>
      <c r="V19"/>
      <c r="W19"/>
      <c r="Z19"/>
      <c r="AA19"/>
    </row>
    <row r="20" spans="1:27" x14ac:dyDescent="0.2">
      <c r="B20" s="76" t="s">
        <v>282</v>
      </c>
      <c r="C20" s="19"/>
      <c r="T20"/>
      <c r="U20"/>
      <c r="V20"/>
      <c r="W20"/>
      <c r="Z20"/>
      <c r="AA20"/>
    </row>
    <row r="21" spans="1:27" x14ac:dyDescent="0.2">
      <c r="B21" s="76" t="s">
        <v>283</v>
      </c>
      <c r="T21"/>
      <c r="U21"/>
      <c r="V21"/>
      <c r="W21"/>
      <c r="Z21"/>
      <c r="AA21"/>
    </row>
    <row r="22" spans="1:27" x14ac:dyDescent="0.2">
      <c r="T22"/>
      <c r="U22"/>
      <c r="V22"/>
      <c r="W22"/>
      <c r="Z22"/>
      <c r="AA22"/>
    </row>
    <row r="23" spans="1:27" x14ac:dyDescent="0.2">
      <c r="T23"/>
      <c r="U23"/>
      <c r="V23"/>
      <c r="W23"/>
    </row>
    <row r="24" spans="1:27" x14ac:dyDescent="0.2">
      <c r="A24" s="6" t="s">
        <v>284</v>
      </c>
      <c r="B24" s="89"/>
      <c r="T24"/>
      <c r="U24"/>
      <c r="V24"/>
      <c r="W24"/>
    </row>
    <row r="25" spans="1:27" x14ac:dyDescent="0.2">
      <c r="B25" s="21" t="s">
        <v>112</v>
      </c>
      <c r="T25"/>
      <c r="U25"/>
      <c r="V25"/>
      <c r="W25"/>
    </row>
    <row r="26" spans="1:27" x14ac:dyDescent="0.2">
      <c r="T26"/>
      <c r="U26"/>
      <c r="V26"/>
      <c r="W26"/>
    </row>
    <row r="27" spans="1:27" x14ac:dyDescent="0.2">
      <c r="T27"/>
      <c r="U27"/>
      <c r="V27"/>
      <c r="W27"/>
    </row>
    <row r="28" spans="1:27" x14ac:dyDescent="0.2">
      <c r="A28" s="12" t="s">
        <v>285</v>
      </c>
      <c r="T28"/>
      <c r="U28"/>
      <c r="V28"/>
      <c r="W28"/>
    </row>
    <row r="29" spans="1:27" x14ac:dyDescent="0.2">
      <c r="A29" s="12"/>
      <c r="B29" s="47"/>
      <c r="C29" s="47" t="s">
        <v>286</v>
      </c>
      <c r="T29"/>
      <c r="U29"/>
      <c r="V29"/>
      <c r="W29"/>
    </row>
    <row r="30" spans="1:27" x14ac:dyDescent="0.2">
      <c r="B30" s="21" t="s">
        <v>32</v>
      </c>
      <c r="C30" s="21">
        <v>-1</v>
      </c>
      <c r="T30"/>
      <c r="U30"/>
      <c r="V30"/>
      <c r="W30"/>
    </row>
    <row r="31" spans="1:27" x14ac:dyDescent="0.2">
      <c r="B31" s="21" t="s">
        <v>143</v>
      </c>
      <c r="C31" s="21">
        <v>-1</v>
      </c>
      <c r="T31"/>
      <c r="U31"/>
      <c r="V31"/>
      <c r="W31"/>
      <c r="AA31" s="59"/>
    </row>
    <row r="32" spans="1:27" x14ac:dyDescent="0.2">
      <c r="B32" s="21" t="s">
        <v>33</v>
      </c>
      <c r="C32" s="21">
        <v>-1</v>
      </c>
      <c r="T32"/>
      <c r="U32"/>
      <c r="V32"/>
      <c r="W32"/>
      <c r="AA32" s="59"/>
    </row>
    <row r="33" spans="1:23" x14ac:dyDescent="0.2">
      <c r="B33" s="21" t="s">
        <v>145</v>
      </c>
      <c r="C33" s="21">
        <v>1</v>
      </c>
      <c r="T33"/>
      <c r="U33"/>
      <c r="V33"/>
      <c r="W33"/>
    </row>
    <row r="34" spans="1:23" x14ac:dyDescent="0.2">
      <c r="B34" s="21" t="s">
        <v>146</v>
      </c>
      <c r="C34" s="21">
        <v>1</v>
      </c>
      <c r="T34"/>
      <c r="U34"/>
      <c r="V34"/>
      <c r="W34"/>
    </row>
    <row r="35" spans="1:23" x14ac:dyDescent="0.2">
      <c r="B35" s="21" t="s">
        <v>147</v>
      </c>
      <c r="C35" s="21">
        <v>1</v>
      </c>
      <c r="T35"/>
      <c r="U35"/>
      <c r="V35"/>
      <c r="W35"/>
    </row>
    <row r="36" spans="1:23" x14ac:dyDescent="0.2">
      <c r="B36" s="21" t="s">
        <v>121</v>
      </c>
      <c r="C36" s="21">
        <v>1</v>
      </c>
      <c r="T36"/>
      <c r="U36"/>
      <c r="V36"/>
      <c r="W36"/>
    </row>
    <row r="37" spans="1:23" x14ac:dyDescent="0.2">
      <c r="T37"/>
      <c r="U37"/>
      <c r="V37"/>
      <c r="W37"/>
    </row>
    <row r="38" spans="1:23" x14ac:dyDescent="0.2">
      <c r="T38"/>
      <c r="U38"/>
      <c r="V38"/>
      <c r="W38"/>
    </row>
    <row r="39" spans="1:23" x14ac:dyDescent="0.2">
      <c r="T39"/>
      <c r="U39"/>
      <c r="V39"/>
      <c r="W39"/>
    </row>
    <row r="40" spans="1:23" x14ac:dyDescent="0.2">
      <c r="T40"/>
      <c r="U40"/>
      <c r="V40"/>
      <c r="W40"/>
    </row>
    <row r="41" spans="1:23" x14ac:dyDescent="0.2">
      <c r="A41" s="12" t="s">
        <v>287</v>
      </c>
      <c r="T41"/>
      <c r="U41"/>
      <c r="V41"/>
      <c r="W41"/>
    </row>
    <row r="42" spans="1:23" x14ac:dyDescent="0.2">
      <c r="A42" s="53"/>
      <c r="B42" s="53"/>
      <c r="C42" s="47" t="s">
        <v>286</v>
      </c>
      <c r="D42" s="47" t="s">
        <v>288</v>
      </c>
      <c r="E42" s="47" t="s">
        <v>109</v>
      </c>
      <c r="F42" s="6" t="s">
        <v>289</v>
      </c>
      <c r="T42"/>
      <c r="U42"/>
      <c r="V42"/>
      <c r="W42"/>
    </row>
    <row r="43" spans="1:23" x14ac:dyDescent="0.2">
      <c r="A43" s="25">
        <v>1</v>
      </c>
      <c r="B43" s="25" t="s">
        <v>290</v>
      </c>
      <c r="C43" s="25" t="s">
        <v>228</v>
      </c>
      <c r="D43" s="25" t="b">
        <v>0</v>
      </c>
      <c r="E43" s="21" t="s">
        <v>117</v>
      </c>
      <c r="F43" s="25" t="b">
        <v>0</v>
      </c>
      <c r="T43"/>
      <c r="U43"/>
      <c r="V43"/>
      <c r="W43"/>
    </row>
    <row r="44" spans="1:23" x14ac:dyDescent="0.2">
      <c r="A44" s="25">
        <f>A43+1</f>
        <v>2</v>
      </c>
      <c r="B44" s="25" t="s">
        <v>291</v>
      </c>
      <c r="C44" s="25" t="s">
        <v>291</v>
      </c>
      <c r="D44" s="25" t="b">
        <v>0</v>
      </c>
      <c r="E44" s="21" t="s">
        <v>125</v>
      </c>
      <c r="F44" s="25" t="b">
        <v>1</v>
      </c>
      <c r="T44"/>
      <c r="U44"/>
      <c r="V44"/>
      <c r="W44"/>
    </row>
    <row r="45" spans="1:23" x14ac:dyDescent="0.2">
      <c r="A45" s="25">
        <f t="shared" ref="A45:A55" si="0">A44+1</f>
        <v>3</v>
      </c>
      <c r="B45" s="25" t="s">
        <v>292</v>
      </c>
      <c r="C45" s="25" t="s">
        <v>293</v>
      </c>
      <c r="D45" s="25" t="b">
        <v>0</v>
      </c>
      <c r="E45" s="21" t="s">
        <v>125</v>
      </c>
      <c r="F45" s="25" t="b">
        <v>1</v>
      </c>
      <c r="T45"/>
      <c r="U45"/>
      <c r="V45"/>
      <c r="W45"/>
    </row>
    <row r="46" spans="1:23" x14ac:dyDescent="0.2">
      <c r="A46" s="25">
        <f t="shared" si="0"/>
        <v>4</v>
      </c>
      <c r="B46" s="25" t="s">
        <v>294</v>
      </c>
      <c r="C46" s="25" t="s">
        <v>295</v>
      </c>
      <c r="D46" s="25" t="b">
        <v>0</v>
      </c>
      <c r="E46" s="21" t="s">
        <v>125</v>
      </c>
      <c r="F46" s="25" t="b">
        <v>1</v>
      </c>
      <c r="T46"/>
      <c r="U46"/>
      <c r="V46"/>
      <c r="W46"/>
    </row>
    <row r="47" spans="1:23" ht="13.5" x14ac:dyDescent="0.25">
      <c r="A47" s="25">
        <f t="shared" si="0"/>
        <v>5</v>
      </c>
      <c r="B47" s="25" t="s">
        <v>123</v>
      </c>
      <c r="C47" s="25" t="s">
        <v>296</v>
      </c>
      <c r="D47" s="25" t="b">
        <v>1</v>
      </c>
      <c r="E47" s="21" t="s">
        <v>117</v>
      </c>
      <c r="F47" s="25" t="b">
        <v>0</v>
      </c>
      <c r="T47"/>
      <c r="U47"/>
      <c r="V47"/>
      <c r="W47"/>
    </row>
    <row r="48" spans="1:23" x14ac:dyDescent="0.2">
      <c r="A48" s="25">
        <f t="shared" si="0"/>
        <v>6</v>
      </c>
      <c r="B48" s="25" t="s">
        <v>126</v>
      </c>
      <c r="C48" s="25" t="s">
        <v>249</v>
      </c>
      <c r="D48" s="25" t="b">
        <v>1</v>
      </c>
      <c r="E48" s="21" t="s">
        <v>117</v>
      </c>
      <c r="F48" s="25" t="b">
        <v>0</v>
      </c>
      <c r="I48"/>
      <c r="T48"/>
      <c r="U48"/>
      <c r="V48"/>
      <c r="W48"/>
    </row>
    <row r="49" spans="1:23" x14ac:dyDescent="0.2">
      <c r="A49" s="25">
        <f t="shared" si="0"/>
        <v>7</v>
      </c>
      <c r="B49" s="25" t="s">
        <v>127</v>
      </c>
      <c r="C49" s="25" t="s">
        <v>249</v>
      </c>
      <c r="D49" s="25" t="b">
        <v>1</v>
      </c>
      <c r="E49" s="21" t="s">
        <v>117</v>
      </c>
      <c r="F49" s="25" t="b">
        <v>0</v>
      </c>
      <c r="T49"/>
      <c r="U49"/>
      <c r="V49"/>
      <c r="W49"/>
    </row>
    <row r="50" spans="1:23" x14ac:dyDescent="0.2">
      <c r="A50" s="25">
        <f t="shared" si="0"/>
        <v>8</v>
      </c>
      <c r="B50" s="25" t="s">
        <v>128</v>
      </c>
      <c r="C50" s="25" t="s">
        <v>249</v>
      </c>
      <c r="D50" s="25" t="b">
        <v>1</v>
      </c>
      <c r="E50" s="21" t="s">
        <v>117</v>
      </c>
      <c r="F50" s="25" t="b">
        <v>0</v>
      </c>
      <c r="T50"/>
      <c r="U50"/>
      <c r="V50"/>
      <c r="W50"/>
    </row>
    <row r="51" spans="1:23" x14ac:dyDescent="0.2">
      <c r="A51" s="25">
        <f t="shared" si="0"/>
        <v>9</v>
      </c>
      <c r="B51" s="25" t="s">
        <v>129</v>
      </c>
      <c r="C51" s="25" t="s">
        <v>249</v>
      </c>
      <c r="D51" s="25" t="b">
        <v>1</v>
      </c>
      <c r="E51" s="21" t="s">
        <v>297</v>
      </c>
      <c r="F51" s="25" t="b">
        <v>0</v>
      </c>
      <c r="T51"/>
      <c r="U51"/>
      <c r="V51"/>
      <c r="W51"/>
    </row>
    <row r="52" spans="1:23" x14ac:dyDescent="0.2">
      <c r="A52" s="25">
        <f t="shared" si="0"/>
        <v>10</v>
      </c>
      <c r="B52" s="25" t="s">
        <v>150</v>
      </c>
      <c r="C52" s="25" t="s">
        <v>249</v>
      </c>
      <c r="D52" s="25" t="b">
        <v>1</v>
      </c>
      <c r="E52" s="21" t="s">
        <v>298</v>
      </c>
      <c r="F52" s="25" t="b">
        <v>0</v>
      </c>
      <c r="T52"/>
      <c r="U52"/>
      <c r="V52"/>
      <c r="W52"/>
    </row>
    <row r="53" spans="1:23" x14ac:dyDescent="0.2">
      <c r="A53" s="25">
        <f t="shared" si="0"/>
        <v>11</v>
      </c>
      <c r="B53" s="25" t="s">
        <v>151</v>
      </c>
      <c r="C53" s="25" t="s">
        <v>249</v>
      </c>
      <c r="D53" s="25" t="b">
        <v>1</v>
      </c>
      <c r="E53" s="21" t="s">
        <v>298</v>
      </c>
      <c r="F53" s="25" t="b">
        <v>0</v>
      </c>
      <c r="T53"/>
      <c r="U53"/>
      <c r="V53"/>
      <c r="W53"/>
    </row>
    <row r="54" spans="1:23" x14ac:dyDescent="0.2">
      <c r="A54" s="25">
        <f t="shared" si="0"/>
        <v>12</v>
      </c>
      <c r="B54" s="25" t="s">
        <v>136</v>
      </c>
      <c r="C54" s="25" t="s">
        <v>249</v>
      </c>
      <c r="D54" s="25" t="b">
        <v>1</v>
      </c>
      <c r="E54" s="21" t="s">
        <v>297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x14ac:dyDescent="0.2">
      <c r="A55" s="25">
        <f t="shared" si="0"/>
        <v>13</v>
      </c>
      <c r="B55" s="25" t="s">
        <v>137</v>
      </c>
      <c r="C55" s="25" t="s">
        <v>249</v>
      </c>
      <c r="D55" s="25" t="b">
        <v>1</v>
      </c>
      <c r="E55" s="21" t="s">
        <v>297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x14ac:dyDescent="0.2">
      <c r="O56"/>
      <c r="P56"/>
      <c r="Q56"/>
      <c r="R56"/>
      <c r="S56"/>
      <c r="T56"/>
      <c r="U56"/>
      <c r="V56"/>
      <c r="W56"/>
    </row>
    <row r="57" spans="1:23" x14ac:dyDescent="0.2">
      <c r="O57"/>
      <c r="P57"/>
      <c r="Q57"/>
      <c r="R57"/>
      <c r="S57"/>
      <c r="T57"/>
      <c r="U57"/>
      <c r="V57"/>
      <c r="W57"/>
    </row>
    <row r="58" spans="1:23" x14ac:dyDescent="0.2">
      <c r="A58" s="12" t="s">
        <v>299</v>
      </c>
      <c r="O58"/>
      <c r="P58"/>
      <c r="Q58"/>
      <c r="R58"/>
      <c r="S58"/>
      <c r="T58"/>
      <c r="U58"/>
      <c r="V58"/>
      <c r="W58"/>
    </row>
    <row r="59" spans="1:23" x14ac:dyDescent="0.2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x14ac:dyDescent="0.2">
      <c r="B60" s="25" t="s">
        <v>126</v>
      </c>
      <c r="C60" s="25" t="s">
        <v>99</v>
      </c>
      <c r="D60" s="317">
        <v>0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x14ac:dyDescent="0.2">
      <c r="B61" s="25" t="s">
        <v>127</v>
      </c>
      <c r="C61" s="25" t="s">
        <v>99</v>
      </c>
      <c r="D61" s="317">
        <v>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x14ac:dyDescent="0.2">
      <c r="B62" s="25" t="s">
        <v>128</v>
      </c>
      <c r="C62" s="25" t="s">
        <v>99</v>
      </c>
      <c r="D62" s="317">
        <v>4220.9953699573898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x14ac:dyDescent="0.2">
      <c r="B63" s="25" t="s">
        <v>129</v>
      </c>
      <c r="C63" s="25" t="s">
        <v>300</v>
      </c>
      <c r="D63" s="317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x14ac:dyDescent="0.2">
      <c r="B64" s="25" t="s">
        <v>150</v>
      </c>
      <c r="C64" s="25" t="s">
        <v>301</v>
      </c>
      <c r="D64" s="317">
        <v>0.54769380678923496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x14ac:dyDescent="0.2">
      <c r="B65" s="25" t="s">
        <v>151</v>
      </c>
      <c r="C65" s="25" t="s">
        <v>301</v>
      </c>
      <c r="D65" s="317">
        <v>0.54769380678923496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x14ac:dyDescent="0.2">
      <c r="B66" s="25" t="s">
        <v>136</v>
      </c>
      <c r="C66" s="25" t="s">
        <v>300</v>
      </c>
      <c r="D66" s="317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x14ac:dyDescent="0.2">
      <c r="B67" s="25" t="s">
        <v>137</v>
      </c>
      <c r="C67" s="25" t="s">
        <v>300</v>
      </c>
      <c r="D67" s="317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x14ac:dyDescent="0.2">
      <c r="H68"/>
      <c r="I68"/>
      <c r="J68"/>
      <c r="O68"/>
      <c r="P68"/>
      <c r="Q68"/>
      <c r="R68"/>
      <c r="S68"/>
      <c r="T68"/>
      <c r="U68"/>
      <c r="V68"/>
      <c r="W68"/>
    </row>
    <row r="69" spans="1:23" x14ac:dyDescent="0.2">
      <c r="A69" s="6" t="s">
        <v>302</v>
      </c>
      <c r="O69"/>
      <c r="P69"/>
      <c r="Q69"/>
      <c r="R69"/>
      <c r="S69"/>
      <c r="T69"/>
      <c r="U69"/>
      <c r="V69"/>
      <c r="W69"/>
    </row>
    <row r="70" spans="1:23" x14ac:dyDescent="0.2">
      <c r="B70" s="6" t="s">
        <v>303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x14ac:dyDescent="0.2">
      <c r="B71" s="6" t="s">
        <v>304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x14ac:dyDescent="0.2">
      <c r="O72"/>
      <c r="P72"/>
      <c r="Q72"/>
      <c r="R72"/>
      <c r="S72"/>
      <c r="T72"/>
      <c r="U72"/>
      <c r="V72"/>
      <c r="W72"/>
    </row>
    <row r="73" spans="1:23" x14ac:dyDescent="0.2">
      <c r="O73"/>
      <c r="P73"/>
      <c r="Q73"/>
      <c r="R73"/>
      <c r="S73"/>
      <c r="T73"/>
      <c r="U73"/>
      <c r="V73"/>
      <c r="W73"/>
    </row>
    <row r="74" spans="1:23" x14ac:dyDescent="0.2">
      <c r="A74" s="6" t="s">
        <v>270</v>
      </c>
      <c r="O74"/>
      <c r="P74"/>
      <c r="Q74"/>
      <c r="R74"/>
      <c r="S74"/>
      <c r="T74"/>
      <c r="U74"/>
      <c r="V74"/>
      <c r="W74"/>
    </row>
    <row r="75" spans="1:23" x14ac:dyDescent="0.2">
      <c r="B75" s="6" t="s">
        <v>270</v>
      </c>
      <c r="C75" s="131" t="s">
        <v>305</v>
      </c>
      <c r="O75"/>
      <c r="P75"/>
      <c r="Q75"/>
      <c r="R75"/>
      <c r="S75"/>
      <c r="T75"/>
      <c r="U75"/>
      <c r="V75"/>
      <c r="W75"/>
    </row>
    <row r="76" spans="1:23" x14ac:dyDescent="0.2">
      <c r="O76"/>
      <c r="P76"/>
      <c r="Q76"/>
      <c r="R76"/>
      <c r="S76"/>
      <c r="T76"/>
      <c r="U76"/>
      <c r="V76"/>
      <c r="W76"/>
    </row>
    <row r="77" spans="1:23" x14ac:dyDescent="0.2">
      <c r="O77"/>
      <c r="P77"/>
      <c r="Q77"/>
      <c r="R77"/>
      <c r="S77"/>
      <c r="T77"/>
      <c r="U77"/>
      <c r="V77"/>
      <c r="W77"/>
    </row>
    <row r="78" spans="1:23" x14ac:dyDescent="0.2">
      <c r="A78" s="6" t="s">
        <v>306</v>
      </c>
      <c r="C78" s="6" t="s">
        <v>307</v>
      </c>
      <c r="O78"/>
      <c r="P78"/>
      <c r="Q78"/>
      <c r="R78"/>
      <c r="S78"/>
      <c r="T78"/>
      <c r="U78"/>
      <c r="V78"/>
      <c r="W78"/>
    </row>
    <row r="79" spans="1:23" x14ac:dyDescent="0.2">
      <c r="O79"/>
      <c r="P79"/>
      <c r="Q79"/>
      <c r="R79"/>
      <c r="S79"/>
      <c r="T79"/>
      <c r="U79"/>
      <c r="V79"/>
      <c r="W79"/>
    </row>
    <row r="80" spans="1:23" x14ac:dyDescent="0.2">
      <c r="O80"/>
      <c r="P80"/>
      <c r="Q80"/>
      <c r="R80"/>
      <c r="S80"/>
      <c r="T80"/>
      <c r="U80"/>
      <c r="V80"/>
      <c r="W80"/>
    </row>
    <row r="81" spans="1:23" x14ac:dyDescent="0.2">
      <c r="O81"/>
      <c r="P81"/>
      <c r="Q81"/>
      <c r="R81"/>
      <c r="S81"/>
      <c r="T81"/>
      <c r="U81"/>
      <c r="V81"/>
      <c r="W81"/>
    </row>
    <row r="82" spans="1:23" x14ac:dyDescent="0.2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x14ac:dyDescent="0.2">
      <c r="A83" s="12" t="s">
        <v>308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x14ac:dyDescent="0.2">
      <c r="A84" s="12"/>
      <c r="B84" s="57" t="s">
        <v>309</v>
      </c>
      <c r="F84" s="133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x14ac:dyDescent="0.2">
      <c r="A85" s="1"/>
      <c r="B85" s="6" t="s">
        <v>310</v>
      </c>
      <c r="F85" s="133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x14ac:dyDescent="0.2">
      <c r="A86" s="1"/>
      <c r="B86" s="6" t="s">
        <v>311</v>
      </c>
      <c r="F86" s="133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x14ac:dyDescent="0.2">
      <c r="A87" s="1"/>
      <c r="B87" s="6" t="s">
        <v>312</v>
      </c>
      <c r="F87" s="133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x14ac:dyDescent="0.2">
      <c r="A88" s="1"/>
      <c r="B88" s="6" t="s">
        <v>313</v>
      </c>
      <c r="F88" s="133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x14ac:dyDescent="0.2">
      <c r="A89" s="1"/>
      <c r="B89" s="6" t="s">
        <v>314</v>
      </c>
      <c r="F89" s="133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2">
      <c r="A90" s="1"/>
      <c r="B90" s="6" t="s">
        <v>315</v>
      </c>
      <c r="F90" s="133">
        <v>3</v>
      </c>
      <c r="K90" s="1"/>
      <c r="L90" s="1"/>
      <c r="M90" s="1"/>
      <c r="N90" s="1"/>
      <c r="O90" s="1"/>
    </row>
    <row r="91" spans="1:23" x14ac:dyDescent="0.2">
      <c r="A91" s="1"/>
      <c r="B91" s="6" t="s">
        <v>316</v>
      </c>
      <c r="F91" s="133">
        <v>6</v>
      </c>
      <c r="K91" s="1"/>
      <c r="L91" s="1"/>
      <c r="M91" s="1"/>
      <c r="N91" s="1"/>
      <c r="O91" s="1"/>
    </row>
    <row r="92" spans="1:23" x14ac:dyDescent="0.2">
      <c r="A92" s="1"/>
      <c r="B92" s="6" t="s">
        <v>317</v>
      </c>
      <c r="F92" s="133">
        <v>6</v>
      </c>
      <c r="K92" s="1"/>
      <c r="L92" s="1"/>
      <c r="M92" s="1"/>
      <c r="N92" s="1"/>
      <c r="O92" s="1"/>
    </row>
    <row r="93" spans="1:23" x14ac:dyDescent="0.2">
      <c r="A93" s="1"/>
      <c r="B93" s="6" t="s">
        <v>318</v>
      </c>
      <c r="F93" s="133">
        <v>10</v>
      </c>
      <c r="K93" s="1"/>
      <c r="L93" s="1"/>
      <c r="M93" s="1"/>
      <c r="N93" s="1"/>
      <c r="O93" s="1"/>
    </row>
    <row r="94" spans="1:23" x14ac:dyDescent="0.2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2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2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2">
      <c r="A97" s="1"/>
      <c r="B97" s="123" t="s">
        <v>144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2">
      <c r="A98" s="1"/>
      <c r="B98" s="123" t="s">
        <v>118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2">
      <c r="A99" s="1"/>
      <c r="B99" s="123" t="s">
        <v>140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2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2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x14ac:dyDescent="0.2">
      <c r="T102"/>
      <c r="U102"/>
      <c r="V102"/>
      <c r="W102"/>
    </row>
    <row r="103" spans="1:25" x14ac:dyDescent="0.2">
      <c r="T103"/>
      <c r="U103"/>
      <c r="V103"/>
      <c r="W103"/>
    </row>
    <row r="104" spans="1:25" ht="15" x14ac:dyDescent="0.25">
      <c r="A104" s="17" t="s">
        <v>319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x14ac:dyDescent="0.2">
      <c r="U105"/>
      <c r="V105"/>
      <c r="W105"/>
      <c r="X105"/>
      <c r="Y105"/>
    </row>
    <row r="106" spans="1:25" x14ac:dyDescent="0.2">
      <c r="B106" s="6" t="s">
        <v>320</v>
      </c>
      <c r="F106" s="6" t="s">
        <v>321</v>
      </c>
      <c r="H106" s="6" t="s">
        <v>322</v>
      </c>
      <c r="J106" s="6" t="s">
        <v>323</v>
      </c>
      <c r="N106" s="6" t="s">
        <v>324</v>
      </c>
      <c r="P106" s="6" t="s">
        <v>302</v>
      </c>
      <c r="R106" s="6" t="s">
        <v>325</v>
      </c>
      <c r="T106" s="6" t="s">
        <v>326</v>
      </c>
      <c r="U106"/>
      <c r="V106" s="6" t="s">
        <v>327</v>
      </c>
      <c r="W106"/>
      <c r="Y106"/>
    </row>
    <row r="107" spans="1:25" x14ac:dyDescent="0.2">
      <c r="B107" s="23" t="s">
        <v>0</v>
      </c>
      <c r="C107" s="109" t="s">
        <v>328</v>
      </c>
      <c r="D107" s="109" t="s">
        <v>329</v>
      </c>
      <c r="F107" s="57" t="s">
        <v>309</v>
      </c>
      <c r="H107" s="23" t="b">
        <v>0</v>
      </c>
      <c r="J107" s="23" t="s">
        <v>330</v>
      </c>
      <c r="K107" s="38">
        <v>6</v>
      </c>
      <c r="L107" s="38" t="s">
        <v>331</v>
      </c>
      <c r="N107" s="38" t="s">
        <v>273</v>
      </c>
      <c r="Q107" s="22"/>
      <c r="R107" s="21">
        <v>2026</v>
      </c>
      <c r="T107" s="21" t="s">
        <v>50</v>
      </c>
      <c r="U107"/>
      <c r="V107" s="21" t="s">
        <v>52</v>
      </c>
      <c r="W107"/>
    </row>
    <row r="108" spans="1:25" x14ac:dyDescent="0.2">
      <c r="B108" s="23" t="s">
        <v>332</v>
      </c>
      <c r="C108" s="109" t="s">
        <v>333</v>
      </c>
      <c r="D108" s="109" t="s">
        <v>334</v>
      </c>
      <c r="F108" s="23" t="s">
        <v>103</v>
      </c>
      <c r="H108" s="23" t="b">
        <v>1</v>
      </c>
      <c r="J108" s="23" t="s">
        <v>45</v>
      </c>
      <c r="K108" s="38">
        <v>12</v>
      </c>
      <c r="L108" s="38" t="s">
        <v>335</v>
      </c>
      <c r="Q108" s="22"/>
      <c r="R108" s="21">
        <f>R107-1</f>
        <v>2025</v>
      </c>
      <c r="T108" s="21" t="s">
        <v>281</v>
      </c>
      <c r="U108"/>
      <c r="V108" s="21" t="s">
        <v>336</v>
      </c>
      <c r="W108"/>
    </row>
    <row r="109" spans="1:25" x14ac:dyDescent="0.2">
      <c r="B109" s="23" t="s">
        <v>337</v>
      </c>
      <c r="C109" s="109" t="s">
        <v>338</v>
      </c>
      <c r="D109" s="109" t="s">
        <v>339</v>
      </c>
      <c r="F109" s="23" t="s">
        <v>194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283</v>
      </c>
      <c r="U109"/>
      <c r="V109" s="21" t="s">
        <v>340</v>
      </c>
      <c r="W109"/>
      <c r="X109"/>
      <c r="Y109"/>
    </row>
    <row r="110" spans="1:25" x14ac:dyDescent="0.2">
      <c r="C110" s="106"/>
      <c r="D110" s="106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x14ac:dyDescent="0.2">
      <c r="C111" s="106"/>
      <c r="D111" s="106"/>
      <c r="J111" s="19"/>
      <c r="K111" s="19"/>
      <c r="R111" s="21">
        <f t="shared" si="1"/>
        <v>2022</v>
      </c>
      <c r="U111"/>
      <c r="W111"/>
      <c r="X111"/>
      <c r="Y111"/>
    </row>
    <row r="112" spans="1:25" x14ac:dyDescent="0.2">
      <c r="J112" s="19"/>
      <c r="K112" s="19"/>
      <c r="R112" s="21">
        <f t="shared" si="1"/>
        <v>2021</v>
      </c>
      <c r="U112"/>
      <c r="W112"/>
      <c r="X112"/>
      <c r="Y112"/>
    </row>
    <row r="113" spans="18:25" x14ac:dyDescent="0.2">
      <c r="R113" s="21">
        <f t="shared" si="1"/>
        <v>2020</v>
      </c>
      <c r="U113"/>
      <c r="V113" s="220"/>
      <c r="W113"/>
      <c r="X113"/>
      <c r="Y113"/>
    </row>
    <row r="114" spans="18:25" x14ac:dyDescent="0.2">
      <c r="R114" s="21"/>
      <c r="U114"/>
      <c r="V114" s="220"/>
      <c r="W114"/>
      <c r="X114"/>
      <c r="Y114"/>
    </row>
    <row r="115" spans="18:25" x14ac:dyDescent="0.2">
      <c r="U115"/>
      <c r="V115" s="220"/>
      <c r="W115"/>
      <c r="X115"/>
      <c r="Y115"/>
    </row>
    <row r="116" spans="18:25" x14ac:dyDescent="0.2">
      <c r="U116"/>
      <c r="V116"/>
      <c r="W116"/>
      <c r="X116"/>
      <c r="Y116"/>
    </row>
    <row r="117" spans="18:25" x14ac:dyDescent="0.2">
      <c r="U117"/>
      <c r="V117"/>
      <c r="W117"/>
      <c r="X117"/>
      <c r="Y117"/>
    </row>
    <row r="118" spans="18:25" x14ac:dyDescent="0.2">
      <c r="U118"/>
      <c r="V118"/>
      <c r="W118"/>
      <c r="X118"/>
    </row>
    <row r="119" spans="18:25" x14ac:dyDescent="0.2">
      <c r="U119"/>
      <c r="V119"/>
      <c r="W119"/>
      <c r="X119"/>
    </row>
    <row r="120" spans="18:25" x14ac:dyDescent="0.2">
      <c r="V120"/>
      <c r="W120"/>
      <c r="X120"/>
    </row>
    <row r="121" spans="18:25" x14ac:dyDescent="0.2">
      <c r="U121"/>
      <c r="V121"/>
      <c r="W121"/>
      <c r="X121"/>
    </row>
    <row r="122" spans="18:25" x14ac:dyDescent="0.2">
      <c r="U122"/>
      <c r="V122"/>
      <c r="W122"/>
      <c r="X122"/>
    </row>
    <row r="123" spans="18:25" x14ac:dyDescent="0.2">
      <c r="U123"/>
      <c r="V123"/>
      <c r="W123"/>
      <c r="X123"/>
    </row>
    <row r="124" spans="18:25" x14ac:dyDescent="0.2">
      <c r="U124"/>
      <c r="V124"/>
      <c r="W124"/>
      <c r="X124"/>
    </row>
    <row r="125" spans="18:25" x14ac:dyDescent="0.2">
      <c r="U125"/>
      <c r="V125"/>
      <c r="W125"/>
      <c r="X125"/>
    </row>
    <row r="126" spans="18:25" x14ac:dyDescent="0.2">
      <c r="U126"/>
      <c r="V126"/>
      <c r="W126"/>
      <c r="X126"/>
    </row>
    <row r="127" spans="18:25" x14ac:dyDescent="0.2">
      <c r="T127"/>
      <c r="U127"/>
      <c r="V127"/>
      <c r="W127"/>
    </row>
    <row r="128" spans="18:25" x14ac:dyDescent="0.2">
      <c r="T128"/>
      <c r="U128"/>
      <c r="V128"/>
      <c r="W128"/>
    </row>
    <row r="129" spans="20:23" x14ac:dyDescent="0.2">
      <c r="T129"/>
      <c r="U129"/>
      <c r="V129"/>
      <c r="W129"/>
    </row>
    <row r="130" spans="20:23" x14ac:dyDescent="0.2">
      <c r="T130"/>
      <c r="U130"/>
      <c r="V130"/>
      <c r="W130"/>
    </row>
    <row r="131" spans="20:23" x14ac:dyDescent="0.2">
      <c r="T131"/>
      <c r="U131"/>
      <c r="V131"/>
      <c r="W131"/>
    </row>
    <row r="132" spans="20:23" x14ac:dyDescent="0.2">
      <c r="T132"/>
      <c r="U132"/>
      <c r="V132"/>
      <c r="W132"/>
    </row>
    <row r="133" spans="20:23" x14ac:dyDescent="0.2">
      <c r="T133"/>
      <c r="U133"/>
      <c r="V133"/>
      <c r="W133"/>
    </row>
    <row r="134" spans="20:23" x14ac:dyDescent="0.2">
      <c r="T134"/>
      <c r="U134"/>
      <c r="V134"/>
      <c r="W134"/>
    </row>
    <row r="135" spans="20:23" x14ac:dyDescent="0.2">
      <c r="T135"/>
      <c r="U135"/>
      <c r="V135"/>
      <c r="W135"/>
    </row>
    <row r="136" spans="20:23" x14ac:dyDescent="0.2">
      <c r="T136"/>
      <c r="U136"/>
      <c r="V136"/>
      <c r="W136"/>
    </row>
    <row r="137" spans="20:23" x14ac:dyDescent="0.2">
      <c r="T137"/>
      <c r="U137"/>
      <c r="V137"/>
      <c r="W137"/>
    </row>
    <row r="138" spans="20:23" x14ac:dyDescent="0.2">
      <c r="T138"/>
      <c r="U138"/>
      <c r="V138"/>
      <c r="W138"/>
    </row>
    <row r="139" spans="20:23" x14ac:dyDescent="0.2">
      <c r="T139"/>
      <c r="U139"/>
      <c r="V139"/>
      <c r="W139"/>
    </row>
    <row r="140" spans="20:23" x14ac:dyDescent="0.2">
      <c r="T140"/>
      <c r="U140"/>
      <c r="V140"/>
      <c r="W140"/>
    </row>
    <row r="141" spans="20:23" x14ac:dyDescent="0.2">
      <c r="T141"/>
      <c r="U141"/>
      <c r="V141"/>
      <c r="W141"/>
    </row>
    <row r="142" spans="20:23" x14ac:dyDescent="0.2">
      <c r="T142"/>
      <c r="U142"/>
      <c r="V142"/>
      <c r="W142"/>
    </row>
    <row r="143" spans="20:23" x14ac:dyDescent="0.2">
      <c r="T143"/>
      <c r="U143"/>
      <c r="V143"/>
      <c r="W143"/>
    </row>
    <row r="144" spans="20:23" x14ac:dyDescent="0.2">
      <c r="T144"/>
      <c r="U144"/>
      <c r="V144"/>
      <c r="W144"/>
    </row>
    <row r="145" spans="20:23" x14ac:dyDescent="0.2">
      <c r="T145"/>
      <c r="U145"/>
      <c r="V145"/>
      <c r="W145"/>
    </row>
    <row r="146" spans="20:23" x14ac:dyDescent="0.2">
      <c r="T146"/>
      <c r="U146"/>
      <c r="V146"/>
      <c r="W146"/>
    </row>
    <row r="147" spans="20:23" x14ac:dyDescent="0.2">
      <c r="T147"/>
      <c r="U147"/>
      <c r="V147"/>
      <c r="W147"/>
    </row>
    <row r="148" spans="20:23" x14ac:dyDescent="0.2">
      <c r="T148"/>
      <c r="U148"/>
      <c r="V148"/>
      <c r="W148"/>
    </row>
    <row r="149" spans="20:23" x14ac:dyDescent="0.2">
      <c r="T149"/>
      <c r="U149"/>
      <c r="V149"/>
      <c r="W149"/>
    </row>
    <row r="150" spans="20:23" x14ac:dyDescent="0.2">
      <c r="T150"/>
      <c r="U150"/>
      <c r="V150"/>
      <c r="W150"/>
    </row>
    <row r="151" spans="20:23" x14ac:dyDescent="0.2">
      <c r="T151"/>
      <c r="U151"/>
      <c r="V151"/>
      <c r="W151"/>
    </row>
    <row r="152" spans="20:23" x14ac:dyDescent="0.2">
      <c r="T152"/>
      <c r="U152"/>
      <c r="V152"/>
      <c r="W152"/>
    </row>
    <row r="153" spans="20:23" x14ac:dyDescent="0.2">
      <c r="T153"/>
      <c r="U153"/>
      <c r="V153"/>
      <c r="W153"/>
    </row>
    <row r="154" spans="20:23" x14ac:dyDescent="0.2">
      <c r="T154"/>
      <c r="U154"/>
      <c r="V154"/>
      <c r="W154"/>
    </row>
    <row r="155" spans="20:23" x14ac:dyDescent="0.2">
      <c r="T155"/>
      <c r="U155"/>
      <c r="V155"/>
      <c r="W155"/>
    </row>
    <row r="156" spans="20:23" x14ac:dyDescent="0.2">
      <c r="T156"/>
      <c r="U156"/>
      <c r="V156"/>
      <c r="W156"/>
    </row>
    <row r="157" spans="20:23" x14ac:dyDescent="0.2">
      <c r="T157"/>
      <c r="U157"/>
      <c r="V157"/>
      <c r="W157"/>
    </row>
    <row r="158" spans="20:23" x14ac:dyDescent="0.2">
      <c r="T158"/>
      <c r="U158"/>
      <c r="V158"/>
      <c r="W158"/>
    </row>
    <row r="159" spans="20:23" x14ac:dyDescent="0.2">
      <c r="T159"/>
      <c r="U159"/>
      <c r="V159"/>
      <c r="W159"/>
    </row>
    <row r="160" spans="20:23" x14ac:dyDescent="0.2">
      <c r="T160"/>
      <c r="U160"/>
      <c r="V160"/>
      <c r="W160"/>
    </row>
    <row r="161" spans="20:23" x14ac:dyDescent="0.2">
      <c r="T161"/>
      <c r="U161"/>
      <c r="V161"/>
      <c r="W161"/>
    </row>
    <row r="162" spans="20:23" x14ac:dyDescent="0.2">
      <c r="T162"/>
      <c r="U162"/>
      <c r="V162"/>
      <c r="W162"/>
    </row>
    <row r="163" spans="20:23" x14ac:dyDescent="0.2">
      <c r="T163"/>
      <c r="U163"/>
      <c r="V163"/>
      <c r="W163"/>
    </row>
    <row r="164" spans="20:23" x14ac:dyDescent="0.2">
      <c r="T164"/>
      <c r="U164"/>
      <c r="V164"/>
      <c r="W164"/>
    </row>
    <row r="165" spans="20:23" x14ac:dyDescent="0.2">
      <c r="T165"/>
      <c r="U165"/>
      <c r="V165"/>
      <c r="W165"/>
    </row>
    <row r="166" spans="20:23" x14ac:dyDescent="0.2">
      <c r="T166"/>
      <c r="U166"/>
      <c r="V166"/>
      <c r="W166"/>
    </row>
    <row r="167" spans="20:23" x14ac:dyDescent="0.2">
      <c r="T167"/>
      <c r="U167"/>
      <c r="V167"/>
      <c r="W167"/>
    </row>
    <row r="168" spans="20:23" x14ac:dyDescent="0.2">
      <c r="T168"/>
      <c r="U168"/>
      <c r="V168"/>
      <c r="W168"/>
    </row>
    <row r="169" spans="20:23" x14ac:dyDescent="0.2">
      <c r="T169"/>
      <c r="U169"/>
      <c r="V169"/>
      <c r="W169"/>
    </row>
    <row r="170" spans="20:23" x14ac:dyDescent="0.2">
      <c r="T170"/>
      <c r="U170"/>
      <c r="V170"/>
      <c r="W170"/>
    </row>
    <row r="171" spans="20:23" x14ac:dyDescent="0.2">
      <c r="T171"/>
      <c r="U171"/>
      <c r="V171"/>
      <c r="W171"/>
    </row>
    <row r="172" spans="20:23" x14ac:dyDescent="0.2">
      <c r="T172"/>
      <c r="U172"/>
      <c r="V172"/>
      <c r="W172"/>
    </row>
    <row r="173" spans="20:23" x14ac:dyDescent="0.2">
      <c r="T173"/>
      <c r="U173"/>
      <c r="V173"/>
      <c r="W173"/>
    </row>
    <row r="174" spans="20:23" x14ac:dyDescent="0.2">
      <c r="T174"/>
      <c r="U174"/>
      <c r="V174"/>
      <c r="W174"/>
    </row>
    <row r="175" spans="20:23" x14ac:dyDescent="0.2">
      <c r="T175"/>
      <c r="U175"/>
      <c r="V175"/>
      <c r="W175"/>
    </row>
    <row r="176" spans="20:23" x14ac:dyDescent="0.2">
      <c r="T176"/>
      <c r="U176"/>
      <c r="V176"/>
      <c r="W176"/>
    </row>
    <row r="177" spans="20:23" x14ac:dyDescent="0.2">
      <c r="T177"/>
      <c r="U177"/>
      <c r="V177"/>
      <c r="W177"/>
    </row>
    <row r="178" spans="20:23" x14ac:dyDescent="0.2">
      <c r="T178"/>
      <c r="U178"/>
      <c r="V178"/>
      <c r="W178"/>
    </row>
    <row r="179" spans="20:23" x14ac:dyDescent="0.2">
      <c r="T179"/>
      <c r="U179"/>
      <c r="V179"/>
      <c r="W179"/>
    </row>
    <row r="180" spans="20:23" x14ac:dyDescent="0.2">
      <c r="T180"/>
      <c r="U180"/>
      <c r="V180"/>
      <c r="W180"/>
    </row>
    <row r="181" spans="20:23" x14ac:dyDescent="0.2">
      <c r="T181"/>
      <c r="U181"/>
      <c r="V181"/>
      <c r="W181"/>
    </row>
    <row r="182" spans="20:23" x14ac:dyDescent="0.2">
      <c r="T182"/>
      <c r="U182"/>
      <c r="V182"/>
      <c r="W182"/>
    </row>
    <row r="183" spans="20:23" x14ac:dyDescent="0.2">
      <c r="T183"/>
      <c r="U183"/>
      <c r="V183"/>
      <c r="W183"/>
    </row>
    <row r="184" spans="20:23" x14ac:dyDescent="0.2">
      <c r="T184"/>
      <c r="U184"/>
      <c r="V184"/>
      <c r="W184"/>
    </row>
    <row r="185" spans="20:23" x14ac:dyDescent="0.2">
      <c r="T185"/>
      <c r="U185"/>
      <c r="V185"/>
      <c r="W185"/>
    </row>
    <row r="186" spans="20:23" x14ac:dyDescent="0.2">
      <c r="T186"/>
      <c r="U186"/>
      <c r="V186"/>
      <c r="W186"/>
    </row>
    <row r="187" spans="20:23" x14ac:dyDescent="0.2">
      <c r="T187"/>
      <c r="U187"/>
      <c r="V187"/>
      <c r="W187"/>
    </row>
    <row r="188" spans="20:23" x14ac:dyDescent="0.2">
      <c r="T188"/>
      <c r="U188"/>
      <c r="V188"/>
      <c r="W188"/>
    </row>
    <row r="189" spans="20:23" x14ac:dyDescent="0.2">
      <c r="T189"/>
      <c r="U189"/>
      <c r="V189"/>
      <c r="W189"/>
    </row>
    <row r="190" spans="20:23" x14ac:dyDescent="0.2">
      <c r="T190"/>
      <c r="U190"/>
      <c r="V190"/>
      <c r="W190"/>
    </row>
    <row r="191" spans="20:23" x14ac:dyDescent="0.2">
      <c r="T191"/>
      <c r="U191"/>
      <c r="V191"/>
      <c r="W191"/>
    </row>
    <row r="192" spans="20:23" x14ac:dyDescent="0.2">
      <c r="T192"/>
      <c r="U192"/>
      <c r="V192"/>
      <c r="W192"/>
    </row>
    <row r="193" spans="20:23" x14ac:dyDescent="0.2">
      <c r="T193"/>
      <c r="U193"/>
      <c r="V193"/>
      <c r="W193"/>
    </row>
    <row r="194" spans="20:23" x14ac:dyDescent="0.2">
      <c r="T194"/>
      <c r="U194"/>
      <c r="V194"/>
      <c r="W194"/>
    </row>
    <row r="195" spans="20:23" x14ac:dyDescent="0.2">
      <c r="T195"/>
      <c r="U195"/>
      <c r="V195"/>
      <c r="W195"/>
    </row>
    <row r="196" spans="20:23" x14ac:dyDescent="0.2">
      <c r="T196"/>
      <c r="U196"/>
      <c r="V196"/>
      <c r="W196"/>
    </row>
    <row r="197" spans="20:23" x14ac:dyDescent="0.2">
      <c r="T197"/>
      <c r="U197"/>
      <c r="V197"/>
      <c r="W197"/>
    </row>
    <row r="198" spans="20:23" x14ac:dyDescent="0.2">
      <c r="T198"/>
      <c r="U198"/>
      <c r="V198"/>
      <c r="W198"/>
    </row>
    <row r="199" spans="20:23" x14ac:dyDescent="0.2">
      <c r="T199"/>
      <c r="U199"/>
      <c r="V199"/>
      <c r="W199"/>
    </row>
    <row r="200" spans="20:23" x14ac:dyDescent="0.2">
      <c r="T200"/>
      <c r="U200"/>
      <c r="V200"/>
      <c r="W200"/>
    </row>
    <row r="201" spans="20:23" x14ac:dyDescent="0.2">
      <c r="T201"/>
      <c r="U201"/>
      <c r="V201"/>
      <c r="W201"/>
    </row>
    <row r="202" spans="20:23" x14ac:dyDescent="0.2">
      <c r="T202"/>
      <c r="U202"/>
      <c r="V202"/>
      <c r="W202"/>
    </row>
    <row r="203" spans="20:23" x14ac:dyDescent="0.2">
      <c r="T203"/>
      <c r="U203"/>
      <c r="V203"/>
      <c r="W203"/>
    </row>
    <row r="204" spans="20:23" x14ac:dyDescent="0.2">
      <c r="T204"/>
      <c r="U204"/>
      <c r="V204"/>
      <c r="W204"/>
    </row>
    <row r="205" spans="20:23" x14ac:dyDescent="0.2">
      <c r="T205"/>
      <c r="U205"/>
      <c r="V205"/>
      <c r="W205"/>
    </row>
    <row r="206" spans="20:23" x14ac:dyDescent="0.2">
      <c r="T206"/>
      <c r="U206"/>
      <c r="V206"/>
      <c r="W206"/>
    </row>
    <row r="207" spans="20:23" x14ac:dyDescent="0.2">
      <c r="T207"/>
      <c r="U207"/>
      <c r="V207"/>
      <c r="W207"/>
    </row>
    <row r="208" spans="20:23" x14ac:dyDescent="0.2">
      <c r="T208"/>
      <c r="U208"/>
      <c r="V208"/>
      <c r="W208"/>
    </row>
    <row r="209" spans="20:23" x14ac:dyDescent="0.2">
      <c r="T209"/>
      <c r="U209"/>
      <c r="V209"/>
      <c r="W209"/>
    </row>
    <row r="210" spans="20:23" x14ac:dyDescent="0.2">
      <c r="T210"/>
      <c r="U210"/>
      <c r="V210"/>
      <c r="W210"/>
    </row>
    <row r="211" spans="20:23" x14ac:dyDescent="0.2">
      <c r="T211"/>
      <c r="U211"/>
      <c r="V211"/>
      <c r="W211"/>
    </row>
    <row r="212" spans="20:23" x14ac:dyDescent="0.2">
      <c r="T212"/>
      <c r="U212"/>
      <c r="V212"/>
      <c r="W212"/>
    </row>
    <row r="213" spans="20:23" x14ac:dyDescent="0.2">
      <c r="T213"/>
      <c r="U213"/>
      <c r="V213"/>
      <c r="W213"/>
    </row>
    <row r="214" spans="20:23" x14ac:dyDescent="0.2">
      <c r="T214"/>
      <c r="U214"/>
      <c r="V214"/>
      <c r="W214"/>
    </row>
    <row r="215" spans="20:23" x14ac:dyDescent="0.2">
      <c r="T215"/>
      <c r="U215"/>
      <c r="V215"/>
      <c r="W215"/>
    </row>
    <row r="216" spans="20:23" x14ac:dyDescent="0.2">
      <c r="T216"/>
      <c r="U216"/>
      <c r="V216"/>
      <c r="W216"/>
    </row>
    <row r="217" spans="20:23" x14ac:dyDescent="0.2">
      <c r="T217"/>
      <c r="U217"/>
      <c r="V217"/>
      <c r="W217"/>
    </row>
    <row r="218" spans="20:23" x14ac:dyDescent="0.2">
      <c r="T218"/>
      <c r="U218"/>
      <c r="V218"/>
      <c r="W218"/>
    </row>
    <row r="219" spans="20:23" x14ac:dyDescent="0.2">
      <c r="T219"/>
      <c r="U219"/>
      <c r="V219"/>
      <c r="W219"/>
    </row>
    <row r="220" spans="20:23" x14ac:dyDescent="0.2">
      <c r="T220"/>
      <c r="U220"/>
      <c r="V220"/>
      <c r="W220"/>
    </row>
    <row r="221" spans="20:23" x14ac:dyDescent="0.2">
      <c r="T221"/>
      <c r="U221"/>
      <c r="V221"/>
      <c r="W221"/>
    </row>
    <row r="222" spans="20:23" x14ac:dyDescent="0.2">
      <c r="T222"/>
      <c r="U222"/>
      <c r="V222"/>
      <c r="W222"/>
    </row>
    <row r="223" spans="20:23" x14ac:dyDescent="0.2">
      <c r="T223"/>
      <c r="U223"/>
      <c r="V223"/>
      <c r="W223"/>
    </row>
    <row r="224" spans="20:23" x14ac:dyDescent="0.2">
      <c r="T224"/>
      <c r="U224"/>
      <c r="V224"/>
      <c r="W224"/>
    </row>
    <row r="225" spans="20:23" x14ac:dyDescent="0.2">
      <c r="T225"/>
      <c r="U225"/>
      <c r="V225"/>
      <c r="W225"/>
    </row>
    <row r="226" spans="20:23" x14ac:dyDescent="0.2">
      <c r="T226"/>
      <c r="U226"/>
      <c r="V226"/>
      <c r="W226"/>
    </row>
    <row r="227" spans="20:23" x14ac:dyDescent="0.2">
      <c r="T227"/>
      <c r="U227"/>
      <c r="V227"/>
      <c r="W227"/>
    </row>
    <row r="228" spans="20:23" x14ac:dyDescent="0.2">
      <c r="T228"/>
      <c r="U228"/>
      <c r="V228"/>
      <c r="W228"/>
    </row>
    <row r="229" spans="20:23" x14ac:dyDescent="0.2">
      <c r="T229"/>
      <c r="U229"/>
      <c r="V229"/>
      <c r="W229"/>
    </row>
    <row r="230" spans="20:23" x14ac:dyDescent="0.2">
      <c r="T230"/>
      <c r="U230"/>
      <c r="V230"/>
      <c r="W230"/>
    </row>
    <row r="231" spans="20:23" x14ac:dyDescent="0.2">
      <c r="T231"/>
      <c r="U231"/>
      <c r="V231"/>
      <c r="W231"/>
    </row>
    <row r="232" spans="20:23" x14ac:dyDescent="0.2">
      <c r="T232"/>
      <c r="U232"/>
      <c r="V232"/>
      <c r="W232"/>
    </row>
    <row r="233" spans="20:23" x14ac:dyDescent="0.2">
      <c r="T233"/>
      <c r="U233"/>
      <c r="V233"/>
      <c r="W233"/>
    </row>
    <row r="234" spans="20:23" x14ac:dyDescent="0.2">
      <c r="T234"/>
      <c r="U234"/>
      <c r="V234"/>
      <c r="W234"/>
    </row>
    <row r="235" spans="20:23" x14ac:dyDescent="0.2">
      <c r="T235"/>
      <c r="U235"/>
      <c r="V235"/>
      <c r="W235"/>
    </row>
    <row r="236" spans="20:23" x14ac:dyDescent="0.2">
      <c r="T236"/>
      <c r="U236"/>
      <c r="V236"/>
      <c r="W236"/>
    </row>
    <row r="237" spans="20:23" x14ac:dyDescent="0.2">
      <c r="T237"/>
      <c r="U237"/>
      <c r="V237"/>
      <c r="W237"/>
    </row>
    <row r="238" spans="20:23" x14ac:dyDescent="0.2">
      <c r="T238"/>
      <c r="U238"/>
      <c r="V238"/>
      <c r="W238"/>
    </row>
    <row r="239" spans="20:23" x14ac:dyDescent="0.2">
      <c r="T239"/>
      <c r="U239"/>
      <c r="V239"/>
      <c r="W239"/>
    </row>
    <row r="240" spans="20:23" x14ac:dyDescent="0.2">
      <c r="T240"/>
      <c r="U240"/>
      <c r="V240"/>
      <c r="W240"/>
    </row>
    <row r="241" spans="20:23" x14ac:dyDescent="0.2">
      <c r="T241"/>
      <c r="U241"/>
      <c r="V241"/>
      <c r="W241"/>
    </row>
    <row r="242" spans="20:23" x14ac:dyDescent="0.2">
      <c r="T242"/>
      <c r="U242"/>
      <c r="V242"/>
      <c r="W242"/>
    </row>
    <row r="243" spans="20:23" x14ac:dyDescent="0.2">
      <c r="T243"/>
      <c r="U243"/>
      <c r="V243"/>
      <c r="W243"/>
    </row>
    <row r="244" spans="20:23" x14ac:dyDescent="0.2">
      <c r="T244"/>
      <c r="U244"/>
      <c r="V244"/>
      <c r="W244"/>
    </row>
    <row r="245" spans="20:23" x14ac:dyDescent="0.2">
      <c r="T245"/>
      <c r="U245"/>
      <c r="V245"/>
      <c r="W245"/>
    </row>
    <row r="246" spans="20:23" x14ac:dyDescent="0.2">
      <c r="T246"/>
      <c r="U246"/>
      <c r="V246"/>
      <c r="W246"/>
    </row>
    <row r="247" spans="20:23" x14ac:dyDescent="0.2">
      <c r="T247"/>
      <c r="U247"/>
      <c r="V247"/>
      <c r="W247"/>
    </row>
    <row r="248" spans="20:23" x14ac:dyDescent="0.2">
      <c r="T248"/>
      <c r="U248"/>
      <c r="V248"/>
      <c r="W248"/>
    </row>
    <row r="249" spans="20:23" x14ac:dyDescent="0.2">
      <c r="T249"/>
      <c r="U249"/>
      <c r="V249"/>
      <c r="W249"/>
    </row>
    <row r="250" spans="20:23" x14ac:dyDescent="0.2">
      <c r="T250"/>
      <c r="U250"/>
      <c r="V250"/>
      <c r="W250"/>
    </row>
    <row r="251" spans="20:23" x14ac:dyDescent="0.2">
      <c r="T251"/>
      <c r="U251"/>
      <c r="V251"/>
      <c r="W251"/>
    </row>
    <row r="252" spans="20:23" x14ac:dyDescent="0.2">
      <c r="T252"/>
      <c r="U252"/>
      <c r="V252"/>
      <c r="W252"/>
    </row>
    <row r="253" spans="20:23" x14ac:dyDescent="0.2">
      <c r="T253"/>
      <c r="U253"/>
      <c r="V253"/>
      <c r="W253"/>
    </row>
    <row r="254" spans="20:23" x14ac:dyDescent="0.2">
      <c r="T254"/>
      <c r="U254"/>
      <c r="V254"/>
      <c r="W254"/>
    </row>
    <row r="255" spans="20:23" x14ac:dyDescent="0.2">
      <c r="T255"/>
      <c r="U255"/>
      <c r="V255"/>
      <c r="W255"/>
    </row>
    <row r="256" spans="20:23" x14ac:dyDescent="0.2">
      <c r="T256"/>
      <c r="U256"/>
      <c r="V256"/>
      <c r="W256"/>
    </row>
    <row r="257" spans="20:23" x14ac:dyDescent="0.2">
      <c r="T257"/>
      <c r="U257"/>
      <c r="V257"/>
      <c r="W257"/>
    </row>
    <row r="258" spans="20:23" x14ac:dyDescent="0.2">
      <c r="T258"/>
      <c r="U258"/>
      <c r="V258"/>
      <c r="W258"/>
    </row>
    <row r="259" spans="20:23" x14ac:dyDescent="0.2">
      <c r="T259"/>
      <c r="U259"/>
      <c r="V259"/>
      <c r="W259"/>
    </row>
    <row r="260" spans="20:23" x14ac:dyDescent="0.2">
      <c r="T260"/>
      <c r="U260"/>
      <c r="V260"/>
      <c r="W260"/>
    </row>
    <row r="261" spans="20:23" x14ac:dyDescent="0.2">
      <c r="T261"/>
      <c r="U261"/>
      <c r="V261"/>
      <c r="W261"/>
    </row>
    <row r="262" spans="20:23" x14ac:dyDescent="0.2">
      <c r="T262"/>
      <c r="U262"/>
      <c r="V262"/>
      <c r="W262"/>
    </row>
    <row r="263" spans="20:23" x14ac:dyDescent="0.2">
      <c r="T263"/>
      <c r="U263"/>
      <c r="V263"/>
    </row>
    <row r="264" spans="20:23" x14ac:dyDescent="0.2">
      <c r="T264"/>
      <c r="U264"/>
      <c r="V264"/>
    </row>
    <row r="265" spans="20:23" x14ac:dyDescent="0.2">
      <c r="T265"/>
      <c r="U265"/>
      <c r="V265"/>
    </row>
    <row r="266" spans="20:23" x14ac:dyDescent="0.2">
      <c r="T266"/>
      <c r="U266"/>
      <c r="V266"/>
    </row>
    <row r="267" spans="20:23" x14ac:dyDescent="0.2">
      <c r="T267"/>
      <c r="U267"/>
      <c r="V267"/>
    </row>
    <row r="268" spans="20:23" x14ac:dyDescent="0.2">
      <c r="T268"/>
      <c r="U268"/>
      <c r="V268"/>
    </row>
    <row r="269" spans="20:23" x14ac:dyDescent="0.2">
      <c r="T269"/>
      <c r="U269"/>
      <c r="V269"/>
    </row>
    <row r="270" spans="20:23" x14ac:dyDescent="0.2">
      <c r="T270"/>
      <c r="U270"/>
      <c r="V270"/>
    </row>
    <row r="271" spans="20:23" x14ac:dyDescent="0.2">
      <c r="T271"/>
      <c r="U271"/>
      <c r="V271"/>
    </row>
    <row r="272" spans="20:23" x14ac:dyDescent="0.2">
      <c r="T272"/>
      <c r="U272"/>
      <c r="V272"/>
    </row>
    <row r="273" spans="20:22" x14ac:dyDescent="0.2">
      <c r="T273"/>
      <c r="U273"/>
      <c r="V273"/>
    </row>
    <row r="274" spans="20:22" x14ac:dyDescent="0.2">
      <c r="T274"/>
      <c r="U274"/>
      <c r="V274"/>
    </row>
    <row r="275" spans="20:22" x14ac:dyDescent="0.2">
      <c r="T275"/>
      <c r="U275"/>
      <c r="V275"/>
    </row>
    <row r="276" spans="20:22" x14ac:dyDescent="0.2">
      <c r="T276"/>
      <c r="U276"/>
      <c r="V276"/>
    </row>
    <row r="277" spans="20:22" x14ac:dyDescent="0.2">
      <c r="T277"/>
      <c r="U277"/>
      <c r="V277"/>
    </row>
    <row r="278" spans="20:22" x14ac:dyDescent="0.2">
      <c r="T278"/>
      <c r="U278"/>
      <c r="V278"/>
    </row>
    <row r="279" spans="20:22" x14ac:dyDescent="0.2">
      <c r="T279"/>
      <c r="U279"/>
      <c r="V279"/>
    </row>
    <row r="280" spans="20:22" x14ac:dyDescent="0.2">
      <c r="T280"/>
      <c r="U280"/>
      <c r="V280"/>
    </row>
    <row r="281" spans="20:22" x14ac:dyDescent="0.2">
      <c r="T281"/>
      <c r="U281"/>
      <c r="V281"/>
    </row>
    <row r="282" spans="20:22" x14ac:dyDescent="0.2">
      <c r="T282"/>
      <c r="U282"/>
      <c r="V282"/>
    </row>
    <row r="283" spans="20:22" x14ac:dyDescent="0.2">
      <c r="T283"/>
      <c r="U283"/>
      <c r="V283"/>
    </row>
    <row r="284" spans="20:22" x14ac:dyDescent="0.2">
      <c r="T284"/>
      <c r="U284"/>
      <c r="V284"/>
    </row>
    <row r="285" spans="20:22" x14ac:dyDescent="0.2">
      <c r="T285"/>
      <c r="U285"/>
      <c r="V285"/>
    </row>
    <row r="286" spans="20:22" x14ac:dyDescent="0.2">
      <c r="T286"/>
      <c r="U286"/>
      <c r="V286"/>
    </row>
    <row r="287" spans="20:22" x14ac:dyDescent="0.2">
      <c r="T287"/>
      <c r="U287"/>
      <c r="V287"/>
    </row>
    <row r="288" spans="20:22" x14ac:dyDescent="0.2">
      <c r="T288"/>
      <c r="U288"/>
      <c r="V288"/>
    </row>
    <row r="289" spans="20:22" x14ac:dyDescent="0.2">
      <c r="T289"/>
      <c r="U289"/>
      <c r="V289"/>
    </row>
    <row r="290" spans="20:22" x14ac:dyDescent="0.2">
      <c r="T290"/>
      <c r="U290"/>
      <c r="V290"/>
    </row>
    <row r="291" spans="20:22" x14ac:dyDescent="0.2">
      <c r="T291"/>
      <c r="U291"/>
      <c r="V291"/>
    </row>
    <row r="292" spans="20:22" x14ac:dyDescent="0.2">
      <c r="T292"/>
      <c r="U292"/>
      <c r="V292"/>
    </row>
    <row r="293" spans="20:22" x14ac:dyDescent="0.2">
      <c r="T293"/>
      <c r="U293"/>
      <c r="V293"/>
    </row>
    <row r="294" spans="20:22" x14ac:dyDescent="0.2">
      <c r="T294"/>
      <c r="U294"/>
      <c r="V294"/>
    </row>
    <row r="295" spans="20:22" x14ac:dyDescent="0.2">
      <c r="T295"/>
      <c r="U295"/>
      <c r="V295"/>
    </row>
    <row r="296" spans="20:22" x14ac:dyDescent="0.2">
      <c r="T296"/>
      <c r="U296"/>
      <c r="V296"/>
    </row>
    <row r="297" spans="20:22" x14ac:dyDescent="0.2">
      <c r="T297"/>
      <c r="U297"/>
      <c r="V297"/>
    </row>
    <row r="298" spans="20:22" x14ac:dyDescent="0.2">
      <c r="T298"/>
      <c r="U298"/>
      <c r="V298"/>
    </row>
    <row r="299" spans="20:22" x14ac:dyDescent="0.2">
      <c r="T299"/>
      <c r="U299"/>
      <c r="V299"/>
    </row>
    <row r="300" spans="20:22" x14ac:dyDescent="0.2">
      <c r="T300"/>
      <c r="U300"/>
      <c r="V300"/>
    </row>
    <row r="301" spans="20:22" x14ac:dyDescent="0.2">
      <c r="T301"/>
      <c r="U301"/>
      <c r="V301"/>
    </row>
    <row r="302" spans="20:22" x14ac:dyDescent="0.2">
      <c r="T302"/>
      <c r="U302"/>
      <c r="V302"/>
    </row>
    <row r="303" spans="20:22" x14ac:dyDescent="0.2">
      <c r="T303"/>
      <c r="U303"/>
      <c r="V303"/>
    </row>
    <row r="304" spans="20:22" x14ac:dyDescent="0.2">
      <c r="T304"/>
      <c r="U304"/>
      <c r="V304"/>
    </row>
    <row r="305" spans="20:22" x14ac:dyDescent="0.2">
      <c r="T305"/>
      <c r="U305"/>
      <c r="V305"/>
    </row>
    <row r="306" spans="20:22" x14ac:dyDescent="0.2">
      <c r="T306"/>
      <c r="U306"/>
      <c r="V306"/>
    </row>
    <row r="307" spans="20:22" x14ac:dyDescent="0.2">
      <c r="T307"/>
      <c r="U307"/>
      <c r="V307"/>
    </row>
    <row r="308" spans="20:22" x14ac:dyDescent="0.2">
      <c r="T308"/>
      <c r="U308"/>
      <c r="V308"/>
    </row>
    <row r="309" spans="20:22" x14ac:dyDescent="0.2">
      <c r="T309"/>
      <c r="U309"/>
      <c r="V309"/>
    </row>
    <row r="310" spans="20:22" x14ac:dyDescent="0.2">
      <c r="T310"/>
      <c r="U310"/>
      <c r="V310"/>
    </row>
    <row r="311" spans="20:22" x14ac:dyDescent="0.2">
      <c r="T311"/>
      <c r="U311"/>
      <c r="V311"/>
    </row>
    <row r="312" spans="20:22" x14ac:dyDescent="0.2">
      <c r="T312"/>
      <c r="U312"/>
      <c r="V312"/>
    </row>
    <row r="313" spans="20:22" x14ac:dyDescent="0.2">
      <c r="T313"/>
      <c r="U313"/>
      <c r="V313"/>
    </row>
    <row r="314" spans="20:22" x14ac:dyDescent="0.2">
      <c r="T314"/>
      <c r="U314"/>
      <c r="V314"/>
    </row>
    <row r="315" spans="20:22" x14ac:dyDescent="0.2">
      <c r="T315"/>
      <c r="U315"/>
    </row>
    <row r="316" spans="20:22" x14ac:dyDescent="0.2">
      <c r="T316"/>
      <c r="U316"/>
    </row>
    <row r="317" spans="20:22" x14ac:dyDescent="0.2">
      <c r="T317"/>
      <c r="U317"/>
    </row>
    <row r="318" spans="20:22" x14ac:dyDescent="0.2">
      <c r="T318"/>
      <c r="U318"/>
    </row>
    <row r="319" spans="20:22" x14ac:dyDescent="0.2">
      <c r="T319"/>
      <c r="U319"/>
    </row>
    <row r="320" spans="20:22" x14ac:dyDescent="0.2">
      <c r="T320"/>
    </row>
    <row r="321" spans="20:20" x14ac:dyDescent="0.2">
      <c r="T321"/>
    </row>
    <row r="322" spans="20:20" x14ac:dyDescent="0.2">
      <c r="T322"/>
    </row>
    <row r="323" spans="20:20" x14ac:dyDescent="0.2">
      <c r="T323"/>
    </row>
  </sheetData>
  <phoneticPr fontId="78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7A8E5-5A63-4F0A-8EA0-16921BC91BD7}">
  <sheetPr codeName="Sheet15"/>
  <dimension ref="A2:H32"/>
  <sheetViews>
    <sheetView showGridLines="0" workbookViewId="0"/>
  </sheetViews>
  <sheetFormatPr defaultColWidth="9" defaultRowHeight="12.75" x14ac:dyDescent="0.2"/>
  <cols>
    <col min="1" max="1" width="9" style="321"/>
    <col min="2" max="2" width="17.5" style="321" bestFit="1" customWidth="1"/>
    <col min="3" max="3" width="28.75" style="321" customWidth="1"/>
    <col min="4" max="4" width="13.75" style="321" customWidth="1"/>
    <col min="5" max="5" width="11.125" style="321" bestFit="1" customWidth="1"/>
    <col min="6" max="6" width="87.625" style="321" bestFit="1" customWidth="1"/>
    <col min="7" max="16384" width="9" style="321"/>
  </cols>
  <sheetData>
    <row r="2" spans="1:8" ht="18.75" x14ac:dyDescent="0.3">
      <c r="A2" s="318" t="str">
        <f>Summary!A2</f>
        <v>AR transformer replacement</v>
      </c>
    </row>
    <row r="4" spans="1:8" ht="19.5" x14ac:dyDescent="0.3">
      <c r="B4" s="319" t="s">
        <v>3</v>
      </c>
    </row>
    <row r="5" spans="1:8" ht="15" x14ac:dyDescent="0.25">
      <c r="B5" s="322" t="str">
        <f>'Option1 (base case)'!A3</f>
        <v>OPTION 1 (base case)</v>
      </c>
    </row>
    <row r="6" spans="1:8" x14ac:dyDescent="0.2">
      <c r="C6" s="323"/>
      <c r="D6" s="324"/>
      <c r="E6" s="325" t="s">
        <v>4</v>
      </c>
      <c r="F6" s="320" t="s">
        <v>5</v>
      </c>
    </row>
    <row r="7" spans="1:8" x14ac:dyDescent="0.2">
      <c r="C7" s="326" t="s">
        <v>6</v>
      </c>
      <c r="D7" s="327"/>
      <c r="E7" s="328"/>
      <c r="F7" s="329" t="s">
        <v>7</v>
      </c>
    </row>
    <row r="8" spans="1:8" x14ac:dyDescent="0.2">
      <c r="C8" s="330" t="s">
        <v>8</v>
      </c>
      <c r="D8" s="327"/>
      <c r="E8" s="331" cm="1">
        <f t="array" ref="E8">SUMPRODUCT(((Workings_risks!E11:AC11)*(Consol!$I$5:$AG$5)*(Consol!$I$7:$AG$7)))</f>
        <v>19525908.066148575</v>
      </c>
      <c r="F8" s="332" t="s">
        <v>348</v>
      </c>
    </row>
    <row r="9" spans="1:8" x14ac:dyDescent="0.2">
      <c r="C9" s="330" t="s">
        <v>201</v>
      </c>
      <c r="D9" s="327"/>
      <c r="E9" s="331" cm="1">
        <f t="array" ref="E9">SUMPRODUCT(((Workings_risks!E12:AC12)*(Consol!$I$5:$AG$5)*(Consol!$I$7:$AG$7)))</f>
        <v>11108.443297660457</v>
      </c>
      <c r="F9" s="332" t="s">
        <v>349</v>
      </c>
    </row>
    <row r="10" spans="1:8" x14ac:dyDescent="0.2">
      <c r="C10" s="330" t="s">
        <v>202</v>
      </c>
      <c r="D10" s="327"/>
      <c r="E10" s="331" cm="1">
        <f t="array" ref="E10">SUMPRODUCT(((Workings_risks!E13:AC13)*(Consol!$I$5:$AG$5)*(Consol!$I$7:$AG$7)))</f>
        <v>473756.36846574384</v>
      </c>
      <c r="F10" s="332" t="s">
        <v>350</v>
      </c>
    </row>
    <row r="11" spans="1:8" x14ac:dyDescent="0.2">
      <c r="C11" s="330" t="s">
        <v>203</v>
      </c>
      <c r="D11" s="327"/>
      <c r="E11" s="331" cm="1">
        <f t="array" ref="E11">SUMPRODUCT(((Workings_risks!E14:AC14)*(Consol!$I$5:$AG$5)*(Consol!$I$7:$AG$7)))</f>
        <v>41015.513315404896</v>
      </c>
      <c r="F11" s="332" t="s">
        <v>351</v>
      </c>
    </row>
    <row r="12" spans="1:8" x14ac:dyDescent="0.2">
      <c r="C12" s="330" t="s">
        <v>344</v>
      </c>
      <c r="D12" s="327"/>
      <c r="E12" s="331" cm="1">
        <f t="array" ref="E12">SUMPRODUCT(((Workings_risks!E15:AC15)*(Consol!$I$5:$AG$5)*(Consol!$I$7:$AG$7)))</f>
        <v>69518.624074658597</v>
      </c>
      <c r="F12" s="332" t="s">
        <v>352</v>
      </c>
      <c r="H12" s="333"/>
    </row>
    <row r="13" spans="1:8" x14ac:dyDescent="0.2">
      <c r="A13" s="334"/>
      <c r="C13" s="335" t="s">
        <v>9</v>
      </c>
      <c r="D13" s="336"/>
      <c r="E13" s="337" cm="1">
        <f t="array" ref="E13">SUMPRODUCT(((Workings_risks!E16:AC16)*(Consol!$I$5:$AG$5)*(Consol!$I$7:$AG$7)))*conv_2026</f>
        <v>22268178.248023167</v>
      </c>
      <c r="F13" s="338" t="s">
        <v>10</v>
      </c>
    </row>
    <row r="15" spans="1:8" ht="19.5" x14ac:dyDescent="0.3">
      <c r="B15" s="319" t="s">
        <v>11</v>
      </c>
      <c r="D15" s="339"/>
      <c r="E15" s="340"/>
      <c r="F15" s="339"/>
    </row>
    <row r="16" spans="1:8" ht="15" x14ac:dyDescent="0.25">
      <c r="B16" s="341" t="str">
        <f>preferred</f>
        <v>Option 2</v>
      </c>
      <c r="C16" s="342" t="str">
        <f>Summary!D18</f>
        <v>Replace #2 transformer completed in 2029-2030</v>
      </c>
    </row>
    <row r="17" spans="3:6" x14ac:dyDescent="0.2">
      <c r="C17" s="323"/>
      <c r="D17" s="324"/>
      <c r="E17" s="325" t="s">
        <v>4</v>
      </c>
      <c r="F17" s="320" t="s">
        <v>5</v>
      </c>
    </row>
    <row r="18" spans="3:6" x14ac:dyDescent="0.2">
      <c r="C18" s="326" t="s">
        <v>6</v>
      </c>
      <c r="D18" s="327"/>
      <c r="E18" s="328"/>
      <c r="F18" s="329" t="s">
        <v>7</v>
      </c>
    </row>
    <row r="19" spans="3:6" x14ac:dyDescent="0.2">
      <c r="C19" s="330" t="s">
        <v>8</v>
      </c>
      <c r="D19" s="327"/>
      <c r="E19" s="331" cm="1">
        <f t="array" ref="E19">SUMPRODUCT(((Workings_risks!E23:AC23)*(Consol!$I$5:$AG$5)*(Consol!$I$7:$AG$7)))</f>
        <v>6199703.9780311072</v>
      </c>
      <c r="F19" s="332" t="s">
        <v>353</v>
      </c>
    </row>
    <row r="20" spans="3:6" x14ac:dyDescent="0.2">
      <c r="C20" s="330" t="s">
        <v>201</v>
      </c>
      <c r="D20" s="327"/>
      <c r="E20" s="331" cm="1">
        <f t="array" ref="E20">SUMPRODUCT(((Workings_risks!E24:AC24)*(Consol!$I$5:$AG$5)*(Consol!$I$7:$AG$7)))</f>
        <v>6797.0470920921571</v>
      </c>
      <c r="F20" s="332" t="s">
        <v>354</v>
      </c>
    </row>
    <row r="21" spans="3:6" x14ac:dyDescent="0.2">
      <c r="C21" s="330" t="s">
        <v>202</v>
      </c>
      <c r="D21" s="327"/>
      <c r="E21" s="331" cm="1">
        <f t="array" ref="E21">SUMPRODUCT(((Workings_risks!E25:AC25)*(Consol!$I$5:$AG$5)*(Consol!$I$7:$AG$7)))</f>
        <v>289882.59293886996</v>
      </c>
      <c r="F21" s="332" t="s">
        <v>355</v>
      </c>
    </row>
    <row r="22" spans="3:6" x14ac:dyDescent="0.2">
      <c r="C22" s="330" t="s">
        <v>203</v>
      </c>
      <c r="D22" s="327"/>
      <c r="E22" s="331" cm="1">
        <f t="array" ref="E22">SUMPRODUCT(((Workings_risks!E26:AC26)*(Consol!$I$5:$AG$5)*(Consol!$I$7:$AG$7)))</f>
        <v>25096.619574936714</v>
      </c>
      <c r="F22" s="332" t="s">
        <v>356</v>
      </c>
    </row>
    <row r="23" spans="3:6" x14ac:dyDescent="0.2">
      <c r="C23" s="330" t="s">
        <v>344</v>
      </c>
      <c r="D23" s="327"/>
      <c r="E23" s="331" cm="1">
        <f t="array" ref="E23">SUMPRODUCT(((Workings_risks!E27:AC27)*(Consol!$I$5:$AG$5)*(Consol!$I$7:$AG$7)))</f>
        <v>44328.959001987379</v>
      </c>
      <c r="F23" s="332" t="s">
        <v>357</v>
      </c>
    </row>
    <row r="24" spans="3:6" x14ac:dyDescent="0.2">
      <c r="C24" s="343" t="s">
        <v>9</v>
      </c>
      <c r="D24" s="344"/>
      <c r="E24" s="337" cm="1">
        <f t="array" ref="E24">SUMPRODUCT(((Workings_risks!E28:AC28)*(Consol!$I$5:$AG$5)*(Consol!$I$7:$AG$7)))*conv_2026</f>
        <v>7266357.4698242424</v>
      </c>
      <c r="F24" s="338" t="s">
        <v>10</v>
      </c>
    </row>
    <row r="25" spans="3:6" x14ac:dyDescent="0.2">
      <c r="C25" s="345" t="s">
        <v>12</v>
      </c>
      <c r="D25" s="327"/>
      <c r="E25" s="332"/>
      <c r="F25" s="332"/>
    </row>
    <row r="26" spans="3:6" x14ac:dyDescent="0.2">
      <c r="C26" s="330" t="s">
        <v>13</v>
      </c>
      <c r="D26" s="327"/>
      <c r="E26" s="331">
        <f>E13-E24</f>
        <v>15001820.778198924</v>
      </c>
      <c r="F26" s="332" t="s">
        <v>14</v>
      </c>
    </row>
    <row r="27" spans="3:6" x14ac:dyDescent="0.2">
      <c r="C27" s="346" t="s">
        <v>15</v>
      </c>
      <c r="D27" s="347" t="s">
        <v>16</v>
      </c>
      <c r="E27" s="348">
        <f>E26</f>
        <v>15001820.778198924</v>
      </c>
      <c r="F27" s="338"/>
    </row>
    <row r="28" spans="3:6" x14ac:dyDescent="0.2">
      <c r="C28" s="345" t="s">
        <v>17</v>
      </c>
      <c r="D28" s="349"/>
      <c r="E28" s="350"/>
      <c r="F28" s="329" t="s">
        <v>7</v>
      </c>
    </row>
    <row r="29" spans="3:6" x14ac:dyDescent="0.2">
      <c r="C29" s="330" t="str">
        <f>Option2!C71</f>
        <v>Replace 1 transformer</v>
      </c>
      <c r="D29" s="327"/>
      <c r="E29" s="332" cm="1">
        <f t="array" ref="E29">SUMPRODUCT((Option2!I76:AG76)*(Consol!I5:AG5)*(Consol!$I$7:$AG$7))</f>
        <v>-3284561.678176058</v>
      </c>
      <c r="F29" s="332" t="s">
        <v>18</v>
      </c>
    </row>
    <row r="30" spans="3:6" x14ac:dyDescent="0.2">
      <c r="C30" s="346" t="s">
        <v>19</v>
      </c>
      <c r="D30" s="347" t="s">
        <v>20</v>
      </c>
      <c r="E30" s="351">
        <f>SUM(E29:E29)*conv_2026</f>
        <v>-3635012.6192412581</v>
      </c>
      <c r="F30" s="338"/>
    </row>
    <row r="31" spans="3:6" x14ac:dyDescent="0.2">
      <c r="C31" s="352" t="s">
        <v>21</v>
      </c>
      <c r="D31" s="353" t="s">
        <v>22</v>
      </c>
      <c r="E31" s="354">
        <f>E27+E30</f>
        <v>11366808.158957666</v>
      </c>
      <c r="F31" s="338"/>
    </row>
    <row r="32" spans="3:6" x14ac:dyDescent="0.2">
      <c r="C32" s="355"/>
      <c r="D32" s="356"/>
      <c r="E32" s="357"/>
      <c r="F32" s="35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workbookViewId="0"/>
  </sheetViews>
  <sheetFormatPr defaultColWidth="0" defaultRowHeight="12" zeroHeight="1" x14ac:dyDescent="0.2"/>
  <cols>
    <col min="1" max="1" width="1.875" style="8" customWidth="1"/>
    <col min="2" max="2" width="2" style="8" customWidth="1"/>
    <col min="3" max="3" width="21.625" style="8" customWidth="1"/>
    <col min="4" max="4" width="34.625" style="8" customWidth="1"/>
    <col min="5" max="5" width="15.25" style="8" customWidth="1"/>
    <col min="6" max="9" width="13.125" style="8" customWidth="1"/>
    <col min="10" max="10" width="11.75" style="8" customWidth="1"/>
    <col min="11" max="11" width="1.75" style="8" customWidth="1"/>
    <col min="12" max="12" width="14.625" style="8" customWidth="1"/>
    <col min="13" max="13" width="2.25" style="8" customWidth="1"/>
    <col min="14" max="14" width="8.75" style="8" hidden="1" customWidth="1"/>
    <col min="15" max="16384" width="9" style="8" hidden="1"/>
  </cols>
  <sheetData>
    <row r="1" spans="1:13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75" x14ac:dyDescent="0.3">
      <c r="A2" s="50" t="str">
        <f>proj</f>
        <v>AR transformer replacement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75" x14ac:dyDescent="0.3">
      <c r="A3" s="177" t="s">
        <v>23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75" x14ac:dyDescent="0.3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5" x14ac:dyDescent="0.25">
      <c r="A5" s="17" t="s">
        <v>24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2.75" x14ac:dyDescent="0.2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2.75" x14ac:dyDescent="0.2">
      <c r="G7" s="130" t="s">
        <v>25</v>
      </c>
      <c r="H7" s="130" t="s">
        <v>26</v>
      </c>
      <c r="I7" s="130" t="s">
        <v>22</v>
      </c>
    </row>
    <row r="8" spans="1:13" s="2" customFormat="1" ht="12.75" x14ac:dyDescent="0.2">
      <c r="C8" s="26" t="s">
        <v>27</v>
      </c>
      <c r="D8" s="26"/>
      <c r="E8" s="26"/>
      <c r="F8" s="26"/>
      <c r="G8" s="159">
        <f>output_dollars</f>
        <v>46203</v>
      </c>
      <c r="H8" s="159">
        <f>output_dollars</f>
        <v>46203</v>
      </c>
      <c r="I8" s="159">
        <f>output_dollars</f>
        <v>46203</v>
      </c>
    </row>
    <row r="9" spans="1:13" s="2" customFormat="1" ht="12.75" x14ac:dyDescent="0.2">
      <c r="C9" s="65" t="str" cm="1">
        <f t="array" ref="C9:C13">options</f>
        <v>Option 1 (base case)</v>
      </c>
      <c r="D9" s="423" t="str">
        <f>INDEX(Assumptions!$E$14:$E$18, MATCH(C9, Assumptions!$C$14:$C$18,0))</f>
        <v>No change to existing practices</v>
      </c>
      <c r="E9" s="424"/>
      <c r="F9" s="424"/>
      <c r="G9" s="90">
        <f>IF(Data!$C9, "", INDEX(Consol!$F$15:$F$82, MATCH($C9&amp;G$7, Consol!$D$15:$D$82,0))/mill_conv)</f>
        <v>0</v>
      </c>
      <c r="H9" s="90">
        <f>IF(Data!$C9, "", INDEX(Consol!$F$15:$F$82, MATCH($C9&amp;H$7, Consol!$D$15:$D$82,0))/mill_conv)</f>
        <v>0</v>
      </c>
      <c r="I9" s="90">
        <f>IF(Data!$C9, "", INDEX(Consol!$F$15:$F$82, MATCH($C9&amp;I$7, Consol!$D$15:$D$82,0))/mill_conv)</f>
        <v>0</v>
      </c>
    </row>
    <row r="10" spans="1:13" s="2" customFormat="1" ht="12.75" customHeight="1" x14ac:dyDescent="0.2">
      <c r="C10" s="65" t="str">
        <v>Option 2</v>
      </c>
      <c r="D10" s="425" t="str">
        <f>INDEX(Assumptions!$E$14:$E$18, MATCH(C10, Assumptions!$C$14:$C$18,0))</f>
        <v>Replace #2 transformer completed in 2029-2030</v>
      </c>
      <c r="E10" s="426"/>
      <c r="F10" s="426"/>
      <c r="G10" s="90">
        <f>IF(Data!$C10, "", INDEX(Consol!$F$15:$F$82, MATCH($C10&amp;G$7, Consol!$D$15:$D$82,0))/mill_conv)</f>
        <v>-3.6350126192412588</v>
      </c>
      <c r="H10" s="90">
        <f>IF(Data!$C10, "", INDEX(Consol!$F$15:$F$82, MATCH($C10&amp;H$7, Consol!$D$15:$D$82,0))/mill_conv)</f>
        <v>15.001820778198926</v>
      </c>
      <c r="I10" s="90">
        <f>IF(Data!$C10, "", INDEX(Consol!$F$15:$F$82, MATCH($C10&amp;I$7, Consol!$D$15:$D$82,0))/mill_conv)</f>
        <v>11.366808158957664</v>
      </c>
    </row>
    <row r="11" spans="1:13" s="2" customFormat="1" ht="12.75" x14ac:dyDescent="0.2">
      <c r="C11" s="65" t="str">
        <v>Option 3</v>
      </c>
      <c r="D11" s="425" t="str">
        <f>INDEX(Assumptions!$E$14:$E$18, MATCH(C11, Assumptions!$C$14:$C$18,0))</f>
        <v>Refurb transformer #2 completed in 2028-2029</v>
      </c>
      <c r="E11" s="426"/>
      <c r="F11" s="426"/>
      <c r="G11" s="90">
        <f>IF(Data!$C11, "", INDEX(Consol!$F$15:$F$82, MATCH($C11&amp;G$7, Consol!$D$15:$D$82,0))/mill_conv)</f>
        <v>-0.51918038743852246</v>
      </c>
      <c r="H11" s="90">
        <f>IF(Data!$C11, "", INDEX(Consol!$F$15:$F$82, MATCH($C11&amp;H$7, Consol!$D$15:$D$82,0))/mill_conv)</f>
        <v>0.44642165639463416</v>
      </c>
      <c r="I11" s="90">
        <f>IF(Data!$C11, "", INDEX(Consol!$F$15:$F$82, MATCH($C11&amp;I$7, Consol!$D$15:$D$82,0))/mill_conv)</f>
        <v>-7.2758731043888261E-2</v>
      </c>
    </row>
    <row r="12" spans="1:13" s="2" customFormat="1" ht="12.75" x14ac:dyDescent="0.2">
      <c r="C12" s="65" t="str">
        <v>Option 4</v>
      </c>
      <c r="D12" s="425">
        <f>INDEX(Assumptions!$E$14:$E$18, MATCH(C12, Assumptions!$C$14:$C$18,0))</f>
        <v>0</v>
      </c>
      <c r="E12" s="426"/>
      <c r="F12" s="426"/>
      <c r="G12" s="90" t="str">
        <f>IF(Data!$C12, "", INDEX(Consol!$F$15:$F$82, MATCH($C12&amp;G$7, Consol!$D$15:$D$82,0))/mill_conv)</f>
        <v/>
      </c>
      <c r="H12" s="90" t="str">
        <f>IF(Data!$C12, "", INDEX(Consol!$F$15:$F$82, MATCH($C12&amp;H$7, Consol!$D$15:$D$82,0))/mill_conv)</f>
        <v/>
      </c>
      <c r="I12" s="90" t="str">
        <f>IF(Data!$C12, "", INDEX(Consol!$F$15:$F$82, MATCH($C12&amp;I$7, Consol!$D$15:$D$82,0))/mill_conv)</f>
        <v/>
      </c>
    </row>
    <row r="13" spans="1:13" s="2" customFormat="1" ht="12.75" x14ac:dyDescent="0.2">
      <c r="C13" s="65" t="str">
        <v>Option 5</v>
      </c>
      <c r="D13" s="425">
        <f>INDEX(Assumptions!$E$14:$E$18, MATCH(C13, Assumptions!$C$14:$C$18,0))</f>
        <v>0</v>
      </c>
      <c r="E13" s="426"/>
      <c r="F13" s="426"/>
      <c r="G13" s="90" t="str">
        <f>IF(Data!$C13, "", INDEX(Consol!$F$15:$F$82, MATCH($C13&amp;G$7, Consol!$D$15:$D$82,0))/mill_conv)</f>
        <v/>
      </c>
      <c r="H13" s="90" t="str">
        <f>IF(Data!$C13, "", INDEX(Consol!$F$15:$F$82, MATCH($C13&amp;H$7, Consol!$D$15:$D$82,0))/mill_conv)</f>
        <v/>
      </c>
      <c r="I13" s="90" t="str">
        <f>IF(Data!$C13, "", INDEX(Consol!$F$15:$F$82, MATCH($C13&amp;I$7, Consol!$D$15:$D$82,0))/mill_conv)</f>
        <v/>
      </c>
    </row>
    <row r="14" spans="1:13" s="2" customFormat="1" ht="12.75" x14ac:dyDescent="0.2">
      <c r="C14" s="65"/>
      <c r="D14" s="65"/>
      <c r="E14" s="65"/>
      <c r="F14" s="80"/>
      <c r="H14" s="7"/>
    </row>
    <row r="15" spans="1:13" s="2" customFormat="1" ht="12.75" x14ac:dyDescent="0.2">
      <c r="C15" s="65"/>
      <c r="D15" s="65"/>
      <c r="E15" s="65"/>
      <c r="F15" s="80"/>
      <c r="G15"/>
      <c r="I15" s="7"/>
    </row>
    <row r="16" spans="1:13" s="2" customFormat="1" ht="12.75" x14ac:dyDescent="0.2">
      <c r="G16" s="130" t="s">
        <v>22</v>
      </c>
      <c r="H16"/>
      <c r="J16" s="7"/>
    </row>
    <row r="17" spans="1:13" s="2" customFormat="1" ht="12.75" x14ac:dyDescent="0.2">
      <c r="C17" s="24" t="s">
        <v>28</v>
      </c>
      <c r="D17" s="26"/>
      <c r="E17" s="26"/>
      <c r="F17" s="26"/>
      <c r="G17" s="159">
        <f>output_dollars</f>
        <v>46203</v>
      </c>
      <c r="H17"/>
      <c r="J17" s="7"/>
    </row>
    <row r="18" spans="1:13" s="2" customFormat="1" ht="12.75" x14ac:dyDescent="0.2">
      <c r="C18" s="32" t="str">
        <f>INDEX($C$9:$C$13,MATCH(G18, $I$9:$I$13,0))</f>
        <v>Option 2</v>
      </c>
      <c r="D18" s="422" t="str">
        <f>INDEX($D$9:$D$13,MATCH(G18, $I$9:$I$13,0))</f>
        <v>Replace #2 transformer completed in 2029-2030</v>
      </c>
      <c r="E18" s="422"/>
      <c r="F18" s="422"/>
      <c r="G18" s="91">
        <f>_xlfn.MAXIFS(I9:I13, IF(compliance, Data!$F$9:$F$13, Data!$C$9:$C$13),FALSE)</f>
        <v>11.366808158957664</v>
      </c>
      <c r="H18"/>
    </row>
    <row r="19" spans="1:13" s="2" customFormat="1" ht="12.75" x14ac:dyDescent="0.2">
      <c r="H19"/>
    </row>
    <row r="20" spans="1:13" x14ac:dyDescent="0.2"/>
    <row r="21" spans="1:13" x14ac:dyDescent="0.2"/>
    <row r="22" spans="1:13" x14ac:dyDescent="0.2"/>
    <row r="23" spans="1:13" ht="15" x14ac:dyDescent="0.25">
      <c r="A23" s="17" t="s">
        <v>29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2"/>
    <row r="25" spans="1:13" s="6" customFormat="1" ht="12.75" x14ac:dyDescent="0.2">
      <c r="C25" s="12" t="s">
        <v>11</v>
      </c>
    </row>
    <row r="26" spans="1:13" s="6" customFormat="1" ht="12.75" x14ac:dyDescent="0.2">
      <c r="C26" s="81" t="str">
        <f>C18</f>
        <v>Option 2</v>
      </c>
    </row>
    <row r="27" spans="1:13" s="6" customFormat="1" ht="12.75" x14ac:dyDescent="0.2"/>
    <row r="28" spans="1:13" s="6" customFormat="1" ht="12.75" x14ac:dyDescent="0.2"/>
    <row r="29" spans="1:13" s="6" customFormat="1" ht="12.75" x14ac:dyDescent="0.2">
      <c r="C29" s="47" t="s">
        <v>30</v>
      </c>
      <c r="D29" s="243">
        <f>output_dollars</f>
        <v>46203</v>
      </c>
      <c r="E29" s="160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31</v>
      </c>
    </row>
    <row r="30" spans="1:13" s="6" customFormat="1" ht="12.75" x14ac:dyDescent="0.2">
      <c r="C30" s="4" t="s">
        <v>32</v>
      </c>
      <c r="F30" s="92">
        <f>-INDEX(Consol!$I$15:$Q$82,MATCH($C$26&amp;$C30,Consol!$D$15:$D$82,0), MATCH(F$29, Consol!$I$9:$Q$9,0))/mill_conv</f>
        <v>0</v>
      </c>
      <c r="G30" s="92">
        <f>-INDEX(Consol!$I$15:$Q$82,MATCH($C$26&amp;$C30,Consol!$D$15:$D$82,0), MATCH(G$29, Consol!$I$9:$Q$9,0))/mill_conv</f>
        <v>0</v>
      </c>
      <c r="H30" s="92">
        <f>-INDEX(Consol!$I$15:$Q$82,MATCH($C$26&amp;$C30,Consol!$D$15:$D$82,0), MATCH(H$29, Consol!$I$9:$Q$9,0))/mill_conv</f>
        <v>2.3705506465480459</v>
      </c>
      <c r="I30" s="92">
        <f>-INDEX(Consol!$I$15:$Q$82,MATCH($C$26&amp;$C30,Consol!$D$15:$D$82,0), MATCH(I$29, Consol!$I$9:$Q$9,0))/mill_conv</f>
        <v>4.7411012930960919</v>
      </c>
      <c r="J30" s="92">
        <f>-INDEX(Consol!$I$15:$Q$82,MATCH($C$26&amp;$C30,Consol!$D$15:$D$82,0), MATCH(J$29, Consol!$I$9:$Q$9,0))/mill_conv</f>
        <v>0</v>
      </c>
      <c r="K30" s="161"/>
      <c r="L30" s="161">
        <f>SUM(F30:J30)</f>
        <v>7.1116519396441378</v>
      </c>
    </row>
    <row r="31" spans="1:13" s="6" customFormat="1" ht="12.75" x14ac:dyDescent="0.2">
      <c r="C31" s="4" t="s">
        <v>33</v>
      </c>
      <c r="D31" s="10"/>
      <c r="E31" s="10"/>
      <c r="F31" s="92">
        <f>-INDEX(Consol!$I$15:$Q$82,MATCH($C$26&amp;$C31,Consol!$D$15:$D$82,0), MATCH(F$29, Consol!$I$9:$Q$9,0))/mill_conv</f>
        <v>0</v>
      </c>
      <c r="G31" s="92">
        <f>-INDEX(Consol!$I$15:$Q$82,MATCH($C$26&amp;$C31,Consol!$D$15:$D$82,0), MATCH(G$29, Consol!$I$9:$Q$9,0))/mill_conv</f>
        <v>0</v>
      </c>
      <c r="H31" s="92">
        <f>-INDEX(Consol!$I$15:$Q$82,MATCH($C$26&amp;$C31,Consol!$D$15:$D$82,0), MATCH(H$29, Consol!$I$9:$Q$9,0))/mill_conv</f>
        <v>0</v>
      </c>
      <c r="I31" s="92">
        <f>-INDEX(Consol!$I$15:$Q$82,MATCH($C$26&amp;$C31,Consol!$D$15:$D$82,0), MATCH(I$29, Consol!$I$9:$Q$9,0))/mill_conv</f>
        <v>0</v>
      </c>
      <c r="J31" s="92">
        <f>-INDEX(Consol!$I$15:$Q$82,MATCH($C$26&amp;$C31,Consol!$D$15:$D$82,0), MATCH(J$29, Consol!$I$9:$Q$9,0))/mill_conv</f>
        <v>0</v>
      </c>
      <c r="K31" s="161"/>
      <c r="L31" s="161">
        <f>SUM(F31:J31)</f>
        <v>0</v>
      </c>
    </row>
    <row r="32" spans="1:13" s="6" customFormat="1" ht="12.75" x14ac:dyDescent="0.2"/>
    <row r="33" spans="1:12" s="6" customFormat="1" ht="12.75" x14ac:dyDescent="0.2"/>
    <row r="34" spans="1:12" s="6" customFormat="1" ht="12.75" x14ac:dyDescent="0.2"/>
    <row r="35" spans="1:12" s="6" customFormat="1" ht="15" x14ac:dyDescent="0.25">
      <c r="A35" s="17" t="s">
        <v>34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2.75" x14ac:dyDescent="0.2"/>
    <row r="37" spans="1:12" s="6" customFormat="1" ht="12.75" x14ac:dyDescent="0.2">
      <c r="C37" s="6" t="s">
        <v>35</v>
      </c>
      <c r="D37" s="10"/>
      <c r="E37" s="10"/>
      <c r="F37" s="274" t="s">
        <v>36</v>
      </c>
    </row>
    <row r="38" spans="1:12" s="6" customFormat="1" ht="12.75" x14ac:dyDescent="0.2"/>
    <row r="39" spans="1:12" s="6" customFormat="1" ht="12.75" x14ac:dyDescent="0.2"/>
    <row r="40" spans="1:12" s="6" customFormat="1" ht="12.75" x14ac:dyDescent="0.2"/>
    <row r="41" spans="1:12" s="6" customFormat="1" ht="12.75" x14ac:dyDescent="0.2"/>
    <row r="42" spans="1:12" s="6" customFormat="1" ht="12.75" x14ac:dyDescent="0.2"/>
    <row r="43" spans="1:12" s="6" customFormat="1" ht="12.75" x14ac:dyDescent="0.2"/>
    <row r="44" spans="1:12" s="6" customFormat="1" ht="12.75" x14ac:dyDescent="0.2"/>
    <row r="45" spans="1:12" s="6" customFormat="1" ht="12.75" x14ac:dyDescent="0.2"/>
    <row r="46" spans="1:12" s="6" customFormat="1" ht="12.75" x14ac:dyDescent="0.2"/>
    <row r="47" spans="1:12" s="6" customFormat="1" ht="12.75" x14ac:dyDescent="0.2"/>
    <row r="48" spans="1:12" s="6" customFormat="1" ht="12.75" x14ac:dyDescent="0.2"/>
    <row r="49" spans="1:12" s="6" customFormat="1" ht="12.75" x14ac:dyDescent="0.2"/>
    <row r="50" spans="1:12" s="6" customFormat="1" ht="12.75" x14ac:dyDescent="0.2"/>
    <row r="51" spans="1:12" s="6" customFormat="1" ht="12.75" x14ac:dyDescent="0.2"/>
    <row r="52" spans="1:12" s="6" customFormat="1" ht="12.75" x14ac:dyDescent="0.2"/>
    <row r="53" spans="1:12" s="6" customFormat="1" ht="12.75" x14ac:dyDescent="0.2"/>
    <row r="54" spans="1:12" s="6" customFormat="1" ht="12.75" x14ac:dyDescent="0.2"/>
    <row r="55" spans="1:12" s="6" customFormat="1" ht="12.75" x14ac:dyDescent="0.2"/>
    <row r="56" spans="1:12" s="6" customFormat="1" ht="12.75" x14ac:dyDescent="0.2"/>
    <row r="57" spans="1:12" s="6" customFormat="1" ht="12.75" x14ac:dyDescent="0.2"/>
    <row r="58" spans="1:12" s="6" customFormat="1" ht="12.75" x14ac:dyDescent="0.2"/>
    <row r="59" spans="1:12" s="6" customFormat="1" ht="12.75" x14ac:dyDescent="0.2"/>
    <row r="60" spans="1:12" s="6" customFormat="1" ht="12.75" x14ac:dyDescent="0.2"/>
    <row r="61" spans="1:12" s="6" customFormat="1" ht="12.75" x14ac:dyDescent="0.2"/>
    <row r="62" spans="1:12" s="6" customFormat="1" ht="12.75" x14ac:dyDescent="0.2"/>
    <row r="63" spans="1:12" s="6" customFormat="1" ht="15" x14ac:dyDescent="0.25">
      <c r="A63" s="17" t="s">
        <v>37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2.75" x14ac:dyDescent="0.2"/>
    <row r="65" spans="3:13" s="6" customFormat="1" ht="12.75" x14ac:dyDescent="0.2"/>
    <row r="66" spans="3:13" s="6" customFormat="1" ht="12.75" x14ac:dyDescent="0.2">
      <c r="C66" s="47" t="s">
        <v>38</v>
      </c>
      <c r="D66" s="160">
        <f>output_dollars</f>
        <v>46203</v>
      </c>
      <c r="E66" s="160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6"/>
      <c r="L66" s="135" t="s">
        <v>39</v>
      </c>
      <c r="M66" s="226"/>
    </row>
    <row r="67" spans="3:13" s="6" customFormat="1" ht="12.75" x14ac:dyDescent="0.2">
      <c r="C67" s="240" t="str">
        <f>Sensitivity_calcs!B90</f>
        <v>None</v>
      </c>
      <c r="D67" s="228"/>
      <c r="E67" s="228"/>
      <c r="F67" s="241">
        <f>Sensitivity_calcs!C90</f>
        <v>0</v>
      </c>
      <c r="G67" s="241">
        <f>Sensitivity_calcs!D90</f>
        <v>11.366808158957665</v>
      </c>
      <c r="H67" s="241">
        <f>Sensitivity_calcs!E90</f>
        <v>-7.2758731043888289E-2</v>
      </c>
      <c r="I67" s="241" t="str">
        <f>Sensitivity_calcs!F90</f>
        <v/>
      </c>
      <c r="J67" s="241" t="str">
        <f>Sensitivity_calcs!G90</f>
        <v/>
      </c>
      <c r="L67" s="242" t="str">
        <f>Sensitivity_calcs!K90</f>
        <v>Option 2</v>
      </c>
    </row>
    <row r="68" spans="3:13" s="6" customFormat="1" ht="12.75" x14ac:dyDescent="0.2">
      <c r="C68" s="227" t="str">
        <f>Sensitivity_calcs!B91</f>
        <v>Capex 10% higher</v>
      </c>
      <c r="D68" s="227"/>
      <c r="E68" s="227"/>
      <c r="F68" s="236">
        <f>Sensitivity_calcs!C91</f>
        <v>0</v>
      </c>
      <c r="G68" s="231">
        <f>Sensitivity_calcs!D91</f>
        <v>11.003306897033541</v>
      </c>
      <c r="H68" s="231">
        <f>Sensitivity_calcs!E91</f>
        <v>-0.12467676978774052</v>
      </c>
      <c r="I68" s="231" t="str">
        <f>Sensitivity_calcs!F91</f>
        <v/>
      </c>
      <c r="J68" s="231" t="str">
        <f>Sensitivity_calcs!G91</f>
        <v/>
      </c>
      <c r="L68" s="237" t="str">
        <f>Sensitivity_calcs!K91</f>
        <v>Option 2</v>
      </c>
    </row>
    <row r="69" spans="3:13" s="6" customFormat="1" ht="12.75" x14ac:dyDescent="0.2">
      <c r="C69" s="227" t="str">
        <f>Sensitivity_calcs!B92</f>
        <v>Capex 10% lower</v>
      </c>
      <c r="D69" s="227"/>
      <c r="E69" s="227"/>
      <c r="F69" s="92">
        <f>Sensitivity_calcs!C92</f>
        <v>0</v>
      </c>
      <c r="G69" s="232">
        <f>Sensitivity_calcs!D92</f>
        <v>11.730309420881795</v>
      </c>
      <c r="H69" s="232">
        <f>Sensitivity_calcs!E92</f>
        <v>-2.0840692300036011E-2</v>
      </c>
      <c r="I69" s="232" t="str">
        <f>Sensitivity_calcs!F92</f>
        <v/>
      </c>
      <c r="J69" s="232" t="str">
        <f>Sensitivity_calcs!G92</f>
        <v/>
      </c>
      <c r="L69" s="237" t="str">
        <f>Sensitivity_calcs!K92</f>
        <v>Option 2</v>
      </c>
    </row>
    <row r="70" spans="3:13" s="6" customFormat="1" ht="12.75" x14ac:dyDescent="0.2">
      <c r="C70" s="227" t="str">
        <f>Sensitivity_calcs!B93</f>
        <v>Total benefits 10% higher</v>
      </c>
      <c r="D70" s="227"/>
      <c r="E70" s="227"/>
      <c r="F70" s="92">
        <f>Sensitivity_calcs!C93</f>
        <v>0</v>
      </c>
      <c r="G70" s="232">
        <f>Sensitivity_calcs!D93</f>
        <v>12.866990236777561</v>
      </c>
      <c r="H70" s="232">
        <f>Sensitivity_calcs!E93</f>
        <v>-2.811656540442484E-2</v>
      </c>
      <c r="I70" s="232" t="str">
        <f>Sensitivity_calcs!F93</f>
        <v/>
      </c>
      <c r="J70" s="232" t="str">
        <f>Sensitivity_calcs!G93</f>
        <v/>
      </c>
      <c r="L70" s="237" t="str">
        <f>Sensitivity_calcs!K93</f>
        <v>Option 2</v>
      </c>
    </row>
    <row r="71" spans="3:13" s="6" customFormat="1" ht="12.75" x14ac:dyDescent="0.2">
      <c r="C71" s="227" t="str">
        <f>Sensitivity_calcs!B94</f>
        <v>Total benefits 10% lower</v>
      </c>
      <c r="D71" s="227"/>
      <c r="E71" s="227"/>
      <c r="F71" s="92">
        <f>Sensitivity_calcs!C94</f>
        <v>0</v>
      </c>
      <c r="G71" s="232">
        <f>Sensitivity_calcs!D94</f>
        <v>9.866626081137774</v>
      </c>
      <c r="H71" s="232">
        <f>Sensitivity_calcs!E94</f>
        <v>-0.11740089668335171</v>
      </c>
      <c r="I71" s="232" t="str">
        <f>Sensitivity_calcs!F94</f>
        <v/>
      </c>
      <c r="J71" s="232" t="str">
        <f>Sensitivity_calcs!G94</f>
        <v/>
      </c>
      <c r="L71" s="237" t="str">
        <f>Sensitivity_calcs!K94</f>
        <v>Option 2</v>
      </c>
    </row>
    <row r="72" spans="3:13" s="6" customFormat="1" ht="12.75" x14ac:dyDescent="0.2">
      <c r="C72" s="227" t="str">
        <f>Sensitivity_calcs!B95</f>
        <v>Capex 10% higher &amp; Total benefits 10% lower</v>
      </c>
      <c r="D72" s="227"/>
      <c r="E72" s="227"/>
      <c r="F72" s="92">
        <f>Sensitivity_calcs!C95</f>
        <v>0</v>
      </c>
      <c r="G72" s="232">
        <f>Sensitivity_calcs!D95</f>
        <v>9.5031248192136513</v>
      </c>
      <c r="H72" s="232">
        <f>Sensitivity_calcs!E95</f>
        <v>-0.16931893542720397</v>
      </c>
      <c r="I72" s="232" t="str">
        <f>Sensitivity_calcs!F95</f>
        <v/>
      </c>
      <c r="J72" s="232" t="str">
        <f>Sensitivity_calcs!G95</f>
        <v/>
      </c>
      <c r="L72" s="237" t="str">
        <f>Sensitivity_calcs!K95</f>
        <v>Option 2</v>
      </c>
    </row>
    <row r="73" spans="3:13" s="6" customFormat="1" ht="12.75" x14ac:dyDescent="0.2">
      <c r="C73" s="227">
        <f>Sensitivity_calcs!B96</f>
        <v>0</v>
      </c>
      <c r="D73" s="227"/>
      <c r="E73" s="227"/>
      <c r="F73" s="92" t="str">
        <f>Sensitivity_calcs!C96</f>
        <v/>
      </c>
      <c r="G73" s="232" t="str">
        <f>Sensitivity_calcs!D96</f>
        <v/>
      </c>
      <c r="H73" s="232" t="str">
        <f>Sensitivity_calcs!E96</f>
        <v/>
      </c>
      <c r="I73" s="232" t="str">
        <f>Sensitivity_calcs!F96</f>
        <v/>
      </c>
      <c r="J73" s="232" t="str">
        <f>Sensitivity_calcs!G96</f>
        <v/>
      </c>
      <c r="L73" s="237" t="str">
        <f>Sensitivity_calcs!K96</f>
        <v/>
      </c>
    </row>
    <row r="74" spans="3:13" s="6" customFormat="1" ht="12.75" x14ac:dyDescent="0.2">
      <c r="C74" s="227">
        <f>Sensitivity_calcs!B97</f>
        <v>0</v>
      </c>
      <c r="D74" s="12"/>
      <c r="E74" s="12"/>
      <c r="F74" s="92" t="str">
        <f>Sensitivity_calcs!C97</f>
        <v/>
      </c>
      <c r="G74" s="232" t="str">
        <f>Sensitivity_calcs!D97</f>
        <v/>
      </c>
      <c r="H74" s="232" t="str">
        <f>Sensitivity_calcs!E97</f>
        <v/>
      </c>
      <c r="I74" s="232" t="str">
        <f>Sensitivity_calcs!F97</f>
        <v/>
      </c>
      <c r="J74" s="232" t="str">
        <f>Sensitivity_calcs!G97</f>
        <v/>
      </c>
      <c r="K74" s="229">
        <f>IF(C74=0,0, INDEX($F$66:$J$66, MATCH(MAX($F74:$I74),$F74:$I74,0)))</f>
        <v>0</v>
      </c>
      <c r="L74" s="237" t="str">
        <f>Sensitivity_calcs!K97</f>
        <v/>
      </c>
    </row>
    <row r="75" spans="3:13" s="6" customFormat="1" ht="12.75" x14ac:dyDescent="0.2">
      <c r="D75" s="227">
        <f>Sensitivity_calcs!B98</f>
        <v>0</v>
      </c>
      <c r="E75" s="227"/>
      <c r="F75" s="92" t="str">
        <f>Sensitivity_calcs!C98</f>
        <v/>
      </c>
      <c r="G75" s="232" t="str">
        <f>Sensitivity_calcs!D98</f>
        <v/>
      </c>
      <c r="H75" s="232" t="str">
        <f>Sensitivity_calcs!E98</f>
        <v/>
      </c>
      <c r="I75" s="232" t="str">
        <f>Sensitivity_calcs!F98</f>
        <v/>
      </c>
      <c r="J75" s="232" t="str">
        <f>Sensitivity_calcs!G98</f>
        <v/>
      </c>
      <c r="L75" s="237" t="str">
        <f>Sensitivity_calcs!K98</f>
        <v/>
      </c>
    </row>
    <row r="76" spans="3:13" s="6" customFormat="1" ht="12.75" x14ac:dyDescent="0.2">
      <c r="D76" s="227">
        <f>Sensitivity_calcs!B99</f>
        <v>0</v>
      </c>
      <c r="E76" s="227"/>
      <c r="F76" s="161"/>
      <c r="G76" s="92"/>
      <c r="H76" s="92"/>
      <c r="I76" s="92"/>
      <c r="J76" s="92"/>
    </row>
    <row r="77" spans="3:13" s="6" customFormat="1" ht="12.75" x14ac:dyDescent="0.2">
      <c r="G77" s="92"/>
      <c r="H77" s="92"/>
      <c r="I77" s="92"/>
      <c r="J77" s="92"/>
    </row>
    <row r="78" spans="3:13" s="6" customFormat="1" ht="12.75" x14ac:dyDescent="0.2"/>
    <row r="79" spans="3:13" s="6" customFormat="1" ht="12.75" x14ac:dyDescent="0.2"/>
    <row r="80" spans="3:13" s="6" customFormat="1" ht="12.75" x14ac:dyDescent="0.2"/>
    <row r="81" spans="4:6" s="6" customFormat="1" ht="12.75" x14ac:dyDescent="0.2">
      <c r="D81" s="215"/>
      <c r="E81" s="215"/>
      <c r="F81" s="215"/>
    </row>
    <row r="82" spans="4:6" s="6" customFormat="1" ht="12.75" x14ac:dyDescent="0.2">
      <c r="D82" s="215"/>
      <c r="E82" s="215"/>
      <c r="F82" s="215"/>
    </row>
    <row r="83" spans="4:6" s="6" customFormat="1" ht="12.75" hidden="1" x14ac:dyDescent="0.2">
      <c r="D83" s="215"/>
      <c r="E83" s="215"/>
      <c r="F83" s="215"/>
    </row>
    <row r="84" spans="4:6" s="6" customFormat="1" ht="12.75" hidden="1" x14ac:dyDescent="0.2"/>
    <row r="85" spans="4:6" s="6" customFormat="1" ht="12.75" hidden="1" x14ac:dyDescent="0.2"/>
    <row r="86" spans="4:6" s="6" customFormat="1" ht="12.75" hidden="1" x14ac:dyDescent="0.2"/>
    <row r="87" spans="4:6" s="6" customFormat="1" ht="12.75" hidden="1" x14ac:dyDescent="0.2"/>
    <row r="88" spans="4:6" s="6" customFormat="1" ht="12.75" hidden="1" x14ac:dyDescent="0.2"/>
    <row r="89" spans="4:6" s="6" customFormat="1" ht="12.75" hidden="1" x14ac:dyDescent="0.2"/>
    <row r="90" spans="4:6" s="6" customFormat="1" ht="12.75" hidden="1" x14ac:dyDescent="0.2"/>
    <row r="91" spans="4:6" s="6" customFormat="1" ht="12.75" hidden="1" x14ac:dyDescent="0.2"/>
    <row r="92" spans="4:6" s="6" customFormat="1" ht="12.75" hidden="1" x14ac:dyDescent="0.2"/>
    <row r="93" spans="4:6" s="6" customFormat="1" ht="12.75" hidden="1" x14ac:dyDescent="0.2"/>
    <row r="94" spans="4:6" s="6" customFormat="1" ht="12.75" hidden="1" x14ac:dyDescent="0.2"/>
    <row r="95" spans="4:6" s="6" customFormat="1" ht="12.75" hidden="1" x14ac:dyDescent="0.2"/>
    <row r="96" spans="4:6" s="6" customFormat="1" ht="12.75" hidden="1" x14ac:dyDescent="0.2"/>
    <row r="97" s="6" customFormat="1" ht="12.75" hidden="1" x14ac:dyDescent="0.2"/>
    <row r="98" s="6" customFormat="1" ht="12.75" hidden="1" x14ac:dyDescent="0.2"/>
    <row r="99" s="6" customFormat="1" ht="12.75" hidden="1" x14ac:dyDescent="0.2"/>
    <row r="100" s="6" customFormat="1" ht="12.75" hidden="1" x14ac:dyDescent="0.2"/>
    <row r="101" s="6" customFormat="1" ht="12.75" hidden="1" x14ac:dyDescent="0.2"/>
    <row r="102" s="6" customFormat="1" ht="12.75" hidden="1" x14ac:dyDescent="0.2"/>
    <row r="103" s="6" customFormat="1" ht="12.75" hidden="1" x14ac:dyDescent="0.2"/>
    <row r="104" s="6" customFormat="1" ht="12.75" hidden="1" x14ac:dyDescent="0.2"/>
    <row r="105" s="6" customFormat="1" ht="12.75" hidden="1" x14ac:dyDescent="0.2"/>
    <row r="106" s="6" customFormat="1" ht="12.75" hidden="1" x14ac:dyDescent="0.2"/>
    <row r="107" s="6" customFormat="1" ht="12.75" hidden="1" x14ac:dyDescent="0.2"/>
    <row r="108" s="6" customFormat="1" ht="12.75" hidden="1" x14ac:dyDescent="0.2"/>
    <row r="109" s="6" customFormat="1" ht="12.75" hidden="1" x14ac:dyDescent="0.2"/>
    <row r="110" s="6" customFormat="1" ht="12.75" hidden="1" x14ac:dyDescent="0.2"/>
    <row r="111" s="6" customFormat="1" ht="12.75" hidden="1" x14ac:dyDescent="0.2"/>
    <row r="112" s="6" customFormat="1" ht="12.75" hidden="1" x14ac:dyDescent="0.2"/>
    <row r="113" s="6" customFormat="1" ht="12.75" hidden="1" x14ac:dyDescent="0.2"/>
    <row r="114" s="6" customFormat="1" ht="12.75" hidden="1" x14ac:dyDescent="0.2"/>
    <row r="115" s="6" customFormat="1" ht="12.75" hidden="1" x14ac:dyDescent="0.2"/>
    <row r="116" s="6" customFormat="1" ht="12.75" hidden="1" x14ac:dyDescent="0.2"/>
    <row r="117" s="6" customFormat="1" ht="12.75" hidden="1" x14ac:dyDescent="0.2"/>
    <row r="118" s="6" customFormat="1" ht="12.75" hidden="1" x14ac:dyDescent="0.2"/>
    <row r="119" s="6" customFormat="1" ht="12.75" hidden="1" x14ac:dyDescent="0.2"/>
    <row r="120" s="6" customFormat="1" ht="12.75" hidden="1" x14ac:dyDescent="0.2"/>
    <row r="121" s="6" customFormat="1" ht="12.75" hidden="1" x14ac:dyDescent="0.2"/>
    <row r="122" s="6" customFormat="1" ht="12.75" hidden="1" x14ac:dyDescent="0.2"/>
    <row r="123" s="6" customFormat="1" ht="12.75" hidden="1" x14ac:dyDescent="0.2"/>
    <row r="124" s="6" customFormat="1" ht="12.75" hidden="1" x14ac:dyDescent="0.2"/>
    <row r="125" s="6" customFormat="1" ht="12.75" hidden="1" x14ac:dyDescent="0.2"/>
    <row r="126" s="6" customFormat="1" ht="12.75" hidden="1" x14ac:dyDescent="0.2"/>
    <row r="127" s="6" customFormat="1" ht="12.75" hidden="1" x14ac:dyDescent="0.2"/>
    <row r="128" s="6" customFormat="1" ht="12.75" hidden="1" x14ac:dyDescent="0.2"/>
    <row r="129" s="6" customFormat="1" ht="12.75" hidden="1" x14ac:dyDescent="0.2"/>
    <row r="130" s="6" customFormat="1" ht="12.75" hidden="1" x14ac:dyDescent="0.2"/>
    <row r="131" s="6" customFormat="1" ht="12.75" hidden="1" x14ac:dyDescent="0.2"/>
    <row r="132" s="6" customFormat="1" ht="12.75" hidden="1" x14ac:dyDescent="0.2"/>
    <row r="133" s="6" customFormat="1" ht="12.75" hidden="1" x14ac:dyDescent="0.2"/>
    <row r="134" s="6" customFormat="1" ht="12.75" hidden="1" x14ac:dyDescent="0.2"/>
    <row r="135" s="6" customFormat="1" ht="12.75" hidden="1" x14ac:dyDescent="0.2"/>
    <row r="136" s="6" customFormat="1" ht="12.75" hidden="1" x14ac:dyDescent="0.2"/>
    <row r="137" s="6" customFormat="1" ht="12.75" hidden="1" x14ac:dyDescent="0.2"/>
    <row r="138" s="6" customFormat="1" ht="12.75" hidden="1" x14ac:dyDescent="0.2"/>
    <row r="139" s="6" customFormat="1" ht="12.75" hidden="1" x14ac:dyDescent="0.2"/>
    <row r="140" s="6" customFormat="1" ht="12.75" hidden="1" x14ac:dyDescent="0.2"/>
    <row r="141" s="6" customFormat="1" ht="12.75" hidden="1" x14ac:dyDescent="0.2"/>
    <row r="142" s="6" customFormat="1" ht="12.75" hidden="1" x14ac:dyDescent="0.2"/>
    <row r="143" s="6" customFormat="1" ht="12.75" hidden="1" x14ac:dyDescent="0.2"/>
    <row r="144" s="6" customFormat="1" ht="12.75" hidden="1" x14ac:dyDescent="0.2"/>
    <row r="145" s="6" customFormat="1" ht="12.75" hidden="1" x14ac:dyDescent="0.2"/>
    <row r="146" s="6" customFormat="1" ht="12.75" hidden="1" x14ac:dyDescent="0.2"/>
    <row r="147" s="6" customFormat="1" ht="12.75" hidden="1" x14ac:dyDescent="0.2"/>
    <row r="148" s="6" customFormat="1" ht="12.75" hidden="1" x14ac:dyDescent="0.2"/>
    <row r="149" s="6" customFormat="1" ht="12.75" hidden="1" x14ac:dyDescent="0.2"/>
    <row r="150" s="6" customFormat="1" ht="12.75" hidden="1" x14ac:dyDescent="0.2"/>
    <row r="151" s="6" customFormat="1" ht="12.75" hidden="1" x14ac:dyDescent="0.2"/>
    <row r="152" s="6" customFormat="1" ht="12.75" hidden="1" x14ac:dyDescent="0.2"/>
    <row r="153" s="6" customFormat="1" ht="12.75" hidden="1" x14ac:dyDescent="0.2"/>
    <row r="154" s="6" customFormat="1" ht="12.75" hidden="1" x14ac:dyDescent="0.2"/>
    <row r="155" s="6" customFormat="1" ht="12.75" hidden="1" x14ac:dyDescent="0.2"/>
    <row r="156" s="6" customFormat="1" ht="12.75" hidden="1" x14ac:dyDescent="0.2"/>
    <row r="157" s="6" customFormat="1" ht="12.75" hidden="1" x14ac:dyDescent="0.2"/>
    <row r="158" s="6" customFormat="1" ht="12.75" hidden="1" x14ac:dyDescent="0.2"/>
    <row r="159" s="6" customFormat="1" ht="12.75" hidden="1" x14ac:dyDescent="0.2"/>
    <row r="160" s="6" customFormat="1" ht="12.75" hidden="1" x14ac:dyDescent="0.2"/>
    <row r="161" s="6" customFormat="1" ht="12.75" hidden="1" x14ac:dyDescent="0.2"/>
    <row r="162" s="6" customFormat="1" ht="12.75" hidden="1" x14ac:dyDescent="0.2"/>
    <row r="163" s="6" customFormat="1" ht="12.75" hidden="1" x14ac:dyDescent="0.2"/>
    <row r="164" s="6" customFormat="1" ht="12.75" hidden="1" x14ac:dyDescent="0.2"/>
    <row r="165" s="6" customFormat="1" ht="12.75" hidden="1" x14ac:dyDescent="0.2"/>
    <row r="166" s="6" customFormat="1" ht="12.75" hidden="1" x14ac:dyDescent="0.2"/>
    <row r="167" s="6" customFormat="1" ht="12.75" hidden="1" x14ac:dyDescent="0.2"/>
    <row r="168" s="6" customFormat="1" ht="12.75" hidden="1" x14ac:dyDescent="0.2"/>
    <row r="169" s="6" customFormat="1" ht="12.75" hidden="1" x14ac:dyDescent="0.2"/>
    <row r="170" s="6" customFormat="1" ht="12.75" hidden="1" x14ac:dyDescent="0.2"/>
    <row r="171" s="6" customFormat="1" ht="12.75" hidden="1" x14ac:dyDescent="0.2"/>
    <row r="172" s="6" customFormat="1" ht="12.75" hidden="1" x14ac:dyDescent="0.2"/>
    <row r="173" s="6" customFormat="1" ht="12.75" hidden="1" x14ac:dyDescent="0.2"/>
    <row r="174" s="6" customFormat="1" ht="12.75" hidden="1" x14ac:dyDescent="0.2"/>
    <row r="175" s="6" customFormat="1" ht="12.75" hidden="1" x14ac:dyDescent="0.2"/>
    <row r="176" s="6" customFormat="1" ht="12.75" hidden="1" x14ac:dyDescent="0.2"/>
    <row r="177" s="6" customFormat="1" ht="12.75" hidden="1" x14ac:dyDescent="0.2"/>
    <row r="178" s="6" customFormat="1" ht="12.75" hidden="1" x14ac:dyDescent="0.2"/>
    <row r="179" s="6" customFormat="1" ht="12.75" hidden="1" x14ac:dyDescent="0.2"/>
    <row r="180" s="6" customFormat="1" ht="12.75" hidden="1" x14ac:dyDescent="0.2"/>
    <row r="181" s="6" customFormat="1" ht="12.75" hidden="1" x14ac:dyDescent="0.2"/>
    <row r="182" s="6" customFormat="1" ht="12.75" hidden="1" x14ac:dyDescent="0.2"/>
    <row r="183" s="6" customFormat="1" ht="12.75" hidden="1" x14ac:dyDescent="0.2"/>
    <row r="184" s="6" customFormat="1" ht="12.75" hidden="1" x14ac:dyDescent="0.2"/>
    <row r="185" s="6" customFormat="1" ht="12.75" hidden="1" x14ac:dyDescent="0.2"/>
    <row r="186" s="6" customFormat="1" ht="12.75" hidden="1" x14ac:dyDescent="0.2"/>
    <row r="187" s="6" customFormat="1" ht="12.75" hidden="1" x14ac:dyDescent="0.2"/>
    <row r="188" s="6" customFormat="1" ht="12.75" hidden="1" x14ac:dyDescent="0.2"/>
    <row r="189" s="6" customFormat="1" ht="12.75" hidden="1" x14ac:dyDescent="0.2"/>
    <row r="190" s="6" customFormat="1" ht="12.75" hidden="1" x14ac:dyDescent="0.2"/>
    <row r="191" s="6" customFormat="1" ht="12.75" hidden="1" x14ac:dyDescent="0.2"/>
    <row r="192" s="6" customFormat="1" ht="12.75" hidden="1" x14ac:dyDescent="0.2"/>
    <row r="193" s="6" customFormat="1" ht="12.75" hidden="1" x14ac:dyDescent="0.2"/>
    <row r="194" s="6" customFormat="1" ht="12.75" hidden="1" x14ac:dyDescent="0.2"/>
    <row r="195" s="6" customFormat="1" ht="12.75" hidden="1" x14ac:dyDescent="0.2"/>
    <row r="196" s="6" customFormat="1" ht="12.75" hidden="1" x14ac:dyDescent="0.2"/>
    <row r="197" s="6" customFormat="1" ht="12.75" hidden="1" x14ac:dyDescent="0.2"/>
    <row r="198" s="6" customFormat="1" ht="12.75" hidden="1" x14ac:dyDescent="0.2"/>
    <row r="199" s="6" customFormat="1" ht="12.75" hidden="1" x14ac:dyDescent="0.2"/>
    <row r="200" s="6" customFormat="1" ht="12.75" hidden="1" x14ac:dyDescent="0.2"/>
    <row r="201" s="6" customFormat="1" ht="12.75" hidden="1" x14ac:dyDescent="0.2"/>
    <row r="202" s="6" customFormat="1" ht="12.75" hidden="1" x14ac:dyDescent="0.2"/>
    <row r="203" s="6" customFormat="1" ht="12.75" hidden="1" x14ac:dyDescent="0.2"/>
    <row r="204" s="6" customFormat="1" ht="12.75" hidden="1" x14ac:dyDescent="0.2"/>
    <row r="205" s="6" customFormat="1" ht="12.75" hidden="1" x14ac:dyDescent="0.2"/>
    <row r="206" s="6" customFormat="1" ht="12.75" hidden="1" x14ac:dyDescent="0.2"/>
    <row r="207" s="6" customFormat="1" ht="12.75" hidden="1" x14ac:dyDescent="0.2"/>
    <row r="208" s="6" customFormat="1" ht="12.75" hidden="1" x14ac:dyDescent="0.2"/>
    <row r="209" s="6" customFormat="1" ht="12.75" hidden="1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workbookViewId="0"/>
  </sheetViews>
  <sheetFormatPr defaultColWidth="9" defaultRowHeight="12.75" x14ac:dyDescent="0.2"/>
  <cols>
    <col min="1" max="1" width="3.625" style="6" customWidth="1"/>
    <col min="2" max="2" width="2.625" style="6" customWidth="1"/>
    <col min="3" max="3" width="18.75" style="6" customWidth="1"/>
    <col min="4" max="4" width="9.25" style="6" customWidth="1"/>
    <col min="5" max="5" width="16.375" style="6" customWidth="1"/>
    <col min="6" max="6" width="1.125" style="6" customWidth="1"/>
    <col min="7" max="7" width="14.75" style="6" customWidth="1"/>
    <col min="8" max="8" width="12.875" style="6" customWidth="1"/>
    <col min="9" max="9" width="11.5" style="6" customWidth="1"/>
    <col min="10" max="10" width="6.875" style="6" customWidth="1"/>
    <col min="11" max="16" width="8.125" style="6" customWidth="1"/>
    <col min="17" max="19" width="9" style="6"/>
    <col min="20" max="20" width="17.625" style="6" customWidth="1"/>
    <col min="21" max="16384" width="9" style="6"/>
  </cols>
  <sheetData>
    <row r="1" spans="1:16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75" x14ac:dyDescent="0.25">
      <c r="A2" s="50" t="str">
        <f>proj</f>
        <v>AR transformer replacement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5" x14ac:dyDescent="0.2">
      <c r="A4" s="16" t="s">
        <v>40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2">
      <c r="M5" s="10"/>
      <c r="N5" s="10"/>
      <c r="O5" s="10"/>
      <c r="P5" s="10"/>
    </row>
    <row r="6" spans="1:16" ht="12.75" customHeight="1" x14ac:dyDescent="0.2">
      <c r="C6" s="12" t="s">
        <v>41</v>
      </c>
      <c r="D6" s="58"/>
      <c r="E6" s="11" t="s">
        <v>0</v>
      </c>
    </row>
    <row r="7" spans="1:16" s="1" customFormat="1" ht="12.75" customHeight="1" x14ac:dyDescent="0.2">
      <c r="M7" s="10"/>
      <c r="N7" s="10"/>
      <c r="O7" s="10"/>
      <c r="P7" s="10"/>
    </row>
    <row r="8" spans="1:16" x14ac:dyDescent="0.2">
      <c r="C8" s="12" t="s">
        <v>42</v>
      </c>
      <c r="D8" s="12"/>
      <c r="E8" s="430" t="s">
        <v>43</v>
      </c>
      <c r="F8" s="430"/>
      <c r="G8" s="430"/>
      <c r="H8" s="430"/>
      <c r="I8" s="1"/>
      <c r="J8" s="1"/>
    </row>
    <row r="9" spans="1:16" x14ac:dyDescent="0.2">
      <c r="C9" s="12"/>
      <c r="D9" s="12"/>
    </row>
    <row r="10" spans="1:16" s="1" customFormat="1" x14ac:dyDescent="0.2">
      <c r="C10" s="3" t="s">
        <v>44</v>
      </c>
      <c r="D10" s="58"/>
      <c r="E10" s="54" t="s">
        <v>45</v>
      </c>
      <c r="F10" s="6"/>
      <c r="G10" s="33">
        <v>2023</v>
      </c>
      <c r="I10" s="59"/>
      <c r="J10" s="59"/>
    </row>
    <row r="11" spans="1:16" x14ac:dyDescent="0.2">
      <c r="I11" s="59"/>
      <c r="J11" s="59"/>
    </row>
    <row r="12" spans="1:16" x14ac:dyDescent="0.2">
      <c r="H12" s="37"/>
      <c r="I12" s="37"/>
      <c r="J12" s="37"/>
    </row>
    <row r="13" spans="1:16" s="65" customFormat="1" x14ac:dyDescent="0.2">
      <c r="C13" s="66" t="s">
        <v>27</v>
      </c>
      <c r="D13" s="66"/>
      <c r="E13" s="66" t="s">
        <v>46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2">
      <c r="C14" s="55" t="str" cm="1">
        <f t="array" ref="C14:C18">options</f>
        <v>Option 1 (base case)</v>
      </c>
      <c r="D14" s="55"/>
      <c r="E14" s="431" t="s">
        <v>47</v>
      </c>
      <c r="F14" s="431"/>
      <c r="G14" s="431"/>
      <c r="H14" s="431"/>
      <c r="I14" s="431"/>
      <c r="J14" s="431"/>
      <c r="K14" s="431"/>
      <c r="L14"/>
    </row>
    <row r="15" spans="1:16" s="1" customFormat="1" ht="12.75" customHeight="1" x14ac:dyDescent="0.2">
      <c r="C15" s="55" t="str">
        <v>Option 2</v>
      </c>
      <c r="D15" s="55"/>
      <c r="E15" s="432" t="s">
        <v>48</v>
      </c>
      <c r="F15" s="432"/>
      <c r="G15" s="432"/>
      <c r="H15" s="432"/>
      <c r="I15" s="432"/>
      <c r="J15" s="432"/>
      <c r="K15" s="432"/>
      <c r="L15"/>
    </row>
    <row r="16" spans="1:16" s="1" customFormat="1" ht="12.75" customHeight="1" x14ac:dyDescent="0.2">
      <c r="C16" s="55" t="str">
        <v>Option 3</v>
      </c>
      <c r="D16" s="55"/>
      <c r="E16" s="432" t="s">
        <v>342</v>
      </c>
      <c r="F16" s="432"/>
      <c r="G16" s="432"/>
      <c r="H16" s="432"/>
      <c r="I16" s="432"/>
      <c r="J16" s="432"/>
      <c r="K16" s="432"/>
      <c r="L16"/>
    </row>
    <row r="17" spans="1:16" s="1" customFormat="1" ht="12.75" customHeight="1" x14ac:dyDescent="0.2">
      <c r="C17" s="55" t="str">
        <v>Option 4</v>
      </c>
      <c r="D17" s="55"/>
      <c r="E17" s="432"/>
      <c r="F17" s="432"/>
      <c r="G17" s="432"/>
      <c r="H17" s="432"/>
      <c r="I17" s="432"/>
      <c r="J17" s="432"/>
      <c r="K17" s="432"/>
      <c r="L17"/>
    </row>
    <row r="18" spans="1:16" s="1" customFormat="1" ht="12.75" customHeight="1" x14ac:dyDescent="0.2">
      <c r="C18" s="55" t="str">
        <v>Option 5</v>
      </c>
      <c r="D18" s="55"/>
      <c r="E18" s="432"/>
      <c r="F18" s="432"/>
      <c r="G18" s="432"/>
      <c r="H18" s="432"/>
      <c r="I18" s="432"/>
      <c r="J18" s="432"/>
      <c r="K18" s="432"/>
      <c r="L18"/>
    </row>
    <row r="19" spans="1:16" s="1" customFormat="1" ht="12.75" customHeight="1" x14ac:dyDescent="0.2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2">
      <c r="C20" s="244" t="s">
        <v>49</v>
      </c>
      <c r="D20"/>
      <c r="E20" s="245" t="s">
        <v>50</v>
      </c>
      <c r="F20"/>
      <c r="G20"/>
      <c r="H20"/>
      <c r="I20"/>
      <c r="J20"/>
      <c r="K20"/>
      <c r="L20"/>
      <c r="M20"/>
    </row>
    <row r="21" spans="1:16" s="1" customFormat="1" ht="12.75" customHeight="1" x14ac:dyDescent="0.2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2">
      <c r="C22" s="1" t="s">
        <v>51</v>
      </c>
      <c r="E22" s="250" t="s">
        <v>52</v>
      </c>
      <c r="F22" s="61" t="s">
        <v>53</v>
      </c>
      <c r="J22" s="61"/>
    </row>
    <row r="23" spans="1:16" s="1" customFormat="1" ht="12.75" customHeight="1" x14ac:dyDescent="0.2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75" x14ac:dyDescent="0.25">
      <c r="E24" s="5"/>
      <c r="F24" s="5"/>
      <c r="L24" s="6"/>
    </row>
    <row r="25" spans="1:16" s="1" customFormat="1" ht="15" x14ac:dyDescent="0.2">
      <c r="A25" s="16" t="s">
        <v>54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2"/>
    <row r="27" spans="1:16" s="1" customFormat="1" x14ac:dyDescent="0.2">
      <c r="C27" s="1" t="s">
        <v>55</v>
      </c>
      <c r="G27" s="60">
        <f>EOMONTH(DATE(Assumptions!$G$10,INDEX(Data!$K$107:$K$108, MATCH(Assumptions!$E$10, Data!$J$107:$J$108,0)), 1),0)</f>
        <v>45291</v>
      </c>
      <c r="H27" s="61" t="s">
        <v>56</v>
      </c>
    </row>
    <row r="28" spans="1:16" s="1" customFormat="1" x14ac:dyDescent="0.2">
      <c r="C28" s="1" t="s">
        <v>57</v>
      </c>
      <c r="G28" s="254">
        <v>3.5000000000000003E-2</v>
      </c>
      <c r="H28" s="61" t="s">
        <v>58</v>
      </c>
      <c r="J28" s="61"/>
    </row>
    <row r="29" spans="1:16" s="1" customFormat="1" x14ac:dyDescent="0.2">
      <c r="C29" s="1" t="s">
        <v>59</v>
      </c>
      <c r="G29" s="255">
        <v>45657</v>
      </c>
      <c r="H29" s="61" t="s">
        <v>60</v>
      </c>
      <c r="J29" s="61"/>
    </row>
    <row r="30" spans="1:16" s="1" customFormat="1" x14ac:dyDescent="0.2">
      <c r="J30" s="61"/>
    </row>
    <row r="31" spans="1:16" x14ac:dyDescent="0.2">
      <c r="C31" s="6" t="s">
        <v>61</v>
      </c>
      <c r="G31" s="256">
        <v>20</v>
      </c>
      <c r="H31" s="61" t="s">
        <v>62</v>
      </c>
    </row>
    <row r="32" spans="1:16" s="1" customFormat="1" x14ac:dyDescent="0.2"/>
    <row r="33" spans="1:20" s="1" customFormat="1" x14ac:dyDescent="0.2">
      <c r="C33" s="1" t="s">
        <v>63</v>
      </c>
      <c r="G33" s="257">
        <v>46203</v>
      </c>
      <c r="H33" s="61" t="s">
        <v>64</v>
      </c>
      <c r="J33" s="61"/>
    </row>
    <row r="34" spans="1:20" s="1" customFormat="1" x14ac:dyDescent="0.2">
      <c r="C34" s="1" t="s">
        <v>65</v>
      </c>
      <c r="G34" s="273">
        <v>45291</v>
      </c>
      <c r="H34" s="61" t="s">
        <v>66</v>
      </c>
      <c r="J34" s="61"/>
    </row>
    <row r="35" spans="1:20" s="1" customFormat="1" ht="13.5" x14ac:dyDescent="0.25">
      <c r="C35" s="1" t="s">
        <v>67</v>
      </c>
      <c r="G35" s="255">
        <v>45107</v>
      </c>
      <c r="H35" s="61"/>
      <c r="J35" s="61"/>
    </row>
    <row r="39" spans="1:20" s="1" customFormat="1" ht="15" x14ac:dyDescent="0.2">
      <c r="A39" s="16" t="s">
        <v>68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2">
      <c r="M40" s="10"/>
      <c r="N40" s="10"/>
      <c r="O40" s="10"/>
      <c r="P40" s="10"/>
    </row>
    <row r="41" spans="1:20" s="107" customFormat="1" x14ac:dyDescent="0.2">
      <c r="A41" s="106"/>
      <c r="B41" s="106"/>
      <c r="C41" s="1" t="s">
        <v>69</v>
      </c>
      <c r="D41" s="212" t="s">
        <v>70</v>
      </c>
      <c r="E41" s="276" t="s">
        <v>71</v>
      </c>
      <c r="F41" s="277"/>
      <c r="G41" s="278" t="s">
        <v>72</v>
      </c>
      <c r="H41" s="110">
        <v>48075.290663780404</v>
      </c>
      <c r="I41" s="279" t="s">
        <v>341</v>
      </c>
      <c r="J41" s="106"/>
      <c r="M41" s="106"/>
      <c r="N41" s="106"/>
      <c r="O41" s="106"/>
      <c r="P41" s="106"/>
      <c r="Q41" s="106"/>
      <c r="R41" s="106"/>
      <c r="S41" s="106"/>
      <c r="T41" s="106"/>
    </row>
    <row r="42" spans="1:20" s="107" customFormat="1" x14ac:dyDescent="0.2">
      <c r="A42"/>
      <c r="B42"/>
      <c r="C42"/>
      <c r="D42"/>
      <c r="E42"/>
      <c r="F42"/>
      <c r="G42"/>
      <c r="H42"/>
      <c r="I42"/>
      <c r="J42"/>
      <c r="K42"/>
      <c r="L42"/>
      <c r="M42" s="106"/>
      <c r="N42" s="106"/>
      <c r="O42" s="106"/>
      <c r="P42" s="106"/>
      <c r="Q42" s="106"/>
      <c r="R42" s="106"/>
      <c r="S42" s="106"/>
      <c r="T42" s="106"/>
    </row>
    <row r="43" spans="1:20" s="107" customFormat="1" x14ac:dyDescent="0.2">
      <c r="A43"/>
      <c r="B43"/>
      <c r="C43"/>
      <c r="D43"/>
      <c r="E43"/>
      <c r="F43"/>
      <c r="G43"/>
      <c r="H43"/>
      <c r="I43"/>
      <c r="J43"/>
      <c r="K43"/>
      <c r="L43"/>
      <c r="M43" s="106"/>
      <c r="N43" s="106"/>
      <c r="O43" s="106"/>
      <c r="P43" s="106"/>
      <c r="Q43" s="106"/>
      <c r="R43" s="106"/>
      <c r="S43" s="106"/>
      <c r="T43" s="106"/>
    </row>
    <row r="45" spans="1:20" ht="15" x14ac:dyDescent="0.2">
      <c r="A45" s="16" t="s">
        <v>73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2">
      <c r="B48" s="27" t="s">
        <v>74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2">
      <c r="C50" s="6" t="s">
        <v>75</v>
      </c>
      <c r="G50" s="258">
        <v>5400000</v>
      </c>
      <c r="H50" s="62">
        <v>45107</v>
      </c>
    </row>
    <row r="52" spans="3:8" x14ac:dyDescent="0.2">
      <c r="C52" s="6" t="s">
        <v>76</v>
      </c>
      <c r="G52" s="132">
        <v>0</v>
      </c>
      <c r="H52" s="62">
        <f>input_dollars</f>
        <v>45291</v>
      </c>
    </row>
    <row r="54" spans="3:8" x14ac:dyDescent="0.2">
      <c r="C54" s="12" t="str">
        <f>Data!A83</f>
        <v>Disproportionate factors applied to various bushfire and other risk valuations</v>
      </c>
    </row>
    <row r="55" spans="3:8" x14ac:dyDescent="0.2">
      <c r="C55" s="6" t="str">
        <f>Data!B85</f>
        <v>Harm to property from network</v>
      </c>
      <c r="G55" s="256">
        <f>Data!F85</f>
        <v>1</v>
      </c>
    </row>
    <row r="56" spans="3:8" x14ac:dyDescent="0.2">
      <c r="C56" s="6" t="str">
        <f>Data!B86</f>
        <v>Harm to property from bushfire</v>
      </c>
      <c r="G56" s="256">
        <f>Data!F86</f>
        <v>1</v>
      </c>
    </row>
    <row r="57" spans="3:8" x14ac:dyDescent="0.2">
      <c r="C57" s="6" t="str">
        <f>Data!B87</f>
        <v>Harm to environment</v>
      </c>
      <c r="G57" s="256">
        <f>Data!F87</f>
        <v>1</v>
      </c>
    </row>
    <row r="58" spans="3:8" x14ac:dyDescent="0.2">
      <c r="C58" s="6" t="str">
        <f>Data!B88</f>
        <v>Safety - Public trespass</v>
      </c>
      <c r="G58" s="256">
        <f>Data!F88</f>
        <v>1</v>
      </c>
    </row>
    <row r="59" spans="3:8" x14ac:dyDescent="0.2">
      <c r="C59" s="6" t="str">
        <f>Data!B89</f>
        <v>Safety - Single fatality or serious injury ^</v>
      </c>
      <c r="G59" s="256">
        <f>Data!F89</f>
        <v>3</v>
      </c>
    </row>
    <row r="60" spans="3:8" x14ac:dyDescent="0.2">
      <c r="C60" s="6" t="str">
        <f>Data!B90</f>
        <v>Safety from bushfire in HBRA</v>
      </c>
      <c r="G60" s="256">
        <f>Data!F90</f>
        <v>3</v>
      </c>
    </row>
    <row r="61" spans="3:8" x14ac:dyDescent="0.2">
      <c r="C61" s="6" t="str">
        <f>Data!B91</f>
        <v>Safety - Multiple fatality or serious injury ^</v>
      </c>
      <c r="G61" s="256">
        <f>Data!F91</f>
        <v>6</v>
      </c>
    </row>
    <row r="62" spans="3:8" x14ac:dyDescent="0.2">
      <c r="C62" s="6" t="str">
        <f>Data!B92</f>
        <v>Safety from bushfire (REFCL declared areas)</v>
      </c>
      <c r="G62" s="256">
        <f>Data!F92</f>
        <v>6</v>
      </c>
    </row>
    <row r="63" spans="3:8" x14ac:dyDescent="0.2">
      <c r="C63" s="6" t="str">
        <f>Data!B93</f>
        <v>Safety from bushfire (electric line construction areas)</v>
      </c>
      <c r="G63" s="256">
        <f>Data!F93</f>
        <v>10</v>
      </c>
    </row>
    <row r="64" spans="3:8" x14ac:dyDescent="0.2">
      <c r="E64"/>
      <c r="F64"/>
      <c r="G64"/>
      <c r="H64"/>
    </row>
    <row r="66" spans="2:16" x14ac:dyDescent="0.2">
      <c r="C66" s="72" t="s">
        <v>77</v>
      </c>
    </row>
    <row r="69" spans="2:16" x14ac:dyDescent="0.2">
      <c r="C69" s="47" t="s">
        <v>78</v>
      </c>
      <c r="D69" s="53"/>
      <c r="E69" s="53"/>
      <c r="F69" s="53"/>
      <c r="G69" s="135" t="s">
        <v>79</v>
      </c>
      <c r="H69" s="135" t="s">
        <v>80</v>
      </c>
      <c r="I69" s="135" t="s">
        <v>81</v>
      </c>
      <c r="J69" s="134" t="s">
        <v>82</v>
      </c>
      <c r="K69" s="135"/>
      <c r="L69" s="135"/>
      <c r="M69" s="135"/>
    </row>
    <row r="70" spans="2:16" x14ac:dyDescent="0.2">
      <c r="C70" s="6" t="s">
        <v>83</v>
      </c>
      <c r="G70" s="100">
        <f>G50*INDEX(hy_escalation, MATCH(input_dollars,hy_dates,0))/INDEX(hy_escalation, MATCH(H50,hy_dates,0))</f>
        <v>5607473.5197347086</v>
      </c>
      <c r="H70" s="140">
        <v>0</v>
      </c>
      <c r="I70" s="141">
        <v>0</v>
      </c>
      <c r="J70" s="427">
        <v>0</v>
      </c>
      <c r="K70" s="428"/>
      <c r="L70" s="428"/>
      <c r="M70" s="429"/>
    </row>
    <row r="71" spans="2:16" x14ac:dyDescent="0.2">
      <c r="C71" s="6" t="s">
        <v>84</v>
      </c>
      <c r="G71" s="100">
        <f>G52*INDEX(hy_escalation, MATCH(input_dollars,hy_dates,0))/INDEX(hy_escalation, MATCH(H52,hy_dates,0))</f>
        <v>0</v>
      </c>
      <c r="H71" s="139">
        <v>0</v>
      </c>
      <c r="I71" s="141">
        <v>0</v>
      </c>
      <c r="J71" s="427">
        <v>0</v>
      </c>
      <c r="K71" s="428"/>
      <c r="L71" s="428"/>
      <c r="M71" s="429"/>
    </row>
    <row r="72" spans="2:16" x14ac:dyDescent="0.2">
      <c r="I72" s="138"/>
      <c r="M72"/>
    </row>
    <row r="73" spans="2:16" x14ac:dyDescent="0.2">
      <c r="G73" s="142"/>
    </row>
    <row r="74" spans="2:16" x14ac:dyDescent="0.2">
      <c r="C74" s="72"/>
    </row>
    <row r="77" spans="2:16" x14ac:dyDescent="0.2">
      <c r="B77" s="27" t="s">
        <v>85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2">
      <c r="C78" s="6" t="s">
        <v>86</v>
      </c>
      <c r="G78" s="132">
        <v>0</v>
      </c>
      <c r="H78" s="62">
        <f>input_dollars</f>
        <v>45291</v>
      </c>
    </row>
    <row r="79" spans="2:16" x14ac:dyDescent="0.2">
      <c r="C79" s="6" t="s">
        <v>87</v>
      </c>
      <c r="G79" s="132">
        <v>0</v>
      </c>
      <c r="H79" s="62">
        <f>input_dollars</f>
        <v>45291</v>
      </c>
    </row>
    <row r="81" spans="1:16" x14ac:dyDescent="0.2">
      <c r="C81" s="6" t="s">
        <v>88</v>
      </c>
      <c r="G81" s="136">
        <v>0.2</v>
      </c>
    </row>
    <row r="86" spans="1:16" x14ac:dyDescent="0.2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5" x14ac:dyDescent="0.2">
      <c r="A87" s="16" t="s">
        <v>89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2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2">
      <c r="A89" s="1"/>
      <c r="B89" s="27" t="s">
        <v>90</v>
      </c>
      <c r="C89" s="27"/>
      <c r="D89" s="27"/>
      <c r="E89" s="27"/>
      <c r="F89" s="27"/>
      <c r="G89" s="27"/>
      <c r="H89" s="47"/>
      <c r="I89" s="47"/>
      <c r="J89" s="47"/>
      <c r="K89" s="63" t="s">
        <v>52</v>
      </c>
      <c r="L89" s="63" t="s">
        <v>91</v>
      </c>
      <c r="M89" s="63" t="s">
        <v>92</v>
      </c>
      <c r="N89" s="63" t="s">
        <v>93</v>
      </c>
      <c r="O89" s="63" t="s">
        <v>94</v>
      </c>
      <c r="P89" s="63" t="s">
        <v>95</v>
      </c>
    </row>
    <row r="90" spans="1:16" ht="13.5" x14ac:dyDescent="0.25">
      <c r="A90" s="1"/>
      <c r="B90" s="1"/>
      <c r="C90" s="1" t="s">
        <v>96</v>
      </c>
      <c r="D90" s="1"/>
      <c r="F90" s="1"/>
      <c r="G90" s="61"/>
      <c r="H90" s="62">
        <f>G35</f>
        <v>45107</v>
      </c>
      <c r="I90" s="64" t="s">
        <v>97</v>
      </c>
      <c r="J90" s="64"/>
      <c r="K90" s="259">
        <v>2.4730486797759084E-2</v>
      </c>
      <c r="L90" s="259">
        <v>2.2340740091772258E-2</v>
      </c>
      <c r="M90" s="259">
        <v>2.0196329122153123E-2</v>
      </c>
      <c r="N90" s="259">
        <v>1.806294207659629E-2</v>
      </c>
      <c r="O90" s="259">
        <v>1.5913397615084226E-2</v>
      </c>
      <c r="P90" s="259">
        <v>1.3715069432539001E-2</v>
      </c>
    </row>
    <row r="91" spans="1:16" x14ac:dyDescent="0.2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2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2">
      <c r="A93" s="1"/>
      <c r="B93" s="27" t="s">
        <v>98</v>
      </c>
      <c r="C93" s="27"/>
      <c r="D93" s="27"/>
      <c r="E93" s="27"/>
      <c r="F93" s="27"/>
      <c r="G93" s="63" t="s">
        <v>79</v>
      </c>
      <c r="H93" s="27"/>
      <c r="I93" s="27"/>
      <c r="J93" s="3"/>
      <c r="K93" s="1"/>
      <c r="L93" s="1"/>
    </row>
    <row r="94" spans="1:16" x14ac:dyDescent="0.2">
      <c r="A94" s="1"/>
      <c r="B94" s="1"/>
      <c r="C94" s="1" t="str">
        <f>Data!B60</f>
        <v>Reliability in worst-served areas</v>
      </c>
      <c r="D94" s="1"/>
      <c r="E94"/>
      <c r="F94" s="1"/>
      <c r="G94" s="258">
        <v>0</v>
      </c>
      <c r="H94" s="62">
        <f t="shared" ref="H94:H101" si="0">custval_date</f>
        <v>45291</v>
      </c>
      <c r="I94" s="64" t="s">
        <v>99</v>
      </c>
      <c r="J94" s="64"/>
      <c r="K94" s="1"/>
      <c r="P94" s="1"/>
    </row>
    <row r="95" spans="1:16" x14ac:dyDescent="0.2">
      <c r="A95" s="1"/>
      <c r="B95" s="1"/>
      <c r="C95" s="1" t="str">
        <f>Data!B61</f>
        <v>Network resilience</v>
      </c>
      <c r="D95" s="1"/>
      <c r="E95"/>
      <c r="F95" s="1"/>
      <c r="G95" s="258">
        <v>0</v>
      </c>
      <c r="H95" s="62">
        <f t="shared" si="0"/>
        <v>45291</v>
      </c>
      <c r="I95" s="64" t="s">
        <v>99</v>
      </c>
      <c r="J95" s="64"/>
      <c r="P95" s="1"/>
    </row>
    <row r="96" spans="1:16" x14ac:dyDescent="0.2">
      <c r="A96" s="1"/>
      <c r="B96" s="1"/>
      <c r="C96" s="1" t="str">
        <f>Data!B62</f>
        <v>Enabling solar exports</v>
      </c>
      <c r="D96" s="1"/>
      <c r="E96"/>
      <c r="G96" s="258">
        <v>4220.9953699573898</v>
      </c>
      <c r="H96" s="62">
        <f t="shared" si="0"/>
        <v>45291</v>
      </c>
      <c r="I96" s="64" t="s">
        <v>99</v>
      </c>
      <c r="J96" s="64"/>
      <c r="P96" s="1"/>
    </row>
    <row r="97" spans="1:16" x14ac:dyDescent="0.2">
      <c r="A97" s="1"/>
      <c r="B97" s="1"/>
      <c r="C97" s="1" t="str">
        <f>Data!B63</f>
        <v>Aesthetics</v>
      </c>
      <c r="D97" s="1"/>
      <c r="E97"/>
      <c r="G97" s="259">
        <v>0</v>
      </c>
      <c r="H97" s="62">
        <f t="shared" si="0"/>
        <v>45291</v>
      </c>
      <c r="I97" s="64" t="s">
        <v>100</v>
      </c>
      <c r="J97" s="64"/>
      <c r="P97" s="1"/>
    </row>
    <row r="98" spans="1:16" x14ac:dyDescent="0.2">
      <c r="A98" s="1"/>
      <c r="B98" s="1"/>
      <c r="C98" s="1" t="str">
        <f>Data!B64</f>
        <v>Customer value of time - residential</v>
      </c>
      <c r="D98" s="1"/>
      <c r="E98"/>
      <c r="G98" s="259">
        <v>0.54769380678923496</v>
      </c>
      <c r="H98" s="62">
        <f t="shared" si="0"/>
        <v>45291</v>
      </c>
      <c r="I98" s="64" t="s">
        <v>101</v>
      </c>
      <c r="J98" s="64"/>
      <c r="P98" s="1"/>
    </row>
    <row r="99" spans="1:16" x14ac:dyDescent="0.2">
      <c r="A99" s="1"/>
      <c r="B99" s="1"/>
      <c r="C99" s="1" t="str">
        <f>Data!B65</f>
        <v>Customer value of time - business</v>
      </c>
      <c r="D99" s="1"/>
      <c r="E99"/>
      <c r="G99" s="259">
        <v>0.54769380678923496</v>
      </c>
      <c r="H99" s="62">
        <f t="shared" si="0"/>
        <v>45291</v>
      </c>
      <c r="I99" s="64" t="s">
        <v>101</v>
      </c>
      <c r="J99" s="64"/>
      <c r="P99" s="1"/>
    </row>
    <row r="100" spans="1:16" x14ac:dyDescent="0.2">
      <c r="A100" s="1"/>
      <c r="B100" s="1"/>
      <c r="C100" s="1" t="str">
        <f>Data!B66</f>
        <v>Communication</v>
      </c>
      <c r="D100" s="1"/>
      <c r="E100"/>
      <c r="G100" s="259">
        <v>0</v>
      </c>
      <c r="H100" s="62">
        <f t="shared" si="0"/>
        <v>45291</v>
      </c>
      <c r="I100" s="64" t="s">
        <v>100</v>
      </c>
      <c r="J100" s="64"/>
      <c r="P100" s="1"/>
    </row>
    <row r="101" spans="1:16" x14ac:dyDescent="0.2">
      <c r="A101" s="1"/>
      <c r="B101" s="1"/>
      <c r="C101" s="1" t="str">
        <f>Data!B67</f>
        <v>Information accessibility</v>
      </c>
      <c r="D101" s="1"/>
      <c r="E101"/>
      <c r="G101" s="259">
        <v>0</v>
      </c>
      <c r="H101" s="62">
        <f t="shared" si="0"/>
        <v>45291</v>
      </c>
      <c r="I101" s="64" t="s">
        <v>100</v>
      </c>
      <c r="J101" s="64"/>
      <c r="P101" s="1"/>
    </row>
    <row r="102" spans="1:16" x14ac:dyDescent="0.2">
      <c r="A102" s="1"/>
      <c r="B102" s="1"/>
      <c r="C102" s="1"/>
      <c r="D102" s="1"/>
      <c r="E102"/>
      <c r="L102" s="1"/>
      <c r="N102" s="1"/>
      <c r="O102" s="1"/>
      <c r="P102" s="1"/>
    </row>
    <row r="103" spans="1:16" x14ac:dyDescent="0.2">
      <c r="A103" s="1"/>
      <c r="B103" s="1"/>
      <c r="C103" s="1"/>
      <c r="D103" s="1"/>
      <c r="E103"/>
      <c r="F103" s="1"/>
      <c r="L103" s="1"/>
      <c r="N103" s="1"/>
      <c r="O103" s="1"/>
    </row>
    <row r="106" spans="1:16" ht="15" x14ac:dyDescent="0.2">
      <c r="A106" s="16" t="s">
        <v>102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2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2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2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x14ac:dyDescent="0.2">
      <c r="A110" s="1"/>
      <c r="B110" s="147"/>
      <c r="C110" s="147"/>
      <c r="D110" s="53"/>
      <c r="E110" s="251"/>
      <c r="F110" s="147"/>
      <c r="G110" s="147" t="s">
        <v>103</v>
      </c>
      <c r="H110" s="147" t="s">
        <v>104</v>
      </c>
      <c r="I110"/>
      <c r="J110"/>
      <c r="K110"/>
      <c r="L110"/>
      <c r="M110"/>
      <c r="N110"/>
      <c r="O110"/>
      <c r="P110"/>
    </row>
    <row r="111" spans="1:16" x14ac:dyDescent="0.2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0"/>
      <c r="G111" s="260">
        <v>0.1</v>
      </c>
      <c r="H111" s="260">
        <v>0</v>
      </c>
      <c r="I111" s="225"/>
      <c r="J111"/>
      <c r="K111"/>
      <c r="L111"/>
      <c r="M111"/>
      <c r="N111"/>
      <c r="O111"/>
      <c r="P111"/>
    </row>
    <row r="112" spans="1:16" x14ac:dyDescent="0.2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0"/>
      <c r="G112" s="260">
        <v>-0.1</v>
      </c>
      <c r="H112" s="260">
        <v>0</v>
      </c>
      <c r="I112" s="225"/>
      <c r="J112"/>
      <c r="K112"/>
      <c r="L112"/>
      <c r="M112"/>
      <c r="N112"/>
      <c r="O112"/>
      <c r="P112"/>
    </row>
    <row r="113" spans="2:16" x14ac:dyDescent="0.2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0"/>
      <c r="G113" s="261">
        <v>0</v>
      </c>
      <c r="H113" s="260">
        <v>0.1</v>
      </c>
      <c r="I113" s="225"/>
      <c r="J113"/>
      <c r="K113"/>
      <c r="L113"/>
      <c r="M113"/>
      <c r="N113"/>
      <c r="O113"/>
      <c r="P113"/>
    </row>
    <row r="114" spans="2:16" x14ac:dyDescent="0.2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0"/>
      <c r="G114" s="261">
        <v>0</v>
      </c>
      <c r="H114" s="260">
        <v>-0.1</v>
      </c>
      <c r="I114" s="225"/>
      <c r="J114"/>
      <c r="K114"/>
      <c r="L114"/>
      <c r="M114"/>
      <c r="N114"/>
      <c r="O114"/>
      <c r="P114"/>
    </row>
    <row r="115" spans="2:16" x14ac:dyDescent="0.2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0"/>
      <c r="G115" s="260">
        <v>0.1</v>
      </c>
      <c r="H115" s="260">
        <v>-0.1</v>
      </c>
      <c r="I115" s="225"/>
      <c r="J115"/>
      <c r="K115"/>
      <c r="L115"/>
      <c r="M115"/>
      <c r="N115"/>
      <c r="O115"/>
      <c r="P115"/>
    </row>
    <row r="116" spans="2:16" x14ac:dyDescent="0.2">
      <c r="E116" s="230"/>
      <c r="H116"/>
      <c r="I116"/>
      <c r="J116"/>
      <c r="K116"/>
      <c r="L116"/>
      <c r="M116"/>
      <c r="N116"/>
      <c r="O116"/>
      <c r="P116"/>
    </row>
    <row r="117" spans="2:16" x14ac:dyDescent="0.2">
      <c r="E117" s="224"/>
      <c r="H117"/>
      <c r="I117"/>
      <c r="J117"/>
      <c r="K117"/>
      <c r="L117"/>
      <c r="M117"/>
      <c r="N117"/>
      <c r="O117"/>
      <c r="P117"/>
    </row>
    <row r="118" spans="2:16" x14ac:dyDescent="0.2">
      <c r="H118"/>
      <c r="I118"/>
      <c r="J118"/>
      <c r="K118"/>
      <c r="L118"/>
      <c r="M118"/>
      <c r="N118"/>
      <c r="O118"/>
      <c r="P118"/>
    </row>
    <row r="119" spans="2:16" x14ac:dyDescent="0.2">
      <c r="H119"/>
      <c r="I119"/>
      <c r="J119"/>
      <c r="K119"/>
      <c r="L119"/>
      <c r="M119"/>
      <c r="N119"/>
      <c r="O119"/>
      <c r="P119"/>
    </row>
    <row r="120" spans="2:16" x14ac:dyDescent="0.2">
      <c r="H120"/>
      <c r="I120"/>
      <c r="J120"/>
      <c r="K120"/>
      <c r="L120"/>
      <c r="M120"/>
      <c r="N120"/>
      <c r="O120"/>
      <c r="P120"/>
    </row>
    <row r="121" spans="2:16" x14ac:dyDescent="0.2">
      <c r="H121"/>
      <c r="I121"/>
      <c r="J121"/>
      <c r="K121"/>
      <c r="L121"/>
      <c r="M121"/>
      <c r="N121"/>
      <c r="O121"/>
      <c r="P121"/>
    </row>
    <row r="122" spans="2:16" x14ac:dyDescent="0.2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8" type="noConversion"/>
  <dataValidations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4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6"/>
  <sheetViews>
    <sheetView showGridLines="0" workbookViewId="0"/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6.8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AR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105</v>
      </c>
      <c r="B3" s="5"/>
      <c r="C3" s="113"/>
      <c r="D3" s="82"/>
    </row>
    <row r="4" spans="1:43" x14ac:dyDescent="0.2">
      <c r="A4" s="143"/>
      <c r="B4" s="162"/>
      <c r="C4" s="211"/>
    </row>
    <row r="5" spans="1:43" hidden="1" outlineLevel="1" x14ac:dyDescent="0.2">
      <c r="C5" s="86"/>
      <c r="D5" s="85"/>
      <c r="E5" s="87"/>
      <c r="F5" s="87"/>
      <c r="G5" s="87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">
        <v>106</v>
      </c>
      <c r="B6" s="85"/>
      <c r="C6" s="86"/>
      <c r="D6" s="85"/>
      <c r="E6" s="87"/>
      <c r="F6" s="87"/>
      <c r="G6" s="87"/>
      <c r="H6" s="129">
        <v>0</v>
      </c>
      <c r="I6" s="88">
        <f t="shared" ref="I6:AG6" si="0">H6+1</f>
        <v>1</v>
      </c>
      <c r="J6" s="88">
        <f t="shared" si="0"/>
        <v>2</v>
      </c>
      <c r="K6" s="88">
        <f t="shared" si="0"/>
        <v>3</v>
      </c>
      <c r="L6" s="88">
        <f t="shared" si="0"/>
        <v>4</v>
      </c>
      <c r="M6" s="88">
        <f t="shared" si="0"/>
        <v>5</v>
      </c>
      <c r="N6" s="88">
        <f t="shared" si="0"/>
        <v>6</v>
      </c>
      <c r="O6" s="88">
        <f t="shared" si="0"/>
        <v>7</v>
      </c>
      <c r="P6" s="88">
        <f t="shared" si="0"/>
        <v>8</v>
      </c>
      <c r="Q6" s="88">
        <f t="shared" si="0"/>
        <v>9</v>
      </c>
      <c r="R6" s="88">
        <f t="shared" si="0"/>
        <v>10</v>
      </c>
      <c r="S6" s="88">
        <f t="shared" si="0"/>
        <v>11</v>
      </c>
      <c r="T6" s="88">
        <f t="shared" si="0"/>
        <v>12</v>
      </c>
      <c r="U6" s="88">
        <f t="shared" si="0"/>
        <v>13</v>
      </c>
      <c r="V6" s="88">
        <f t="shared" si="0"/>
        <v>14</v>
      </c>
      <c r="W6" s="88">
        <f t="shared" si="0"/>
        <v>15</v>
      </c>
      <c r="X6" s="88">
        <f t="shared" si="0"/>
        <v>16</v>
      </c>
      <c r="Y6" s="88">
        <f t="shared" si="0"/>
        <v>17</v>
      </c>
      <c r="Z6" s="88">
        <f t="shared" si="0"/>
        <v>18</v>
      </c>
      <c r="AA6" s="88">
        <f t="shared" si="0"/>
        <v>19</v>
      </c>
      <c r="AB6" s="88">
        <f t="shared" si="0"/>
        <v>20</v>
      </c>
      <c r="AC6" s="88">
        <f t="shared" si="0"/>
        <v>21</v>
      </c>
      <c r="AD6" s="88">
        <f t="shared" si="0"/>
        <v>22</v>
      </c>
      <c r="AE6" s="88">
        <f t="shared" si="0"/>
        <v>23</v>
      </c>
      <c r="AF6" s="88">
        <f t="shared" si="0"/>
        <v>24</v>
      </c>
      <c r="AG6" s="88">
        <f t="shared" si="0"/>
        <v>25</v>
      </c>
    </row>
    <row r="7" spans="1:43" hidden="1" outlineLevel="1" x14ac:dyDescent="0.2">
      <c r="A7" s="85" t="s">
        <v>107</v>
      </c>
      <c r="B7" s="85"/>
      <c r="G7" s="137" t="s">
        <v>108</v>
      </c>
      <c r="I7" s="86">
        <f>IF(ISBLANK(Assumptions!K90), H7,Assumptions!K90*thous_conv)</f>
        <v>24.730486797759085</v>
      </c>
      <c r="J7" s="86">
        <f>IF(ISBLANK(Assumptions!L90), I7,Assumptions!L90*thous_conv)</f>
        <v>22.340740091772258</v>
      </c>
      <c r="K7" s="86">
        <f>IF(ISBLANK(Assumptions!M90), J7,Assumptions!M90*thous_conv)</f>
        <v>20.196329122153124</v>
      </c>
      <c r="L7" s="86">
        <f>IF(ISBLANK(Assumptions!N90), K7,Assumptions!N90*thous_conv)</f>
        <v>18.06294207659629</v>
      </c>
      <c r="M7" s="86">
        <f>IF(ISBLANK(Assumptions!O90), L7,Assumptions!O90*thous_conv)</f>
        <v>15.913397615084225</v>
      </c>
      <c r="N7" s="86">
        <f>IF(ISBLANK(Assumptions!P90), M7,Assumptions!P90*thous_conv)</f>
        <v>13.715069432539002</v>
      </c>
      <c r="O7" s="86">
        <f>IF(ISBLANK(Assumptions!Q90), N7,Assumptions!Q90*thous_conv)</f>
        <v>13.715069432539002</v>
      </c>
      <c r="P7" s="86">
        <f>IF(ISBLANK(Assumptions!R90), O7,Assumptions!R90*thous_conv)</f>
        <v>13.715069432539002</v>
      </c>
      <c r="Q7" s="86">
        <f>IF(ISBLANK(Assumptions!S90), P7,Assumptions!S90*thous_conv)</f>
        <v>13.715069432539002</v>
      </c>
      <c r="R7" s="86">
        <f>IF(ISBLANK(Assumptions!T90), Q7,Assumptions!T90*thous_conv)</f>
        <v>13.715069432539002</v>
      </c>
      <c r="S7" s="86">
        <f>IF(ISBLANK(Assumptions!U90), R7,Assumptions!U90*thous_conv)</f>
        <v>13.715069432539002</v>
      </c>
      <c r="T7" s="86">
        <f>IF(ISBLANK(Assumptions!V90), S7,Assumptions!V90*thous_conv)</f>
        <v>13.715069432539002</v>
      </c>
      <c r="U7" s="86">
        <f>IF(ISBLANK(Assumptions!W90), T7,Assumptions!W90*thous_conv)</f>
        <v>13.715069432539002</v>
      </c>
      <c r="V7" s="86">
        <f>IF(ISBLANK(Assumptions!X90), U7,Assumptions!X90*thous_conv)</f>
        <v>13.715069432539002</v>
      </c>
      <c r="W7" s="86">
        <f>IF(ISBLANK(Assumptions!Y90), V7,Assumptions!Y90*thous_conv)</f>
        <v>13.715069432539002</v>
      </c>
      <c r="X7" s="86">
        <f>IF(ISBLANK(Assumptions!Z90), W7,Assumptions!Z90*thous_conv)</f>
        <v>13.715069432539002</v>
      </c>
      <c r="Y7" s="86">
        <f>IF(ISBLANK(Assumptions!AA90), X7,Assumptions!AA90*thous_conv)</f>
        <v>13.715069432539002</v>
      </c>
      <c r="Z7" s="86">
        <f>IF(ISBLANK(Assumptions!AB90), Y7,Assumptions!AB90*thous_conv)</f>
        <v>13.715069432539002</v>
      </c>
      <c r="AA7" s="86">
        <f>IF(ISBLANK(Assumptions!AC90), Z7,Assumptions!AC90*thous_conv)</f>
        <v>13.715069432539002</v>
      </c>
      <c r="AB7" s="86">
        <f>IF(ISBLANK(Assumptions!AD90), AA7,Assumptions!AD90*thous_conv)</f>
        <v>13.715069432539002</v>
      </c>
      <c r="AC7" s="86">
        <f>IF(ISBLANK(Assumptions!AE90), AB7,Assumptions!AE90*thous_conv)</f>
        <v>13.715069432539002</v>
      </c>
      <c r="AD7" s="86">
        <f>IF(ISBLANK(Assumptions!AF90), AC7,Assumptions!AF90*thous_conv)</f>
        <v>13.715069432539002</v>
      </c>
      <c r="AE7" s="86">
        <f>IF(ISBLANK(Assumptions!AG90), AD7,Assumptions!AG90*thous_conv)</f>
        <v>13.715069432539002</v>
      </c>
      <c r="AF7" s="86">
        <f>IF(ISBLANK(Assumptions!AH90), AE7,Assumptions!AH90*thous_conv)</f>
        <v>13.715069432539002</v>
      </c>
      <c r="AG7" s="86">
        <f>IF(ISBLANK(Assumptions!AI90), AF7,Assumptions!AI90*thous_conv)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56"/>
      <c r="B9" s="156"/>
      <c r="C9" s="156"/>
      <c r="D9" s="156"/>
      <c r="E9" s="156"/>
      <c r="F9" s="157"/>
      <c r="G9" s="156" t="s">
        <v>109</v>
      </c>
      <c r="H9" s="272">
        <f>DATE(LEFT(I9,4), 6,30)</f>
        <v>46203</v>
      </c>
      <c r="I9" s="158" t="str">
        <f>start</f>
        <v>2026-27</v>
      </c>
      <c r="J9" s="158" t="str">
        <f t="shared" ref="J9:AG9" si="1">LEFT(I9,4)+1&amp;"-"&amp;RIGHT(I9,2)+1</f>
        <v>2027-28</v>
      </c>
      <c r="K9" s="158" t="str">
        <f t="shared" si="1"/>
        <v>2028-29</v>
      </c>
      <c r="L9" s="158" t="str">
        <f t="shared" si="1"/>
        <v>2029-30</v>
      </c>
      <c r="M9" s="158" t="str">
        <f t="shared" si="1"/>
        <v>2030-31</v>
      </c>
      <c r="N9" s="158" t="str">
        <f t="shared" si="1"/>
        <v>2031-32</v>
      </c>
      <c r="O9" s="158" t="str">
        <f t="shared" si="1"/>
        <v>2032-33</v>
      </c>
      <c r="P9" s="158" t="str">
        <f t="shared" si="1"/>
        <v>2033-34</v>
      </c>
      <c r="Q9" s="158" t="str">
        <f t="shared" si="1"/>
        <v>2034-35</v>
      </c>
      <c r="R9" s="158" t="str">
        <f t="shared" si="1"/>
        <v>2035-36</v>
      </c>
      <c r="S9" s="158" t="str">
        <f t="shared" si="1"/>
        <v>2036-37</v>
      </c>
      <c r="T9" s="158" t="str">
        <f t="shared" si="1"/>
        <v>2037-38</v>
      </c>
      <c r="U9" s="158" t="str">
        <f t="shared" si="1"/>
        <v>2038-39</v>
      </c>
      <c r="V9" s="158" t="str">
        <f t="shared" si="1"/>
        <v>2039-40</v>
      </c>
      <c r="W9" s="158" t="str">
        <f t="shared" si="1"/>
        <v>2040-41</v>
      </c>
      <c r="X9" s="158" t="str">
        <f t="shared" si="1"/>
        <v>2041-42</v>
      </c>
      <c r="Y9" s="158" t="str">
        <f t="shared" si="1"/>
        <v>2042-43</v>
      </c>
      <c r="Z9" s="158" t="str">
        <f t="shared" si="1"/>
        <v>2043-44</v>
      </c>
      <c r="AA9" s="158" t="str">
        <f t="shared" si="1"/>
        <v>2044-45</v>
      </c>
      <c r="AB9" s="158" t="str">
        <f t="shared" si="1"/>
        <v>2045-46</v>
      </c>
      <c r="AC9" s="158" t="str">
        <f t="shared" si="1"/>
        <v>2046-47</v>
      </c>
      <c r="AD9" s="158" t="str">
        <f t="shared" si="1"/>
        <v>2047-48</v>
      </c>
      <c r="AE9" s="158" t="str">
        <f t="shared" si="1"/>
        <v>2048-49</v>
      </c>
      <c r="AF9" s="158" t="str">
        <f t="shared" si="1"/>
        <v>2049-50</v>
      </c>
      <c r="AG9" s="158" t="str">
        <f t="shared" si="1"/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112</v>
      </c>
      <c r="D14"/>
      <c r="E14" s="126">
        <v>0</v>
      </c>
      <c r="G14" s="181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AB17" si="2">SUM(I14:I16)</f>
        <v>0</v>
      </c>
      <c r="J17" s="93">
        <f t="shared" si="2"/>
        <v>0</v>
      </c>
      <c r="K17" s="93">
        <f t="shared" si="2"/>
        <v>0</v>
      </c>
      <c r="L17" s="93">
        <f t="shared" si="2"/>
        <v>0</v>
      </c>
      <c r="M17" s="93">
        <f t="shared" si="2"/>
        <v>0</v>
      </c>
      <c r="N17" s="93">
        <f t="shared" si="2"/>
        <v>0</v>
      </c>
      <c r="O17" s="93">
        <f t="shared" si="2"/>
        <v>0</v>
      </c>
      <c r="P17" s="93">
        <f t="shared" si="2"/>
        <v>0</v>
      </c>
      <c r="Q17" s="93">
        <f t="shared" si="2"/>
        <v>0</v>
      </c>
      <c r="R17" s="93">
        <f t="shared" si="2"/>
        <v>0</v>
      </c>
      <c r="S17" s="93">
        <f t="shared" si="2"/>
        <v>0</v>
      </c>
      <c r="T17" s="93">
        <f t="shared" si="2"/>
        <v>0</v>
      </c>
      <c r="U17" s="93">
        <f t="shared" si="2"/>
        <v>0</v>
      </c>
      <c r="V17" s="93">
        <f t="shared" si="2"/>
        <v>0</v>
      </c>
      <c r="W17" s="93">
        <f t="shared" si="2"/>
        <v>0</v>
      </c>
      <c r="X17" s="93">
        <f t="shared" si="2"/>
        <v>0</v>
      </c>
      <c r="Y17" s="93">
        <f t="shared" si="2"/>
        <v>0</v>
      </c>
      <c r="Z17" s="93">
        <f t="shared" si="2"/>
        <v>0</v>
      </c>
      <c r="AA17" s="93">
        <f t="shared" si="2"/>
        <v>0</v>
      </c>
      <c r="AB17" s="93">
        <f t="shared" si="2"/>
        <v>0</v>
      </c>
      <c r="AC17" s="93">
        <f>SUM(AC14:AC16)</f>
        <v>0</v>
      </c>
      <c r="AD17" s="93">
        <f>SUM(AD14:AD16)</f>
        <v>0</v>
      </c>
      <c r="AE17" s="93">
        <f>SUM(AE14:AE16)</f>
        <v>0</v>
      </c>
      <c r="AF17" s="93">
        <f>SUM(AF14:AF16)</f>
        <v>0</v>
      </c>
      <c r="AG17" s="93">
        <f>SUM(AG14:AG16)</f>
        <v>0</v>
      </c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79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15">
        <v>0</v>
      </c>
      <c r="J24" s="115">
        <v>0</v>
      </c>
      <c r="K24" s="115">
        <v>0</v>
      </c>
      <c r="L24" s="115">
        <v>0</v>
      </c>
      <c r="M24" s="115">
        <v>0</v>
      </c>
      <c r="N24" s="115">
        <v>0</v>
      </c>
      <c r="O24" s="115">
        <v>0</v>
      </c>
      <c r="P24" s="115">
        <v>0</v>
      </c>
      <c r="Q24" s="115">
        <v>0</v>
      </c>
      <c r="R24" s="115">
        <v>0</v>
      </c>
      <c r="S24" s="115">
        <v>0</v>
      </c>
      <c r="T24" s="115">
        <v>0</v>
      </c>
      <c r="U24" s="115">
        <v>0</v>
      </c>
      <c r="V24" s="115">
        <v>0</v>
      </c>
      <c r="W24" s="115">
        <v>0</v>
      </c>
      <c r="X24" s="115">
        <v>0</v>
      </c>
      <c r="Y24" s="115">
        <v>0</v>
      </c>
      <c r="Z24" s="115">
        <v>0</v>
      </c>
      <c r="AA24" s="115">
        <v>0</v>
      </c>
      <c r="AB24" s="115">
        <v>0</v>
      </c>
      <c r="AC24" s="115">
        <v>0</v>
      </c>
      <c r="AD24" s="115">
        <v>0</v>
      </c>
      <c r="AE24" s="115">
        <v>0</v>
      </c>
      <c r="AF24" s="115">
        <v>0</v>
      </c>
      <c r="AG24" s="11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15">
        <v>0</v>
      </c>
      <c r="J25" s="115">
        <v>0</v>
      </c>
      <c r="K25" s="115">
        <v>0</v>
      </c>
      <c r="L25" s="115">
        <v>0</v>
      </c>
      <c r="M25" s="115">
        <v>0</v>
      </c>
      <c r="N25" s="115">
        <v>0</v>
      </c>
      <c r="O25" s="115">
        <v>0</v>
      </c>
      <c r="P25" s="115">
        <v>0</v>
      </c>
      <c r="Q25" s="115">
        <v>0</v>
      </c>
      <c r="R25" s="115">
        <v>0</v>
      </c>
      <c r="S25" s="115">
        <v>0</v>
      </c>
      <c r="T25" s="115">
        <v>0</v>
      </c>
      <c r="U25" s="115">
        <v>0</v>
      </c>
      <c r="V25" s="115">
        <v>0</v>
      </c>
      <c r="W25" s="115">
        <v>0</v>
      </c>
      <c r="X25" s="115">
        <v>0</v>
      </c>
      <c r="Y25" s="115">
        <v>0</v>
      </c>
      <c r="Z25" s="115">
        <v>0</v>
      </c>
      <c r="AA25" s="115">
        <v>0</v>
      </c>
      <c r="AB25" s="115">
        <v>0</v>
      </c>
      <c r="AC25" s="115">
        <v>0</v>
      </c>
      <c r="AD25" s="115">
        <v>0</v>
      </c>
      <c r="AE25" s="115">
        <v>0</v>
      </c>
      <c r="AF25" s="115">
        <v>0</v>
      </c>
      <c r="AG25" s="11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45386.140842230838</v>
      </c>
      <c r="F28" s="211" t="str">
        <f>IF(AND(SUM(I27:AG27)&lt;&gt;0, E28=0), "!", "")</f>
        <v/>
      </c>
      <c r="G28" s="181">
        <f>input_dollars</f>
        <v>45291</v>
      </c>
      <c r="H28"/>
      <c r="I28" s="29">
        <f>Workings_risks!E11</f>
        <v>902550.33179585391</v>
      </c>
      <c r="J28" s="29">
        <f>Workings_risks!F11</f>
        <v>984245.67656817078</v>
      </c>
      <c r="K28" s="29">
        <f>Workings_risks!G11</f>
        <v>1010336.4830719025</v>
      </c>
      <c r="L28" s="29">
        <f>Workings_risks!H11</f>
        <v>1029627.6717804444</v>
      </c>
      <c r="M28" s="29">
        <f>Workings_risks!I11</f>
        <v>1057561.348179973</v>
      </c>
      <c r="N28" s="29">
        <f>Workings_risks!J11</f>
        <v>1096436.0033294377</v>
      </c>
      <c r="O28" s="29">
        <f>Workings_risks!K11</f>
        <v>1153842.3323365403</v>
      </c>
      <c r="P28" s="29">
        <f>Workings_risks!L11</f>
        <v>1212031.2951317944</v>
      </c>
      <c r="Q28" s="29">
        <f>Workings_risks!M11</f>
        <v>1257568.3077948198</v>
      </c>
      <c r="R28" s="29">
        <f>Workings_risks!N11</f>
        <v>1287960.6884112922</v>
      </c>
      <c r="S28" s="29">
        <f>Workings_risks!O11</f>
        <v>1318656.3375021154</v>
      </c>
      <c r="T28" s="29">
        <f>Workings_risks!P11</f>
        <v>1349654.2353886703</v>
      </c>
      <c r="U28" s="29">
        <f>Workings_risks!Q11</f>
        <v>1380953.3631640577</v>
      </c>
      <c r="V28" s="29">
        <f>Workings_risks!R11</f>
        <v>1412552.7288786359</v>
      </c>
      <c r="W28" s="29">
        <f>Workings_risks!S11</f>
        <v>1444451.3413289962</v>
      </c>
      <c r="X28" s="29">
        <f>Workings_risks!T11</f>
        <v>1476648.2493661009</v>
      </c>
      <c r="Y28" s="29">
        <f>Workings_risks!U11</f>
        <v>1509142.5156884103</v>
      </c>
      <c r="Z28" s="29">
        <f>Workings_risks!V11</f>
        <v>1541933.2430665877</v>
      </c>
      <c r="AA28" s="29">
        <f>Workings_risks!W11</f>
        <v>1575019.508769216</v>
      </c>
      <c r="AB28" s="29">
        <f>Workings_risks!X11</f>
        <v>1608400.4432451269</v>
      </c>
      <c r="AC28" s="29">
        <f>Workings_risks!Y11</f>
        <v>1642075.1776606895</v>
      </c>
      <c r="AD28" s="29">
        <f>Workings_risks!Z11</f>
        <v>1676042.8832637856</v>
      </c>
      <c r="AE28" s="29">
        <f>Workings_risks!AA11</f>
        <v>1710302.7320151622</v>
      </c>
      <c r="AF28" s="29">
        <f>Workings_risks!AB11</f>
        <v>1744853.8965687468</v>
      </c>
      <c r="AG28" s="29">
        <f>Workings_risks!AC11</f>
        <v>1779695.6028015029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tr">
        <f>Workings_risks!D12</f>
        <v>Safety risk</v>
      </c>
      <c r="D30" s="179" t="s">
        <v>119</v>
      </c>
      <c r="G30" s="181">
        <f>input_dollars</f>
        <v>45291</v>
      </c>
      <c r="H30" s="127"/>
      <c r="I30" s="29">
        <f>Workings_risks!E12</f>
        <v>569.43302312389608</v>
      </c>
      <c r="J30" s="29">
        <f>Workings_risks!F12</f>
        <v>584.88390844473759</v>
      </c>
      <c r="K30" s="29">
        <f>Workings_risks!G12</f>
        <v>600.50471135378461</v>
      </c>
      <c r="L30" s="29">
        <f>Workings_risks!H12</f>
        <v>616.29465798613819</v>
      </c>
      <c r="M30" s="29">
        <f>Workings_risks!I12</f>
        <v>632.25297447689923</v>
      </c>
      <c r="N30" s="29">
        <f>Workings_risks!J12</f>
        <v>648.37888696116886</v>
      </c>
      <c r="O30" s="29">
        <f>Workings_risks!K12</f>
        <v>664.67167220072349</v>
      </c>
      <c r="P30" s="29">
        <f>Workings_risks!L12</f>
        <v>681.13058526019313</v>
      </c>
      <c r="Q30" s="29">
        <f>Workings_risks!M12</f>
        <v>697.75491736611889</v>
      </c>
      <c r="R30" s="29">
        <f>Workings_risks!N12</f>
        <v>714.54397420980615</v>
      </c>
      <c r="S30" s="29">
        <f>Workings_risks!O12</f>
        <v>731.49704701779626</v>
      </c>
      <c r="T30" s="29">
        <f>Workings_risks!P12</f>
        <v>748.61347041092324</v>
      </c>
      <c r="U30" s="29">
        <f>Workings_risks!Q12</f>
        <v>765.89257901002202</v>
      </c>
      <c r="V30" s="29">
        <f>Workings_risks!R12</f>
        <v>783.3337219006911</v>
      </c>
      <c r="W30" s="29">
        <f>Workings_risks!S12</f>
        <v>800.93624816852969</v>
      </c>
      <c r="X30" s="29">
        <f>Workings_risks!T12</f>
        <v>818.69952859628359</v>
      </c>
      <c r="Y30" s="29">
        <f>Workings_risks!U12</f>
        <v>836.6229411990804</v>
      </c>
      <c r="Z30" s="29">
        <f>Workings_risks!V12</f>
        <v>854.70588568919459</v>
      </c>
      <c r="AA30" s="29">
        <f>Workings_risks!W12</f>
        <v>872.94774731413656</v>
      </c>
      <c r="AB30" s="29">
        <f>Workings_risks!X12</f>
        <v>891.3479402509455</v>
      </c>
      <c r="AC30" s="29">
        <f>Workings_risks!Y12</f>
        <v>909.90587867666011</v>
      </c>
      <c r="AD30" s="29">
        <f>Workings_risks!Z12</f>
        <v>928.62099846546607</v>
      </c>
      <c r="AE30" s="29">
        <f>Workings_risks!AA12</f>
        <v>928.62099846546607</v>
      </c>
      <c r="AF30" s="29">
        <f>Workings_risks!AB12</f>
        <v>928.62099846546607</v>
      </c>
      <c r="AG30" s="29">
        <f>Workings_risks!AC12</f>
        <v>928.62099846546607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tr">
        <f>Workings_risks!D13</f>
        <v>Unplanned replacement risk</v>
      </c>
      <c r="D31" s="180"/>
      <c r="E31"/>
      <c r="G31" s="181">
        <f>input_dollars</f>
        <v>45291</v>
      </c>
      <c r="H31" s="127"/>
      <c r="I31" s="29">
        <f>Workings_risks!E13</f>
        <v>24285.357893167948</v>
      </c>
      <c r="J31" s="29">
        <f>Workings_risks!F13</f>
        <v>24944.312088912386</v>
      </c>
      <c r="K31" s="29">
        <f>Workings_risks!G13</f>
        <v>25610.512983169807</v>
      </c>
      <c r="L31" s="29">
        <f>Workings_risks!H13</f>
        <v>26283.927571907654</v>
      </c>
      <c r="M31" s="29">
        <f>Workings_risks!I13</f>
        <v>26964.522851093374</v>
      </c>
      <c r="N31" s="29">
        <f>Workings_risks!J13</f>
        <v>27652.265816694409</v>
      </c>
      <c r="O31" s="29">
        <f>Workings_risks!K13</f>
        <v>28347.125623820521</v>
      </c>
      <c r="P31" s="29">
        <f>Workings_risks!L13</f>
        <v>29049.070502234765</v>
      </c>
      <c r="Q31" s="29">
        <f>Workings_risks!M13</f>
        <v>29758.070223944695</v>
      </c>
      <c r="R31" s="29">
        <f>Workings_risks!N13</f>
        <v>30474.095177855692</v>
      </c>
      <c r="S31" s="29">
        <f>Workings_risks!O13</f>
        <v>31197.115135975317</v>
      </c>
      <c r="T31" s="29">
        <f>Workings_risks!P13</f>
        <v>31927.101721004543</v>
      </c>
      <c r="U31" s="29">
        <f>Workings_risks!Q13</f>
        <v>32664.026555644363</v>
      </c>
      <c r="V31" s="29">
        <f>Workings_risks!R13</f>
        <v>33407.861879493546</v>
      </c>
      <c r="W31" s="29">
        <f>Workings_risks!S13</f>
        <v>34158.579932150875</v>
      </c>
      <c r="X31" s="29">
        <f>Workings_risks!T13</f>
        <v>34916.153878561861</v>
      </c>
      <c r="Y31" s="29">
        <f>Workings_risks!U13</f>
        <v>35680.557192120883</v>
      </c>
      <c r="Z31" s="29">
        <f>Workings_risks!V13</f>
        <v>36451.764271569045</v>
      </c>
      <c r="AA31" s="29">
        <f>Workings_risks!W13</f>
        <v>37229.748898749633</v>
      </c>
      <c r="AB31" s="29">
        <f>Workings_risks!X13</f>
        <v>38014.486089301572</v>
      </c>
      <c r="AC31" s="29">
        <f>Workings_risks!Y13</f>
        <v>38805.950858863762</v>
      </c>
      <c r="AD31" s="29">
        <f>Workings_risks!Z13</f>
        <v>39604.1191484218</v>
      </c>
      <c r="AE31" s="29">
        <f>Workings_risks!AA13</f>
        <v>39604.1191484218</v>
      </c>
      <c r="AF31" s="29">
        <f>Workings_risks!AB13</f>
        <v>39604.1191484218</v>
      </c>
      <c r="AG31" s="29">
        <f>Workings_risks!AC13</f>
        <v>39604.1191484218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tr">
        <f>Workings_risks!D14</f>
        <v>Unplanned fault risk</v>
      </c>
      <c r="D32" s="179"/>
      <c r="E32"/>
      <c r="G32" s="181">
        <f>input_dollars</f>
        <v>45291</v>
      </c>
      <c r="H32"/>
      <c r="I32" s="29">
        <f>Workings_risks!E14</f>
        <v>2102.5077156480002</v>
      </c>
      <c r="J32" s="29">
        <f>Workings_risks!F14</f>
        <v>2159.5567526400005</v>
      </c>
      <c r="K32" s="29">
        <f>Workings_risks!G14</f>
        <v>2217.2331734080003</v>
      </c>
      <c r="L32" s="29">
        <f>Workings_risks!H14</f>
        <v>2275.534120624</v>
      </c>
      <c r="M32" s="29">
        <f>Workings_risks!I14</f>
        <v>2334.4567369599999</v>
      </c>
      <c r="N32" s="29">
        <f>Workings_risks!J14</f>
        <v>2393.998165088</v>
      </c>
      <c r="O32" s="29">
        <f>Workings_risks!K14</f>
        <v>2454.1557346079999</v>
      </c>
      <c r="P32" s="29">
        <f>Workings_risks!L14</f>
        <v>2514.926695008</v>
      </c>
      <c r="Q32" s="29">
        <f>Workings_risks!M14</f>
        <v>2576.3084292959998</v>
      </c>
      <c r="R32" s="29">
        <f>Workings_risks!N14</f>
        <v>2638.2983738879998</v>
      </c>
      <c r="S32" s="29">
        <f>Workings_risks!O14</f>
        <v>2700.8939117920004</v>
      </c>
      <c r="T32" s="29">
        <f>Workings_risks!P14</f>
        <v>2764.0925862399999</v>
      </c>
      <c r="U32" s="29">
        <f>Workings_risks!Q14</f>
        <v>2827.8919404640005</v>
      </c>
      <c r="V32" s="29">
        <f>Workings_risks!R14</f>
        <v>2892.2895711040005</v>
      </c>
      <c r="W32" s="29">
        <f>Workings_risks!S14</f>
        <v>2957.2830748000001</v>
      </c>
      <c r="X32" s="29">
        <f>Workings_risks!T14</f>
        <v>3022.870128304</v>
      </c>
      <c r="Y32" s="29">
        <f>Workings_risks!U14</f>
        <v>3089.0484350720003</v>
      </c>
      <c r="Z32" s="29">
        <f>Workings_risks!V14</f>
        <v>3155.8157786720003</v>
      </c>
      <c r="AA32" s="29">
        <f>Workings_risks!W14</f>
        <v>3223.1698892639997</v>
      </c>
      <c r="AB32" s="29">
        <f>Workings_risks!X14</f>
        <v>3291.1086038240001</v>
      </c>
      <c r="AC32" s="29">
        <f>Workings_risks!Y14</f>
        <v>3359.6297593280005</v>
      </c>
      <c r="AD32" s="29">
        <f>Workings_risks!Z14</f>
        <v>3428.7312728639999</v>
      </c>
      <c r="AE32" s="29">
        <f>Workings_risks!AA14</f>
        <v>3428.7312728639999</v>
      </c>
      <c r="AF32" s="29">
        <f>Workings_risks!AB14</f>
        <v>3428.7312728639999</v>
      </c>
      <c r="AG32" s="29">
        <f>Workings_risks!AC14</f>
        <v>3428.7312728639999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1" t="str">
        <f>Workings_risks!D15</f>
        <v>Environmental risk</v>
      </c>
      <c r="D33" s="179"/>
      <c r="E33"/>
      <c r="G33" s="181">
        <f>input_dollars</f>
        <v>45291</v>
      </c>
      <c r="H33"/>
      <c r="I33" s="29">
        <f>Workings_risks!E15</f>
        <v>4505.3416666666672</v>
      </c>
      <c r="J33" s="29">
        <f>Workings_risks!F15</f>
        <v>4505.3416666666672</v>
      </c>
      <c r="K33" s="29">
        <f>Workings_risks!G15</f>
        <v>4505.3416666666672</v>
      </c>
      <c r="L33" s="29">
        <f>Workings_risks!H15</f>
        <v>4505.3416666666672</v>
      </c>
      <c r="M33" s="29">
        <f>Workings_risks!I15</f>
        <v>4505.3416666666672</v>
      </c>
      <c r="N33" s="29">
        <f>Workings_risks!J15</f>
        <v>4505.3416666666672</v>
      </c>
      <c r="O33" s="29">
        <f>Workings_risks!K15</f>
        <v>4505.3416666666672</v>
      </c>
      <c r="P33" s="29">
        <f>Workings_risks!L15</f>
        <v>4505.3416666666672</v>
      </c>
      <c r="Q33" s="29">
        <f>Workings_risks!M15</f>
        <v>4505.3416666666672</v>
      </c>
      <c r="R33" s="29">
        <f>Workings_risks!N15</f>
        <v>4505.3416666666672</v>
      </c>
      <c r="S33" s="29">
        <f>Workings_risks!O15</f>
        <v>4505.3416666666672</v>
      </c>
      <c r="T33" s="29">
        <f>Workings_risks!P15</f>
        <v>4505.3416666666672</v>
      </c>
      <c r="U33" s="29">
        <f>Workings_risks!Q15</f>
        <v>4505.3416666666672</v>
      </c>
      <c r="V33" s="29">
        <f>Workings_risks!R15</f>
        <v>4505.3416666666672</v>
      </c>
      <c r="W33" s="29">
        <f>Workings_risks!S15</f>
        <v>4505.3416666666672</v>
      </c>
      <c r="X33" s="29">
        <f>Workings_risks!T15</f>
        <v>4505.3416666666672</v>
      </c>
      <c r="Y33" s="29">
        <f>Workings_risks!U15</f>
        <v>4505.3416666666672</v>
      </c>
      <c r="Z33" s="29">
        <f>Workings_risks!V15</f>
        <v>4505.3416666666672</v>
      </c>
      <c r="AA33" s="29">
        <f>Workings_risks!W15</f>
        <v>4505.3416666666672</v>
      </c>
      <c r="AB33" s="29">
        <f>Workings_risks!X15</f>
        <v>4505.3416666666672</v>
      </c>
      <c r="AC33" s="29">
        <f>Workings_risks!Y15</f>
        <v>4505.3416666666672</v>
      </c>
      <c r="AD33" s="29">
        <f>Workings_risks!Z15</f>
        <v>4505.3416666666672</v>
      </c>
      <c r="AE33" s="29">
        <f>Workings_risks!AA15</f>
        <v>4505.3416666666672</v>
      </c>
      <c r="AF33" s="29">
        <f>Workings_risks!AB15</f>
        <v>4505.3416666666672</v>
      </c>
      <c r="AG33" s="29">
        <f>Workings_risks!AC15</f>
        <v>4505.3416666666672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D34" s="180"/>
      <c r="E34"/>
      <c r="G34" s="181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</row>
    <row r="35" spans="1:16372" x14ac:dyDescent="0.2">
      <c r="C35" s="3" t="s">
        <v>121</v>
      </c>
      <c r="D35" s="191"/>
      <c r="E35" s="94"/>
      <c r="F35" s="3"/>
      <c r="G35" s="183"/>
      <c r="H35" s="94"/>
      <c r="I35" s="93">
        <f>SUM(I28:I33)</f>
        <v>934012.97209446051</v>
      </c>
      <c r="J35" s="93">
        <f>SUM(J28:J33)</f>
        <v>1016439.7709848346</v>
      </c>
      <c r="K35" s="93">
        <f>SUM(K28:K33)</f>
        <v>1043270.0756065007</v>
      </c>
      <c r="L35" s="93">
        <f>SUM(L28:L33)</f>
        <v>1063308.7697976287</v>
      </c>
      <c r="M35" s="93">
        <f>SUM(M28:M33)</f>
        <v>1091997.9224091698</v>
      </c>
      <c r="N35" s="93">
        <f>SUM(N28:N33)</f>
        <v>1131635.9878648478</v>
      </c>
      <c r="O35" s="93">
        <f>SUM(O28:O33)</f>
        <v>1189813.6270338362</v>
      </c>
      <c r="P35" s="93">
        <f>SUM(P28:P33)</f>
        <v>1248781.7645809641</v>
      </c>
      <c r="Q35" s="93">
        <f>SUM(Q28:Q33)</f>
        <v>1295105.7830320932</v>
      </c>
      <c r="R35" s="93">
        <f>SUM(R28:R33)</f>
        <v>1326292.9676039121</v>
      </c>
      <c r="S35" s="93">
        <f>SUM(S28:S33)</f>
        <v>1357791.1852635671</v>
      </c>
      <c r="T35" s="93">
        <f>SUM(T28:T33)</f>
        <v>1389599.3848329925</v>
      </c>
      <c r="U35" s="93">
        <f>SUM(U28:U33)</f>
        <v>1421716.5159058427</v>
      </c>
      <c r="V35" s="93">
        <f>SUM(V28:V33)</f>
        <v>1454141.5557178007</v>
      </c>
      <c r="W35" s="93">
        <f>SUM(W28:W33)</f>
        <v>1486873.4822507822</v>
      </c>
      <c r="X35" s="93">
        <f>SUM(X28:X33)</f>
        <v>1519911.3145682297</v>
      </c>
      <c r="Y35" s="93">
        <f>SUM(Y28:Y33)</f>
        <v>1553254.0859234687</v>
      </c>
      <c r="Z35" s="93">
        <f>SUM(Z28:Z33)</f>
        <v>1586900.8706691845</v>
      </c>
      <c r="AA35" s="93">
        <f>SUM(AA28:AA33)</f>
        <v>1620850.7169712104</v>
      </c>
      <c r="AB35" s="93">
        <f>SUM(AB28:AB33)</f>
        <v>1655102.7275451699</v>
      </c>
      <c r="AC35" s="93">
        <f>SUM(AC28:AC33)</f>
        <v>1689656.0058242243</v>
      </c>
      <c r="AD35" s="93">
        <f>SUM(AD28:AD33)</f>
        <v>1724509.6963502034</v>
      </c>
      <c r="AE35" s="93">
        <f>SUM(AE28:AE33)</f>
        <v>1758769.54510158</v>
      </c>
      <c r="AF35" s="93">
        <f>SUM(AF28:AF33)</f>
        <v>1793320.7096551645</v>
      </c>
      <c r="AG35" s="93">
        <f>SUM(AG28:AG33)</f>
        <v>1828162.4158879207</v>
      </c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D36"/>
      <c r="E36"/>
      <c r="G36" s="181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5" x14ac:dyDescent="0.2">
      <c r="A37" s="78" t="s">
        <v>122</v>
      </c>
      <c r="B37" s="78"/>
      <c r="C37" s="78"/>
      <c r="D37" s="78"/>
      <c r="E37" s="78"/>
      <c r="F37" s="78"/>
      <c r="G37" s="1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D38"/>
      <c r="E38"/>
      <c r="G38" s="181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25">
      <c r="C40" s="1" t="s">
        <v>123</v>
      </c>
      <c r="G40" s="179" t="s">
        <v>117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29">
        <v>0</v>
      </c>
      <c r="AG40" s="29">
        <v>0</v>
      </c>
    </row>
    <row r="41" spans="1:16372" ht="13.5" x14ac:dyDescent="0.25">
      <c r="C41" s="1" t="s">
        <v>124</v>
      </c>
      <c r="G41" s="179" t="s">
        <v>125</v>
      </c>
      <c r="I41" s="28">
        <f>I40*I7</f>
        <v>0</v>
      </c>
      <c r="J41" s="28">
        <f>J40*J7</f>
        <v>0</v>
      </c>
      <c r="K41" s="28">
        <f>K40*K7</f>
        <v>0</v>
      </c>
      <c r="L41" s="28">
        <f>L40*L7</f>
        <v>0</v>
      </c>
      <c r="M41" s="28">
        <f>M40*M7</f>
        <v>0</v>
      </c>
      <c r="N41" s="28">
        <f>N40*N7</f>
        <v>0</v>
      </c>
      <c r="O41" s="28">
        <f>O40*O7</f>
        <v>0</v>
      </c>
      <c r="P41" s="28">
        <f>P40*P7</f>
        <v>0</v>
      </c>
      <c r="Q41" s="28">
        <f>Q40*Q7</f>
        <v>0</v>
      </c>
      <c r="R41" s="28">
        <f>R40*R7</f>
        <v>0</v>
      </c>
      <c r="S41" s="28">
        <f>S40*S7</f>
        <v>0</v>
      </c>
      <c r="T41" s="28">
        <f>T40*T7</f>
        <v>0</v>
      </c>
      <c r="U41" s="28">
        <f>U40*U7</f>
        <v>0</v>
      </c>
      <c r="V41" s="28">
        <f>V40*V7</f>
        <v>0</v>
      </c>
      <c r="W41" s="28">
        <f>W40*W7</f>
        <v>0</v>
      </c>
      <c r="X41" s="28">
        <f>X40*X7</f>
        <v>0</v>
      </c>
      <c r="Y41" s="28">
        <f>Y40*Y7</f>
        <v>0</v>
      </c>
      <c r="Z41" s="28">
        <f>Z40*Z7</f>
        <v>0</v>
      </c>
      <c r="AA41" s="28">
        <f>AA40*AA7</f>
        <v>0</v>
      </c>
      <c r="AB41" s="28">
        <f>AB40*AB7</f>
        <v>0</v>
      </c>
      <c r="AC41" s="28">
        <f>AC40*AC7</f>
        <v>0</v>
      </c>
      <c r="AD41" s="28">
        <f>AD40*AD7</f>
        <v>0</v>
      </c>
      <c r="AE41" s="28">
        <f>AE40*AE7</f>
        <v>0</v>
      </c>
      <c r="AF41" s="28">
        <f>AF40*AF7</f>
        <v>0</v>
      </c>
      <c r="AG41" s="28">
        <f>AG40*AG7</f>
        <v>0</v>
      </c>
    </row>
    <row r="42" spans="1:16372" x14ac:dyDescent="0.2">
      <c r="D42"/>
      <c r="E42"/>
      <c r="G42" s="181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 s="180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C44" s="1" t="s">
        <v>126</v>
      </c>
      <c r="D44" s="179" t="s">
        <v>108</v>
      </c>
      <c r="E44" s="100">
        <f>Assumptions!G94</f>
        <v>0</v>
      </c>
      <c r="G44" s="181" t="s">
        <v>117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  <c r="AF44" s="29">
        <v>0</v>
      </c>
      <c r="AG44" s="29">
        <v>0</v>
      </c>
    </row>
    <row r="45" spans="1:16372" x14ac:dyDescent="0.2">
      <c r="C45" s="1" t="s">
        <v>127</v>
      </c>
      <c r="D45" s="179" t="s">
        <v>108</v>
      </c>
      <c r="E45" s="100">
        <f>Assumptions!G95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128</v>
      </c>
      <c r="D46" s="179" t="s">
        <v>108</v>
      </c>
      <c r="E46" s="99">
        <f>Assumptions!G96</f>
        <v>4220.9953699573898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129</v>
      </c>
      <c r="D47" s="179" t="s">
        <v>130</v>
      </c>
      <c r="E47" s="99">
        <f>Assumptions!G97</f>
        <v>0</v>
      </c>
      <c r="G47" s="181" t="s">
        <v>131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132</v>
      </c>
      <c r="D48" s="179" t="s">
        <v>133</v>
      </c>
      <c r="E48" s="99">
        <f>Assumptions!G98</f>
        <v>0.54769380678923496</v>
      </c>
      <c r="G48" s="181" t="s">
        <v>134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135</v>
      </c>
      <c r="D49" s="179" t="s">
        <v>133</v>
      </c>
      <c r="E49" s="99">
        <f>Assumptions!G99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136</v>
      </c>
      <c r="D50" s="179" t="s">
        <v>130</v>
      </c>
      <c r="E50" s="99">
        <f>Assumptions!G100</f>
        <v>0</v>
      </c>
      <c r="G50" s="181" t="s">
        <v>131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137</v>
      </c>
      <c r="D51" s="179" t="s">
        <v>130</v>
      </c>
      <c r="E51" s="99">
        <f>Assumptions!G101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D52" s="179"/>
      <c r="G52" s="181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</row>
    <row r="53" spans="1:43" x14ac:dyDescent="0.2">
      <c r="C53" s="1" t="s">
        <v>138</v>
      </c>
      <c r="D53" s="179"/>
      <c r="G53" s="181">
        <f>input_dollars</f>
        <v>45291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</row>
    <row r="54" spans="1:43" x14ac:dyDescent="0.2">
      <c r="C54" s="1" t="s">
        <v>139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D55" s="179"/>
      <c r="G55" s="179"/>
    </row>
    <row r="56" spans="1:43" x14ac:dyDescent="0.2">
      <c r="C56" s="3" t="s">
        <v>140</v>
      </c>
      <c r="D56" s="191"/>
      <c r="E56" s="94"/>
      <c r="F56" s="3"/>
      <c r="G56" s="184">
        <f>input_dollars</f>
        <v>45291</v>
      </c>
      <c r="H56" s="94"/>
      <c r="I56" s="93" cm="1">
        <f t="array" ref="I56">SUMPRODUCT((I$44:I$51)*($E$44:$E$51))+SUM(I53:I54)+I41</f>
        <v>0</v>
      </c>
      <c r="J56" s="93" cm="1">
        <f t="array" ref="J56">SUMPRODUCT((J$44:J$51)*($E$44:$E$51))+SUM(J53:J54)+J41</f>
        <v>0</v>
      </c>
      <c r="K56" s="93" cm="1">
        <f t="array" ref="K56">SUMPRODUCT((K$44:K$51)*($E$44:$E$51))+SUM(K53:K54)+K41</f>
        <v>0</v>
      </c>
      <c r="L56" s="93" cm="1">
        <f t="array" ref="L56">SUMPRODUCT((L$44:L$51)*($E$44:$E$51))+SUM(L53:L54)+L41</f>
        <v>0</v>
      </c>
      <c r="M56" s="93" cm="1">
        <f t="array" ref="M56">SUMPRODUCT((M$44:M$51)*($E$44:$E$51))+SUM(M53:M54)+M41</f>
        <v>0</v>
      </c>
      <c r="N56" s="93" cm="1">
        <f t="array" ref="N56">SUMPRODUCT((N$44:N$51)*($E$44:$E$51))+SUM(N53:N54)+N41</f>
        <v>0</v>
      </c>
      <c r="O56" s="93" cm="1">
        <f t="array" ref="O56">SUMPRODUCT((O$44:O$51)*($E$44:$E$51))+SUM(O53:O54)+O41</f>
        <v>0</v>
      </c>
      <c r="P56" s="93" cm="1">
        <f t="array" ref="P56">SUMPRODUCT((P$44:P$51)*($E$44:$E$51))+SUM(P53:P54)+P41</f>
        <v>0</v>
      </c>
      <c r="Q56" s="93" cm="1">
        <f t="array" ref="Q56">SUMPRODUCT((Q$44:Q$51)*($E$44:$E$51))+SUM(Q53:Q54)+Q41</f>
        <v>0</v>
      </c>
      <c r="R56" s="93" cm="1">
        <f t="array" ref="R56">SUMPRODUCT((R$44:R$51)*($E$44:$E$51))+SUM(R53:R54)+R41</f>
        <v>0</v>
      </c>
      <c r="S56" s="93" cm="1">
        <f t="array" ref="S56">SUMPRODUCT((S$44:S$51)*($E$44:$E$51))+SUM(S53:S54)+S41</f>
        <v>0</v>
      </c>
      <c r="T56" s="93" cm="1">
        <f t="array" ref="T56">SUMPRODUCT((T$44:T$51)*($E$44:$E$51))+SUM(T53:T54)+T41</f>
        <v>0</v>
      </c>
      <c r="U56" s="93" cm="1">
        <f t="array" ref="U56">SUMPRODUCT((U$44:U$51)*($E$44:$E$51))+SUM(U53:U54)+U41</f>
        <v>0</v>
      </c>
      <c r="V56" s="93" cm="1">
        <f t="array" ref="V56">SUMPRODUCT((V$44:V$51)*($E$44:$E$51))+SUM(V53:V54)+V41</f>
        <v>0</v>
      </c>
      <c r="W56" s="93" cm="1">
        <f t="array" ref="W56">SUMPRODUCT((W$44:W$51)*($E$44:$E$51))+SUM(W53:W54)+W41</f>
        <v>0</v>
      </c>
      <c r="X56" s="93" cm="1">
        <f t="array" ref="X56">SUMPRODUCT((X$44:X$51)*($E$44:$E$51))+SUM(X53:X54)+X41</f>
        <v>0</v>
      </c>
      <c r="Y56" s="93" cm="1">
        <f t="array" ref="Y56">SUMPRODUCT((Y$44:Y$51)*($E$44:$E$51))+SUM(Y53:Y54)+Y41</f>
        <v>0</v>
      </c>
      <c r="Z56" s="93" cm="1">
        <f t="array" ref="Z56">SUMPRODUCT((Z$44:Z$51)*($E$44:$E$51))+SUM(Z53:Z54)+Z41</f>
        <v>0</v>
      </c>
      <c r="AA56" s="93" cm="1">
        <f t="array" ref="AA56">SUMPRODUCT((AA$44:AA$51)*($E$44:$E$51))+SUM(AA53:AA54)+AA41</f>
        <v>0</v>
      </c>
      <c r="AB56" s="93" cm="1">
        <f t="array" ref="AB56">SUMPRODUCT((AB$44:AB$51)*($E$44:$E$51))+SUM(AB53:AB54)+AB41</f>
        <v>0</v>
      </c>
      <c r="AC56" s="93" cm="1">
        <f t="array" ref="AC56">SUMPRODUCT((AC$44:AC$51)*($E$44:$E$51))+SUM(AC53:AC54)+AC41</f>
        <v>0</v>
      </c>
      <c r="AD56" s="93" cm="1">
        <f t="array" ref="AD56">SUMPRODUCT((AD$44:AD$51)*($E$44:$E$51))+SUM(AD53:AD54)+AD41</f>
        <v>0</v>
      </c>
      <c r="AE56" s="93" cm="1">
        <f t="array" ref="AE56">SUMPRODUCT((AE$44:AE$51)*($E$44:$E$51))+SUM(AE53:AE54)+AE41</f>
        <v>0</v>
      </c>
      <c r="AF56" s="93" cm="1">
        <f t="array" ref="AF56">SUMPRODUCT((AF$44:AF$51)*($E$44:$E$51))+SUM(AF53:AF54)+AF41</f>
        <v>0</v>
      </c>
      <c r="AG56" s="93" cm="1">
        <f t="array" ref="AG56">SUMPRODUCT((AG$44:AG$51)*($E$44:$E$51))+SUM(AG53:AG54)+AG41</f>
        <v>0</v>
      </c>
    </row>
    <row r="57" spans="1:43" x14ac:dyDescent="0.2">
      <c r="D57" s="179"/>
      <c r="G57" s="179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</row>
    <row r="58" spans="1:43" x14ac:dyDescent="0.2"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ht="15" x14ac:dyDescent="0.2">
      <c r="A59" s="78" t="s">
        <v>23</v>
      </c>
      <c r="B59" s="78"/>
      <c r="C59" s="78"/>
      <c r="D59" s="78"/>
      <c r="E59" s="78"/>
      <c r="F59" s="78"/>
      <c r="G59" s="1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/>
      <c r="AI59"/>
      <c r="AJ59"/>
      <c r="AK59"/>
      <c r="AL59"/>
      <c r="AM59"/>
      <c r="AN59"/>
      <c r="AO59"/>
      <c r="AP59"/>
      <c r="AQ59"/>
    </row>
    <row r="60" spans="1:43" ht="15" x14ac:dyDescent="0.2">
      <c r="A60" s="98"/>
      <c r="B60" s="98"/>
      <c r="C60" s="98"/>
      <c r="D60" s="98"/>
      <c r="E60" s="98"/>
      <c r="F60" s="98"/>
      <c r="G60" s="182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/>
      <c r="AI60"/>
      <c r="AJ60"/>
      <c r="AK60"/>
      <c r="AL60"/>
      <c r="AM60"/>
      <c r="AN60"/>
      <c r="AO60"/>
      <c r="AP60"/>
      <c r="AQ60"/>
    </row>
    <row r="61" spans="1:43" ht="12.75" customHeight="1" x14ac:dyDescent="0.2">
      <c r="A61" s="98"/>
      <c r="B61" s="98"/>
      <c r="C61" s="98"/>
      <c r="D61" s="98"/>
      <c r="E61" s="98"/>
      <c r="F61"/>
      <c r="G61" s="185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:43" x14ac:dyDescent="0.2">
      <c r="C62" s="4"/>
      <c r="F62" s="2"/>
      <c r="G62" s="186"/>
    </row>
    <row r="63" spans="1:43" x14ac:dyDescent="0.2">
      <c r="C63" s="4" t="s">
        <v>141</v>
      </c>
      <c r="G63" s="184">
        <f>input_dollars</f>
        <v>45291</v>
      </c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</row>
    <row r="64" spans="1:43" x14ac:dyDescent="0.2">
      <c r="G64" s="186"/>
    </row>
    <row r="65" spans="1:33" x14ac:dyDescent="0.2">
      <c r="A65" s="6"/>
      <c r="B65" s="6"/>
      <c r="C65" s="125" t="s">
        <v>32</v>
      </c>
      <c r="D65" s="34"/>
      <c r="F65" s="84"/>
      <c r="G65" s="187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</row>
    <row r="66" spans="1:33" x14ac:dyDescent="0.2">
      <c r="A66" s="6"/>
      <c r="B66" s="6"/>
      <c r="C66" s="4" t="str">
        <f>C14</f>
        <v>&lt; Enter description &gt;</v>
      </c>
      <c r="D66" s="34"/>
      <c r="F66" s="84"/>
      <c r="G66" s="184">
        <f>input_dollars</f>
        <v>45291</v>
      </c>
      <c r="H66" s="28"/>
      <c r="I66" s="28">
        <f>-I14</f>
        <v>0</v>
      </c>
      <c r="J66" s="28">
        <f>-J14</f>
        <v>0</v>
      </c>
      <c r="K66" s="28">
        <f>-K14</f>
        <v>0</v>
      </c>
      <c r="L66" s="28">
        <f>-L14</f>
        <v>0</v>
      </c>
      <c r="M66" s="28">
        <f>-M14</f>
        <v>0</v>
      </c>
      <c r="N66" s="28">
        <f>-N14</f>
        <v>0</v>
      </c>
      <c r="O66" s="28">
        <f>-O14</f>
        <v>0</v>
      </c>
      <c r="P66" s="28">
        <f>-P14</f>
        <v>0</v>
      </c>
      <c r="Q66" s="28">
        <f>-Q14</f>
        <v>0</v>
      </c>
      <c r="R66" s="28">
        <f>-R14</f>
        <v>0</v>
      </c>
      <c r="S66" s="28">
        <f>-S14</f>
        <v>0</v>
      </c>
      <c r="T66" s="28">
        <f>-T14</f>
        <v>0</v>
      </c>
      <c r="U66" s="28">
        <f>-U14</f>
        <v>0</v>
      </c>
      <c r="V66" s="28">
        <f>-V14</f>
        <v>0</v>
      </c>
      <c r="W66" s="28">
        <f>-W14</f>
        <v>0</v>
      </c>
      <c r="X66" s="28">
        <f>-X14</f>
        <v>0</v>
      </c>
      <c r="Y66" s="28">
        <f>-Y14</f>
        <v>0</v>
      </c>
      <c r="Z66" s="28">
        <f>-Z14</f>
        <v>0</v>
      </c>
      <c r="AA66" s="28">
        <f>-AA14</f>
        <v>0</v>
      </c>
      <c r="AB66" s="28">
        <f>-AB14</f>
        <v>0</v>
      </c>
      <c r="AC66" s="28">
        <f>-AC14</f>
        <v>0</v>
      </c>
      <c r="AD66" s="28">
        <f>-AD14</f>
        <v>0</v>
      </c>
      <c r="AE66" s="28">
        <f>-AE14</f>
        <v>0</v>
      </c>
      <c r="AF66" s="28">
        <f>-AF14</f>
        <v>0</v>
      </c>
      <c r="AG66" s="28">
        <f>-AG14</f>
        <v>0</v>
      </c>
    </row>
    <row r="67" spans="1:33" x14ac:dyDescent="0.2">
      <c r="A67" s="6"/>
      <c r="B67" s="6"/>
      <c r="C67" s="4" t="str">
        <f>C15</f>
        <v>&lt; Enter description &gt;</v>
      </c>
      <c r="D67" s="34"/>
      <c r="F67" s="84"/>
      <c r="G67" s="184">
        <f>input_dollars</f>
        <v>45291</v>
      </c>
      <c r="H67" s="28"/>
      <c r="I67" s="28">
        <f>-I15</f>
        <v>0</v>
      </c>
      <c r="J67" s="28">
        <f>-J15</f>
        <v>0</v>
      </c>
      <c r="K67" s="28">
        <f>-K15</f>
        <v>0</v>
      </c>
      <c r="L67" s="28">
        <f>-L15</f>
        <v>0</v>
      </c>
      <c r="M67" s="28">
        <f>-M15</f>
        <v>0</v>
      </c>
      <c r="N67" s="28">
        <f>-N15</f>
        <v>0</v>
      </c>
      <c r="O67" s="28">
        <f>-O15</f>
        <v>0</v>
      </c>
      <c r="P67" s="28">
        <f>-P15</f>
        <v>0</v>
      </c>
      <c r="Q67" s="28">
        <f>-Q15</f>
        <v>0</v>
      </c>
      <c r="R67" s="28">
        <f>-R15</f>
        <v>0</v>
      </c>
      <c r="S67" s="28">
        <f>-S15</f>
        <v>0</v>
      </c>
      <c r="T67" s="28">
        <f>-T15</f>
        <v>0</v>
      </c>
      <c r="U67" s="28">
        <f>-U15</f>
        <v>0</v>
      </c>
      <c r="V67" s="28">
        <f>-V15</f>
        <v>0</v>
      </c>
      <c r="W67" s="28">
        <f>-W15</f>
        <v>0</v>
      </c>
      <c r="X67" s="28">
        <f>-X15</f>
        <v>0</v>
      </c>
      <c r="Y67" s="28">
        <f>-Y15</f>
        <v>0</v>
      </c>
      <c r="Z67" s="28">
        <f>-Z15</f>
        <v>0</v>
      </c>
      <c r="AA67" s="28">
        <f>-AA15</f>
        <v>0</v>
      </c>
      <c r="AB67" s="28">
        <f>-AB15</f>
        <v>0</v>
      </c>
      <c r="AC67" s="28">
        <f>-AC15</f>
        <v>0</v>
      </c>
      <c r="AD67" s="28">
        <f>-AD15</f>
        <v>0</v>
      </c>
      <c r="AE67" s="28">
        <f>-AE15</f>
        <v>0</v>
      </c>
      <c r="AF67" s="28">
        <f>-AF15</f>
        <v>0</v>
      </c>
      <c r="AG67" s="28">
        <f>-AG15</f>
        <v>0</v>
      </c>
    </row>
    <row r="68" spans="1:33" x14ac:dyDescent="0.2">
      <c r="A68" s="6"/>
      <c r="B68" s="6"/>
      <c r="C68" s="4" t="str">
        <f>C16</f>
        <v>&lt; Enter description &gt;</v>
      </c>
      <c r="D68" s="34"/>
      <c r="F68" s="84"/>
      <c r="G68" s="184">
        <f>input_dollars</f>
        <v>45291</v>
      </c>
      <c r="H68" s="28"/>
      <c r="I68" s="28">
        <f>-I16</f>
        <v>0</v>
      </c>
      <c r="J68" s="28">
        <f>-J16</f>
        <v>0</v>
      </c>
      <c r="K68" s="28">
        <f>-K16</f>
        <v>0</v>
      </c>
      <c r="L68" s="28">
        <f>-L16</f>
        <v>0</v>
      </c>
      <c r="M68" s="28">
        <f>-M16</f>
        <v>0</v>
      </c>
      <c r="N68" s="28">
        <f>-N16</f>
        <v>0</v>
      </c>
      <c r="O68" s="28">
        <f>-O16</f>
        <v>0</v>
      </c>
      <c r="P68" s="28">
        <f>-P16</f>
        <v>0</v>
      </c>
      <c r="Q68" s="28">
        <f>-Q16</f>
        <v>0</v>
      </c>
      <c r="R68" s="28">
        <f>-R16</f>
        <v>0</v>
      </c>
      <c r="S68" s="28">
        <f>-S16</f>
        <v>0</v>
      </c>
      <c r="T68" s="28">
        <f>-T16</f>
        <v>0</v>
      </c>
      <c r="U68" s="28">
        <f>-U16</f>
        <v>0</v>
      </c>
      <c r="V68" s="28">
        <f>-V16</f>
        <v>0</v>
      </c>
      <c r="W68" s="28">
        <f>-W16</f>
        <v>0</v>
      </c>
      <c r="X68" s="28">
        <f>-X16</f>
        <v>0</v>
      </c>
      <c r="Y68" s="28">
        <f>-Y16</f>
        <v>0</v>
      </c>
      <c r="Z68" s="28">
        <f>-Z16</f>
        <v>0</v>
      </c>
      <c r="AA68" s="28">
        <f>-AA16</f>
        <v>0</v>
      </c>
      <c r="AB68" s="28">
        <f>-AB16</f>
        <v>0</v>
      </c>
      <c r="AC68" s="28">
        <f>-AC16</f>
        <v>0</v>
      </c>
      <c r="AD68" s="28">
        <f>-AD16</f>
        <v>0</v>
      </c>
      <c r="AE68" s="28">
        <f>-AE16</f>
        <v>0</v>
      </c>
      <c r="AF68" s="28">
        <f>-AF16</f>
        <v>0</v>
      </c>
      <c r="AG68" s="28">
        <f>-AG16</f>
        <v>0</v>
      </c>
    </row>
    <row r="69" spans="1:33" x14ac:dyDescent="0.2">
      <c r="A69" s="6"/>
      <c r="B69" s="6"/>
      <c r="C69" s="4"/>
      <c r="D69" s="34"/>
      <c r="F69" s="84"/>
      <c r="G69" s="18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x14ac:dyDescent="0.2">
      <c r="A70" s="6"/>
      <c r="B70" s="6"/>
      <c r="C70" s="125" t="s">
        <v>142</v>
      </c>
      <c r="D70" s="34"/>
      <c r="F70" s="84"/>
      <c r="G70" s="187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4" t="str">
        <f>C14</f>
        <v>&lt; Enter description &gt;</v>
      </c>
      <c r="D71" s="34"/>
      <c r="F71" s="84"/>
      <c r="G71" s="184">
        <f>input_dollars</f>
        <v>45291</v>
      </c>
      <c r="H71" s="28"/>
      <c r="I71" s="28" cm="1">
        <f t="array" ref="I71">SUMPRODUCT(($I66:I66))-SUMPRODUCT(($I66:I66)*($I$6:I$6&lt;=(I$6-$E14)))</f>
        <v>0</v>
      </c>
      <c r="J71" s="28" cm="1">
        <f t="array" ref="J71">SUMPRODUCT(($I66:J66))-SUMPRODUCT(($I66:J66)*($I$6:J$6&lt;=(J$6-$E14)))</f>
        <v>0</v>
      </c>
      <c r="K71" s="28" cm="1">
        <f t="array" ref="K71">SUMPRODUCT(($I66:K66))-SUMPRODUCT(($I66:K66)*($I$6:K$6&lt;=(K$6-$E14)))</f>
        <v>0</v>
      </c>
      <c r="L71" s="28" cm="1">
        <f t="array" ref="L71">SUMPRODUCT(($I66:L66))-SUMPRODUCT(($I66:L66)*($I$6:L$6&lt;=(L$6-$E14)))</f>
        <v>0</v>
      </c>
      <c r="M71" s="28" cm="1">
        <f t="array" ref="M71">SUMPRODUCT(($I66:M66))-SUMPRODUCT(($I66:M66)*($I$6:M$6&lt;=(M$6-$E14)))</f>
        <v>0</v>
      </c>
      <c r="N71" s="28" cm="1">
        <f t="array" ref="N71">SUMPRODUCT(($I66:N66))-SUMPRODUCT(($I66:N66)*($I$6:N$6&lt;=(N$6-$E14)))</f>
        <v>0</v>
      </c>
      <c r="O71" s="28" cm="1">
        <f t="array" ref="O71">SUMPRODUCT(($I66:O66))-SUMPRODUCT(($I66:O66)*($I$6:O$6&lt;=(O$6-$E14)))</f>
        <v>0</v>
      </c>
      <c r="P71" s="28" cm="1">
        <f t="array" ref="P71">SUMPRODUCT(($I66:P66))-SUMPRODUCT(($I66:P66)*($I$6:P$6&lt;=(P$6-$E14)))</f>
        <v>0</v>
      </c>
      <c r="Q71" s="28" cm="1">
        <f t="array" ref="Q71">SUMPRODUCT(($I66:Q66))-SUMPRODUCT(($I66:Q66)*($I$6:Q$6&lt;=(Q$6-$E14)))</f>
        <v>0</v>
      </c>
      <c r="R71" s="28" cm="1">
        <f t="array" ref="R71">SUMPRODUCT(($I66:R66))-SUMPRODUCT(($I66:R66)*($I$6:R$6&lt;=(R$6-$E14)))</f>
        <v>0</v>
      </c>
      <c r="S71" s="28" cm="1">
        <f t="array" ref="S71">SUMPRODUCT(($I66:S66))-SUMPRODUCT(($I66:S66)*($I$6:S$6&lt;=(S$6-$E14)))</f>
        <v>0</v>
      </c>
      <c r="T71" s="28" cm="1">
        <f t="array" ref="T71">SUMPRODUCT(($I66:T66))-SUMPRODUCT(($I66:T66)*($I$6:T$6&lt;=(T$6-$E14)))</f>
        <v>0</v>
      </c>
      <c r="U71" s="28" cm="1">
        <f t="array" ref="U71">SUMPRODUCT(($I66:U66))-SUMPRODUCT(($I66:U66)*($I$6:U$6&lt;=(U$6-$E14)))</f>
        <v>0</v>
      </c>
      <c r="V71" s="28" cm="1">
        <f t="array" ref="V71">SUMPRODUCT(($I66:V66))-SUMPRODUCT(($I66:V66)*($I$6:V$6&lt;=(V$6-$E14)))</f>
        <v>0</v>
      </c>
      <c r="W71" s="28" cm="1">
        <f t="array" ref="W71">SUMPRODUCT(($I66:W66))-SUMPRODUCT(($I66:W66)*($I$6:W$6&lt;=(W$6-$E14)))</f>
        <v>0</v>
      </c>
      <c r="X71" s="28" cm="1">
        <f t="array" ref="X71">SUMPRODUCT(($I66:X66))-SUMPRODUCT(($I66:X66)*($I$6:X$6&lt;=(X$6-$E14)))</f>
        <v>0</v>
      </c>
      <c r="Y71" s="28" cm="1">
        <f t="array" ref="Y71">SUMPRODUCT(($I66:Y66))-SUMPRODUCT(($I66:Y66)*($I$6:Y$6&lt;=(Y$6-$E14)))</f>
        <v>0</v>
      </c>
      <c r="Z71" s="28" cm="1">
        <f t="array" ref="Z71">SUMPRODUCT(($I66:Z66))-SUMPRODUCT(($I66:Z66)*($I$6:Z$6&lt;=(Z$6-$E14)))</f>
        <v>0</v>
      </c>
      <c r="AA71" s="28" cm="1">
        <f t="array" ref="AA71">SUMPRODUCT(($I66:AA66))-SUMPRODUCT(($I66:AA66)*($I$6:AA$6&lt;=(AA$6-$E14)))</f>
        <v>0</v>
      </c>
      <c r="AB71" s="28" cm="1">
        <f t="array" ref="AB71">SUMPRODUCT(($I66:AB66))-SUMPRODUCT(($I66:AB66)*($I$6:AB$6&lt;=(AB$6-$E14)))</f>
        <v>0</v>
      </c>
      <c r="AC71" s="28" cm="1">
        <f t="array" ref="AC71">SUMPRODUCT(($I66:AC66))-SUMPRODUCT(($I66:AC66)*($I$6:AC$6&lt;=(AC$6-$E14)))</f>
        <v>0</v>
      </c>
      <c r="AD71" s="28" cm="1">
        <f t="array" ref="AD71">SUMPRODUCT(($I66:AD66))-SUMPRODUCT(($I66:AD66)*($I$6:AD$6&lt;=(AD$6-$E14)))</f>
        <v>0</v>
      </c>
      <c r="AE71" s="28" cm="1">
        <f t="array" ref="AE71">SUMPRODUCT(($I66:AE66))-SUMPRODUCT(($I66:AE66)*($I$6:AE$6&lt;=(AE$6-$E14)))</f>
        <v>0</v>
      </c>
      <c r="AF71" s="28" cm="1">
        <f t="array" ref="AF71">SUMPRODUCT(($I66:AF66))-SUMPRODUCT(($I66:AF66)*($I$6:AF$6&lt;=(AF$6-$E14)))</f>
        <v>0</v>
      </c>
      <c r="AG71" s="28" cm="1">
        <f t="array" ref="AG71">SUMPRODUCT(($I66:AG66))-SUMPRODUCT(($I66:AG66)*($I$6:AG$6&lt;=(AG$6-$E14)))</f>
        <v>0</v>
      </c>
    </row>
    <row r="72" spans="1:33" x14ac:dyDescent="0.2">
      <c r="A72" s="6"/>
      <c r="B72" s="6"/>
      <c r="C72" s="4" t="str">
        <f>C15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SUMPRODUCT(($I67:I67))-SUMPRODUCT(($I67:I67)*($I$6:I$6&lt;=(I$6-$E15)))</f>
        <v>0</v>
      </c>
      <c r="J72" s="28" cm="1">
        <f t="array" ref="J72">SUMPRODUCT(($I67:J67))-SUMPRODUCT(($I67:J67)*($I$6:J$6&lt;=(J$6-$E15)))</f>
        <v>0</v>
      </c>
      <c r="K72" s="28" cm="1">
        <f t="array" ref="K72">SUMPRODUCT(($I67:K67))-SUMPRODUCT(($I67:K67)*($I$6:K$6&lt;=(K$6-$E15)))</f>
        <v>0</v>
      </c>
      <c r="L72" s="28" cm="1">
        <f t="array" ref="L72">SUMPRODUCT(($I67:L67))-SUMPRODUCT(($I67:L67)*($I$6:L$6&lt;=(L$6-$E15)))</f>
        <v>0</v>
      </c>
      <c r="M72" s="28" cm="1">
        <f t="array" ref="M72">SUMPRODUCT(($I67:M67))-SUMPRODUCT(($I67:M67)*($I$6:M$6&lt;=(M$6-$E15)))</f>
        <v>0</v>
      </c>
      <c r="N72" s="28" cm="1">
        <f t="array" ref="N72">SUMPRODUCT(($I67:N67))-SUMPRODUCT(($I67:N67)*($I$6:N$6&lt;=(N$6-$E15)))</f>
        <v>0</v>
      </c>
      <c r="O72" s="28" cm="1">
        <f t="array" ref="O72">SUMPRODUCT(($I67:O67))-SUMPRODUCT(($I67:O67)*($I$6:O$6&lt;=(O$6-$E15)))</f>
        <v>0</v>
      </c>
      <c r="P72" s="28" cm="1">
        <f t="array" ref="P72">SUMPRODUCT(($I67:P67))-SUMPRODUCT(($I67:P67)*($I$6:P$6&lt;=(P$6-$E15)))</f>
        <v>0</v>
      </c>
      <c r="Q72" s="28" cm="1">
        <f t="array" ref="Q72">SUMPRODUCT(($I67:Q67))-SUMPRODUCT(($I67:Q67)*($I$6:Q$6&lt;=(Q$6-$E15)))</f>
        <v>0</v>
      </c>
      <c r="R72" s="28" cm="1">
        <f t="array" ref="R72">SUMPRODUCT(($I67:R67))-SUMPRODUCT(($I67:R67)*($I$6:R$6&lt;=(R$6-$E15)))</f>
        <v>0</v>
      </c>
      <c r="S72" s="28" cm="1">
        <f t="array" ref="S72">SUMPRODUCT(($I67:S67))-SUMPRODUCT(($I67:S67)*($I$6:S$6&lt;=(S$6-$E15)))</f>
        <v>0</v>
      </c>
      <c r="T72" s="28" cm="1">
        <f t="array" ref="T72">SUMPRODUCT(($I67:T67))-SUMPRODUCT(($I67:T67)*($I$6:T$6&lt;=(T$6-$E15)))</f>
        <v>0</v>
      </c>
      <c r="U72" s="28" cm="1">
        <f t="array" ref="U72">SUMPRODUCT(($I67:U67))-SUMPRODUCT(($I67:U67)*($I$6:U$6&lt;=(U$6-$E15)))</f>
        <v>0</v>
      </c>
      <c r="V72" s="28" cm="1">
        <f t="array" ref="V72">SUMPRODUCT(($I67:V67))-SUMPRODUCT(($I67:V67)*($I$6:V$6&lt;=(V$6-$E15)))</f>
        <v>0</v>
      </c>
      <c r="W72" s="28" cm="1">
        <f t="array" ref="W72">SUMPRODUCT(($I67:W67))-SUMPRODUCT(($I67:W67)*($I$6:W$6&lt;=(W$6-$E15)))</f>
        <v>0</v>
      </c>
      <c r="X72" s="28" cm="1">
        <f t="array" ref="X72">SUMPRODUCT(($I67:X67))-SUMPRODUCT(($I67:X67)*($I$6:X$6&lt;=(X$6-$E15)))</f>
        <v>0</v>
      </c>
      <c r="Y72" s="28" cm="1">
        <f t="array" ref="Y72">SUMPRODUCT(($I67:Y67))-SUMPRODUCT(($I67:Y67)*($I$6:Y$6&lt;=(Y$6-$E15)))</f>
        <v>0</v>
      </c>
      <c r="Z72" s="28" cm="1">
        <f t="array" ref="Z72">SUMPRODUCT(($I67:Z67))-SUMPRODUCT(($I67:Z67)*($I$6:Z$6&lt;=(Z$6-$E15)))</f>
        <v>0</v>
      </c>
      <c r="AA72" s="28" cm="1">
        <f t="array" ref="AA72">SUMPRODUCT(($I67:AA67))-SUMPRODUCT(($I67:AA67)*($I$6:AA$6&lt;=(AA$6-$E15)))</f>
        <v>0</v>
      </c>
      <c r="AB72" s="28" cm="1">
        <f t="array" ref="AB72">SUMPRODUCT(($I67:AB67))-SUMPRODUCT(($I67:AB67)*($I$6:AB$6&lt;=(AB$6-$E15)))</f>
        <v>0</v>
      </c>
      <c r="AC72" s="28" cm="1">
        <f t="array" ref="AC72">SUMPRODUCT(($I67:AC67))-SUMPRODUCT(($I67:AC67)*($I$6:AC$6&lt;=(AC$6-$E15)))</f>
        <v>0</v>
      </c>
      <c r="AD72" s="28" cm="1">
        <f t="array" ref="AD72">SUMPRODUCT(($I67:AD67))-SUMPRODUCT(($I67:AD67)*($I$6:AD$6&lt;=(AD$6-$E15)))</f>
        <v>0</v>
      </c>
      <c r="AE72" s="28" cm="1">
        <f t="array" ref="AE72">SUMPRODUCT(($I67:AE67))-SUMPRODUCT(($I67:AE67)*($I$6:AE$6&lt;=(AE$6-$E15)))</f>
        <v>0</v>
      </c>
      <c r="AF72" s="28" cm="1">
        <f t="array" ref="AF72">SUMPRODUCT(($I67:AF67))-SUMPRODUCT(($I67:AF67)*($I$6:AF$6&lt;=(AF$6-$E15)))</f>
        <v>0</v>
      </c>
      <c r="AG72" s="28" cm="1">
        <f t="array" ref="AG72">SUMPRODUCT(($I67:AG67))-SUMPRODUCT(($I67:AG67)*($I$6:AG$6&lt;=(AG$6-$E15)))</f>
        <v>0</v>
      </c>
    </row>
    <row r="73" spans="1:33" x14ac:dyDescent="0.2">
      <c r="A73" s="6"/>
      <c r="B73" s="6"/>
      <c r="C73" s="4" t="str">
        <f>C16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SUMPRODUCT(($I68:I68))-SUMPRODUCT(($I68:I68)*($I$6:I$6&lt;=(I$6-$E16)))</f>
        <v>0</v>
      </c>
      <c r="J73" s="28" cm="1">
        <f t="array" ref="J73">SUMPRODUCT(($I68:J68))-SUMPRODUCT(($I68:J68)*($I$6:J$6&lt;=(J$6-$E16)))</f>
        <v>0</v>
      </c>
      <c r="K73" s="28" cm="1">
        <f t="array" ref="K73">SUMPRODUCT(($I68:K68))-SUMPRODUCT(($I68:K68)*($I$6:K$6&lt;=(K$6-$E16)))</f>
        <v>0</v>
      </c>
      <c r="L73" s="28" cm="1">
        <f t="array" ref="L73">SUMPRODUCT(($I68:L68))-SUMPRODUCT(($I68:L68)*($I$6:L$6&lt;=(L$6-$E16)))</f>
        <v>0</v>
      </c>
      <c r="M73" s="28" cm="1">
        <f t="array" ref="M73">SUMPRODUCT(($I68:M68))-SUMPRODUCT(($I68:M68)*($I$6:M$6&lt;=(M$6-$E16)))</f>
        <v>0</v>
      </c>
      <c r="N73" s="28" cm="1">
        <f t="array" ref="N73">SUMPRODUCT(($I68:N68))-SUMPRODUCT(($I68:N68)*($I$6:N$6&lt;=(N$6-$E16)))</f>
        <v>0</v>
      </c>
      <c r="O73" s="28" cm="1">
        <f t="array" ref="O73">SUMPRODUCT(($I68:O68))-SUMPRODUCT(($I68:O68)*($I$6:O$6&lt;=(O$6-$E16)))</f>
        <v>0</v>
      </c>
      <c r="P73" s="28" cm="1">
        <f t="array" ref="P73">SUMPRODUCT(($I68:P68))-SUMPRODUCT(($I68:P68)*($I$6:P$6&lt;=(P$6-$E16)))</f>
        <v>0</v>
      </c>
      <c r="Q73" s="28" cm="1">
        <f t="array" ref="Q73">SUMPRODUCT(($I68:Q68))-SUMPRODUCT(($I68:Q68)*($I$6:Q$6&lt;=(Q$6-$E16)))</f>
        <v>0</v>
      </c>
      <c r="R73" s="28" cm="1">
        <f t="array" ref="R73">SUMPRODUCT(($I68:R68))-SUMPRODUCT(($I68:R68)*($I$6:R$6&lt;=(R$6-$E16)))</f>
        <v>0</v>
      </c>
      <c r="S73" s="28" cm="1">
        <f t="array" ref="S73">SUMPRODUCT(($I68:S68))-SUMPRODUCT(($I68:S68)*($I$6:S$6&lt;=(S$6-$E16)))</f>
        <v>0</v>
      </c>
      <c r="T73" s="28" cm="1">
        <f t="array" ref="T73">SUMPRODUCT(($I68:T68))-SUMPRODUCT(($I68:T68)*($I$6:T$6&lt;=(T$6-$E16)))</f>
        <v>0</v>
      </c>
      <c r="U73" s="28" cm="1">
        <f t="array" ref="U73">SUMPRODUCT(($I68:U68))-SUMPRODUCT(($I68:U68)*($I$6:U$6&lt;=(U$6-$E16)))</f>
        <v>0</v>
      </c>
      <c r="V73" s="28" cm="1">
        <f t="array" ref="V73">SUMPRODUCT(($I68:V68))-SUMPRODUCT(($I68:V68)*($I$6:V$6&lt;=(V$6-$E16)))</f>
        <v>0</v>
      </c>
      <c r="W73" s="28" cm="1">
        <f t="array" ref="W73">SUMPRODUCT(($I68:W68))-SUMPRODUCT(($I68:W68)*($I$6:W$6&lt;=(W$6-$E16)))</f>
        <v>0</v>
      </c>
      <c r="X73" s="28" cm="1">
        <f t="array" ref="X73">SUMPRODUCT(($I68:X68))-SUMPRODUCT(($I68:X68)*($I$6:X$6&lt;=(X$6-$E16)))</f>
        <v>0</v>
      </c>
      <c r="Y73" s="28" cm="1">
        <f t="array" ref="Y73">SUMPRODUCT(($I68:Y68))-SUMPRODUCT(($I68:Y68)*($I$6:Y$6&lt;=(Y$6-$E16)))</f>
        <v>0</v>
      </c>
      <c r="Z73" s="28" cm="1">
        <f t="array" ref="Z73">SUMPRODUCT(($I68:Z68))-SUMPRODUCT(($I68:Z68)*($I$6:Z$6&lt;=(Z$6-$E16)))</f>
        <v>0</v>
      </c>
      <c r="AA73" s="28" cm="1">
        <f t="array" ref="AA73">SUMPRODUCT(($I68:AA68))-SUMPRODUCT(($I68:AA68)*($I$6:AA$6&lt;=(AA$6-$E16)))</f>
        <v>0</v>
      </c>
      <c r="AB73" s="28" cm="1">
        <f t="array" ref="AB73">SUMPRODUCT(($I68:AB68))-SUMPRODUCT(($I68:AB68)*($I$6:AB$6&lt;=(AB$6-$E16)))</f>
        <v>0</v>
      </c>
      <c r="AC73" s="28" cm="1">
        <f t="array" ref="AC73">SUMPRODUCT(($I68:AC68))-SUMPRODUCT(($I68:AC68)*($I$6:AC$6&lt;=(AC$6-$E16)))</f>
        <v>0</v>
      </c>
      <c r="AD73" s="28" cm="1">
        <f t="array" ref="AD73">SUMPRODUCT(($I68:AD68))-SUMPRODUCT(($I68:AD68)*($I$6:AD$6&lt;=(AD$6-$E16)))</f>
        <v>0</v>
      </c>
      <c r="AE73" s="28" cm="1">
        <f t="array" ref="AE73">SUMPRODUCT(($I68:AE68))-SUMPRODUCT(($I68:AE68)*($I$6:AE$6&lt;=(AE$6-$E16)))</f>
        <v>0</v>
      </c>
      <c r="AF73" s="28" cm="1">
        <f t="array" ref="AF73">SUMPRODUCT(($I68:AF68))-SUMPRODUCT(($I68:AF68)*($I$6:AF$6&lt;=(AF$6-$E16)))</f>
        <v>0</v>
      </c>
      <c r="AG73" s="28" cm="1">
        <f t="array" ref="AG73">SUMPRODUCT(($I68:AG68))-SUMPRODUCT(($I68:AG68)*($I$6:AG$6&lt;=(AG$6-$E16)))</f>
        <v>0</v>
      </c>
    </row>
    <row r="74" spans="1:33" x14ac:dyDescent="0.2">
      <c r="A74" s="6"/>
      <c r="B74" s="6"/>
      <c r="C74" s="4"/>
      <c r="D74" s="34"/>
      <c r="F74" s="84"/>
      <c r="G74" s="18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33" x14ac:dyDescent="0.2">
      <c r="A75" s="6"/>
      <c r="B75" s="6"/>
      <c r="C75" s="125" t="s">
        <v>143</v>
      </c>
      <c r="D75" s="34"/>
      <c r="F75" s="84"/>
      <c r="G75" s="187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4" t="str">
        <f>$C$75&amp;" - "&amp;C14</f>
        <v>Annualised capex - &lt; Enter description &gt;</v>
      </c>
      <c r="D76" s="34"/>
      <c r="F76" s="84"/>
      <c r="G76" s="184">
        <f>input_dollars</f>
        <v>45291</v>
      </c>
      <c r="H76" s="28"/>
      <c r="I76" s="28">
        <f>IF($E14=0,0,-PMT(real_disc, $E14,H71,))</f>
        <v>0</v>
      </c>
      <c r="J76" s="28">
        <f>IF($E14=0,0,-PMT(real_disc, $E14,I71,))</f>
        <v>0</v>
      </c>
      <c r="K76" s="28">
        <f>IF($E14=0,0,-PMT(real_disc, $E14,J71,))</f>
        <v>0</v>
      </c>
      <c r="L76" s="28">
        <f>IF($E14=0,0,-PMT(real_disc, $E14,K71,))</f>
        <v>0</v>
      </c>
      <c r="M76" s="28">
        <f>IF($E14=0,0,-PMT(real_disc, $E14,L71,))</f>
        <v>0</v>
      </c>
      <c r="N76" s="28">
        <f>IF($E14=0,0,-PMT(real_disc, $E14,M71,))</f>
        <v>0</v>
      </c>
      <c r="O76" s="28">
        <f>IF($E14=0,0,-PMT(real_disc, $E14,N71,))</f>
        <v>0</v>
      </c>
      <c r="P76" s="28">
        <f>IF($E14=0,0,-PMT(real_disc, $E14,O71,))</f>
        <v>0</v>
      </c>
      <c r="Q76" s="28">
        <f>IF($E14=0,0,-PMT(real_disc, $E14,P71,))</f>
        <v>0</v>
      </c>
      <c r="R76" s="28">
        <f>IF($E14=0,0,-PMT(real_disc, $E14,Q71,))</f>
        <v>0</v>
      </c>
      <c r="S76" s="28">
        <f>IF($E14=0,0,-PMT(real_disc, $E14,R71,))</f>
        <v>0</v>
      </c>
      <c r="T76" s="28">
        <f>IF($E14=0,0,-PMT(real_disc, $E14,S71,))</f>
        <v>0</v>
      </c>
      <c r="U76" s="28">
        <f>IF($E14=0,0,-PMT(real_disc, $E14,T71,))</f>
        <v>0</v>
      </c>
      <c r="V76" s="28">
        <f>IF($E14=0,0,-PMT(real_disc, $E14,U71,))</f>
        <v>0</v>
      </c>
      <c r="W76" s="28">
        <f>IF($E14=0,0,-PMT(real_disc, $E14,V71,))</f>
        <v>0</v>
      </c>
      <c r="X76" s="28">
        <f>IF($E14=0,0,-PMT(real_disc, $E14,W71,))</f>
        <v>0</v>
      </c>
      <c r="Y76" s="28">
        <f>IF($E14=0,0,-PMT(real_disc, $E14,X71,))</f>
        <v>0</v>
      </c>
      <c r="Z76" s="28">
        <f>IF($E14=0,0,-PMT(real_disc, $E14,Y71,))</f>
        <v>0</v>
      </c>
      <c r="AA76" s="28">
        <f>IF($E14=0,0,-PMT(real_disc, $E14,Z71,))</f>
        <v>0</v>
      </c>
      <c r="AB76" s="28">
        <f>IF($E14=0,0,-PMT(real_disc, $E14,AA71,))</f>
        <v>0</v>
      </c>
      <c r="AC76" s="28">
        <f>IF($E14=0,0,-PMT(real_disc, $E14,AB71,))</f>
        <v>0</v>
      </c>
      <c r="AD76" s="28">
        <f>IF($E14=0,0,-PMT(real_disc, $E14,AC71,))</f>
        <v>0</v>
      </c>
      <c r="AE76" s="28">
        <f>IF($E14=0,0,-PMT(real_disc, $E14,AD71,))</f>
        <v>0</v>
      </c>
      <c r="AF76" s="28">
        <f>IF($E14=0,0,-PMT(real_disc, $E14,AE71,))</f>
        <v>0</v>
      </c>
      <c r="AG76" s="28">
        <f>IF($E14=0,0,-PMT(real_disc, $E14,AF71,))</f>
        <v>0</v>
      </c>
    </row>
    <row r="77" spans="1:33" x14ac:dyDescent="0.2">
      <c r="A77" s="6"/>
      <c r="B77" s="6"/>
      <c r="C77" s="4" t="str">
        <f>$C$75&amp;" - "&amp;C15</f>
        <v>Annualised capex - &lt; Enter description &gt;</v>
      </c>
      <c r="D77" s="34"/>
      <c r="F77" s="84"/>
      <c r="G77" s="184">
        <f>input_dollars</f>
        <v>45291</v>
      </c>
      <c r="H77" s="28"/>
      <c r="I77" s="28">
        <f>IF($E15=0,0,-PMT(real_disc, $E15,H72,))</f>
        <v>0</v>
      </c>
      <c r="J77" s="28">
        <f>IF($E15=0,0,-PMT(real_disc, $E15,I72,))</f>
        <v>0</v>
      </c>
      <c r="K77" s="28">
        <f>IF($E15=0,0,-PMT(real_disc, $E15,J72,))</f>
        <v>0</v>
      </c>
      <c r="L77" s="28">
        <f>IF($E15=0,0,-PMT(real_disc, $E15,K72,))</f>
        <v>0</v>
      </c>
      <c r="M77" s="28">
        <f>IF($E15=0,0,-PMT(real_disc, $E15,L72,))</f>
        <v>0</v>
      </c>
      <c r="N77" s="28">
        <f>IF($E15=0,0,-PMT(real_disc, $E15,M72,))</f>
        <v>0</v>
      </c>
      <c r="O77" s="28">
        <f>IF($E15=0,0,-PMT(real_disc, $E15,N72,))</f>
        <v>0</v>
      </c>
      <c r="P77" s="28">
        <f>IF($E15=0,0,-PMT(real_disc, $E15,O72,))</f>
        <v>0</v>
      </c>
      <c r="Q77" s="28">
        <f>IF($E15=0,0,-PMT(real_disc, $E15,P72,))</f>
        <v>0</v>
      </c>
      <c r="R77" s="28">
        <f>IF($E15=0,0,-PMT(real_disc, $E15,Q72,))</f>
        <v>0</v>
      </c>
      <c r="S77" s="28">
        <f>IF($E15=0,0,-PMT(real_disc, $E15,R72,))</f>
        <v>0</v>
      </c>
      <c r="T77" s="28">
        <f>IF($E15=0,0,-PMT(real_disc, $E15,S72,))</f>
        <v>0</v>
      </c>
      <c r="U77" s="28">
        <f>IF($E15=0,0,-PMT(real_disc, $E15,T72,))</f>
        <v>0</v>
      </c>
      <c r="V77" s="28">
        <f>IF($E15=0,0,-PMT(real_disc, $E15,U72,))</f>
        <v>0</v>
      </c>
      <c r="W77" s="28">
        <f>IF($E15=0,0,-PMT(real_disc, $E15,V72,))</f>
        <v>0</v>
      </c>
      <c r="X77" s="28">
        <f>IF($E15=0,0,-PMT(real_disc, $E15,W72,))</f>
        <v>0</v>
      </c>
      <c r="Y77" s="28">
        <f>IF($E15=0,0,-PMT(real_disc, $E15,X72,))</f>
        <v>0</v>
      </c>
      <c r="Z77" s="28">
        <f>IF($E15=0,0,-PMT(real_disc, $E15,Y72,))</f>
        <v>0</v>
      </c>
      <c r="AA77" s="28">
        <f>IF($E15=0,0,-PMT(real_disc, $E15,Z72,))</f>
        <v>0</v>
      </c>
      <c r="AB77" s="28">
        <f>IF($E15=0,0,-PMT(real_disc, $E15,AA72,))</f>
        <v>0</v>
      </c>
      <c r="AC77" s="28">
        <f>IF($E15=0,0,-PMT(real_disc, $E15,AB72,))</f>
        <v>0</v>
      </c>
      <c r="AD77" s="28">
        <f>IF($E15=0,0,-PMT(real_disc, $E15,AC72,))</f>
        <v>0</v>
      </c>
      <c r="AE77" s="28">
        <f>IF($E15=0,0,-PMT(real_disc, $E15,AD72,))</f>
        <v>0</v>
      </c>
      <c r="AF77" s="28">
        <f>IF($E15=0,0,-PMT(real_disc, $E15,AE72,))</f>
        <v>0</v>
      </c>
      <c r="AG77" s="28">
        <f>IF($E15=0,0,-PMT(real_disc, $E15,AF72,))</f>
        <v>0</v>
      </c>
    </row>
    <row r="78" spans="1:33" x14ac:dyDescent="0.2">
      <c r="A78" s="6"/>
      <c r="B78" s="6"/>
      <c r="C78" s="4" t="str">
        <f>$C$75&amp;" - "&amp;C16</f>
        <v>Annualised capex - &lt; Enter description &gt;</v>
      </c>
      <c r="D78" s="34"/>
      <c r="F78" s="84"/>
      <c r="G78" s="184">
        <f>input_dollars</f>
        <v>45291</v>
      </c>
      <c r="H78" s="28"/>
      <c r="I78" s="28">
        <f>IF($E16=0,0,-PMT(real_disc, $E16,H73,))</f>
        <v>0</v>
      </c>
      <c r="J78" s="28">
        <f>IF($E16=0,0,-PMT(real_disc, $E16,I73,))</f>
        <v>0</v>
      </c>
      <c r="K78" s="28">
        <f>IF($E16=0,0,-PMT(real_disc, $E16,J73,))</f>
        <v>0</v>
      </c>
      <c r="L78" s="28">
        <f>IF($E16=0,0,-PMT(real_disc, $E16,K73,))</f>
        <v>0</v>
      </c>
      <c r="M78" s="28">
        <f>IF($E16=0,0,-PMT(real_disc, $E16,L73,))</f>
        <v>0</v>
      </c>
      <c r="N78" s="28">
        <f>IF($E16=0,0,-PMT(real_disc, $E16,M73,))</f>
        <v>0</v>
      </c>
      <c r="O78" s="28">
        <f>IF($E16=0,0,-PMT(real_disc, $E16,N73,))</f>
        <v>0</v>
      </c>
      <c r="P78" s="28">
        <f>IF($E16=0,0,-PMT(real_disc, $E16,O73,))</f>
        <v>0</v>
      </c>
      <c r="Q78" s="28">
        <f>IF($E16=0,0,-PMT(real_disc, $E16,P73,))</f>
        <v>0</v>
      </c>
      <c r="R78" s="28">
        <f>IF($E16=0,0,-PMT(real_disc, $E16,Q73,))</f>
        <v>0</v>
      </c>
      <c r="S78" s="28">
        <f>IF($E16=0,0,-PMT(real_disc, $E16,R73,))</f>
        <v>0</v>
      </c>
      <c r="T78" s="28">
        <f>IF($E16=0,0,-PMT(real_disc, $E16,S73,))</f>
        <v>0</v>
      </c>
      <c r="U78" s="28">
        <f>IF($E16=0,0,-PMT(real_disc, $E16,T73,))</f>
        <v>0</v>
      </c>
      <c r="V78" s="28">
        <f>IF($E16=0,0,-PMT(real_disc, $E16,U73,))</f>
        <v>0</v>
      </c>
      <c r="W78" s="28">
        <f>IF($E16=0,0,-PMT(real_disc, $E16,V73,))</f>
        <v>0</v>
      </c>
      <c r="X78" s="28">
        <f>IF($E16=0,0,-PMT(real_disc, $E16,W73,))</f>
        <v>0</v>
      </c>
      <c r="Y78" s="28">
        <f>IF($E16=0,0,-PMT(real_disc, $E16,X73,))</f>
        <v>0</v>
      </c>
      <c r="Z78" s="28">
        <f>IF($E16=0,0,-PMT(real_disc, $E16,Y73,))</f>
        <v>0</v>
      </c>
      <c r="AA78" s="28">
        <f>IF($E16=0,0,-PMT(real_disc, $E16,Z73,))</f>
        <v>0</v>
      </c>
      <c r="AB78" s="28">
        <f>IF($E16=0,0,-PMT(real_disc, $E16,AA73,))</f>
        <v>0</v>
      </c>
      <c r="AC78" s="28">
        <f>IF($E16=0,0,-PMT(real_disc, $E16,AB73,))</f>
        <v>0</v>
      </c>
      <c r="AD78" s="28">
        <f>IF($E16=0,0,-PMT(real_disc, $E16,AC73,))</f>
        <v>0</v>
      </c>
      <c r="AE78" s="28">
        <f>IF($E16=0,0,-PMT(real_disc, $E16,AD73,))</f>
        <v>0</v>
      </c>
      <c r="AF78" s="28">
        <f>IF($E16=0,0,-PMT(real_disc, $E16,AE73,))</f>
        <v>0</v>
      </c>
      <c r="AG78" s="28">
        <f>IF($E16=0,0,-PMT(real_disc, $E16,AF73,))</f>
        <v>0</v>
      </c>
    </row>
    <row r="79" spans="1:33" x14ac:dyDescent="0.2">
      <c r="A79" s="6"/>
      <c r="B79" s="6"/>
      <c r="C79" s="148" t="s">
        <v>144</v>
      </c>
      <c r="D79" s="148"/>
      <c r="E79" s="149"/>
      <c r="F79" s="150"/>
      <c r="G79" s="189">
        <f>input_dollars</f>
        <v>45291</v>
      </c>
      <c r="H79" s="151"/>
      <c r="I79" s="151">
        <f>SUM(I76:I78)</f>
        <v>0</v>
      </c>
      <c r="J79" s="151">
        <f t="shared" ref="J79:AB79" si="3">SUM(J76:J78)</f>
        <v>0</v>
      </c>
      <c r="K79" s="151">
        <f t="shared" si="3"/>
        <v>0</v>
      </c>
      <c r="L79" s="151">
        <f t="shared" si="3"/>
        <v>0</v>
      </c>
      <c r="M79" s="151">
        <f t="shared" si="3"/>
        <v>0</v>
      </c>
      <c r="N79" s="151">
        <f t="shared" si="3"/>
        <v>0</v>
      </c>
      <c r="O79" s="151">
        <f t="shared" si="3"/>
        <v>0</v>
      </c>
      <c r="P79" s="151">
        <f t="shared" si="3"/>
        <v>0</v>
      </c>
      <c r="Q79" s="151">
        <f t="shared" si="3"/>
        <v>0</v>
      </c>
      <c r="R79" s="151">
        <f t="shared" si="3"/>
        <v>0</v>
      </c>
      <c r="S79" s="151">
        <f t="shared" si="3"/>
        <v>0</v>
      </c>
      <c r="T79" s="151">
        <f t="shared" si="3"/>
        <v>0</v>
      </c>
      <c r="U79" s="151">
        <f t="shared" si="3"/>
        <v>0</v>
      </c>
      <c r="V79" s="151">
        <f t="shared" si="3"/>
        <v>0</v>
      </c>
      <c r="W79" s="151">
        <f t="shared" si="3"/>
        <v>0</v>
      </c>
      <c r="X79" s="151">
        <f t="shared" si="3"/>
        <v>0</v>
      </c>
      <c r="Y79" s="151">
        <f t="shared" si="3"/>
        <v>0</v>
      </c>
      <c r="Z79" s="151">
        <f t="shared" si="3"/>
        <v>0</v>
      </c>
      <c r="AA79" s="151">
        <f t="shared" si="3"/>
        <v>0</v>
      </c>
      <c r="AB79" s="151">
        <f t="shared" si="3"/>
        <v>0</v>
      </c>
      <c r="AC79" s="151">
        <f>SUM(AC76:AC78)</f>
        <v>0</v>
      </c>
      <c r="AD79" s="151">
        <f>SUM(AD76:AD78)</f>
        <v>0</v>
      </c>
      <c r="AE79" s="151">
        <f>SUM(AE76:AE78)</f>
        <v>0</v>
      </c>
      <c r="AF79" s="151">
        <f>SUM(AF76:AF78)</f>
        <v>0</v>
      </c>
      <c r="AG79" s="151">
        <f>SUM(AG76:AG78)</f>
        <v>0</v>
      </c>
    </row>
    <row r="80" spans="1:33" x14ac:dyDescent="0.2">
      <c r="A80" s="6"/>
      <c r="B80" s="6"/>
      <c r="C80" s="12"/>
      <c r="D80" s="34"/>
      <c r="F80"/>
      <c r="G80" s="19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x14ac:dyDescent="0.2">
      <c r="A81" s="6"/>
      <c r="B81" s="6"/>
      <c r="C81" s="4" t="s">
        <v>143</v>
      </c>
      <c r="D81" s="34"/>
      <c r="F81" s="84"/>
      <c r="G81" s="184">
        <f t="shared" ref="G81:G86" si="4">input_dollars</f>
        <v>45291</v>
      </c>
      <c r="H81" s="28"/>
      <c r="I81" s="28">
        <f>I79</f>
        <v>0</v>
      </c>
      <c r="J81" s="28">
        <f t="shared" ref="J81:AB81" si="5">J79</f>
        <v>0</v>
      </c>
      <c r="K81" s="28">
        <f t="shared" si="5"/>
        <v>0</v>
      </c>
      <c r="L81" s="28">
        <f t="shared" si="5"/>
        <v>0</v>
      </c>
      <c r="M81" s="28">
        <f t="shared" si="5"/>
        <v>0</v>
      </c>
      <c r="N81" s="28">
        <f t="shared" si="5"/>
        <v>0</v>
      </c>
      <c r="O81" s="28">
        <f t="shared" si="5"/>
        <v>0</v>
      </c>
      <c r="P81" s="28">
        <f t="shared" si="5"/>
        <v>0</v>
      </c>
      <c r="Q81" s="28">
        <f t="shared" si="5"/>
        <v>0</v>
      </c>
      <c r="R81" s="28">
        <f t="shared" si="5"/>
        <v>0</v>
      </c>
      <c r="S81" s="28">
        <f t="shared" si="5"/>
        <v>0</v>
      </c>
      <c r="T81" s="28">
        <f t="shared" si="5"/>
        <v>0</v>
      </c>
      <c r="U81" s="28">
        <f t="shared" si="5"/>
        <v>0</v>
      </c>
      <c r="V81" s="28">
        <f t="shared" si="5"/>
        <v>0</v>
      </c>
      <c r="W81" s="28">
        <f t="shared" si="5"/>
        <v>0</v>
      </c>
      <c r="X81" s="28">
        <f t="shared" si="5"/>
        <v>0</v>
      </c>
      <c r="Y81" s="28">
        <f t="shared" si="5"/>
        <v>0</v>
      </c>
      <c r="Z81" s="28">
        <f t="shared" si="5"/>
        <v>0</v>
      </c>
      <c r="AA81" s="28">
        <f t="shared" si="5"/>
        <v>0</v>
      </c>
      <c r="AB81" s="28">
        <f t="shared" si="5"/>
        <v>0</v>
      </c>
      <c r="AC81" s="28">
        <f>AC79</f>
        <v>0</v>
      </c>
      <c r="AD81" s="28">
        <f>AD79</f>
        <v>0</v>
      </c>
      <c r="AE81" s="28">
        <f>AE79</f>
        <v>0</v>
      </c>
      <c r="AF81" s="28">
        <f>AF79</f>
        <v>0</v>
      </c>
      <c r="AG81" s="28">
        <f>AG79</f>
        <v>0</v>
      </c>
    </row>
    <row r="82" spans="1:33" x14ac:dyDescent="0.2">
      <c r="A82" s="6"/>
      <c r="B82" s="6"/>
      <c r="C82" s="4" t="s">
        <v>33</v>
      </c>
      <c r="D82" s="34"/>
      <c r="F82" s="84"/>
      <c r="G82" s="184">
        <f t="shared" si="4"/>
        <v>45291</v>
      </c>
      <c r="H82" s="28"/>
      <c r="I82" s="28">
        <f>-I19</f>
        <v>0</v>
      </c>
      <c r="J82" s="28">
        <f>-J19</f>
        <v>0</v>
      </c>
      <c r="K82" s="28">
        <f>-K19</f>
        <v>0</v>
      </c>
      <c r="L82" s="28">
        <f>-L19</f>
        <v>0</v>
      </c>
      <c r="M82" s="28">
        <f>-M19</f>
        <v>0</v>
      </c>
      <c r="N82" s="28">
        <f>-N19</f>
        <v>0</v>
      </c>
      <c r="O82" s="28">
        <f>-O19</f>
        <v>0</v>
      </c>
      <c r="P82" s="28">
        <f>-P19</f>
        <v>0</v>
      </c>
      <c r="Q82" s="28">
        <f>-Q19</f>
        <v>0</v>
      </c>
      <c r="R82" s="28">
        <f>-R19</f>
        <v>0</v>
      </c>
      <c r="S82" s="28">
        <f>-S19</f>
        <v>0</v>
      </c>
      <c r="T82" s="28">
        <f>-T19</f>
        <v>0</v>
      </c>
      <c r="U82" s="28">
        <f>-U19</f>
        <v>0</v>
      </c>
      <c r="V82" s="28">
        <f>-V19</f>
        <v>0</v>
      </c>
      <c r="W82" s="28">
        <f>-W19</f>
        <v>0</v>
      </c>
      <c r="X82" s="28">
        <f>-X19</f>
        <v>0</v>
      </c>
      <c r="Y82" s="28">
        <f>-Y19</f>
        <v>0</v>
      </c>
      <c r="Z82" s="28">
        <f>-Z19</f>
        <v>0</v>
      </c>
      <c r="AA82" s="28">
        <f>-AA19</f>
        <v>0</v>
      </c>
      <c r="AB82" s="28">
        <f>-AB19</f>
        <v>0</v>
      </c>
      <c r="AC82" s="28">
        <f>-AC19</f>
        <v>0</v>
      </c>
      <c r="AD82" s="28">
        <f>-AD19</f>
        <v>0</v>
      </c>
      <c r="AE82" s="28">
        <f>-AE19</f>
        <v>0</v>
      </c>
      <c r="AF82" s="28">
        <f>-AF19</f>
        <v>0</v>
      </c>
      <c r="AG82" s="28">
        <f>-AG19</f>
        <v>0</v>
      </c>
    </row>
    <row r="83" spans="1:33" x14ac:dyDescent="0.2">
      <c r="A83" s="6"/>
      <c r="B83" s="6"/>
      <c r="C83" s="4" t="s">
        <v>145</v>
      </c>
      <c r="D83" s="34"/>
      <c r="F83" s="84"/>
      <c r="G83" s="184">
        <f t="shared" si="4"/>
        <v>45291</v>
      </c>
      <c r="H83" s="28"/>
      <c r="I83" s="28">
        <f>I63</f>
        <v>0</v>
      </c>
      <c r="J83" s="28">
        <f t="shared" ref="J83:AB83" si="6">J63</f>
        <v>0</v>
      </c>
      <c r="K83" s="28">
        <f t="shared" si="6"/>
        <v>0</v>
      </c>
      <c r="L83" s="28">
        <f t="shared" si="6"/>
        <v>0</v>
      </c>
      <c r="M83" s="28">
        <f t="shared" si="6"/>
        <v>0</v>
      </c>
      <c r="N83" s="28">
        <f t="shared" si="6"/>
        <v>0</v>
      </c>
      <c r="O83" s="28">
        <f t="shared" si="6"/>
        <v>0</v>
      </c>
      <c r="P83" s="28">
        <f t="shared" si="6"/>
        <v>0</v>
      </c>
      <c r="Q83" s="28">
        <f t="shared" si="6"/>
        <v>0</v>
      </c>
      <c r="R83" s="28">
        <f t="shared" si="6"/>
        <v>0</v>
      </c>
      <c r="S83" s="28">
        <f t="shared" si="6"/>
        <v>0</v>
      </c>
      <c r="T83" s="28">
        <f t="shared" si="6"/>
        <v>0</v>
      </c>
      <c r="U83" s="28">
        <f t="shared" si="6"/>
        <v>0</v>
      </c>
      <c r="V83" s="28">
        <f t="shared" si="6"/>
        <v>0</v>
      </c>
      <c r="W83" s="28">
        <f t="shared" si="6"/>
        <v>0</v>
      </c>
      <c r="X83" s="28">
        <f t="shared" si="6"/>
        <v>0</v>
      </c>
      <c r="Y83" s="28">
        <f t="shared" si="6"/>
        <v>0</v>
      </c>
      <c r="Z83" s="28">
        <f t="shared" si="6"/>
        <v>0</v>
      </c>
      <c r="AA83" s="28">
        <f t="shared" si="6"/>
        <v>0</v>
      </c>
      <c r="AB83" s="28">
        <f t="shared" si="6"/>
        <v>0</v>
      </c>
      <c r="AC83" s="28">
        <f>AC63</f>
        <v>0</v>
      </c>
      <c r="AD83" s="28">
        <f>AD63</f>
        <v>0</v>
      </c>
      <c r="AE83" s="28">
        <f>AE63</f>
        <v>0</v>
      </c>
      <c r="AF83" s="28">
        <f>AF63</f>
        <v>0</v>
      </c>
      <c r="AG83" s="28">
        <f>AG63</f>
        <v>0</v>
      </c>
    </row>
    <row r="84" spans="1:33" x14ac:dyDescent="0.2">
      <c r="A84" s="6"/>
      <c r="B84" s="6"/>
      <c r="C84" s="4" t="s">
        <v>146</v>
      </c>
      <c r="D84" s="34"/>
      <c r="F84" s="84"/>
      <c r="G84" s="184">
        <f t="shared" si="4"/>
        <v>45291</v>
      </c>
      <c r="H84" s="28"/>
      <c r="I84" s="28">
        <f t="shared" ref="I84:AG84" si="7">I56</f>
        <v>0</v>
      </c>
      <c r="J84" s="28">
        <f t="shared" si="7"/>
        <v>0</v>
      </c>
      <c r="K84" s="28">
        <f t="shared" si="7"/>
        <v>0</v>
      </c>
      <c r="L84" s="28">
        <f t="shared" si="7"/>
        <v>0</v>
      </c>
      <c r="M84" s="28">
        <f t="shared" si="7"/>
        <v>0</v>
      </c>
      <c r="N84" s="28">
        <f t="shared" si="7"/>
        <v>0</v>
      </c>
      <c r="O84" s="28">
        <f t="shared" si="7"/>
        <v>0</v>
      </c>
      <c r="P84" s="28">
        <f t="shared" si="7"/>
        <v>0</v>
      </c>
      <c r="Q84" s="28">
        <f t="shared" si="7"/>
        <v>0</v>
      </c>
      <c r="R84" s="28">
        <f t="shared" si="7"/>
        <v>0</v>
      </c>
      <c r="S84" s="28">
        <f t="shared" si="7"/>
        <v>0</v>
      </c>
      <c r="T84" s="28">
        <f t="shared" si="7"/>
        <v>0</v>
      </c>
      <c r="U84" s="28">
        <f t="shared" si="7"/>
        <v>0</v>
      </c>
      <c r="V84" s="28">
        <f t="shared" si="7"/>
        <v>0</v>
      </c>
      <c r="W84" s="28">
        <f t="shared" si="7"/>
        <v>0</v>
      </c>
      <c r="X84" s="28">
        <f t="shared" si="7"/>
        <v>0</v>
      </c>
      <c r="Y84" s="28">
        <f t="shared" si="7"/>
        <v>0</v>
      </c>
      <c r="Z84" s="28">
        <f t="shared" si="7"/>
        <v>0</v>
      </c>
      <c r="AA84" s="28">
        <f t="shared" si="7"/>
        <v>0</v>
      </c>
      <c r="AB84" s="28">
        <f t="shared" si="7"/>
        <v>0</v>
      </c>
      <c r="AC84" s="28">
        <f t="shared" si="7"/>
        <v>0</v>
      </c>
      <c r="AD84" s="28">
        <f t="shared" si="7"/>
        <v>0</v>
      </c>
      <c r="AE84" s="28">
        <f t="shared" si="7"/>
        <v>0</v>
      </c>
      <c r="AF84" s="28">
        <f t="shared" si="7"/>
        <v>0</v>
      </c>
      <c r="AG84" s="28">
        <f t="shared" si="7"/>
        <v>0</v>
      </c>
    </row>
    <row r="85" spans="1:33" x14ac:dyDescent="0.2">
      <c r="A85" s="6"/>
      <c r="B85" s="6"/>
      <c r="C85" s="4"/>
      <c r="D85" s="34"/>
      <c r="F85" s="28"/>
      <c r="G85" s="184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</row>
    <row r="86" spans="1:33" x14ac:dyDescent="0.2">
      <c r="A86" s="6"/>
      <c r="B86" s="6"/>
      <c r="C86" s="155" t="s">
        <v>147</v>
      </c>
      <c r="D86" s="153"/>
      <c r="E86" s="149"/>
      <c r="F86" s="154"/>
      <c r="G86" s="189">
        <f t="shared" si="4"/>
        <v>45291</v>
      </c>
      <c r="H86" s="154"/>
      <c r="I86" s="154">
        <f t="shared" ref="I86:AB86" si="8">SUM(I81:I85)</f>
        <v>0</v>
      </c>
      <c r="J86" s="154">
        <f t="shared" si="8"/>
        <v>0</v>
      </c>
      <c r="K86" s="154">
        <f t="shared" si="8"/>
        <v>0</v>
      </c>
      <c r="L86" s="154">
        <f t="shared" si="8"/>
        <v>0</v>
      </c>
      <c r="M86" s="154">
        <f t="shared" si="8"/>
        <v>0</v>
      </c>
      <c r="N86" s="154">
        <f t="shared" si="8"/>
        <v>0</v>
      </c>
      <c r="O86" s="154">
        <f t="shared" si="8"/>
        <v>0</v>
      </c>
      <c r="P86" s="154">
        <f t="shared" si="8"/>
        <v>0</v>
      </c>
      <c r="Q86" s="154">
        <f t="shared" si="8"/>
        <v>0</v>
      </c>
      <c r="R86" s="154">
        <f t="shared" si="8"/>
        <v>0</v>
      </c>
      <c r="S86" s="154">
        <f t="shared" si="8"/>
        <v>0</v>
      </c>
      <c r="T86" s="154">
        <f t="shared" si="8"/>
        <v>0</v>
      </c>
      <c r="U86" s="154">
        <f t="shared" si="8"/>
        <v>0</v>
      </c>
      <c r="V86" s="154">
        <f t="shared" si="8"/>
        <v>0</v>
      </c>
      <c r="W86" s="154">
        <f t="shared" si="8"/>
        <v>0</v>
      </c>
      <c r="X86" s="154">
        <f t="shared" si="8"/>
        <v>0</v>
      </c>
      <c r="Y86" s="154">
        <f t="shared" si="8"/>
        <v>0</v>
      </c>
      <c r="Z86" s="154">
        <f t="shared" si="8"/>
        <v>0</v>
      </c>
      <c r="AA86" s="154">
        <f t="shared" si="8"/>
        <v>0</v>
      </c>
      <c r="AB86" s="154">
        <f t="shared" si="8"/>
        <v>0</v>
      </c>
      <c r="AC86" s="154">
        <f>SUM(AC81:AC85)</f>
        <v>0</v>
      </c>
      <c r="AD86" s="154">
        <f>SUM(AD81:AD85)</f>
        <v>0</v>
      </c>
      <c r="AE86" s="154">
        <f>SUM(AE81:AE85)</f>
        <v>0</v>
      </c>
      <c r="AF86" s="154">
        <f>SUM(AF81:AF85)</f>
        <v>0</v>
      </c>
      <c r="AG86" s="154">
        <f>SUM(AG81:AG85)</f>
        <v>0</v>
      </c>
    </row>
    <row r="87" spans="1:33" x14ac:dyDescent="0.2">
      <c r="A87" s="6"/>
      <c r="B87" s="6"/>
      <c r="C87" s="12"/>
      <c r="D87" s="34"/>
      <c r="F87" s="118"/>
      <c r="G87" s="184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</row>
    <row r="88" spans="1:33" x14ac:dyDescent="0.2">
      <c r="A88" s="6"/>
      <c r="B88" s="6"/>
      <c r="C88" s="12"/>
      <c r="D88" s="34"/>
      <c r="F88" s="118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203"/>
      <c r="D89" s="72"/>
      <c r="E89" s="204"/>
      <c r="F89" s="205"/>
      <c r="G89" s="204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x14ac:dyDescent="0.2">
      <c r="C90" s="204"/>
      <c r="D90" s="204"/>
      <c r="E90" s="204"/>
      <c r="F90" s="204"/>
      <c r="G90" s="204"/>
    </row>
    <row r="91" spans="1:33" x14ac:dyDescent="0.2">
      <c r="C91" s="204"/>
      <c r="D91" s="204"/>
      <c r="E91" s="204"/>
      <c r="F91" s="204"/>
      <c r="G91" s="204"/>
    </row>
    <row r="93" spans="1:33" x14ac:dyDescent="0.2">
      <c r="G93" s="10"/>
    </row>
    <row r="101" spans="1:43" ht="15" x14ac:dyDescent="0.2">
      <c r="A101" s="78" t="s">
        <v>37</v>
      </c>
      <c r="B101" s="78"/>
      <c r="C101" s="78"/>
      <c r="D101" s="78"/>
      <c r="E101" s="78"/>
      <c r="F101" s="78"/>
      <c r="G101" s="1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/>
      <c r="AI101"/>
      <c r="AJ101"/>
      <c r="AK101"/>
      <c r="AL101"/>
      <c r="AM101"/>
      <c r="AN101"/>
      <c r="AO101"/>
      <c r="AP101"/>
      <c r="AQ101"/>
    </row>
    <row r="103" spans="1:43" x14ac:dyDescent="0.2">
      <c r="I103" s="213"/>
      <c r="J103" s="21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</row>
    <row r="104" spans="1:43" x14ac:dyDescent="0.2">
      <c r="E104"/>
      <c r="F104"/>
      <c r="G104"/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A105" s="1" t="s">
        <v>22</v>
      </c>
      <c r="C105" s="1" t="s">
        <v>147</v>
      </c>
      <c r="D105"/>
      <c r="E105"/>
      <c r="F105"/>
      <c r="G105" s="34" t="str">
        <f>PROPER($A$3)&amp;A105</f>
        <v>Option 1 (Base Case)NPV</v>
      </c>
      <c r="I105" s="28">
        <f>I86</f>
        <v>0</v>
      </c>
      <c r="J105" s="28">
        <f t="shared" ref="J105:AG105" si="9">J86</f>
        <v>0</v>
      </c>
      <c r="K105" s="28">
        <f t="shared" si="9"/>
        <v>0</v>
      </c>
      <c r="L105" s="28">
        <f t="shared" si="9"/>
        <v>0</v>
      </c>
      <c r="M105" s="28">
        <f t="shared" si="9"/>
        <v>0</v>
      </c>
      <c r="N105" s="28">
        <f t="shared" si="9"/>
        <v>0</v>
      </c>
      <c r="O105" s="28">
        <f t="shared" si="9"/>
        <v>0</v>
      </c>
      <c r="P105" s="28">
        <f t="shared" si="9"/>
        <v>0</v>
      </c>
      <c r="Q105" s="28">
        <f t="shared" si="9"/>
        <v>0</v>
      </c>
      <c r="R105" s="28">
        <f t="shared" si="9"/>
        <v>0</v>
      </c>
      <c r="S105" s="28">
        <f t="shared" si="9"/>
        <v>0</v>
      </c>
      <c r="T105" s="28">
        <f t="shared" si="9"/>
        <v>0</v>
      </c>
      <c r="U105" s="28">
        <f t="shared" si="9"/>
        <v>0</v>
      </c>
      <c r="V105" s="28">
        <f t="shared" si="9"/>
        <v>0</v>
      </c>
      <c r="W105" s="28">
        <f t="shared" si="9"/>
        <v>0</v>
      </c>
      <c r="X105" s="28">
        <f t="shared" si="9"/>
        <v>0</v>
      </c>
      <c r="Y105" s="28">
        <f t="shared" si="9"/>
        <v>0</v>
      </c>
      <c r="Z105" s="28">
        <f t="shared" si="9"/>
        <v>0</v>
      </c>
      <c r="AA105" s="28">
        <f t="shared" si="9"/>
        <v>0</v>
      </c>
      <c r="AB105" s="28">
        <f t="shared" si="9"/>
        <v>0</v>
      </c>
      <c r="AC105" s="28">
        <f t="shared" si="9"/>
        <v>0</v>
      </c>
      <c r="AD105" s="28">
        <f t="shared" si="9"/>
        <v>0</v>
      </c>
      <c r="AE105" s="28">
        <f t="shared" si="9"/>
        <v>0</v>
      </c>
      <c r="AF105" s="28">
        <f t="shared" si="9"/>
        <v>0</v>
      </c>
      <c r="AG105" s="28">
        <f t="shared" si="9"/>
        <v>0</v>
      </c>
    </row>
    <row r="106" spans="1:43" x14ac:dyDescent="0.2">
      <c r="C106" s="1" t="s">
        <v>144</v>
      </c>
      <c r="D106"/>
      <c r="E106"/>
      <c r="F106"/>
      <c r="G106"/>
      <c r="I106" s="28">
        <f>I81</f>
        <v>0</v>
      </c>
      <c r="J106" s="28">
        <f t="shared" ref="J106:AG106" si="10">J81</f>
        <v>0</v>
      </c>
      <c r="K106" s="28">
        <f t="shared" si="10"/>
        <v>0</v>
      </c>
      <c r="L106" s="28">
        <f t="shared" si="10"/>
        <v>0</v>
      </c>
      <c r="M106" s="28">
        <f t="shared" si="10"/>
        <v>0</v>
      </c>
      <c r="N106" s="28">
        <f t="shared" si="10"/>
        <v>0</v>
      </c>
      <c r="O106" s="28">
        <f t="shared" si="10"/>
        <v>0</v>
      </c>
      <c r="P106" s="28">
        <f t="shared" si="10"/>
        <v>0</v>
      </c>
      <c r="Q106" s="28">
        <f t="shared" si="10"/>
        <v>0</v>
      </c>
      <c r="R106" s="28">
        <f t="shared" si="10"/>
        <v>0</v>
      </c>
      <c r="S106" s="28">
        <f t="shared" si="10"/>
        <v>0</v>
      </c>
      <c r="T106" s="28">
        <f t="shared" si="10"/>
        <v>0</v>
      </c>
      <c r="U106" s="28">
        <f t="shared" si="10"/>
        <v>0</v>
      </c>
      <c r="V106" s="28">
        <f t="shared" si="10"/>
        <v>0</v>
      </c>
      <c r="W106" s="28">
        <f t="shared" si="10"/>
        <v>0</v>
      </c>
      <c r="X106" s="28">
        <f t="shared" si="10"/>
        <v>0</v>
      </c>
      <c r="Y106" s="28">
        <f t="shared" si="10"/>
        <v>0</v>
      </c>
      <c r="Z106" s="28">
        <f t="shared" si="10"/>
        <v>0</v>
      </c>
      <c r="AA106" s="28">
        <f t="shared" si="10"/>
        <v>0</v>
      </c>
      <c r="AB106" s="28">
        <f t="shared" si="10"/>
        <v>0</v>
      </c>
      <c r="AC106" s="28">
        <f t="shared" si="10"/>
        <v>0</v>
      </c>
      <c r="AD106" s="28">
        <f t="shared" si="10"/>
        <v>0</v>
      </c>
      <c r="AE106" s="28">
        <f t="shared" si="10"/>
        <v>0</v>
      </c>
      <c r="AF106" s="28">
        <f t="shared" si="10"/>
        <v>0</v>
      </c>
      <c r="AG106" s="28">
        <f t="shared" si="10"/>
        <v>0</v>
      </c>
    </row>
    <row r="107" spans="1:43" x14ac:dyDescent="0.2">
      <c r="C107" s="1" t="s">
        <v>104</v>
      </c>
      <c r="D107" s="221"/>
      <c r="E107" s="34"/>
      <c r="I107" s="28">
        <f>SUM(I83:I84)</f>
        <v>0</v>
      </c>
      <c r="J107" s="28">
        <f t="shared" ref="J107:AG107" si="11">SUM(J83:J84)</f>
        <v>0</v>
      </c>
      <c r="K107" s="28">
        <f t="shared" si="11"/>
        <v>0</v>
      </c>
      <c r="L107" s="28">
        <f t="shared" si="11"/>
        <v>0</v>
      </c>
      <c r="M107" s="28">
        <f t="shared" si="11"/>
        <v>0</v>
      </c>
      <c r="N107" s="28">
        <f t="shared" si="11"/>
        <v>0</v>
      </c>
      <c r="O107" s="28">
        <f t="shared" si="11"/>
        <v>0</v>
      </c>
      <c r="P107" s="28">
        <f t="shared" si="11"/>
        <v>0</v>
      </c>
      <c r="Q107" s="28">
        <f t="shared" si="11"/>
        <v>0</v>
      </c>
      <c r="R107" s="28">
        <f t="shared" si="11"/>
        <v>0</v>
      </c>
      <c r="S107" s="28">
        <f t="shared" si="11"/>
        <v>0</v>
      </c>
      <c r="T107" s="28">
        <f t="shared" si="11"/>
        <v>0</v>
      </c>
      <c r="U107" s="28">
        <f t="shared" si="11"/>
        <v>0</v>
      </c>
      <c r="V107" s="28">
        <f t="shared" si="11"/>
        <v>0</v>
      </c>
      <c r="W107" s="28">
        <f t="shared" si="11"/>
        <v>0</v>
      </c>
      <c r="X107" s="28">
        <f t="shared" si="11"/>
        <v>0</v>
      </c>
      <c r="Y107" s="28">
        <f t="shared" si="11"/>
        <v>0</v>
      </c>
      <c r="Z107" s="28">
        <f t="shared" si="11"/>
        <v>0</v>
      </c>
      <c r="AA107" s="28">
        <f t="shared" si="11"/>
        <v>0</v>
      </c>
      <c r="AB107" s="28">
        <f t="shared" si="11"/>
        <v>0</v>
      </c>
      <c r="AC107" s="28">
        <f t="shared" si="11"/>
        <v>0</v>
      </c>
      <c r="AD107" s="28">
        <f t="shared" si="11"/>
        <v>0</v>
      </c>
      <c r="AE107" s="28">
        <f t="shared" si="11"/>
        <v>0</v>
      </c>
      <c r="AF107" s="28">
        <f t="shared" si="11"/>
        <v>0</v>
      </c>
      <c r="AG107" s="28">
        <f t="shared" si="11"/>
        <v>0</v>
      </c>
    </row>
    <row r="108" spans="1:43" x14ac:dyDescent="0.2">
      <c r="D108" s="253" t="str">
        <f>Assumptions!G110</f>
        <v>Capex</v>
      </c>
      <c r="E108" s="253" t="str">
        <f>Assumptions!H110</f>
        <v>Total benefits</v>
      </c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</row>
    <row r="109" spans="1:43" x14ac:dyDescent="0.2">
      <c r="A109" s="1" t="str">
        <f>"sens"&amp;Assumptions!B111</f>
        <v>sens1</v>
      </c>
      <c r="C109" s="252" t="str">
        <f>Assumptions!C111</f>
        <v>Capex 10% higher</v>
      </c>
      <c r="D109" s="253">
        <f>Assumptions!G111</f>
        <v>0.1</v>
      </c>
      <c r="E109" s="253">
        <f>Assumptions!H111</f>
        <v>0</v>
      </c>
      <c r="G109" s="34" t="str">
        <f>PROPER($A$3)&amp;A109</f>
        <v>Option 1 (Base Case)sens1</v>
      </c>
      <c r="I109" s="28" cm="1">
        <f t="array" ref="I109">I$105+IF($C109&lt;&gt;0,SUMPRODUCT((I$106:I$107)*TRANSPOSE(($D109:$E109))),0)</f>
        <v>0</v>
      </c>
      <c r="J109" s="28" cm="1">
        <f t="array" ref="J109">J$105+IF($C109&lt;&gt;0,SUMPRODUCT((J$106:J$107)*TRANSPOSE(($D109:$E109))),0)</f>
        <v>0</v>
      </c>
      <c r="K109" s="28" cm="1">
        <f t="array" ref="K109">K$105+IF($C109&lt;&gt;0,SUMPRODUCT((K$106:K$107)*TRANSPOSE(($D109:$E109))),0)</f>
        <v>0</v>
      </c>
      <c r="L109" s="28" cm="1">
        <f t="array" ref="L109">L$105+IF($C109&lt;&gt;0,SUMPRODUCT((L$106:L$107)*TRANSPOSE(($D109:$E109))),0)</f>
        <v>0</v>
      </c>
      <c r="M109" s="28" cm="1">
        <f t="array" ref="M109">M$105+IF($C109&lt;&gt;0,SUMPRODUCT((M$106:M$107)*TRANSPOSE(($D109:$E109))),0)</f>
        <v>0</v>
      </c>
      <c r="N109" s="28" cm="1">
        <f t="array" ref="N109">N$105+IF($C109&lt;&gt;0,SUMPRODUCT((N$106:N$107)*TRANSPOSE(($D109:$E109))),0)</f>
        <v>0</v>
      </c>
      <c r="O109" s="28" cm="1">
        <f t="array" ref="O109">O$105+IF($C109&lt;&gt;0,SUMPRODUCT((O$106:O$107)*TRANSPOSE(($D109:$E109))),0)</f>
        <v>0</v>
      </c>
      <c r="P109" s="28" cm="1">
        <f t="array" ref="P109">P$105+IF($C109&lt;&gt;0,SUMPRODUCT((P$106:P$107)*TRANSPOSE(($D109:$E109))),0)</f>
        <v>0</v>
      </c>
      <c r="Q109" s="28" cm="1">
        <f t="array" ref="Q109">Q$105+IF($C109&lt;&gt;0,SUMPRODUCT((Q$106:Q$107)*TRANSPOSE(($D109:$E109))),0)</f>
        <v>0</v>
      </c>
      <c r="R109" s="28" cm="1">
        <f t="array" ref="R109">R$105+IF($C109&lt;&gt;0,SUMPRODUCT((R$106:R$107)*TRANSPOSE(($D109:$E109))),0)</f>
        <v>0</v>
      </c>
      <c r="S109" s="28" cm="1">
        <f t="array" ref="S109">S$105+IF($C109&lt;&gt;0,SUMPRODUCT((S$106:S$107)*TRANSPOSE(($D109:$E109))),0)</f>
        <v>0</v>
      </c>
      <c r="T109" s="28" cm="1">
        <f t="array" ref="T109">T$105+IF($C109&lt;&gt;0,SUMPRODUCT((T$106:T$107)*TRANSPOSE(($D109:$E109))),0)</f>
        <v>0</v>
      </c>
      <c r="U109" s="28" cm="1">
        <f t="array" ref="U109">U$105+IF($C109&lt;&gt;0,SUMPRODUCT((U$106:U$107)*TRANSPOSE(($D109:$E109))),0)</f>
        <v>0</v>
      </c>
      <c r="V109" s="28" cm="1">
        <f t="array" ref="V109">V$105+IF($C109&lt;&gt;0,SUMPRODUCT((V$106:V$107)*TRANSPOSE(($D109:$E109))),0)</f>
        <v>0</v>
      </c>
      <c r="W109" s="28" cm="1">
        <f t="array" ref="W109">W$105+IF($C109&lt;&gt;0,SUMPRODUCT((W$106:W$107)*TRANSPOSE(($D109:$E109))),0)</f>
        <v>0</v>
      </c>
      <c r="X109" s="28" cm="1">
        <f t="array" ref="X109">X$105+IF($C109&lt;&gt;0,SUMPRODUCT((X$106:X$107)*TRANSPOSE(($D109:$E109))),0)</f>
        <v>0</v>
      </c>
      <c r="Y109" s="28" cm="1">
        <f t="array" ref="Y109">Y$105+IF($C109&lt;&gt;0,SUMPRODUCT((Y$106:Y$107)*TRANSPOSE(($D109:$E109))),0)</f>
        <v>0</v>
      </c>
      <c r="Z109" s="28" cm="1">
        <f t="array" ref="Z109">Z$105+IF($C109&lt;&gt;0,SUMPRODUCT((Z$106:Z$107)*TRANSPOSE(($D109:$E109))),0)</f>
        <v>0</v>
      </c>
      <c r="AA109" s="28" cm="1">
        <f t="array" ref="AA109">AA$105+IF($C109&lt;&gt;0,SUMPRODUCT((AA$106:AA$107)*TRANSPOSE(($D109:$E109))),0)</f>
        <v>0</v>
      </c>
      <c r="AB109" s="28" cm="1">
        <f t="array" ref="AB109">AB$105+IF($C109&lt;&gt;0,SUMPRODUCT((AB$106:AB$107)*TRANSPOSE(($D109:$E109))),0)</f>
        <v>0</v>
      </c>
      <c r="AC109" s="28" cm="1">
        <f t="array" ref="AC109">AC$105+IF($C109&lt;&gt;0,SUMPRODUCT((AC$106:AC$107)*TRANSPOSE(($D109:$E109))),0)</f>
        <v>0</v>
      </c>
      <c r="AD109" s="28" cm="1">
        <f t="array" ref="AD109">AD$105+IF($C109&lt;&gt;0,SUMPRODUCT((AD$106:AD$107)*TRANSPOSE(($D109:$E109))),0)</f>
        <v>0</v>
      </c>
      <c r="AE109" s="28" cm="1">
        <f t="array" ref="AE109">AE$105+IF($C109&lt;&gt;0,SUMPRODUCT((AE$106:AE$107)*TRANSPOSE(($D109:$E109))),0)</f>
        <v>0</v>
      </c>
      <c r="AF109" s="28" cm="1">
        <f t="array" ref="AF109">AF$105+IF($C109&lt;&gt;0,SUMPRODUCT((AF$106:AF$107)*TRANSPOSE(($D109:$E109))),0)</f>
        <v>0</v>
      </c>
      <c r="AG109" s="28" cm="1">
        <f t="array" ref="AG109">AG$105+IF($C109&lt;&gt;0,SUMPRODUCT((AG$106:AG$107)*TRANSPOSE(($D109:$E109))),0)</f>
        <v>0</v>
      </c>
    </row>
    <row r="110" spans="1:43" x14ac:dyDescent="0.2">
      <c r="A110" s="1" t="str">
        <f>"sens"&amp;Assumptions!B112</f>
        <v>sens2</v>
      </c>
      <c r="C110" s="252" t="str">
        <f>Assumptions!C112</f>
        <v>Capex 10% lower</v>
      </c>
      <c r="D110" s="253">
        <f>Assumptions!G112</f>
        <v>-0.1</v>
      </c>
      <c r="E110" s="253">
        <f>Assumptions!H112</f>
        <v>0</v>
      </c>
      <c r="G110" s="34" t="str">
        <f t="shared" ref="G110:G116" si="12">PROPER($A$3)&amp;A110</f>
        <v>Option 1 (Base Case)sens2</v>
      </c>
      <c r="I110" s="28" cm="1">
        <f t="array" ref="I110">I$105+IF($C110&lt;&gt;0,SUMPRODUCT((I$106:I$107)*TRANSPOSE(($D110:$E110))),0)</f>
        <v>0</v>
      </c>
      <c r="J110" s="28" cm="1">
        <f t="array" ref="J110">J$105+IF($C110&lt;&gt;0,SUMPRODUCT((J$106:J$107)*TRANSPOSE(($D110:$E110))),0)</f>
        <v>0</v>
      </c>
      <c r="K110" s="28" cm="1">
        <f t="array" ref="K110">K$105+IF($C110&lt;&gt;0,SUMPRODUCT((K$106:K$107)*TRANSPOSE(($D110:$E110))),0)</f>
        <v>0</v>
      </c>
      <c r="L110" s="28" cm="1">
        <f t="array" ref="L110">L$105+IF($C110&lt;&gt;0,SUMPRODUCT((L$106:L$107)*TRANSPOSE(($D110:$E110))),0)</f>
        <v>0</v>
      </c>
      <c r="M110" s="28" cm="1">
        <f t="array" ref="M110">M$105+IF($C110&lt;&gt;0,SUMPRODUCT((M$106:M$107)*TRANSPOSE(($D110:$E110))),0)</f>
        <v>0</v>
      </c>
      <c r="N110" s="28" cm="1">
        <f t="array" ref="N110">N$105+IF($C110&lt;&gt;0,SUMPRODUCT((N$106:N$107)*TRANSPOSE(($D110:$E110))),0)</f>
        <v>0</v>
      </c>
      <c r="O110" s="28" cm="1">
        <f t="array" ref="O110">O$105+IF($C110&lt;&gt;0,SUMPRODUCT((O$106:O$107)*TRANSPOSE(($D110:$E110))),0)</f>
        <v>0</v>
      </c>
      <c r="P110" s="28" cm="1">
        <f t="array" ref="P110">P$105+IF($C110&lt;&gt;0,SUMPRODUCT((P$106:P$107)*TRANSPOSE(($D110:$E110))),0)</f>
        <v>0</v>
      </c>
      <c r="Q110" s="28" cm="1">
        <f t="array" ref="Q110">Q$105+IF($C110&lt;&gt;0,SUMPRODUCT((Q$106:Q$107)*TRANSPOSE(($D110:$E110))),0)</f>
        <v>0</v>
      </c>
      <c r="R110" s="28" cm="1">
        <f t="array" ref="R110">R$105+IF($C110&lt;&gt;0,SUMPRODUCT((R$106:R$107)*TRANSPOSE(($D110:$E110))),0)</f>
        <v>0</v>
      </c>
      <c r="S110" s="28" cm="1">
        <f t="array" ref="S110">S$105+IF($C110&lt;&gt;0,SUMPRODUCT((S$106:S$107)*TRANSPOSE(($D110:$E110))),0)</f>
        <v>0</v>
      </c>
      <c r="T110" s="28" cm="1">
        <f t="array" ref="T110">T$105+IF($C110&lt;&gt;0,SUMPRODUCT((T$106:T$107)*TRANSPOSE(($D110:$E110))),0)</f>
        <v>0</v>
      </c>
      <c r="U110" s="28" cm="1">
        <f t="array" ref="U110">U$105+IF($C110&lt;&gt;0,SUMPRODUCT((U$106:U$107)*TRANSPOSE(($D110:$E110))),0)</f>
        <v>0</v>
      </c>
      <c r="V110" s="28" cm="1">
        <f t="array" ref="V110">V$105+IF($C110&lt;&gt;0,SUMPRODUCT((V$106:V$107)*TRANSPOSE(($D110:$E110))),0)</f>
        <v>0</v>
      </c>
      <c r="W110" s="28" cm="1">
        <f t="array" ref="W110">W$105+IF($C110&lt;&gt;0,SUMPRODUCT((W$106:W$107)*TRANSPOSE(($D110:$E110))),0)</f>
        <v>0</v>
      </c>
      <c r="X110" s="28" cm="1">
        <f t="array" ref="X110">X$105+IF($C110&lt;&gt;0,SUMPRODUCT((X$106:X$107)*TRANSPOSE(($D110:$E110))),0)</f>
        <v>0</v>
      </c>
      <c r="Y110" s="28" cm="1">
        <f t="array" ref="Y110">Y$105+IF($C110&lt;&gt;0,SUMPRODUCT((Y$106:Y$107)*TRANSPOSE(($D110:$E110))),0)</f>
        <v>0</v>
      </c>
      <c r="Z110" s="28" cm="1">
        <f t="array" ref="Z110">Z$105+IF($C110&lt;&gt;0,SUMPRODUCT((Z$106:Z$107)*TRANSPOSE(($D110:$E110))),0)</f>
        <v>0</v>
      </c>
      <c r="AA110" s="28" cm="1">
        <f t="array" ref="AA110">AA$105+IF($C110&lt;&gt;0,SUMPRODUCT((AA$106:AA$107)*TRANSPOSE(($D110:$E110))),0)</f>
        <v>0</v>
      </c>
      <c r="AB110" s="28" cm="1">
        <f t="array" ref="AB110">AB$105+IF($C110&lt;&gt;0,SUMPRODUCT((AB$106:AB$107)*TRANSPOSE(($D110:$E110))),0)</f>
        <v>0</v>
      </c>
      <c r="AC110" s="28" cm="1">
        <f t="array" ref="AC110">AC$105+IF($C110&lt;&gt;0,SUMPRODUCT((AC$106:AC$107)*TRANSPOSE(($D110:$E110))),0)</f>
        <v>0</v>
      </c>
      <c r="AD110" s="28" cm="1">
        <f t="array" ref="AD110">AD$105+IF($C110&lt;&gt;0,SUMPRODUCT((AD$106:AD$107)*TRANSPOSE(($D110:$E110))),0)</f>
        <v>0</v>
      </c>
      <c r="AE110" s="28" cm="1">
        <f t="array" ref="AE110">AE$105+IF($C110&lt;&gt;0,SUMPRODUCT((AE$106:AE$107)*TRANSPOSE(($D110:$E110))),0)</f>
        <v>0</v>
      </c>
      <c r="AF110" s="28" cm="1">
        <f t="array" ref="AF110">AF$105+IF($C110&lt;&gt;0,SUMPRODUCT((AF$106:AF$107)*TRANSPOSE(($D110:$E110))),0)</f>
        <v>0</v>
      </c>
      <c r="AG110" s="28" cm="1">
        <f t="array" ref="AG110">AG$105+IF($C110&lt;&gt;0,SUMPRODUCT((AG$106:AG$107)*TRANSPOSE(($D110:$E110))),0)</f>
        <v>0</v>
      </c>
    </row>
    <row r="111" spans="1:43" x14ac:dyDescent="0.2">
      <c r="A111" s="1" t="str">
        <f>"sens"&amp;Assumptions!B113</f>
        <v>sens3</v>
      </c>
      <c r="C111" s="252" t="str">
        <f>Assumptions!C113</f>
        <v>Total benefits 10% higher</v>
      </c>
      <c r="D111" s="253">
        <f>Assumptions!G113</f>
        <v>0</v>
      </c>
      <c r="E111" s="253">
        <f>Assumptions!H113</f>
        <v>0.1</v>
      </c>
      <c r="G111" s="34" t="str">
        <f t="shared" si="12"/>
        <v>Option 1 (Base Case)sens3</v>
      </c>
      <c r="I111" s="28" cm="1">
        <f t="array" ref="I111">I$105+IF($C111&lt;&gt;0,SUMPRODUCT((I$106:I$107)*TRANSPOSE(($D111:$E111))),0)</f>
        <v>0</v>
      </c>
      <c r="J111" s="28" cm="1">
        <f t="array" ref="J111">J$105+IF($C111&lt;&gt;0,SUMPRODUCT((J$106:J$107)*TRANSPOSE(($D111:$E111))),0)</f>
        <v>0</v>
      </c>
      <c r="K111" s="28" cm="1">
        <f t="array" ref="K111">K$105+IF($C111&lt;&gt;0,SUMPRODUCT((K$106:K$107)*TRANSPOSE(($D111:$E111))),0)</f>
        <v>0</v>
      </c>
      <c r="L111" s="28" cm="1">
        <f t="array" ref="L111">L$105+IF($C111&lt;&gt;0,SUMPRODUCT((L$106:L$107)*TRANSPOSE(($D111:$E111))),0)</f>
        <v>0</v>
      </c>
      <c r="M111" s="28" cm="1">
        <f t="array" ref="M111">M$105+IF($C111&lt;&gt;0,SUMPRODUCT((M$106:M$107)*TRANSPOSE(($D111:$E111))),0)</f>
        <v>0</v>
      </c>
      <c r="N111" s="28" cm="1">
        <f t="array" ref="N111">N$105+IF($C111&lt;&gt;0,SUMPRODUCT((N$106:N$107)*TRANSPOSE(($D111:$E111))),0)</f>
        <v>0</v>
      </c>
      <c r="O111" s="28" cm="1">
        <f t="array" ref="O111">O$105+IF($C111&lt;&gt;0,SUMPRODUCT((O$106:O$107)*TRANSPOSE(($D111:$E111))),0)</f>
        <v>0</v>
      </c>
      <c r="P111" s="28" cm="1">
        <f t="array" ref="P111">P$105+IF($C111&lt;&gt;0,SUMPRODUCT((P$106:P$107)*TRANSPOSE(($D111:$E111))),0)</f>
        <v>0</v>
      </c>
      <c r="Q111" s="28" cm="1">
        <f t="array" ref="Q111">Q$105+IF($C111&lt;&gt;0,SUMPRODUCT((Q$106:Q$107)*TRANSPOSE(($D111:$E111))),0)</f>
        <v>0</v>
      </c>
      <c r="R111" s="28" cm="1">
        <f t="array" ref="R111">R$105+IF($C111&lt;&gt;0,SUMPRODUCT((R$106:R$107)*TRANSPOSE(($D111:$E111))),0)</f>
        <v>0</v>
      </c>
      <c r="S111" s="28" cm="1">
        <f t="array" ref="S111">S$105+IF($C111&lt;&gt;0,SUMPRODUCT((S$106:S$107)*TRANSPOSE(($D111:$E111))),0)</f>
        <v>0</v>
      </c>
      <c r="T111" s="28" cm="1">
        <f t="array" ref="T111">T$105+IF($C111&lt;&gt;0,SUMPRODUCT((T$106:T$107)*TRANSPOSE(($D111:$E111))),0)</f>
        <v>0</v>
      </c>
      <c r="U111" s="28" cm="1">
        <f t="array" ref="U111">U$105+IF($C111&lt;&gt;0,SUMPRODUCT((U$106:U$107)*TRANSPOSE(($D111:$E111))),0)</f>
        <v>0</v>
      </c>
      <c r="V111" s="28" cm="1">
        <f t="array" ref="V111">V$105+IF($C111&lt;&gt;0,SUMPRODUCT((V$106:V$107)*TRANSPOSE(($D111:$E111))),0)</f>
        <v>0</v>
      </c>
      <c r="W111" s="28" cm="1">
        <f t="array" ref="W111">W$105+IF($C111&lt;&gt;0,SUMPRODUCT((W$106:W$107)*TRANSPOSE(($D111:$E111))),0)</f>
        <v>0</v>
      </c>
      <c r="X111" s="28" cm="1">
        <f t="array" ref="X111">X$105+IF($C111&lt;&gt;0,SUMPRODUCT((X$106:X$107)*TRANSPOSE(($D111:$E111))),0)</f>
        <v>0</v>
      </c>
      <c r="Y111" s="28" cm="1">
        <f t="array" ref="Y111">Y$105+IF($C111&lt;&gt;0,SUMPRODUCT((Y$106:Y$107)*TRANSPOSE(($D111:$E111))),0)</f>
        <v>0</v>
      </c>
      <c r="Z111" s="28" cm="1">
        <f t="array" ref="Z111">Z$105+IF($C111&lt;&gt;0,SUMPRODUCT((Z$106:Z$107)*TRANSPOSE(($D111:$E111))),0)</f>
        <v>0</v>
      </c>
      <c r="AA111" s="28" cm="1">
        <f t="array" ref="AA111">AA$105+IF($C111&lt;&gt;0,SUMPRODUCT((AA$106:AA$107)*TRANSPOSE(($D111:$E111))),0)</f>
        <v>0</v>
      </c>
      <c r="AB111" s="28" cm="1">
        <f t="array" ref="AB111">AB$105+IF($C111&lt;&gt;0,SUMPRODUCT((AB$106:AB$107)*TRANSPOSE(($D111:$E111))),0)</f>
        <v>0</v>
      </c>
      <c r="AC111" s="28" cm="1">
        <f t="array" ref="AC111">AC$105+IF($C111&lt;&gt;0,SUMPRODUCT((AC$106:AC$107)*TRANSPOSE(($D111:$E111))),0)</f>
        <v>0</v>
      </c>
      <c r="AD111" s="28" cm="1">
        <f t="array" ref="AD111">AD$105+IF($C111&lt;&gt;0,SUMPRODUCT((AD$106:AD$107)*TRANSPOSE(($D111:$E111))),0)</f>
        <v>0</v>
      </c>
      <c r="AE111" s="28" cm="1">
        <f t="array" ref="AE111">AE$105+IF($C111&lt;&gt;0,SUMPRODUCT((AE$106:AE$107)*TRANSPOSE(($D111:$E111))),0)</f>
        <v>0</v>
      </c>
      <c r="AF111" s="28" cm="1">
        <f t="array" ref="AF111">AF$105+IF($C111&lt;&gt;0,SUMPRODUCT((AF$106:AF$107)*TRANSPOSE(($D111:$E111))),0)</f>
        <v>0</v>
      </c>
      <c r="AG111" s="28" cm="1">
        <f t="array" ref="AG111">AG$105+IF($C111&lt;&gt;0,SUMPRODUCT((AG$106:AG$107)*TRANSPOSE(($D111:$E111))),0)</f>
        <v>0</v>
      </c>
    </row>
    <row r="112" spans="1:43" x14ac:dyDescent="0.2">
      <c r="A112" s="1" t="str">
        <f>"sens"&amp;Assumptions!B114</f>
        <v>sens4</v>
      </c>
      <c r="C112" s="252" t="str">
        <f>Assumptions!C114</f>
        <v>Total benefits 10% lower</v>
      </c>
      <c r="D112" s="253">
        <f>Assumptions!G114</f>
        <v>0</v>
      </c>
      <c r="E112" s="253">
        <f>Assumptions!H114</f>
        <v>-0.1</v>
      </c>
      <c r="G112" s="34" t="str">
        <f t="shared" si="12"/>
        <v>Option 1 (Base Case)sens4</v>
      </c>
      <c r="I112" s="28" cm="1">
        <f t="array" ref="I112">I$105+IF($C112&lt;&gt;0,SUMPRODUCT((I$106:I$107)*TRANSPOSE(($D112:$E112))),0)</f>
        <v>0</v>
      </c>
      <c r="J112" s="28" cm="1">
        <f t="array" ref="J112">J$105+IF($C112&lt;&gt;0,SUMPRODUCT((J$106:J$107)*TRANSPOSE(($D112:$E112))),0)</f>
        <v>0</v>
      </c>
      <c r="K112" s="28" cm="1">
        <f t="array" ref="K112">K$105+IF($C112&lt;&gt;0,SUMPRODUCT((K$106:K$107)*TRANSPOSE(($D112:$E112))),0)</f>
        <v>0</v>
      </c>
      <c r="L112" s="28" cm="1">
        <f t="array" ref="L112">L$105+IF($C112&lt;&gt;0,SUMPRODUCT((L$106:L$107)*TRANSPOSE(($D112:$E112))),0)</f>
        <v>0</v>
      </c>
      <c r="M112" s="28" cm="1">
        <f t="array" ref="M112">M$105+IF($C112&lt;&gt;0,SUMPRODUCT((M$106:M$107)*TRANSPOSE(($D112:$E112))),0)</f>
        <v>0</v>
      </c>
      <c r="N112" s="28" cm="1">
        <f t="array" ref="N112">N$105+IF($C112&lt;&gt;0,SUMPRODUCT((N$106:N$107)*TRANSPOSE(($D112:$E112))),0)</f>
        <v>0</v>
      </c>
      <c r="O112" s="28" cm="1">
        <f t="array" ref="O112">O$105+IF($C112&lt;&gt;0,SUMPRODUCT((O$106:O$107)*TRANSPOSE(($D112:$E112))),0)</f>
        <v>0</v>
      </c>
      <c r="P112" s="28" cm="1">
        <f t="array" ref="P112">P$105+IF($C112&lt;&gt;0,SUMPRODUCT((P$106:P$107)*TRANSPOSE(($D112:$E112))),0)</f>
        <v>0</v>
      </c>
      <c r="Q112" s="28" cm="1">
        <f t="array" ref="Q112">Q$105+IF($C112&lt;&gt;0,SUMPRODUCT((Q$106:Q$107)*TRANSPOSE(($D112:$E112))),0)</f>
        <v>0</v>
      </c>
      <c r="R112" s="28" cm="1">
        <f t="array" ref="R112">R$105+IF($C112&lt;&gt;0,SUMPRODUCT((R$106:R$107)*TRANSPOSE(($D112:$E112))),0)</f>
        <v>0</v>
      </c>
      <c r="S112" s="28" cm="1">
        <f t="array" ref="S112">S$105+IF($C112&lt;&gt;0,SUMPRODUCT((S$106:S$107)*TRANSPOSE(($D112:$E112))),0)</f>
        <v>0</v>
      </c>
      <c r="T112" s="28" cm="1">
        <f t="array" ref="T112">T$105+IF($C112&lt;&gt;0,SUMPRODUCT((T$106:T$107)*TRANSPOSE(($D112:$E112))),0)</f>
        <v>0</v>
      </c>
      <c r="U112" s="28" cm="1">
        <f t="array" ref="U112">U$105+IF($C112&lt;&gt;0,SUMPRODUCT((U$106:U$107)*TRANSPOSE(($D112:$E112))),0)</f>
        <v>0</v>
      </c>
      <c r="V112" s="28" cm="1">
        <f t="array" ref="V112">V$105+IF($C112&lt;&gt;0,SUMPRODUCT((V$106:V$107)*TRANSPOSE(($D112:$E112))),0)</f>
        <v>0</v>
      </c>
      <c r="W112" s="28" cm="1">
        <f t="array" ref="W112">W$105+IF($C112&lt;&gt;0,SUMPRODUCT((W$106:W$107)*TRANSPOSE(($D112:$E112))),0)</f>
        <v>0</v>
      </c>
      <c r="X112" s="28" cm="1">
        <f t="array" ref="X112">X$105+IF($C112&lt;&gt;0,SUMPRODUCT((X$106:X$107)*TRANSPOSE(($D112:$E112))),0)</f>
        <v>0</v>
      </c>
      <c r="Y112" s="28" cm="1">
        <f t="array" ref="Y112">Y$105+IF($C112&lt;&gt;0,SUMPRODUCT((Y$106:Y$107)*TRANSPOSE(($D112:$E112))),0)</f>
        <v>0</v>
      </c>
      <c r="Z112" s="28" cm="1">
        <f t="array" ref="Z112">Z$105+IF($C112&lt;&gt;0,SUMPRODUCT((Z$106:Z$107)*TRANSPOSE(($D112:$E112))),0)</f>
        <v>0</v>
      </c>
      <c r="AA112" s="28" cm="1">
        <f t="array" ref="AA112">AA$105+IF($C112&lt;&gt;0,SUMPRODUCT((AA$106:AA$107)*TRANSPOSE(($D112:$E112))),0)</f>
        <v>0</v>
      </c>
      <c r="AB112" s="28" cm="1">
        <f t="array" ref="AB112">AB$105+IF($C112&lt;&gt;0,SUMPRODUCT((AB$106:AB$107)*TRANSPOSE(($D112:$E112))),0)</f>
        <v>0</v>
      </c>
      <c r="AC112" s="28" cm="1">
        <f t="array" ref="AC112">AC$105+IF($C112&lt;&gt;0,SUMPRODUCT((AC$106:AC$107)*TRANSPOSE(($D112:$E112))),0)</f>
        <v>0</v>
      </c>
      <c r="AD112" s="28" cm="1">
        <f t="array" ref="AD112">AD$105+IF($C112&lt;&gt;0,SUMPRODUCT((AD$106:AD$107)*TRANSPOSE(($D112:$E112))),0)</f>
        <v>0</v>
      </c>
      <c r="AE112" s="28" cm="1">
        <f t="array" ref="AE112">AE$105+IF($C112&lt;&gt;0,SUMPRODUCT((AE$106:AE$107)*TRANSPOSE(($D112:$E112))),0)</f>
        <v>0</v>
      </c>
      <c r="AF112" s="28" cm="1">
        <f t="array" ref="AF112">AF$105+IF($C112&lt;&gt;0,SUMPRODUCT((AF$106:AF$107)*TRANSPOSE(($D112:$E112))),0)</f>
        <v>0</v>
      </c>
      <c r="AG112" s="28" cm="1">
        <f t="array" ref="AG112">AG$105+IF($C112&lt;&gt;0,SUMPRODUCT((AG$106:AG$107)*TRANSPOSE(($D112:$E112))),0)</f>
        <v>0</v>
      </c>
    </row>
    <row r="113" spans="1:33" x14ac:dyDescent="0.2">
      <c r="A113" s="1" t="str">
        <f>"sens"&amp;Assumptions!B115</f>
        <v>sens5</v>
      </c>
      <c r="C113" s="252" t="str">
        <f>Assumptions!C115</f>
        <v>Capex 10% higher &amp; Total benefits 10% lower</v>
      </c>
      <c r="D113" s="253">
        <f>Assumptions!G115</f>
        <v>0.1</v>
      </c>
      <c r="E113" s="253">
        <f>Assumptions!H115</f>
        <v>-0.1</v>
      </c>
      <c r="G113" s="34" t="str">
        <f t="shared" si="12"/>
        <v>Option 1 (Base Case)sens5</v>
      </c>
      <c r="I113" s="28" cm="1">
        <f t="array" ref="I113">I$105+IF($C113&lt;&gt;0,SUMPRODUCT((I$106:I$107)*TRANSPOSE(($D113:$E113))),0)</f>
        <v>0</v>
      </c>
      <c r="J113" s="28" cm="1">
        <f t="array" ref="J113">J$105+IF($C113&lt;&gt;0,SUMPRODUCT((J$106:J$107)*TRANSPOSE(($D113:$E113))),0)</f>
        <v>0</v>
      </c>
      <c r="K113" s="28" cm="1">
        <f t="array" ref="K113">K$105+IF($C113&lt;&gt;0,SUMPRODUCT((K$106:K$107)*TRANSPOSE(($D113:$E113))),0)</f>
        <v>0</v>
      </c>
      <c r="L113" s="28" cm="1">
        <f t="array" ref="L113">L$105+IF($C113&lt;&gt;0,SUMPRODUCT((L$106:L$107)*TRANSPOSE(($D113:$E113))),0)</f>
        <v>0</v>
      </c>
      <c r="M113" s="28" cm="1">
        <f t="array" ref="M113">M$105+IF($C113&lt;&gt;0,SUMPRODUCT((M$106:M$107)*TRANSPOSE(($D113:$E113))),0)</f>
        <v>0</v>
      </c>
      <c r="N113" s="28" cm="1">
        <f t="array" ref="N113">N$105+IF($C113&lt;&gt;0,SUMPRODUCT((N$106:N$107)*TRANSPOSE(($D113:$E113))),0)</f>
        <v>0</v>
      </c>
      <c r="O113" s="28" cm="1">
        <f t="array" ref="O113">O$105+IF($C113&lt;&gt;0,SUMPRODUCT((O$106:O$107)*TRANSPOSE(($D113:$E113))),0)</f>
        <v>0</v>
      </c>
      <c r="P113" s="28" cm="1">
        <f t="array" ref="P113">P$105+IF($C113&lt;&gt;0,SUMPRODUCT((P$106:P$107)*TRANSPOSE(($D113:$E113))),0)</f>
        <v>0</v>
      </c>
      <c r="Q113" s="28" cm="1">
        <f t="array" ref="Q113">Q$105+IF($C113&lt;&gt;0,SUMPRODUCT((Q$106:Q$107)*TRANSPOSE(($D113:$E113))),0)</f>
        <v>0</v>
      </c>
      <c r="R113" s="28" cm="1">
        <f t="array" ref="R113">R$105+IF($C113&lt;&gt;0,SUMPRODUCT((R$106:R$107)*TRANSPOSE(($D113:$E113))),0)</f>
        <v>0</v>
      </c>
      <c r="S113" s="28" cm="1">
        <f t="array" ref="S113">S$105+IF($C113&lt;&gt;0,SUMPRODUCT((S$106:S$107)*TRANSPOSE(($D113:$E113))),0)</f>
        <v>0</v>
      </c>
      <c r="T113" s="28" cm="1">
        <f t="array" ref="T113">T$105+IF($C113&lt;&gt;0,SUMPRODUCT((T$106:T$107)*TRANSPOSE(($D113:$E113))),0)</f>
        <v>0</v>
      </c>
      <c r="U113" s="28" cm="1">
        <f t="array" ref="U113">U$105+IF($C113&lt;&gt;0,SUMPRODUCT((U$106:U$107)*TRANSPOSE(($D113:$E113))),0)</f>
        <v>0</v>
      </c>
      <c r="V113" s="28" cm="1">
        <f t="array" ref="V113">V$105+IF($C113&lt;&gt;0,SUMPRODUCT((V$106:V$107)*TRANSPOSE(($D113:$E113))),0)</f>
        <v>0</v>
      </c>
      <c r="W113" s="28" cm="1">
        <f t="array" ref="W113">W$105+IF($C113&lt;&gt;0,SUMPRODUCT((W$106:W$107)*TRANSPOSE(($D113:$E113))),0)</f>
        <v>0</v>
      </c>
      <c r="X113" s="28" cm="1">
        <f t="array" ref="X113">X$105+IF($C113&lt;&gt;0,SUMPRODUCT((X$106:X$107)*TRANSPOSE(($D113:$E113))),0)</f>
        <v>0</v>
      </c>
      <c r="Y113" s="28" cm="1">
        <f t="array" ref="Y113">Y$105+IF($C113&lt;&gt;0,SUMPRODUCT((Y$106:Y$107)*TRANSPOSE(($D113:$E113))),0)</f>
        <v>0</v>
      </c>
      <c r="Z113" s="28" cm="1">
        <f t="array" ref="Z113">Z$105+IF($C113&lt;&gt;0,SUMPRODUCT((Z$106:Z$107)*TRANSPOSE(($D113:$E113))),0)</f>
        <v>0</v>
      </c>
      <c r="AA113" s="28" cm="1">
        <f t="array" ref="AA113">AA$105+IF($C113&lt;&gt;0,SUMPRODUCT((AA$106:AA$107)*TRANSPOSE(($D113:$E113))),0)</f>
        <v>0</v>
      </c>
      <c r="AB113" s="28" cm="1">
        <f t="array" ref="AB113">AB$105+IF($C113&lt;&gt;0,SUMPRODUCT((AB$106:AB$107)*TRANSPOSE(($D113:$E113))),0)</f>
        <v>0</v>
      </c>
      <c r="AC113" s="28" cm="1">
        <f t="array" ref="AC113">AC$105+IF($C113&lt;&gt;0,SUMPRODUCT((AC$106:AC$107)*TRANSPOSE(($D113:$E113))),0)</f>
        <v>0</v>
      </c>
      <c r="AD113" s="28" cm="1">
        <f t="array" ref="AD113">AD$105+IF($C113&lt;&gt;0,SUMPRODUCT((AD$106:AD$107)*TRANSPOSE(($D113:$E113))),0)</f>
        <v>0</v>
      </c>
      <c r="AE113" s="28" cm="1">
        <f t="array" ref="AE113">AE$105+IF($C113&lt;&gt;0,SUMPRODUCT((AE$106:AE$107)*TRANSPOSE(($D113:$E113))),0)</f>
        <v>0</v>
      </c>
      <c r="AF113" s="28" cm="1">
        <f t="array" ref="AF113">AF$105+IF($C113&lt;&gt;0,SUMPRODUCT((AF$106:AF$107)*TRANSPOSE(($D113:$E113))),0)</f>
        <v>0</v>
      </c>
      <c r="AG113" s="28" cm="1">
        <f t="array" ref="AG113">AG$105+IF($C113&lt;&gt;0,SUMPRODUCT((AG$106:AG$107)*TRANSPOSE(($D113:$E113))),0)</f>
        <v>0</v>
      </c>
    </row>
    <row r="114" spans="1:33" x14ac:dyDescent="0.2">
      <c r="A114" s="1" t="str">
        <f>"sens"&amp;Assumptions!B116</f>
        <v>sens</v>
      </c>
      <c r="C114" s="252">
        <f>Assumptions!C116</f>
        <v>0</v>
      </c>
      <c r="D114" s="253">
        <f>Assumptions!G116</f>
        <v>0</v>
      </c>
      <c r="E114" s="253">
        <f>Assumptions!H116</f>
        <v>0</v>
      </c>
      <c r="G114" s="34" t="str">
        <f t="shared" si="12"/>
        <v>Option 1 (Base Case)sens</v>
      </c>
      <c r="I114" s="28" cm="1">
        <f t="array" ref="I114">I$105+IF($C114&lt;&gt;0,SUMPRODUCT((I$106:I$107)*TRANSPOSE(($D114:$E114))),0)</f>
        <v>0</v>
      </c>
      <c r="J114" s="28" cm="1">
        <f t="array" ref="J114">J$105+IF($C114&lt;&gt;0,SUMPRODUCT((J$106:J$107)*TRANSPOSE(($D114:$E114))),0)</f>
        <v>0</v>
      </c>
      <c r="K114" s="28" cm="1">
        <f t="array" ref="K114">K$105+IF($C114&lt;&gt;0,SUMPRODUCT((K$106:K$107)*TRANSPOSE(($D114:$E114))),0)</f>
        <v>0</v>
      </c>
      <c r="L114" s="28" cm="1">
        <f t="array" ref="L114">L$105+IF($C114&lt;&gt;0,SUMPRODUCT((L$106:L$107)*TRANSPOSE(($D114:$E114))),0)</f>
        <v>0</v>
      </c>
      <c r="M114" s="28" cm="1">
        <f t="array" ref="M114">M$105+IF($C114&lt;&gt;0,SUMPRODUCT((M$106:M$107)*TRANSPOSE(($D114:$E114))),0)</f>
        <v>0</v>
      </c>
      <c r="N114" s="28" cm="1">
        <f t="array" ref="N114">N$105+IF($C114&lt;&gt;0,SUMPRODUCT((N$106:N$107)*TRANSPOSE(($D114:$E114))),0)</f>
        <v>0</v>
      </c>
      <c r="O114" s="28" cm="1">
        <f t="array" ref="O114">O$105+IF($C114&lt;&gt;0,SUMPRODUCT((O$106:O$107)*TRANSPOSE(($D114:$E114))),0)</f>
        <v>0</v>
      </c>
      <c r="P114" s="28" cm="1">
        <f t="array" ref="P114">P$105+IF($C114&lt;&gt;0,SUMPRODUCT((P$106:P$107)*TRANSPOSE(($D114:$E114))),0)</f>
        <v>0</v>
      </c>
      <c r="Q114" s="28" cm="1">
        <f t="array" ref="Q114">Q$105+IF($C114&lt;&gt;0,SUMPRODUCT((Q$106:Q$107)*TRANSPOSE(($D114:$E114))),0)</f>
        <v>0</v>
      </c>
      <c r="R114" s="28" cm="1">
        <f t="array" ref="R114">R$105+IF($C114&lt;&gt;0,SUMPRODUCT((R$106:R$107)*TRANSPOSE(($D114:$E114))),0)</f>
        <v>0</v>
      </c>
      <c r="S114" s="28" cm="1">
        <f t="array" ref="S114">S$105+IF($C114&lt;&gt;0,SUMPRODUCT((S$106:S$107)*TRANSPOSE(($D114:$E114))),0)</f>
        <v>0</v>
      </c>
      <c r="T114" s="28" cm="1">
        <f t="array" ref="T114">T$105+IF($C114&lt;&gt;0,SUMPRODUCT((T$106:T$107)*TRANSPOSE(($D114:$E114))),0)</f>
        <v>0</v>
      </c>
      <c r="U114" s="28" cm="1">
        <f t="array" ref="U114">U$105+IF($C114&lt;&gt;0,SUMPRODUCT((U$106:U$107)*TRANSPOSE(($D114:$E114))),0)</f>
        <v>0</v>
      </c>
      <c r="V114" s="28" cm="1">
        <f t="array" ref="V114">V$105+IF($C114&lt;&gt;0,SUMPRODUCT((V$106:V$107)*TRANSPOSE(($D114:$E114))),0)</f>
        <v>0</v>
      </c>
      <c r="W114" s="28" cm="1">
        <f t="array" ref="W114">W$105+IF($C114&lt;&gt;0,SUMPRODUCT((W$106:W$107)*TRANSPOSE(($D114:$E114))),0)</f>
        <v>0</v>
      </c>
      <c r="X114" s="28" cm="1">
        <f t="array" ref="X114">X$105+IF($C114&lt;&gt;0,SUMPRODUCT((X$106:X$107)*TRANSPOSE(($D114:$E114))),0)</f>
        <v>0</v>
      </c>
      <c r="Y114" s="28" cm="1">
        <f t="array" ref="Y114">Y$105+IF($C114&lt;&gt;0,SUMPRODUCT((Y$106:Y$107)*TRANSPOSE(($D114:$E114))),0)</f>
        <v>0</v>
      </c>
      <c r="Z114" s="28" cm="1">
        <f t="array" ref="Z114">Z$105+IF($C114&lt;&gt;0,SUMPRODUCT((Z$106:Z$107)*TRANSPOSE(($D114:$E114))),0)</f>
        <v>0</v>
      </c>
      <c r="AA114" s="28" cm="1">
        <f t="array" ref="AA114">AA$105+IF($C114&lt;&gt;0,SUMPRODUCT((AA$106:AA$107)*TRANSPOSE(($D114:$E114))),0)</f>
        <v>0</v>
      </c>
      <c r="AB114" s="28" cm="1">
        <f t="array" ref="AB114">AB$105+IF($C114&lt;&gt;0,SUMPRODUCT((AB$106:AB$107)*TRANSPOSE(($D114:$E114))),0)</f>
        <v>0</v>
      </c>
      <c r="AC114" s="28" cm="1">
        <f t="array" ref="AC114">AC$105+IF($C114&lt;&gt;0,SUMPRODUCT((AC$106:AC$107)*TRANSPOSE(($D114:$E114))),0)</f>
        <v>0</v>
      </c>
      <c r="AD114" s="28" cm="1">
        <f t="array" ref="AD114">AD$105+IF($C114&lt;&gt;0,SUMPRODUCT((AD$106:AD$107)*TRANSPOSE(($D114:$E114))),0)</f>
        <v>0</v>
      </c>
      <c r="AE114" s="28" cm="1">
        <f t="array" ref="AE114">AE$105+IF($C114&lt;&gt;0,SUMPRODUCT((AE$106:AE$107)*TRANSPOSE(($D114:$E114))),0)</f>
        <v>0</v>
      </c>
      <c r="AF114" s="28" cm="1">
        <f t="array" ref="AF114">AF$105+IF($C114&lt;&gt;0,SUMPRODUCT((AF$106:AF$107)*TRANSPOSE(($D114:$E114))),0)</f>
        <v>0</v>
      </c>
      <c r="AG114" s="28" cm="1">
        <f t="array" ref="AG114">AG$105+IF($C114&lt;&gt;0,SUMPRODUCT((AG$106:AG$107)*TRANSPOSE(($D114:$E114))),0)</f>
        <v>0</v>
      </c>
    </row>
    <row r="115" spans="1:33" x14ac:dyDescent="0.2">
      <c r="A115" s="1" t="str">
        <f>"sens"&amp;Assumptions!B117</f>
        <v>sens</v>
      </c>
      <c r="C115" s="252">
        <f>Assumptions!C117</f>
        <v>0</v>
      </c>
      <c r="D115" s="253">
        <f>Assumptions!G117</f>
        <v>0</v>
      </c>
      <c r="E115" s="253">
        <f>Assumptions!H117</f>
        <v>0</v>
      </c>
      <c r="G115" s="34" t="str">
        <f t="shared" si="12"/>
        <v>Option 1 (Base Case)sens</v>
      </c>
      <c r="I115" s="28" cm="1">
        <f t="array" ref="I115">I$105+IF($C115&lt;&gt;0,SUMPRODUCT((I$106:I$107)*TRANSPOSE(($D115:$E115))),0)</f>
        <v>0</v>
      </c>
      <c r="J115" s="28" cm="1">
        <f t="array" ref="J115">J$105+IF($C115&lt;&gt;0,SUMPRODUCT((J$106:J$107)*TRANSPOSE(($D115:$E115))),0)</f>
        <v>0</v>
      </c>
      <c r="K115" s="28" cm="1">
        <f t="array" ref="K115">K$105+IF($C115&lt;&gt;0,SUMPRODUCT((K$106:K$107)*TRANSPOSE(($D115:$E115))),0)</f>
        <v>0</v>
      </c>
      <c r="L115" s="28" cm="1">
        <f t="array" ref="L115">L$105+IF($C115&lt;&gt;0,SUMPRODUCT((L$106:L$107)*TRANSPOSE(($D115:$E115))),0)</f>
        <v>0</v>
      </c>
      <c r="M115" s="28" cm="1">
        <f t="array" ref="M115">M$105+IF($C115&lt;&gt;0,SUMPRODUCT((M$106:M$107)*TRANSPOSE(($D115:$E115))),0)</f>
        <v>0</v>
      </c>
      <c r="N115" s="28" cm="1">
        <f t="array" ref="N115">N$105+IF($C115&lt;&gt;0,SUMPRODUCT((N$106:N$107)*TRANSPOSE(($D115:$E115))),0)</f>
        <v>0</v>
      </c>
      <c r="O115" s="28" cm="1">
        <f t="array" ref="O115">O$105+IF($C115&lt;&gt;0,SUMPRODUCT((O$106:O$107)*TRANSPOSE(($D115:$E115))),0)</f>
        <v>0</v>
      </c>
      <c r="P115" s="28" cm="1">
        <f t="array" ref="P115">P$105+IF($C115&lt;&gt;0,SUMPRODUCT((P$106:P$107)*TRANSPOSE(($D115:$E115))),0)</f>
        <v>0</v>
      </c>
      <c r="Q115" s="28" cm="1">
        <f t="array" ref="Q115">Q$105+IF($C115&lt;&gt;0,SUMPRODUCT((Q$106:Q$107)*TRANSPOSE(($D115:$E115))),0)</f>
        <v>0</v>
      </c>
      <c r="R115" s="28" cm="1">
        <f t="array" ref="R115">R$105+IF($C115&lt;&gt;0,SUMPRODUCT((R$106:R$107)*TRANSPOSE(($D115:$E115))),0)</f>
        <v>0</v>
      </c>
      <c r="S115" s="28" cm="1">
        <f t="array" ref="S115">S$105+IF($C115&lt;&gt;0,SUMPRODUCT((S$106:S$107)*TRANSPOSE(($D115:$E115))),0)</f>
        <v>0</v>
      </c>
      <c r="T115" s="28" cm="1">
        <f t="array" ref="T115">T$105+IF($C115&lt;&gt;0,SUMPRODUCT((T$106:T$107)*TRANSPOSE(($D115:$E115))),0)</f>
        <v>0</v>
      </c>
      <c r="U115" s="28" cm="1">
        <f t="array" ref="U115">U$105+IF($C115&lt;&gt;0,SUMPRODUCT((U$106:U$107)*TRANSPOSE(($D115:$E115))),0)</f>
        <v>0</v>
      </c>
      <c r="V115" s="28" cm="1">
        <f t="array" ref="V115">V$105+IF($C115&lt;&gt;0,SUMPRODUCT((V$106:V$107)*TRANSPOSE(($D115:$E115))),0)</f>
        <v>0</v>
      </c>
      <c r="W115" s="28" cm="1">
        <f t="array" ref="W115">W$105+IF($C115&lt;&gt;0,SUMPRODUCT((W$106:W$107)*TRANSPOSE(($D115:$E115))),0)</f>
        <v>0</v>
      </c>
      <c r="X115" s="28" cm="1">
        <f t="array" ref="X115">X$105+IF($C115&lt;&gt;0,SUMPRODUCT((X$106:X$107)*TRANSPOSE(($D115:$E115))),0)</f>
        <v>0</v>
      </c>
      <c r="Y115" s="28" cm="1">
        <f t="array" ref="Y115">Y$105+IF($C115&lt;&gt;0,SUMPRODUCT((Y$106:Y$107)*TRANSPOSE(($D115:$E115))),0)</f>
        <v>0</v>
      </c>
      <c r="Z115" s="28" cm="1">
        <f t="array" ref="Z115">Z$105+IF($C115&lt;&gt;0,SUMPRODUCT((Z$106:Z$107)*TRANSPOSE(($D115:$E115))),0)</f>
        <v>0</v>
      </c>
      <c r="AA115" s="28" cm="1">
        <f t="array" ref="AA115">AA$105+IF($C115&lt;&gt;0,SUMPRODUCT((AA$106:AA$107)*TRANSPOSE(($D115:$E115))),0)</f>
        <v>0</v>
      </c>
      <c r="AB115" s="28" cm="1">
        <f t="array" ref="AB115">AB$105+IF($C115&lt;&gt;0,SUMPRODUCT((AB$106:AB$107)*TRANSPOSE(($D115:$E115))),0)</f>
        <v>0</v>
      </c>
      <c r="AC115" s="28" cm="1">
        <f t="array" ref="AC115">AC$105+IF($C115&lt;&gt;0,SUMPRODUCT((AC$106:AC$107)*TRANSPOSE(($D115:$E115))),0)</f>
        <v>0</v>
      </c>
      <c r="AD115" s="28" cm="1">
        <f t="array" ref="AD115">AD$105+IF($C115&lt;&gt;0,SUMPRODUCT((AD$106:AD$107)*TRANSPOSE(($D115:$E115))),0)</f>
        <v>0</v>
      </c>
      <c r="AE115" s="28" cm="1">
        <f t="array" ref="AE115">AE$105+IF($C115&lt;&gt;0,SUMPRODUCT((AE$106:AE$107)*TRANSPOSE(($D115:$E115))),0)</f>
        <v>0</v>
      </c>
      <c r="AF115" s="28" cm="1">
        <f t="array" ref="AF115">AF$105+IF($C115&lt;&gt;0,SUMPRODUCT((AF$106:AF$107)*TRANSPOSE(($D115:$E115))),0)</f>
        <v>0</v>
      </c>
      <c r="AG115" s="28" cm="1">
        <f t="array" ref="AG115">AG$105+IF($C115&lt;&gt;0,SUMPRODUCT((AG$106:AG$107)*TRANSPOSE(($D115:$E115))),0)</f>
        <v>0</v>
      </c>
    </row>
    <row r="116" spans="1:33" x14ac:dyDescent="0.2">
      <c r="A116" s="1" t="str">
        <f>"sens"&amp;Assumptions!B118</f>
        <v>sens</v>
      </c>
      <c r="C116" s="252">
        <f>Assumptions!C118</f>
        <v>0</v>
      </c>
      <c r="D116" s="253">
        <f>Assumptions!G118</f>
        <v>0</v>
      </c>
      <c r="E116" s="253">
        <f>Assumptions!H118</f>
        <v>0</v>
      </c>
      <c r="G116" s="34" t="str">
        <f t="shared" si="12"/>
        <v>Option 1 (Base Case)sens</v>
      </c>
      <c r="I116" s="28" cm="1">
        <f t="array" ref="I116">I$105+IF($C116&lt;&gt;0,SUMPRODUCT((I$106:I$107)*TRANSPOSE(($D116:$E116))),0)</f>
        <v>0</v>
      </c>
      <c r="J116" s="28" cm="1">
        <f t="array" ref="J116">J$105+IF($C116&lt;&gt;0,SUMPRODUCT((J$106:J$107)*TRANSPOSE(($D116:$E116))),0)</f>
        <v>0</v>
      </c>
      <c r="K116" s="28" cm="1">
        <f t="array" ref="K116">K$105+IF($C116&lt;&gt;0,SUMPRODUCT((K$106:K$107)*TRANSPOSE(($D116:$E116))),0)</f>
        <v>0</v>
      </c>
      <c r="L116" s="28" cm="1">
        <f t="array" ref="L116">L$105+IF($C116&lt;&gt;0,SUMPRODUCT((L$106:L$107)*TRANSPOSE(($D116:$E116))),0)</f>
        <v>0</v>
      </c>
      <c r="M116" s="28" cm="1">
        <f t="array" ref="M116">M$105+IF($C116&lt;&gt;0,SUMPRODUCT((M$106:M$107)*TRANSPOSE(($D116:$E116))),0)</f>
        <v>0</v>
      </c>
      <c r="N116" s="28" cm="1">
        <f t="array" ref="N116">N$105+IF($C116&lt;&gt;0,SUMPRODUCT((N$106:N$107)*TRANSPOSE(($D116:$E116))),0)</f>
        <v>0</v>
      </c>
      <c r="O116" s="28" cm="1">
        <f t="array" ref="O116">O$105+IF($C116&lt;&gt;0,SUMPRODUCT((O$106:O$107)*TRANSPOSE(($D116:$E116))),0)</f>
        <v>0</v>
      </c>
      <c r="P116" s="28" cm="1">
        <f t="array" ref="P116">P$105+IF($C116&lt;&gt;0,SUMPRODUCT((P$106:P$107)*TRANSPOSE(($D116:$E116))),0)</f>
        <v>0</v>
      </c>
      <c r="Q116" s="28" cm="1">
        <f t="array" ref="Q116">Q$105+IF($C116&lt;&gt;0,SUMPRODUCT((Q$106:Q$107)*TRANSPOSE(($D116:$E116))),0)</f>
        <v>0</v>
      </c>
      <c r="R116" s="28" cm="1">
        <f t="array" ref="R116">R$105+IF($C116&lt;&gt;0,SUMPRODUCT((R$106:R$107)*TRANSPOSE(($D116:$E116))),0)</f>
        <v>0</v>
      </c>
      <c r="S116" s="28" cm="1">
        <f t="array" ref="S116">S$105+IF($C116&lt;&gt;0,SUMPRODUCT((S$106:S$107)*TRANSPOSE(($D116:$E116))),0)</f>
        <v>0</v>
      </c>
      <c r="T116" s="28" cm="1">
        <f t="array" ref="T116">T$105+IF($C116&lt;&gt;0,SUMPRODUCT((T$106:T$107)*TRANSPOSE(($D116:$E116))),0)</f>
        <v>0</v>
      </c>
      <c r="U116" s="28" cm="1">
        <f t="array" ref="U116">U$105+IF($C116&lt;&gt;0,SUMPRODUCT((U$106:U$107)*TRANSPOSE(($D116:$E116))),0)</f>
        <v>0</v>
      </c>
      <c r="V116" s="28" cm="1">
        <f t="array" ref="V116">V$105+IF($C116&lt;&gt;0,SUMPRODUCT((V$106:V$107)*TRANSPOSE(($D116:$E116))),0)</f>
        <v>0</v>
      </c>
      <c r="W116" s="28" cm="1">
        <f t="array" ref="W116">W$105+IF($C116&lt;&gt;0,SUMPRODUCT((W$106:W$107)*TRANSPOSE(($D116:$E116))),0)</f>
        <v>0</v>
      </c>
      <c r="X116" s="28" cm="1">
        <f t="array" ref="X116">X$105+IF($C116&lt;&gt;0,SUMPRODUCT((X$106:X$107)*TRANSPOSE(($D116:$E116))),0)</f>
        <v>0</v>
      </c>
      <c r="Y116" s="28" cm="1">
        <f t="array" ref="Y116">Y$105+IF($C116&lt;&gt;0,SUMPRODUCT((Y$106:Y$107)*TRANSPOSE(($D116:$E116))),0)</f>
        <v>0</v>
      </c>
      <c r="Z116" s="28" cm="1">
        <f t="array" ref="Z116">Z$105+IF($C116&lt;&gt;0,SUMPRODUCT((Z$106:Z$107)*TRANSPOSE(($D116:$E116))),0)</f>
        <v>0</v>
      </c>
      <c r="AA116" s="28" cm="1">
        <f t="array" ref="AA116">AA$105+IF($C116&lt;&gt;0,SUMPRODUCT((AA$106:AA$107)*TRANSPOSE(($D116:$E116))),0)</f>
        <v>0</v>
      </c>
      <c r="AB116" s="28" cm="1">
        <f t="array" ref="AB116">AB$105+IF($C116&lt;&gt;0,SUMPRODUCT((AB$106:AB$107)*TRANSPOSE(($D116:$E116))),0)</f>
        <v>0</v>
      </c>
      <c r="AC116" s="28" cm="1">
        <f t="array" ref="AC116">AC$105+IF($C116&lt;&gt;0,SUMPRODUCT((AC$106:AC$107)*TRANSPOSE(($D116:$E116))),0)</f>
        <v>0</v>
      </c>
      <c r="AD116" s="28" cm="1">
        <f t="array" ref="AD116">AD$105+IF($C116&lt;&gt;0,SUMPRODUCT((AD$106:AD$107)*TRANSPOSE(($D116:$E116))),0)</f>
        <v>0</v>
      </c>
      <c r="AE116" s="28" cm="1">
        <f t="array" ref="AE116">AE$105+IF($C116&lt;&gt;0,SUMPRODUCT((AE$106:AE$107)*TRANSPOSE(($D116:$E116))),0)</f>
        <v>0</v>
      </c>
      <c r="AF116" s="28" cm="1">
        <f t="array" ref="AF116">AF$105+IF($C116&lt;&gt;0,SUMPRODUCT((AF$106:AF$107)*TRANSPOSE(($D116:$E116))),0)</f>
        <v>0</v>
      </c>
      <c r="AG116" s="28" cm="1">
        <f t="array" ref="AG116">AG$105+IF($C116&lt;&gt;0,SUMPRODUCT((AG$106:AG$107)*TRANSPOSE(($D116:$E116))),0)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5"/>
  <sheetViews>
    <sheetView showGridLines="0" workbookViewId="0"/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33.8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AR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148</v>
      </c>
      <c r="B3" s="5"/>
      <c r="C3" s="175" t="str">
        <f>INDEX(Assumptions!$E$14:$E$18, MATCH(A3,_xlfn.ANCHORARRAY( Assumptions!$C$14),0))</f>
        <v>Replace #2 transformer completed in 2029-2030</v>
      </c>
    </row>
    <row r="4" spans="1:43" x14ac:dyDescent="0.2">
      <c r="A4" s="1" t="str">
        <f>(INDEX(Data!$D$9:$D$13, MATCH(A3, options,0)))</f>
        <v/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149</v>
      </c>
      <c r="D14"/>
      <c r="E14" s="126">
        <v>50</v>
      </c>
      <c r="G14" s="181">
        <f>input_dollars</f>
        <v>45291</v>
      </c>
      <c r="H14" s="127"/>
      <c r="I14" s="29">
        <f>Workings_costs!E20</f>
        <v>0</v>
      </c>
      <c r="J14" s="29">
        <f>Workings_costs!F20</f>
        <v>0</v>
      </c>
      <c r="K14" s="29">
        <f>Workings_costs!G20</f>
        <v>2142006.2666666666</v>
      </c>
      <c r="L14" s="29">
        <f>Workings_costs!H20</f>
        <v>4284012.5333333332</v>
      </c>
      <c r="M14" s="29">
        <f>Workings_costs!I20</f>
        <v>0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/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/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 t="shared" si="0"/>
        <v>2142006.2666666666</v>
      </c>
      <c r="L17" s="93">
        <f t="shared" si="0"/>
        <v>4284012.5333333332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79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45386.140842230838</v>
      </c>
      <c r="F28" s="211" t="str">
        <f>IF(AND(SUM(I27:AG27)&lt;&gt;0, E28=0), "!", "")</f>
        <v/>
      </c>
      <c r="G28" s="181">
        <f>input_dollars</f>
        <v>45291</v>
      </c>
      <c r="H28"/>
      <c r="I28" s="29">
        <f>Workings_risks!E23</f>
        <v>902550.33179585391</v>
      </c>
      <c r="J28" s="29">
        <f>Workings_risks!F23</f>
        <v>984245.67656817078</v>
      </c>
      <c r="K28" s="29">
        <f>Workings_risks!G23</f>
        <v>1010336.4830719025</v>
      </c>
      <c r="L28" s="29">
        <f>Workings_risks!H23</f>
        <v>1029627.6717804444</v>
      </c>
      <c r="M28" s="29">
        <f>Workings_risks!I23</f>
        <v>29545.531410171992</v>
      </c>
      <c r="N28" s="29">
        <f>Workings_risks!J23</f>
        <v>54521.892663951636</v>
      </c>
      <c r="O28" s="29">
        <f>Workings_risks!K23</f>
        <v>79986.770823298386</v>
      </c>
      <c r="P28" s="29">
        <f>Workings_risks!L23</f>
        <v>105990.26948874397</v>
      </c>
      <c r="Q28" s="29">
        <f>Workings_risks!M23</f>
        <v>131345.01880282999</v>
      </c>
      <c r="R28" s="29">
        <f>Workings_risks!N23</f>
        <v>155208.8512811533</v>
      </c>
      <c r="S28" s="29">
        <f>Workings_risks!O23</f>
        <v>179039.42782619307</v>
      </c>
      <c r="T28" s="29">
        <f>Workings_risks!P23</f>
        <v>202908.42171940004</v>
      </c>
      <c r="U28" s="29">
        <f>Workings_risks!Q23</f>
        <v>226866.62371574948</v>
      </c>
      <c r="V28" s="29">
        <f>Workings_risks!R23</f>
        <v>250951.60609679244</v>
      </c>
      <c r="W28" s="29">
        <f>Workings_risks!S23</f>
        <v>275191.82269395544</v>
      </c>
      <c r="X28" s="29">
        <f>Workings_risks!T23</f>
        <v>299609.47646200325</v>
      </c>
      <c r="Y28" s="29">
        <f>Workings_risks!U23</f>
        <v>324222.16684254957</v>
      </c>
      <c r="Z28" s="29">
        <f>Workings_risks!V23</f>
        <v>349044.02199334087</v>
      </c>
      <c r="AA28" s="29">
        <f>Workings_risks!W23</f>
        <v>374086.53932957619</v>
      </c>
      <c r="AB28" s="29">
        <f>Workings_risks!X23</f>
        <v>399359.20011491625</v>
      </c>
      <c r="AC28" s="29">
        <f>Workings_risks!Y23</f>
        <v>424869.88554310217</v>
      </c>
      <c r="AD28" s="29">
        <f>Workings_risks!Z23</f>
        <v>450625.12123178574</v>
      </c>
      <c r="AE28" s="29">
        <f>Workings_risks!AA23</f>
        <v>476630.44749675039</v>
      </c>
      <c r="AF28" s="29">
        <f>Workings_risks!AB23</f>
        <v>502890.52617608698</v>
      </c>
      <c r="AG28" s="29">
        <f>Workings_risks!AC23</f>
        <v>529409.27469040384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tr">
        <f>'Option1 (base case)'!C30</f>
        <v>Safety risk</v>
      </c>
      <c r="D30" s="179" t="s">
        <v>119</v>
      </c>
      <c r="G30" s="181">
        <f>input_dollars</f>
        <v>45291</v>
      </c>
      <c r="H30" s="127"/>
      <c r="I30" s="29">
        <f>Workings_risks!E24</f>
        <v>569.43302312389608</v>
      </c>
      <c r="J30" s="29">
        <f>Workings_risks!F24</f>
        <v>584.88390844473759</v>
      </c>
      <c r="K30" s="29">
        <f>Workings_risks!G24</f>
        <v>600.50471135378461</v>
      </c>
      <c r="L30" s="29">
        <f>Workings_risks!H24</f>
        <v>616.29465798613819</v>
      </c>
      <c r="M30" s="29">
        <f>Workings_risks!I24</f>
        <v>316.37510761012555</v>
      </c>
      <c r="N30" s="29">
        <f>Workings_risks!J24</f>
        <v>324.99720655515318</v>
      </c>
      <c r="O30" s="29">
        <f>Workings_risks!K24</f>
        <v>333.94514601696915</v>
      </c>
      <c r="P30" s="29">
        <f>Workings_risks!L24</f>
        <v>343.18972525230379</v>
      </c>
      <c r="Q30" s="29">
        <f>Workings_risks!M24</f>
        <v>352.71261017219382</v>
      </c>
      <c r="R30" s="29">
        <f>Workings_risks!N24</f>
        <v>362.50065230573779</v>
      </c>
      <c r="S30" s="29">
        <f>Workings_risks!O24</f>
        <v>372.54369377208832</v>
      </c>
      <c r="T30" s="29">
        <f>Workings_risks!P24</f>
        <v>382.83354751455619</v>
      </c>
      <c r="U30" s="29">
        <f>Workings_risks!Q24</f>
        <v>393.36336808335722</v>
      </c>
      <c r="V30" s="29">
        <f>Workings_risks!R24</f>
        <v>404.12731171364612</v>
      </c>
      <c r="W30" s="29">
        <f>Workings_risks!S24</f>
        <v>415.12027234356555</v>
      </c>
      <c r="X30" s="29">
        <f>Workings_risks!T24</f>
        <v>426.33774781517525</v>
      </c>
      <c r="Y30" s="29">
        <f>Workings_risks!U24</f>
        <v>437.77570969157063</v>
      </c>
      <c r="Z30" s="29">
        <f>Workings_risks!V24</f>
        <v>449.43052008448797</v>
      </c>
      <c r="AA30" s="29">
        <f>Workings_risks!W24</f>
        <v>461.2988520980997</v>
      </c>
      <c r="AB30" s="29">
        <f>Workings_risks!X24</f>
        <v>473.37766451567649</v>
      </c>
      <c r="AC30" s="29">
        <f>Workings_risks!Y24</f>
        <v>485.66414755672037</v>
      </c>
      <c r="AD30" s="29">
        <f>Workings_risks!Z24</f>
        <v>498.15569033124473</v>
      </c>
      <c r="AE30" s="29">
        <f>Workings_risks!AA24</f>
        <v>498.15569033124473</v>
      </c>
      <c r="AF30" s="29">
        <f>Workings_risks!AB24</f>
        <v>498.15569033124473</v>
      </c>
      <c r="AG30" s="29">
        <f>Workings_risks!AC24</f>
        <v>498.15569033124473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tr">
        <f>'Option1 (base case)'!C31</f>
        <v>Unplanned replacement risk</v>
      </c>
      <c r="D31" s="180"/>
      <c r="E31"/>
      <c r="G31" s="181">
        <f>input_dollars</f>
        <v>45291</v>
      </c>
      <c r="H31" s="127"/>
      <c r="I31" s="29">
        <f>Workings_risks!E25</f>
        <v>24285.357893167948</v>
      </c>
      <c r="J31" s="29">
        <f>Workings_risks!F25</f>
        <v>24944.312088912386</v>
      </c>
      <c r="K31" s="29">
        <f>Workings_risks!G25</f>
        <v>25610.512983169807</v>
      </c>
      <c r="L31" s="29">
        <f>Workings_risks!H25</f>
        <v>26283.927571907654</v>
      </c>
      <c r="M31" s="29">
        <f>Workings_risks!I25</f>
        <v>13492.864665015588</v>
      </c>
      <c r="N31" s="29">
        <f>Workings_risks!J25</f>
        <v>13860.582640909553</v>
      </c>
      <c r="O31" s="29">
        <f>Workings_risks!K25</f>
        <v>14242.197165203344</v>
      </c>
      <c r="P31" s="29">
        <f>Workings_risks!L25</f>
        <v>14636.462875453526</v>
      </c>
      <c r="Q31" s="29">
        <f>Workings_risks!M25</f>
        <v>15042.597853692507</v>
      </c>
      <c r="R31" s="29">
        <f>Workings_risks!N25</f>
        <v>15460.041339815729</v>
      </c>
      <c r="S31" s="29">
        <f>Workings_risks!O25</f>
        <v>15888.360117339773</v>
      </c>
      <c r="T31" s="29">
        <f>Workings_risks!P25</f>
        <v>16327.205022107115</v>
      </c>
      <c r="U31" s="29">
        <f>Workings_risks!Q25</f>
        <v>16776.284107231644</v>
      </c>
      <c r="V31" s="29">
        <f>Workings_risks!R25</f>
        <v>17235.348146000211</v>
      </c>
      <c r="W31" s="29">
        <f>Workings_risks!S25</f>
        <v>17704.179373487721</v>
      </c>
      <c r="X31" s="29">
        <f>Workings_risks!T25</f>
        <v>18182.585780252441</v>
      </c>
      <c r="Y31" s="29">
        <f>Workings_risks!U25</f>
        <v>18670.395560255725</v>
      </c>
      <c r="Z31" s="29">
        <f>Workings_risks!V25</f>
        <v>19167.453563699662</v>
      </c>
      <c r="AA31" s="29">
        <f>Workings_risks!W25</f>
        <v>19673.617904089158</v>
      </c>
      <c r="AB31" s="29">
        <f>Workings_risks!X25</f>
        <v>20188.758878660756</v>
      </c>
      <c r="AC31" s="29">
        <f>Workings_risks!Y25</f>
        <v>20712.756655015863</v>
      </c>
      <c r="AD31" s="29">
        <f>Workings_risks!Z25</f>
        <v>21245.499883100714</v>
      </c>
      <c r="AE31" s="29">
        <f>Workings_risks!AA25</f>
        <v>21245.499883100714</v>
      </c>
      <c r="AF31" s="29">
        <f>Workings_risks!AB25</f>
        <v>21245.499883100714</v>
      </c>
      <c r="AG31" s="29">
        <f>Workings_risks!AC25</f>
        <v>21245.499883100714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tr">
        <f>'Option1 (base case)'!C32</f>
        <v>Unplanned fault risk</v>
      </c>
      <c r="D32" s="179"/>
      <c r="E32"/>
      <c r="G32" s="181">
        <f>input_dollars</f>
        <v>45291</v>
      </c>
      <c r="H32"/>
      <c r="I32" s="29">
        <f>Workings_risks!E26</f>
        <v>2102.5077156480002</v>
      </c>
      <c r="J32" s="29">
        <f>Workings_risks!F26</f>
        <v>2159.5567526400005</v>
      </c>
      <c r="K32" s="29">
        <f>Workings_risks!G26</f>
        <v>2217.2331734080003</v>
      </c>
      <c r="L32" s="29">
        <f>Workings_risks!H26</f>
        <v>2275.534120624</v>
      </c>
      <c r="M32" s="29">
        <f>Workings_risks!I26</f>
        <v>1168.146345184</v>
      </c>
      <c r="N32" s="29">
        <f>Workings_risks!J26</f>
        <v>1199.9815721919999</v>
      </c>
      <c r="O32" s="29">
        <f>Workings_risks!K26</f>
        <v>1233.0198945119998</v>
      </c>
      <c r="P32" s="29">
        <f>Workings_risks!L26</f>
        <v>1267.153494744</v>
      </c>
      <c r="Q32" s="29">
        <f>Workings_risks!M26</f>
        <v>1302.3146782479998</v>
      </c>
      <c r="R32" s="29">
        <f>Workings_risks!N26</f>
        <v>1338.4548971519998</v>
      </c>
      <c r="S32" s="29">
        <f>Workings_risks!O26</f>
        <v>1375.5366456880001</v>
      </c>
      <c r="T32" s="29">
        <f>Workings_risks!P26</f>
        <v>1413.529694928</v>
      </c>
      <c r="U32" s="29">
        <f>Workings_risks!Q26</f>
        <v>1452.4087695360004</v>
      </c>
      <c r="V32" s="29">
        <f>Workings_risks!R26</f>
        <v>1492.1522926800003</v>
      </c>
      <c r="W32" s="29">
        <f>Workings_risks!S26</f>
        <v>1532.7414113359998</v>
      </c>
      <c r="X32" s="29">
        <f>Workings_risks!T26</f>
        <v>1574.1595022640001</v>
      </c>
      <c r="Y32" s="29">
        <f>Workings_risks!U26</f>
        <v>1616.3916913360003</v>
      </c>
      <c r="Z32" s="29">
        <f>Workings_risks!V26</f>
        <v>1659.4245464400001</v>
      </c>
      <c r="AA32" s="29">
        <f>Workings_risks!W26</f>
        <v>1703.2457837359998</v>
      </c>
      <c r="AB32" s="29">
        <f>Workings_risks!X26</f>
        <v>1747.8441741920001</v>
      </c>
      <c r="AC32" s="29">
        <f>Workings_risks!Y26</f>
        <v>1793.2093433040002</v>
      </c>
      <c r="AD32" s="29">
        <f>Workings_risks!Z26</f>
        <v>1839.3316509279998</v>
      </c>
      <c r="AE32" s="29">
        <f>Workings_risks!AA26</f>
        <v>1839.3316509279998</v>
      </c>
      <c r="AF32" s="29">
        <f>Workings_risks!AB26</f>
        <v>1839.3316509279998</v>
      </c>
      <c r="AG32" s="29">
        <f>Workings_risks!AC26</f>
        <v>1839.3316509279998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1" t="str">
        <f>'Option1 (base case)'!C33</f>
        <v>Environmental risk</v>
      </c>
      <c r="D33" s="179"/>
      <c r="E33"/>
      <c r="G33" s="181">
        <f>input_dollars</f>
        <v>45291</v>
      </c>
      <c r="H33"/>
      <c r="I33" s="29">
        <f>Workings_risks!E27</f>
        <v>4505.3416666666672</v>
      </c>
      <c r="J33" s="29">
        <f>Workings_risks!F27</f>
        <v>4505.3416666666672</v>
      </c>
      <c r="K33" s="29">
        <f>Workings_risks!G27</f>
        <v>4505.3416666666672</v>
      </c>
      <c r="L33" s="29">
        <f>Workings_risks!H27</f>
        <v>4505.3416666666672</v>
      </c>
      <c r="M33" s="29">
        <f>Workings_risks!I27</f>
        <v>2351.1750000000002</v>
      </c>
      <c r="N33" s="29">
        <f>Workings_risks!J27</f>
        <v>2351.1750000000002</v>
      </c>
      <c r="O33" s="29">
        <f>Workings_risks!K27</f>
        <v>2351.1750000000002</v>
      </c>
      <c r="P33" s="29">
        <f>Workings_risks!L27</f>
        <v>2351.1750000000002</v>
      </c>
      <c r="Q33" s="29">
        <f>Workings_risks!M27</f>
        <v>2351.1750000000002</v>
      </c>
      <c r="R33" s="29">
        <f>Workings_risks!N27</f>
        <v>2351.1750000000002</v>
      </c>
      <c r="S33" s="29">
        <f>Workings_risks!O27</f>
        <v>2351.1750000000002</v>
      </c>
      <c r="T33" s="29">
        <f>Workings_risks!P27</f>
        <v>2351.1750000000002</v>
      </c>
      <c r="U33" s="29">
        <f>Workings_risks!Q27</f>
        <v>2351.1750000000002</v>
      </c>
      <c r="V33" s="29">
        <f>Workings_risks!R27</f>
        <v>2351.1750000000002</v>
      </c>
      <c r="W33" s="29">
        <f>Workings_risks!S27</f>
        <v>2351.1750000000002</v>
      </c>
      <c r="X33" s="29">
        <f>Workings_risks!T27</f>
        <v>2351.1750000000002</v>
      </c>
      <c r="Y33" s="29">
        <f>Workings_risks!U27</f>
        <v>2351.1750000000002</v>
      </c>
      <c r="Z33" s="29">
        <f>Workings_risks!V27</f>
        <v>2351.1750000000002</v>
      </c>
      <c r="AA33" s="29">
        <f>Workings_risks!W27</f>
        <v>2351.1750000000002</v>
      </c>
      <c r="AB33" s="29">
        <f>Workings_risks!X27</f>
        <v>2351.1750000000002</v>
      </c>
      <c r="AC33" s="29">
        <f>Workings_risks!Y27</f>
        <v>2351.1750000000002</v>
      </c>
      <c r="AD33" s="29">
        <f>Workings_risks!Z27</f>
        <v>2351.1750000000002</v>
      </c>
      <c r="AE33" s="29">
        <f>Workings_risks!AA27</f>
        <v>2351.1750000000002</v>
      </c>
      <c r="AF33" s="29">
        <f>Workings_risks!AB27</f>
        <v>2351.1750000000002</v>
      </c>
      <c r="AG33" s="29">
        <f>Workings_risks!AC27</f>
        <v>2351.1750000000002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D34" s="180"/>
      <c r="E34"/>
      <c r="G34" s="181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</row>
    <row r="35" spans="1:16372" x14ac:dyDescent="0.2">
      <c r="C35" s="3" t="s">
        <v>121</v>
      </c>
      <c r="D35" s="191"/>
      <c r="E35" s="94"/>
      <c r="F35" s="3"/>
      <c r="G35" s="183"/>
      <c r="H35" s="94"/>
      <c r="I35" s="146">
        <f>SUM(I28:I33)</f>
        <v>934012.97209446051</v>
      </c>
      <c r="J35" s="146">
        <f>SUM(J28:J33)</f>
        <v>1016439.7709848346</v>
      </c>
      <c r="K35" s="146">
        <f>SUM(K28:K33)</f>
        <v>1043270.0756065007</v>
      </c>
      <c r="L35" s="146">
        <f>SUM(L28:L33)</f>
        <v>1063308.7697976287</v>
      </c>
      <c r="M35" s="146">
        <f>SUM(M28:M33)</f>
        <v>46874.092527981709</v>
      </c>
      <c r="N35" s="146">
        <f>SUM(N28:N33)</f>
        <v>72258.62908360835</v>
      </c>
      <c r="O35" s="146">
        <f>SUM(O28:O33)</f>
        <v>98147.1080290307</v>
      </c>
      <c r="P35" s="146">
        <f>SUM(P28:P33)</f>
        <v>124588.2505841938</v>
      </c>
      <c r="Q35" s="146">
        <f>SUM(Q28:Q33)</f>
        <v>150393.81894494267</v>
      </c>
      <c r="R35" s="146">
        <f>SUM(R28:R33)</f>
        <v>174721.02317042675</v>
      </c>
      <c r="S35" s="146">
        <f>SUM(S28:S33)</f>
        <v>199027.04328299291</v>
      </c>
      <c r="T35" s="146">
        <f>SUM(T28:T33)</f>
        <v>223383.16498394968</v>
      </c>
      <c r="U35" s="146">
        <f>SUM(U28:U33)</f>
        <v>247839.85496060047</v>
      </c>
      <c r="V35" s="146">
        <f>SUM(V28:V33)</f>
        <v>272434.40884718631</v>
      </c>
      <c r="W35" s="146">
        <f>SUM(W28:W33)</f>
        <v>297195.03875112272</v>
      </c>
      <c r="X35" s="146">
        <f>SUM(X28:X33)</f>
        <v>322143.73449233483</v>
      </c>
      <c r="Y35" s="146">
        <f>SUM(Y28:Y33)</f>
        <v>347297.90480383288</v>
      </c>
      <c r="Z35" s="146">
        <f>SUM(Z28:Z33)</f>
        <v>372671.50562356506</v>
      </c>
      <c r="AA35" s="146">
        <f>SUM(AA28:AA33)</f>
        <v>398275.87686949945</v>
      </c>
      <c r="AB35" s="146">
        <f>SUM(AB28:AB33)</f>
        <v>424120.35583228467</v>
      </c>
      <c r="AC35" s="146">
        <f>SUM(AC28:AC33)</f>
        <v>450212.69068897871</v>
      </c>
      <c r="AD35" s="146">
        <f>SUM(AD28:AD33)</f>
        <v>476559.28345614573</v>
      </c>
      <c r="AE35" s="146">
        <f>SUM(AE28:AE33)</f>
        <v>502564.60972111038</v>
      </c>
      <c r="AF35" s="146">
        <f>SUM(AF28:AF33)</f>
        <v>528824.68840044702</v>
      </c>
      <c r="AG35" s="146">
        <f>SUM(AG28:AG33)</f>
        <v>555343.43691476388</v>
      </c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D36"/>
      <c r="E36"/>
      <c r="G36" s="181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5" x14ac:dyDescent="0.2">
      <c r="A37" s="78" t="s">
        <v>122</v>
      </c>
      <c r="B37" s="78"/>
      <c r="C37" s="78"/>
      <c r="D37" s="78"/>
      <c r="E37" s="78"/>
      <c r="F37" s="78"/>
      <c r="G37" s="1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D38"/>
      <c r="E38"/>
      <c r="G38" s="181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25">
      <c r="C40" s="1" t="s">
        <v>123</v>
      </c>
      <c r="G40" s="179" t="s">
        <v>117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29">
        <v>0</v>
      </c>
      <c r="AG40" s="29">
        <v>0</v>
      </c>
    </row>
    <row r="41" spans="1:16372" ht="13.5" x14ac:dyDescent="0.25">
      <c r="C41" s="1" t="s">
        <v>124</v>
      </c>
      <c r="G41" s="179" t="s">
        <v>125</v>
      </c>
      <c r="I41" s="75">
        <f>I40*I7</f>
        <v>0</v>
      </c>
      <c r="J41" s="75">
        <f>J40*J7</f>
        <v>0</v>
      </c>
      <c r="K41" s="75">
        <f>K40*K7</f>
        <v>0</v>
      </c>
      <c r="L41" s="75">
        <f>L40*L7</f>
        <v>0</v>
      </c>
      <c r="M41" s="75">
        <f>M40*M7</f>
        <v>0</v>
      </c>
      <c r="N41" s="75">
        <f>N40*N7</f>
        <v>0</v>
      </c>
      <c r="O41" s="75">
        <f>O40*O7</f>
        <v>0</v>
      </c>
      <c r="P41" s="75">
        <f>P40*P7</f>
        <v>0</v>
      </c>
      <c r="Q41" s="75">
        <f>Q40*Q7</f>
        <v>0</v>
      </c>
      <c r="R41" s="75">
        <f>R40*R7</f>
        <v>0</v>
      </c>
      <c r="S41" s="75">
        <f>S40*S7</f>
        <v>0</v>
      </c>
      <c r="T41" s="75">
        <f>T40*T7</f>
        <v>0</v>
      </c>
      <c r="U41" s="75">
        <f>U40*U7</f>
        <v>0</v>
      </c>
      <c r="V41" s="75">
        <f>V40*V7</f>
        <v>0</v>
      </c>
      <c r="W41" s="75">
        <f>W40*W7</f>
        <v>0</v>
      </c>
      <c r="X41" s="75">
        <f>X40*X7</f>
        <v>0</v>
      </c>
      <c r="Y41" s="75">
        <f>Y40*Y7</f>
        <v>0</v>
      </c>
      <c r="Z41" s="75">
        <f>Z40*Z7</f>
        <v>0</v>
      </c>
      <c r="AA41" s="75">
        <f>AA40*AA7</f>
        <v>0</v>
      </c>
      <c r="AB41" s="75">
        <f>AB40*AB7</f>
        <v>0</v>
      </c>
      <c r="AC41" s="75">
        <f>AC40*AC7</f>
        <v>0</v>
      </c>
      <c r="AD41" s="75">
        <f>AD40*AD7</f>
        <v>0</v>
      </c>
      <c r="AE41" s="75">
        <f>AE40*AE7</f>
        <v>0</v>
      </c>
      <c r="AF41" s="75">
        <f>AF40*AF7</f>
        <v>0</v>
      </c>
      <c r="AG41" s="75">
        <f>AG40*AG7</f>
        <v>0</v>
      </c>
    </row>
    <row r="42" spans="1:16372" x14ac:dyDescent="0.2">
      <c r="D42"/>
      <c r="E42"/>
      <c r="G42" s="181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 s="180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C44" s="1" t="s">
        <v>126</v>
      </c>
      <c r="D44" s="179" t="s">
        <v>108</v>
      </c>
      <c r="E44" s="100">
        <f>Assumptions!G94</f>
        <v>0</v>
      </c>
      <c r="G44" s="181" t="s">
        <v>117</v>
      </c>
      <c r="I44" s="275">
        <v>0</v>
      </c>
      <c r="J44" s="275">
        <v>0</v>
      </c>
      <c r="K44" s="275">
        <v>0</v>
      </c>
      <c r="L44" s="275">
        <v>0</v>
      </c>
      <c r="M44" s="275">
        <v>0</v>
      </c>
      <c r="N44" s="275">
        <v>0</v>
      </c>
      <c r="O44" s="275">
        <v>0</v>
      </c>
      <c r="P44" s="275">
        <v>0</v>
      </c>
      <c r="Q44" s="275">
        <v>0</v>
      </c>
      <c r="R44" s="275">
        <v>0</v>
      </c>
      <c r="S44" s="275">
        <v>0</v>
      </c>
      <c r="T44" s="275">
        <v>0</v>
      </c>
      <c r="U44" s="275">
        <v>0</v>
      </c>
      <c r="V44" s="275">
        <v>0</v>
      </c>
      <c r="W44" s="275">
        <v>0</v>
      </c>
      <c r="X44" s="275">
        <v>0</v>
      </c>
      <c r="Y44" s="275">
        <v>0</v>
      </c>
      <c r="Z44" s="275">
        <v>0</v>
      </c>
      <c r="AA44" s="275">
        <v>0</v>
      </c>
      <c r="AB44" s="275">
        <v>0</v>
      </c>
      <c r="AC44" s="275">
        <v>0</v>
      </c>
      <c r="AD44" s="275">
        <v>0</v>
      </c>
      <c r="AE44" s="275">
        <v>0</v>
      </c>
      <c r="AF44" s="275">
        <v>0</v>
      </c>
      <c r="AG44" s="275">
        <v>0</v>
      </c>
    </row>
    <row r="45" spans="1:16372" x14ac:dyDescent="0.2">
      <c r="C45" s="1" t="s">
        <v>127</v>
      </c>
      <c r="D45" s="179" t="s">
        <v>108</v>
      </c>
      <c r="E45" s="100">
        <f>Assumptions!G95</f>
        <v>0</v>
      </c>
      <c r="G45" s="181" t="s">
        <v>117</v>
      </c>
      <c r="I45" s="275">
        <v>0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  <c r="T45" s="275">
        <v>0</v>
      </c>
      <c r="U45" s="275">
        <v>0</v>
      </c>
      <c r="V45" s="275">
        <v>0</v>
      </c>
      <c r="W45" s="275">
        <v>0</v>
      </c>
      <c r="X45" s="275">
        <v>0</v>
      </c>
      <c r="Y45" s="275">
        <v>0</v>
      </c>
      <c r="Z45" s="275">
        <v>0</v>
      </c>
      <c r="AA45" s="275">
        <v>0</v>
      </c>
      <c r="AB45" s="275">
        <v>0</v>
      </c>
      <c r="AC45" s="275">
        <v>0</v>
      </c>
      <c r="AD45" s="275">
        <v>0</v>
      </c>
      <c r="AE45" s="275">
        <v>0</v>
      </c>
      <c r="AF45" s="275">
        <v>0</v>
      </c>
      <c r="AG45" s="275">
        <v>0</v>
      </c>
    </row>
    <row r="46" spans="1:16372" x14ac:dyDescent="0.2">
      <c r="C46" s="1" t="s">
        <v>128</v>
      </c>
      <c r="D46" s="179" t="s">
        <v>108</v>
      </c>
      <c r="E46" s="100">
        <f>Assumptions!G96</f>
        <v>4220.9953699573898</v>
      </c>
      <c r="G46" s="181" t="s">
        <v>117</v>
      </c>
      <c r="I46" s="275">
        <v>0</v>
      </c>
      <c r="J46" s="275">
        <v>0</v>
      </c>
      <c r="K46" s="275">
        <v>0</v>
      </c>
      <c r="L46" s="275">
        <v>0</v>
      </c>
      <c r="M46" s="275">
        <v>0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  <c r="T46" s="275">
        <v>0</v>
      </c>
      <c r="U46" s="275">
        <v>0</v>
      </c>
      <c r="V46" s="275">
        <v>0</v>
      </c>
      <c r="W46" s="275">
        <v>0</v>
      </c>
      <c r="X46" s="275">
        <v>0</v>
      </c>
      <c r="Y46" s="275">
        <v>0</v>
      </c>
      <c r="Z46" s="275">
        <v>0</v>
      </c>
      <c r="AA46" s="275">
        <v>0</v>
      </c>
      <c r="AB46" s="275">
        <v>0</v>
      </c>
      <c r="AC46" s="275">
        <v>0</v>
      </c>
      <c r="AD46" s="275">
        <v>0</v>
      </c>
      <c r="AE46" s="275">
        <v>0</v>
      </c>
      <c r="AF46" s="275">
        <v>0</v>
      </c>
      <c r="AG46" s="275">
        <v>0</v>
      </c>
    </row>
    <row r="47" spans="1:16372" x14ac:dyDescent="0.2">
      <c r="C47" s="1" t="s">
        <v>129</v>
      </c>
      <c r="D47" s="179" t="s">
        <v>130</v>
      </c>
      <c r="E47" s="99">
        <f>Assumptions!G97</f>
        <v>0</v>
      </c>
      <c r="G47" s="181" t="s">
        <v>131</v>
      </c>
      <c r="I47" s="275">
        <v>0</v>
      </c>
      <c r="J47" s="275">
        <v>0</v>
      </c>
      <c r="K47" s="275">
        <v>0</v>
      </c>
      <c r="L47" s="275">
        <v>0</v>
      </c>
      <c r="M47" s="275">
        <v>0</v>
      </c>
      <c r="N47" s="275">
        <v>0</v>
      </c>
      <c r="O47" s="275">
        <v>0</v>
      </c>
      <c r="P47" s="275">
        <v>0</v>
      </c>
      <c r="Q47" s="275">
        <v>0</v>
      </c>
      <c r="R47" s="275">
        <v>0</v>
      </c>
      <c r="S47" s="275">
        <v>0</v>
      </c>
      <c r="T47" s="275">
        <v>0</v>
      </c>
      <c r="U47" s="275">
        <v>0</v>
      </c>
      <c r="V47" s="275">
        <v>0</v>
      </c>
      <c r="W47" s="275">
        <v>0</v>
      </c>
      <c r="X47" s="275">
        <v>0</v>
      </c>
      <c r="Y47" s="275">
        <v>0</v>
      </c>
      <c r="Z47" s="275">
        <v>0</v>
      </c>
      <c r="AA47" s="275">
        <v>0</v>
      </c>
      <c r="AB47" s="275">
        <v>0</v>
      </c>
      <c r="AC47" s="275">
        <v>0</v>
      </c>
      <c r="AD47" s="275">
        <v>0</v>
      </c>
      <c r="AE47" s="275">
        <v>0</v>
      </c>
      <c r="AF47" s="275">
        <v>0</v>
      </c>
      <c r="AG47" s="275">
        <v>0</v>
      </c>
    </row>
    <row r="48" spans="1:16372" x14ac:dyDescent="0.2">
      <c r="C48" s="1" t="s">
        <v>150</v>
      </c>
      <c r="D48" s="179" t="s">
        <v>133</v>
      </c>
      <c r="E48" s="99">
        <f>Assumptions!G98</f>
        <v>0.54769380678923496</v>
      </c>
      <c r="G48" s="181" t="s">
        <v>134</v>
      </c>
      <c r="I48" s="275">
        <v>0</v>
      </c>
      <c r="J48" s="275">
        <v>0</v>
      </c>
      <c r="K48" s="275">
        <v>0</v>
      </c>
      <c r="L48" s="275">
        <v>0</v>
      </c>
      <c r="M48" s="275">
        <v>0</v>
      </c>
      <c r="N48" s="275">
        <v>0</v>
      </c>
      <c r="O48" s="275">
        <v>0</v>
      </c>
      <c r="P48" s="275">
        <v>0</v>
      </c>
      <c r="Q48" s="275">
        <v>0</v>
      </c>
      <c r="R48" s="275">
        <v>0</v>
      </c>
      <c r="S48" s="275">
        <v>0</v>
      </c>
      <c r="T48" s="275">
        <v>0</v>
      </c>
      <c r="U48" s="275">
        <v>0</v>
      </c>
      <c r="V48" s="275">
        <v>0</v>
      </c>
      <c r="W48" s="275">
        <v>0</v>
      </c>
      <c r="X48" s="275">
        <v>0</v>
      </c>
      <c r="Y48" s="275">
        <v>0</v>
      </c>
      <c r="Z48" s="275">
        <v>0</v>
      </c>
      <c r="AA48" s="275">
        <v>0</v>
      </c>
      <c r="AB48" s="275">
        <v>0</v>
      </c>
      <c r="AC48" s="275">
        <v>0</v>
      </c>
      <c r="AD48" s="275">
        <v>0</v>
      </c>
      <c r="AE48" s="275">
        <v>0</v>
      </c>
      <c r="AF48" s="275">
        <v>0</v>
      </c>
      <c r="AG48" s="275">
        <v>0</v>
      </c>
    </row>
    <row r="49" spans="1:43" x14ac:dyDescent="0.2">
      <c r="C49" s="1" t="s">
        <v>151</v>
      </c>
      <c r="D49" s="179" t="s">
        <v>133</v>
      </c>
      <c r="E49" s="99">
        <f>Assumptions!G99</f>
        <v>0.54769380678923496</v>
      </c>
      <c r="G49" s="181" t="s">
        <v>134</v>
      </c>
      <c r="I49" s="275">
        <v>0</v>
      </c>
      <c r="J49" s="275">
        <v>0</v>
      </c>
      <c r="K49" s="275">
        <v>0</v>
      </c>
      <c r="L49" s="275">
        <v>0</v>
      </c>
      <c r="M49" s="275">
        <v>0</v>
      </c>
      <c r="N49" s="275">
        <v>0</v>
      </c>
      <c r="O49" s="275">
        <v>0</v>
      </c>
      <c r="P49" s="275">
        <v>0</v>
      </c>
      <c r="Q49" s="275">
        <v>0</v>
      </c>
      <c r="R49" s="275">
        <v>0</v>
      </c>
      <c r="S49" s="275">
        <v>0</v>
      </c>
      <c r="T49" s="275">
        <v>0</v>
      </c>
      <c r="U49" s="275">
        <v>0</v>
      </c>
      <c r="V49" s="275">
        <v>0</v>
      </c>
      <c r="W49" s="275">
        <v>0</v>
      </c>
      <c r="X49" s="275">
        <v>0</v>
      </c>
      <c r="Y49" s="275">
        <v>0</v>
      </c>
      <c r="Z49" s="275">
        <v>0</v>
      </c>
      <c r="AA49" s="275">
        <v>0</v>
      </c>
      <c r="AB49" s="275">
        <v>0</v>
      </c>
      <c r="AC49" s="275">
        <v>0</v>
      </c>
      <c r="AD49" s="275">
        <v>0</v>
      </c>
      <c r="AE49" s="275">
        <v>0</v>
      </c>
      <c r="AF49" s="275">
        <v>0</v>
      </c>
      <c r="AG49" s="275">
        <v>0</v>
      </c>
    </row>
    <row r="50" spans="1:43" x14ac:dyDescent="0.2">
      <c r="C50" s="1" t="s">
        <v>136</v>
      </c>
      <c r="D50" s="179" t="s">
        <v>130</v>
      </c>
      <c r="E50" s="99">
        <f>Assumptions!G100</f>
        <v>0</v>
      </c>
      <c r="G50" s="181" t="s">
        <v>131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137</v>
      </c>
      <c r="D51" s="179" t="s">
        <v>130</v>
      </c>
      <c r="E51" s="99">
        <f>Assumptions!G101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D52" s="179"/>
      <c r="G52" s="181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</row>
    <row r="53" spans="1:43" x14ac:dyDescent="0.2">
      <c r="C53" s="1" t="s">
        <v>138</v>
      </c>
      <c r="D53" s="179"/>
      <c r="G53" s="181">
        <f>input_dollars</f>
        <v>45291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</row>
    <row r="54" spans="1:43" x14ac:dyDescent="0.2">
      <c r="C54" s="1" t="s">
        <v>139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D55" s="179"/>
      <c r="G55" s="179"/>
    </row>
    <row r="56" spans="1:43" x14ac:dyDescent="0.2">
      <c r="C56" s="3" t="s">
        <v>140</v>
      </c>
      <c r="D56" s="191"/>
      <c r="E56" s="94"/>
      <c r="F56" s="3"/>
      <c r="G56" s="184">
        <f>input_dollars</f>
        <v>45291</v>
      </c>
      <c r="H56" s="94"/>
      <c r="I56" s="146" cm="1">
        <f t="array" ref="I56">SUMPRODUCT((I$44:I$51)*($E$44:$E$51))+SUM(I53:I54)+I41</f>
        <v>0</v>
      </c>
      <c r="J56" s="146" cm="1">
        <f t="array" ref="J56">SUMPRODUCT((J$44:J$51)*($E$44:$E$51))+SUM(J53:J54)+J41</f>
        <v>0</v>
      </c>
      <c r="K56" s="146" cm="1">
        <f t="array" ref="K56">SUMPRODUCT((K$44:K$51)*($E$44:$E$51))+SUM(K53:K54)+K41</f>
        <v>0</v>
      </c>
      <c r="L56" s="146" cm="1">
        <f t="array" ref="L56">SUMPRODUCT((L$44:L$51)*($E$44:$E$51))+SUM(L53:L54)+L41</f>
        <v>0</v>
      </c>
      <c r="M56" s="146" cm="1">
        <f t="array" ref="M56">SUMPRODUCT((M$44:M$51)*($E$44:$E$51))+SUM(M53:M54)+M41</f>
        <v>0</v>
      </c>
      <c r="N56" s="146" cm="1">
        <f t="array" ref="N56">SUMPRODUCT((N$44:N$51)*($E$44:$E$51))+SUM(N53:N54)+N41</f>
        <v>0</v>
      </c>
      <c r="O56" s="146" cm="1">
        <f t="array" ref="O56">SUMPRODUCT((O$44:O$51)*($E$44:$E$51))+SUM(O53:O54)+O41</f>
        <v>0</v>
      </c>
      <c r="P56" s="146" cm="1">
        <f t="array" ref="P56">SUMPRODUCT((P$44:P$51)*($E$44:$E$51))+SUM(P53:P54)+P41</f>
        <v>0</v>
      </c>
      <c r="Q56" s="146" cm="1">
        <f t="array" ref="Q56">SUMPRODUCT((Q$44:Q$51)*($E$44:$E$51))+SUM(Q53:Q54)+Q41</f>
        <v>0</v>
      </c>
      <c r="R56" s="146" cm="1">
        <f t="array" ref="R56">SUMPRODUCT((R$44:R$51)*($E$44:$E$51))+SUM(R53:R54)+R41</f>
        <v>0</v>
      </c>
      <c r="S56" s="146" cm="1">
        <f t="array" ref="S56">SUMPRODUCT((S$44:S$51)*($E$44:$E$51))+SUM(S53:S54)+S41</f>
        <v>0</v>
      </c>
      <c r="T56" s="146" cm="1">
        <f t="array" ref="T56">SUMPRODUCT((T$44:T$51)*($E$44:$E$51))+SUM(T53:T54)+T41</f>
        <v>0</v>
      </c>
      <c r="U56" s="146" cm="1">
        <f t="array" ref="U56">SUMPRODUCT((U$44:U$51)*($E$44:$E$51))+SUM(U53:U54)+U41</f>
        <v>0</v>
      </c>
      <c r="V56" s="146" cm="1">
        <f t="array" ref="V56">SUMPRODUCT((V$44:V$51)*($E$44:$E$51))+SUM(V53:V54)+V41</f>
        <v>0</v>
      </c>
      <c r="W56" s="146" cm="1">
        <f t="array" ref="W56">SUMPRODUCT((W$44:W$51)*($E$44:$E$51))+SUM(W53:W54)+W41</f>
        <v>0</v>
      </c>
      <c r="X56" s="146" cm="1">
        <f t="array" ref="X56">SUMPRODUCT((X$44:X$51)*($E$44:$E$51))+SUM(X53:X54)+X41</f>
        <v>0</v>
      </c>
      <c r="Y56" s="146" cm="1">
        <f t="array" ref="Y56">SUMPRODUCT((Y$44:Y$51)*($E$44:$E$51))+SUM(Y53:Y54)+Y41</f>
        <v>0</v>
      </c>
      <c r="Z56" s="146" cm="1">
        <f t="array" ref="Z56">SUMPRODUCT((Z$44:Z$51)*($E$44:$E$51))+SUM(Z53:Z54)+Z41</f>
        <v>0</v>
      </c>
      <c r="AA56" s="146" cm="1">
        <f t="array" ref="AA56">SUMPRODUCT((AA$44:AA$51)*($E$44:$E$51))+SUM(AA53:AA54)+AA41</f>
        <v>0</v>
      </c>
      <c r="AB56" s="146" cm="1">
        <f t="array" ref="AB56">SUMPRODUCT((AB$44:AB$51)*($E$44:$E$51))+SUM(AB53:AB54)+AB41</f>
        <v>0</v>
      </c>
      <c r="AC56" s="146" cm="1">
        <f t="array" ref="AC56">SUMPRODUCT((AC$44:AC$51)*($E$44:$E$51))+SUM(AC53:AC54)+AC41</f>
        <v>0</v>
      </c>
      <c r="AD56" s="146" cm="1">
        <f t="array" ref="AD56">SUMPRODUCT((AD$44:AD$51)*($E$44:$E$51))+SUM(AD53:AD54)+AD41</f>
        <v>0</v>
      </c>
      <c r="AE56" s="146" cm="1">
        <f t="array" ref="AE56">SUMPRODUCT((AE$44:AE$51)*($E$44:$E$51))+SUM(AE53:AE54)+AE41</f>
        <v>0</v>
      </c>
      <c r="AF56" s="146" cm="1">
        <f t="array" ref="AF56">SUMPRODUCT((AF$44:AF$51)*($E$44:$E$51))+SUM(AF53:AF54)+AF41</f>
        <v>0</v>
      </c>
      <c r="AG56" s="146" cm="1">
        <f t="array" ref="AG56">SUMPRODUCT((AG$44:AG$51)*($E$44:$E$51))+SUM(AG53:AG54)+AG41</f>
        <v>0</v>
      </c>
    </row>
    <row r="57" spans="1:43" x14ac:dyDescent="0.2">
      <c r="D57" s="179"/>
      <c r="G57" s="179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</row>
    <row r="58" spans="1:43" x14ac:dyDescent="0.2"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ht="15" x14ac:dyDescent="0.2">
      <c r="A59" s="78" t="s">
        <v>23</v>
      </c>
      <c r="B59" s="78"/>
      <c r="C59" s="78"/>
      <c r="D59" s="78"/>
      <c r="E59" s="78"/>
      <c r="F59" s="78"/>
      <c r="G59" s="1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/>
      <c r="AI59"/>
      <c r="AJ59"/>
      <c r="AK59"/>
      <c r="AL59"/>
      <c r="AM59"/>
      <c r="AN59"/>
      <c r="AO59"/>
      <c r="AP59"/>
      <c r="AQ59"/>
    </row>
    <row r="60" spans="1:43" ht="15" x14ac:dyDescent="0.2">
      <c r="A60" s="98"/>
      <c r="B60" s="98"/>
      <c r="C60" s="98"/>
      <c r="D60" s="98"/>
      <c r="E60" s="98"/>
      <c r="F60" s="98"/>
      <c r="G60" s="182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/>
      <c r="AI60"/>
      <c r="AJ60"/>
      <c r="AK60"/>
      <c r="AL60"/>
      <c r="AM60"/>
      <c r="AN60"/>
      <c r="AO60"/>
      <c r="AP60"/>
      <c r="AQ60"/>
    </row>
    <row r="61" spans="1:43" ht="12.75" customHeight="1" x14ac:dyDescent="0.2">
      <c r="A61" s="98"/>
      <c r="B61" s="98"/>
      <c r="C61" s="98"/>
      <c r="D61" s="98"/>
      <c r="E61" s="98"/>
      <c r="F61"/>
      <c r="G61" s="185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:43" x14ac:dyDescent="0.2">
      <c r="C62" s="4"/>
      <c r="F62" s="2"/>
      <c r="G62" s="18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</row>
    <row r="63" spans="1:43" x14ac:dyDescent="0.2">
      <c r="C63" s="4" t="str">
        <f>'Option1 (base case)'!C63</f>
        <v>Risks mitigated vs base case</v>
      </c>
      <c r="G63" s="184">
        <f>input_dollars</f>
        <v>45291</v>
      </c>
      <c r="I63" s="111">
        <f>(1-INDEX(Data!$C$9:$C$13, MATCH($A$3, options,0)))*('Option1 (base case)'!I35-I35)</f>
        <v>0</v>
      </c>
      <c r="J63" s="111">
        <f>(1-INDEX(Data!$C$9:$C$13, MATCH($A$3, options,0)))*('Option1 (base case)'!J35-J35)</f>
        <v>0</v>
      </c>
      <c r="K63" s="111">
        <f>(1-INDEX(Data!$C$9:$C$13, MATCH($A$3, options,0)))*('Option1 (base case)'!K35-K35)</f>
        <v>0</v>
      </c>
      <c r="L63" s="111">
        <f>(1-INDEX(Data!$C$9:$C$13, MATCH($A$3, options,0)))*('Option1 (base case)'!L35-L35)</f>
        <v>0</v>
      </c>
      <c r="M63" s="111">
        <f>(1-INDEX(Data!$C$9:$C$13, MATCH($A$3, options,0)))*('Option1 (base case)'!M35-M35)</f>
        <v>1045123.8298811881</v>
      </c>
      <c r="N63" s="111">
        <f>(1-INDEX(Data!$C$9:$C$13, MATCH($A$3, options,0)))*('Option1 (base case)'!N35-N35)</f>
        <v>1059377.3587812395</v>
      </c>
      <c r="O63" s="111">
        <f>(1-INDEX(Data!$C$9:$C$13, MATCH($A$3, options,0)))*('Option1 (base case)'!O35-O35)</f>
        <v>1091666.5190048055</v>
      </c>
      <c r="P63" s="111">
        <f>(1-INDEX(Data!$C$9:$C$13, MATCH($A$3, options,0)))*('Option1 (base case)'!P35-P35)</f>
        <v>1124193.5139967704</v>
      </c>
      <c r="Q63" s="111">
        <f>(1-INDEX(Data!$C$9:$C$13, MATCH($A$3, options,0)))*('Option1 (base case)'!Q35-Q35)</f>
        <v>1144711.9640871505</v>
      </c>
      <c r="R63" s="111">
        <f>(1-INDEX(Data!$C$9:$C$13, MATCH($A$3, options,0)))*('Option1 (base case)'!R35-R35)</f>
        <v>1151571.9444334854</v>
      </c>
      <c r="S63" s="111">
        <f>(1-INDEX(Data!$C$9:$C$13, MATCH($A$3, options,0)))*('Option1 (base case)'!S35-S35)</f>
        <v>1158764.1419805742</v>
      </c>
      <c r="T63" s="111">
        <f>(1-INDEX(Data!$C$9:$C$13, MATCH($A$3, options,0)))*('Option1 (base case)'!T35-T35)</f>
        <v>1166216.2198490428</v>
      </c>
      <c r="U63" s="111">
        <f>(1-INDEX(Data!$C$9:$C$13, MATCH($A$3, options,0)))*('Option1 (base case)'!U35-U35)</f>
        <v>1173876.6609452423</v>
      </c>
      <c r="V63" s="111">
        <f>(1-INDEX(Data!$C$9:$C$13, MATCH($A$3, options,0)))*('Option1 (base case)'!V35-V35)</f>
        <v>1181707.1468706145</v>
      </c>
      <c r="W63" s="111">
        <f>(1-INDEX(Data!$C$9:$C$13, MATCH($A$3, options,0)))*('Option1 (base case)'!W35-W35)</f>
        <v>1189678.4434996594</v>
      </c>
      <c r="X63" s="111">
        <f>(1-INDEX(Data!$C$9:$C$13, MATCH($A$3, options,0)))*('Option1 (base case)'!X35-X35)</f>
        <v>1197767.5800758949</v>
      </c>
      <c r="Y63" s="111">
        <f>(1-INDEX(Data!$C$9:$C$13, MATCH($A$3, options,0)))*('Option1 (base case)'!Y35-Y35)</f>
        <v>1205956.1811196357</v>
      </c>
      <c r="Z63" s="111">
        <f>(1-INDEX(Data!$C$9:$C$13, MATCH($A$3, options,0)))*('Option1 (base case)'!Z35-Z35)</f>
        <v>1214229.3650456194</v>
      </c>
      <c r="AA63" s="111">
        <f>(1-INDEX(Data!$C$9:$C$13, MATCH($A$3, options,0)))*('Option1 (base case)'!AA35-AA35)</f>
        <v>1222574.840101711</v>
      </c>
      <c r="AB63" s="111">
        <f>(1-INDEX(Data!$C$9:$C$13, MATCH($A$3, options,0)))*('Option1 (base case)'!AB35-AB35)</f>
        <v>1230982.3717128853</v>
      </c>
      <c r="AC63" s="111">
        <f>(1-INDEX(Data!$C$9:$C$13, MATCH($A$3, options,0)))*('Option1 (base case)'!AC35-AC35)</f>
        <v>1239443.3151352457</v>
      </c>
      <c r="AD63" s="111">
        <f>(1-INDEX(Data!$C$9:$C$13, MATCH($A$3, options,0)))*('Option1 (base case)'!AD35-AD35)</f>
        <v>1247950.4128940576</v>
      </c>
      <c r="AE63" s="111">
        <f>(1-INDEX(Data!$C$9:$C$13, MATCH($A$3, options,0)))*('Option1 (base case)'!AE35-AE35)</f>
        <v>1256204.9353804695</v>
      </c>
      <c r="AF63" s="111">
        <f>(1-INDEX(Data!$C$9:$C$13, MATCH($A$3, options,0)))*('Option1 (base case)'!AF35-AF35)</f>
        <v>1264496.0212547174</v>
      </c>
      <c r="AG63" s="111">
        <f>(1-INDEX(Data!$C$9:$C$13, MATCH($A$3, options,0)))*('Option1 (base case)'!AG35-AG35)</f>
        <v>1272818.9789731568</v>
      </c>
    </row>
    <row r="64" spans="1:43" x14ac:dyDescent="0.2">
      <c r="G64" s="186"/>
    </row>
    <row r="65" spans="1:33" x14ac:dyDescent="0.2">
      <c r="A65" s="6"/>
      <c r="B65" s="6"/>
      <c r="C65" s="125" t="s">
        <v>32</v>
      </c>
      <c r="D65" s="34"/>
      <c r="F65" s="84"/>
      <c r="G65" s="187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</row>
    <row r="66" spans="1:33" x14ac:dyDescent="0.2">
      <c r="A66" s="6"/>
      <c r="B66" s="6"/>
      <c r="C66" s="4" t="str">
        <f>C14</f>
        <v>Replace 1 transformer</v>
      </c>
      <c r="D66" s="34"/>
      <c r="F66" s="84"/>
      <c r="G66" s="184">
        <f>input_dollars</f>
        <v>45291</v>
      </c>
      <c r="H66" s="28"/>
      <c r="I66" s="28">
        <f>-I14</f>
        <v>0</v>
      </c>
      <c r="J66" s="28">
        <f>-J14</f>
        <v>0</v>
      </c>
      <c r="K66" s="28">
        <f>-K14</f>
        <v>-2142006.2666666666</v>
      </c>
      <c r="L66" s="28">
        <f>-L14</f>
        <v>-4284012.5333333332</v>
      </c>
      <c r="M66" s="28">
        <f>-M14</f>
        <v>0</v>
      </c>
      <c r="N66" s="28">
        <f>-N14</f>
        <v>0</v>
      </c>
      <c r="O66" s="28">
        <f>-O14</f>
        <v>0</v>
      </c>
      <c r="P66" s="28">
        <f>-P14</f>
        <v>0</v>
      </c>
      <c r="Q66" s="28">
        <f>-Q14</f>
        <v>0</v>
      </c>
      <c r="R66" s="28">
        <f>-R14</f>
        <v>0</v>
      </c>
      <c r="S66" s="28">
        <f>-S14</f>
        <v>0</v>
      </c>
      <c r="T66" s="28">
        <f>-T14</f>
        <v>0</v>
      </c>
      <c r="U66" s="28">
        <f>-U14</f>
        <v>0</v>
      </c>
      <c r="V66" s="28">
        <f>-V14</f>
        <v>0</v>
      </c>
      <c r="W66" s="28">
        <f>-W14</f>
        <v>0</v>
      </c>
      <c r="X66" s="28">
        <f>-X14</f>
        <v>0</v>
      </c>
      <c r="Y66" s="28">
        <f>-Y14</f>
        <v>0</v>
      </c>
      <c r="Z66" s="28">
        <f>-Z14</f>
        <v>0</v>
      </c>
      <c r="AA66" s="28">
        <f>-AA14</f>
        <v>0</v>
      </c>
      <c r="AB66" s="28">
        <f>-AB14</f>
        <v>0</v>
      </c>
      <c r="AC66" s="28">
        <f>-AC14</f>
        <v>0</v>
      </c>
      <c r="AD66" s="28">
        <f>-AD14</f>
        <v>0</v>
      </c>
      <c r="AE66" s="28">
        <f>-AE14</f>
        <v>0</v>
      </c>
      <c r="AF66" s="28">
        <f>-AF14</f>
        <v>0</v>
      </c>
      <c r="AG66" s="28">
        <f>-AG14</f>
        <v>0</v>
      </c>
    </row>
    <row r="67" spans="1:33" x14ac:dyDescent="0.2">
      <c r="A67" s="6"/>
      <c r="B67" s="6"/>
      <c r="C67" s="4">
        <f>C15</f>
        <v>0</v>
      </c>
      <c r="D67" s="34"/>
      <c r="F67" s="84"/>
      <c r="G67" s="184">
        <f>input_dollars</f>
        <v>45291</v>
      </c>
      <c r="H67" s="28"/>
      <c r="I67" s="28">
        <f>-I15</f>
        <v>0</v>
      </c>
      <c r="J67" s="28">
        <f>-J15</f>
        <v>0</v>
      </c>
      <c r="K67" s="28">
        <f>-K15</f>
        <v>0</v>
      </c>
      <c r="L67" s="28">
        <f>-L15</f>
        <v>0</v>
      </c>
      <c r="M67" s="28">
        <f>-M15</f>
        <v>0</v>
      </c>
      <c r="N67" s="28">
        <f>-N15</f>
        <v>0</v>
      </c>
      <c r="O67" s="28">
        <f>-O15</f>
        <v>0</v>
      </c>
      <c r="P67" s="28">
        <f>-P15</f>
        <v>0</v>
      </c>
      <c r="Q67" s="28">
        <f>-Q15</f>
        <v>0</v>
      </c>
      <c r="R67" s="28">
        <f>-R15</f>
        <v>0</v>
      </c>
      <c r="S67" s="28">
        <f>-S15</f>
        <v>0</v>
      </c>
      <c r="T67" s="28">
        <f>-T15</f>
        <v>0</v>
      </c>
      <c r="U67" s="28">
        <f>-U15</f>
        <v>0</v>
      </c>
      <c r="V67" s="28">
        <f>-V15</f>
        <v>0</v>
      </c>
      <c r="W67" s="28">
        <f>-W15</f>
        <v>0</v>
      </c>
      <c r="X67" s="28">
        <f>-X15</f>
        <v>0</v>
      </c>
      <c r="Y67" s="28">
        <f>-Y15</f>
        <v>0</v>
      </c>
      <c r="Z67" s="28">
        <f>-Z15</f>
        <v>0</v>
      </c>
      <c r="AA67" s="28">
        <f>-AA15</f>
        <v>0</v>
      </c>
      <c r="AB67" s="28">
        <f>-AB15</f>
        <v>0</v>
      </c>
      <c r="AC67" s="28">
        <f>-AC15</f>
        <v>0</v>
      </c>
      <c r="AD67" s="28">
        <f>-AD15</f>
        <v>0</v>
      </c>
      <c r="AE67" s="28">
        <f>-AE15</f>
        <v>0</v>
      </c>
      <c r="AF67" s="28">
        <f>-AF15</f>
        <v>0</v>
      </c>
      <c r="AG67" s="28">
        <f>-AG15</f>
        <v>0</v>
      </c>
    </row>
    <row r="68" spans="1:33" x14ac:dyDescent="0.2">
      <c r="A68" s="6"/>
      <c r="B68" s="6"/>
      <c r="C68" s="4">
        <f>C16</f>
        <v>0</v>
      </c>
      <c r="D68" s="34"/>
      <c r="F68" s="84"/>
      <c r="G68" s="184">
        <f>input_dollars</f>
        <v>45291</v>
      </c>
      <c r="H68" s="28"/>
      <c r="I68" s="28">
        <f>-I16</f>
        <v>0</v>
      </c>
      <c r="J68" s="28">
        <f>-J16</f>
        <v>0</v>
      </c>
      <c r="K68" s="28">
        <f>-K16</f>
        <v>0</v>
      </c>
      <c r="L68" s="28">
        <f>-L16</f>
        <v>0</v>
      </c>
      <c r="M68" s="28">
        <f>-M16</f>
        <v>0</v>
      </c>
      <c r="N68" s="28">
        <f>-N16</f>
        <v>0</v>
      </c>
      <c r="O68" s="28">
        <f>-O16</f>
        <v>0</v>
      </c>
      <c r="P68" s="28">
        <f>-P16</f>
        <v>0</v>
      </c>
      <c r="Q68" s="28">
        <f>-Q16</f>
        <v>0</v>
      </c>
      <c r="R68" s="28">
        <f>-R16</f>
        <v>0</v>
      </c>
      <c r="S68" s="28">
        <f>-S16</f>
        <v>0</v>
      </c>
      <c r="T68" s="28">
        <f>-T16</f>
        <v>0</v>
      </c>
      <c r="U68" s="28">
        <f>-U16</f>
        <v>0</v>
      </c>
      <c r="V68" s="28">
        <f>-V16</f>
        <v>0</v>
      </c>
      <c r="W68" s="28">
        <f>-W16</f>
        <v>0</v>
      </c>
      <c r="X68" s="28">
        <f>-X16</f>
        <v>0</v>
      </c>
      <c r="Y68" s="28">
        <f>-Y16</f>
        <v>0</v>
      </c>
      <c r="Z68" s="28">
        <f>-Z16</f>
        <v>0</v>
      </c>
      <c r="AA68" s="28">
        <f>-AA16</f>
        <v>0</v>
      </c>
      <c r="AB68" s="28">
        <f>-AB16</f>
        <v>0</v>
      </c>
      <c r="AC68" s="28">
        <f>-AC16</f>
        <v>0</v>
      </c>
      <c r="AD68" s="28">
        <f>-AD16</f>
        <v>0</v>
      </c>
      <c r="AE68" s="28">
        <f>-AE16</f>
        <v>0</v>
      </c>
      <c r="AF68" s="28">
        <f>-AF16</f>
        <v>0</v>
      </c>
      <c r="AG68" s="28">
        <f>-AG16</f>
        <v>0</v>
      </c>
    </row>
    <row r="69" spans="1:33" x14ac:dyDescent="0.2">
      <c r="A69" s="6"/>
      <c r="B69" s="6"/>
      <c r="C69" s="4"/>
      <c r="D69" s="34"/>
      <c r="F69" s="84"/>
      <c r="G69" s="18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x14ac:dyDescent="0.2">
      <c r="A70" s="6"/>
      <c r="B70" s="6"/>
      <c r="C70" s="125" t="s">
        <v>142</v>
      </c>
      <c r="D70" s="34"/>
      <c r="F70" s="84"/>
      <c r="G70" s="187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4" t="str">
        <f>C14</f>
        <v>Replace 1 transformer</v>
      </c>
      <c r="D71" s="34"/>
      <c r="F71" s="84"/>
      <c r="G71" s="184">
        <f>input_dollars</f>
        <v>45291</v>
      </c>
      <c r="H71" s="28"/>
      <c r="I71" s="28" cm="1">
        <f t="array" ref="I71">SUMPRODUCT(($I66:I66))-SUMPRODUCT(($I66:I66)*($I$6:I$6&lt;=(I$6-$E14)))</f>
        <v>0</v>
      </c>
      <c r="J71" s="28" cm="1">
        <f t="array" ref="J71">SUMPRODUCT(($I66:J66))-SUMPRODUCT(($I66:J66)*($I$6:J$6&lt;=(J$6-$E14)))</f>
        <v>0</v>
      </c>
      <c r="K71" s="28" cm="1">
        <f t="array" ref="K71">SUMPRODUCT(($I66:K66))-SUMPRODUCT(($I66:K66)*($I$6:K$6&lt;=(K$6-$E14)))</f>
        <v>-2142006.2666666666</v>
      </c>
      <c r="L71" s="28" cm="1">
        <f t="array" ref="L71">SUMPRODUCT(($I66:L66))-SUMPRODUCT(($I66:L66)*($I$6:L$6&lt;=(L$6-$E14)))</f>
        <v>-6426018.7999999998</v>
      </c>
      <c r="M71" s="28" cm="1">
        <f t="array" ref="M71">SUMPRODUCT(($I66:M66))-SUMPRODUCT(($I66:M66)*($I$6:M$6&lt;=(M$6-$E14)))</f>
        <v>-6426018.7999999998</v>
      </c>
      <c r="N71" s="28" cm="1">
        <f t="array" ref="N71">SUMPRODUCT(($I66:N66))-SUMPRODUCT(($I66:N66)*($I$6:N$6&lt;=(N$6-$E14)))</f>
        <v>-6426018.7999999998</v>
      </c>
      <c r="O71" s="28" cm="1">
        <f t="array" ref="O71">SUMPRODUCT(($I66:O66))-SUMPRODUCT(($I66:O66)*($I$6:O$6&lt;=(O$6-$E14)))</f>
        <v>-6426018.7999999998</v>
      </c>
      <c r="P71" s="28" cm="1">
        <f t="array" ref="P71">SUMPRODUCT(($I66:P66))-SUMPRODUCT(($I66:P66)*($I$6:P$6&lt;=(P$6-$E14)))</f>
        <v>-6426018.7999999998</v>
      </c>
      <c r="Q71" s="28" cm="1">
        <f t="array" ref="Q71">SUMPRODUCT(($I66:Q66))-SUMPRODUCT(($I66:Q66)*($I$6:Q$6&lt;=(Q$6-$E14)))</f>
        <v>-6426018.7999999998</v>
      </c>
      <c r="R71" s="28" cm="1">
        <f t="array" ref="R71">SUMPRODUCT(($I66:R66))-SUMPRODUCT(($I66:R66)*($I$6:R$6&lt;=(R$6-$E14)))</f>
        <v>-6426018.7999999998</v>
      </c>
      <c r="S71" s="28" cm="1">
        <f t="array" ref="S71">SUMPRODUCT(($I66:S66))-SUMPRODUCT(($I66:S66)*($I$6:S$6&lt;=(S$6-$E14)))</f>
        <v>-6426018.7999999998</v>
      </c>
      <c r="T71" s="28" cm="1">
        <f t="array" ref="T71">SUMPRODUCT(($I66:T66))-SUMPRODUCT(($I66:T66)*($I$6:T$6&lt;=(T$6-$E14)))</f>
        <v>-6426018.7999999998</v>
      </c>
      <c r="U71" s="28" cm="1">
        <f t="array" ref="U71">SUMPRODUCT(($I66:U66))-SUMPRODUCT(($I66:U66)*($I$6:U$6&lt;=(U$6-$E14)))</f>
        <v>-6426018.7999999998</v>
      </c>
      <c r="V71" s="28" cm="1">
        <f t="array" ref="V71">SUMPRODUCT(($I66:V66))-SUMPRODUCT(($I66:V66)*($I$6:V$6&lt;=(V$6-$E14)))</f>
        <v>-6426018.7999999998</v>
      </c>
      <c r="W71" s="28" cm="1">
        <f t="array" ref="W71">SUMPRODUCT(($I66:W66))-SUMPRODUCT(($I66:W66)*($I$6:W$6&lt;=(W$6-$E14)))</f>
        <v>-6426018.7999999998</v>
      </c>
      <c r="X71" s="28" cm="1">
        <f t="array" ref="X71">SUMPRODUCT(($I66:X66))-SUMPRODUCT(($I66:X66)*($I$6:X$6&lt;=(X$6-$E14)))</f>
        <v>-6426018.7999999998</v>
      </c>
      <c r="Y71" s="28" cm="1">
        <f t="array" ref="Y71">SUMPRODUCT(($I66:Y66))-SUMPRODUCT(($I66:Y66)*($I$6:Y$6&lt;=(Y$6-$E14)))</f>
        <v>-6426018.7999999998</v>
      </c>
      <c r="Z71" s="28" cm="1">
        <f t="array" ref="Z71">SUMPRODUCT(($I66:Z66))-SUMPRODUCT(($I66:Z66)*($I$6:Z$6&lt;=(Z$6-$E14)))</f>
        <v>-6426018.7999999998</v>
      </c>
      <c r="AA71" s="28" cm="1">
        <f t="array" ref="AA71">SUMPRODUCT(($I66:AA66))-SUMPRODUCT(($I66:AA66)*($I$6:AA$6&lt;=(AA$6-$E14)))</f>
        <v>-6426018.7999999998</v>
      </c>
      <c r="AB71" s="28" cm="1">
        <f t="array" ref="AB71">SUMPRODUCT(($I66:AB66))-SUMPRODUCT(($I66:AB66)*($I$6:AB$6&lt;=(AB$6-$E14)))</f>
        <v>-6426018.7999999998</v>
      </c>
      <c r="AC71" s="28" cm="1">
        <f t="array" ref="AC71">SUMPRODUCT(($I66:AC66))-SUMPRODUCT(($I66:AC66)*($I$6:AC$6&lt;=(AC$6-$E14)))</f>
        <v>-6426018.7999999998</v>
      </c>
      <c r="AD71" s="28" cm="1">
        <f t="array" ref="AD71">SUMPRODUCT(($I66:AD66))-SUMPRODUCT(($I66:AD66)*($I$6:AD$6&lt;=(AD$6-$E14)))</f>
        <v>-6426018.7999999998</v>
      </c>
      <c r="AE71" s="28" cm="1">
        <f t="array" ref="AE71">SUMPRODUCT(($I66:AE66))-SUMPRODUCT(($I66:AE66)*($I$6:AE$6&lt;=(AE$6-$E14)))</f>
        <v>-6426018.7999999998</v>
      </c>
      <c r="AF71" s="28" cm="1">
        <f t="array" ref="AF71">SUMPRODUCT(($I66:AF66))-SUMPRODUCT(($I66:AF66)*($I$6:AF$6&lt;=(AF$6-$E14)))</f>
        <v>-6426018.7999999998</v>
      </c>
      <c r="AG71" s="28" cm="1">
        <f t="array" ref="AG71">SUMPRODUCT(($I66:AG66))-SUMPRODUCT(($I66:AG66)*($I$6:AG$6&lt;=(AG$6-$E14)))</f>
        <v>-6426018.7999999998</v>
      </c>
    </row>
    <row r="72" spans="1:33" x14ac:dyDescent="0.2">
      <c r="A72" s="6"/>
      <c r="B72" s="6"/>
      <c r="C72" s="4">
        <f>C15</f>
        <v>0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SUMPRODUCT(($I67:I67))-SUMPRODUCT(($I67:I67)*($I$6:I$6&lt;=(I$6-$E15)))</f>
        <v>0</v>
      </c>
      <c r="J72" s="28" cm="1">
        <f t="array" ref="J72">SUMPRODUCT(($I67:J67))-SUMPRODUCT(($I67:J67)*($I$6:J$6&lt;=(J$6-$E15)))</f>
        <v>0</v>
      </c>
      <c r="K72" s="28" cm="1">
        <f t="array" ref="K72">SUMPRODUCT(($I67:K67))-SUMPRODUCT(($I67:K67)*($I$6:K$6&lt;=(K$6-$E15)))</f>
        <v>0</v>
      </c>
      <c r="L72" s="28" cm="1">
        <f t="array" ref="L72">SUMPRODUCT(($I67:L67))-SUMPRODUCT(($I67:L67)*($I$6:L$6&lt;=(L$6-$E15)))</f>
        <v>0</v>
      </c>
      <c r="M72" s="28" cm="1">
        <f t="array" ref="M72">SUMPRODUCT(($I67:M67))-SUMPRODUCT(($I67:M67)*($I$6:M$6&lt;=(M$6-$E15)))</f>
        <v>0</v>
      </c>
      <c r="N72" s="28" cm="1">
        <f t="array" ref="N72">SUMPRODUCT(($I67:N67))-SUMPRODUCT(($I67:N67)*($I$6:N$6&lt;=(N$6-$E15)))</f>
        <v>0</v>
      </c>
      <c r="O72" s="28" cm="1">
        <f t="array" ref="O72">SUMPRODUCT(($I67:O67))-SUMPRODUCT(($I67:O67)*($I$6:O$6&lt;=(O$6-$E15)))</f>
        <v>0</v>
      </c>
      <c r="P72" s="28" cm="1">
        <f t="array" ref="P72">SUMPRODUCT(($I67:P67))-SUMPRODUCT(($I67:P67)*($I$6:P$6&lt;=(P$6-$E15)))</f>
        <v>0</v>
      </c>
      <c r="Q72" s="28" cm="1">
        <f t="array" ref="Q72">SUMPRODUCT(($I67:Q67))-SUMPRODUCT(($I67:Q67)*($I$6:Q$6&lt;=(Q$6-$E15)))</f>
        <v>0</v>
      </c>
      <c r="R72" s="28" cm="1">
        <f t="array" ref="R72">SUMPRODUCT(($I67:R67))-SUMPRODUCT(($I67:R67)*($I$6:R$6&lt;=(R$6-$E15)))</f>
        <v>0</v>
      </c>
      <c r="S72" s="28" cm="1">
        <f t="array" ref="S72">SUMPRODUCT(($I67:S67))-SUMPRODUCT(($I67:S67)*($I$6:S$6&lt;=(S$6-$E15)))</f>
        <v>0</v>
      </c>
      <c r="T72" s="28" cm="1">
        <f t="array" ref="T72">SUMPRODUCT(($I67:T67))-SUMPRODUCT(($I67:T67)*($I$6:T$6&lt;=(T$6-$E15)))</f>
        <v>0</v>
      </c>
      <c r="U72" s="28" cm="1">
        <f t="array" ref="U72">SUMPRODUCT(($I67:U67))-SUMPRODUCT(($I67:U67)*($I$6:U$6&lt;=(U$6-$E15)))</f>
        <v>0</v>
      </c>
      <c r="V72" s="28" cm="1">
        <f t="array" ref="V72">SUMPRODUCT(($I67:V67))-SUMPRODUCT(($I67:V67)*($I$6:V$6&lt;=(V$6-$E15)))</f>
        <v>0</v>
      </c>
      <c r="W72" s="28" cm="1">
        <f t="array" ref="W72">SUMPRODUCT(($I67:W67))-SUMPRODUCT(($I67:W67)*($I$6:W$6&lt;=(W$6-$E15)))</f>
        <v>0</v>
      </c>
      <c r="X72" s="28" cm="1">
        <f t="array" ref="X72">SUMPRODUCT(($I67:X67))-SUMPRODUCT(($I67:X67)*($I$6:X$6&lt;=(X$6-$E15)))</f>
        <v>0</v>
      </c>
      <c r="Y72" s="28" cm="1">
        <f t="array" ref="Y72">SUMPRODUCT(($I67:Y67))-SUMPRODUCT(($I67:Y67)*($I$6:Y$6&lt;=(Y$6-$E15)))</f>
        <v>0</v>
      </c>
      <c r="Z72" s="28" cm="1">
        <f t="array" ref="Z72">SUMPRODUCT(($I67:Z67))-SUMPRODUCT(($I67:Z67)*($I$6:Z$6&lt;=(Z$6-$E15)))</f>
        <v>0</v>
      </c>
      <c r="AA72" s="28" cm="1">
        <f t="array" ref="AA72">SUMPRODUCT(($I67:AA67))-SUMPRODUCT(($I67:AA67)*($I$6:AA$6&lt;=(AA$6-$E15)))</f>
        <v>0</v>
      </c>
      <c r="AB72" s="28" cm="1">
        <f t="array" ref="AB72">SUMPRODUCT(($I67:AB67))-SUMPRODUCT(($I67:AB67)*($I$6:AB$6&lt;=(AB$6-$E15)))</f>
        <v>0</v>
      </c>
      <c r="AC72" s="28" cm="1">
        <f t="array" ref="AC72">SUMPRODUCT(($I67:AC67))-SUMPRODUCT(($I67:AC67)*($I$6:AC$6&lt;=(AC$6-$E15)))</f>
        <v>0</v>
      </c>
      <c r="AD72" s="28" cm="1">
        <f t="array" ref="AD72">SUMPRODUCT(($I67:AD67))-SUMPRODUCT(($I67:AD67)*($I$6:AD$6&lt;=(AD$6-$E15)))</f>
        <v>0</v>
      </c>
      <c r="AE72" s="28" cm="1">
        <f t="array" ref="AE72">SUMPRODUCT(($I67:AE67))-SUMPRODUCT(($I67:AE67)*($I$6:AE$6&lt;=(AE$6-$E15)))</f>
        <v>0</v>
      </c>
      <c r="AF72" s="28" cm="1">
        <f t="array" ref="AF72">SUMPRODUCT(($I67:AF67))-SUMPRODUCT(($I67:AF67)*($I$6:AF$6&lt;=(AF$6-$E15)))</f>
        <v>0</v>
      </c>
      <c r="AG72" s="28" cm="1">
        <f t="array" ref="AG72">SUMPRODUCT(($I67:AG67))-SUMPRODUCT(($I67:AG67)*($I$6:AG$6&lt;=(AG$6-$E15)))</f>
        <v>0</v>
      </c>
    </row>
    <row r="73" spans="1:33" x14ac:dyDescent="0.2">
      <c r="A73" s="6"/>
      <c r="B73" s="6"/>
      <c r="C73" s="4">
        <f>C16</f>
        <v>0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SUMPRODUCT(($I68:I68))-SUMPRODUCT(($I68:I68)*($I$6:I$6&lt;=(I$6-$E16)))</f>
        <v>0</v>
      </c>
      <c r="J73" s="28" cm="1">
        <f t="array" ref="J73">SUMPRODUCT(($I68:J68))-SUMPRODUCT(($I68:J68)*($I$6:J$6&lt;=(J$6-$E16)))</f>
        <v>0</v>
      </c>
      <c r="K73" s="28" cm="1">
        <f t="array" ref="K73">SUMPRODUCT(($I68:K68))-SUMPRODUCT(($I68:K68)*($I$6:K$6&lt;=(K$6-$E16)))</f>
        <v>0</v>
      </c>
      <c r="L73" s="28" cm="1">
        <f t="array" ref="L73">SUMPRODUCT(($I68:L68))-SUMPRODUCT(($I68:L68)*($I$6:L$6&lt;=(L$6-$E16)))</f>
        <v>0</v>
      </c>
      <c r="M73" s="28" cm="1">
        <f t="array" ref="M73">SUMPRODUCT(($I68:M68))-SUMPRODUCT(($I68:M68)*($I$6:M$6&lt;=(M$6-$E16)))</f>
        <v>0</v>
      </c>
      <c r="N73" s="28" cm="1">
        <f t="array" ref="N73">SUMPRODUCT(($I68:N68))-SUMPRODUCT(($I68:N68)*($I$6:N$6&lt;=(N$6-$E16)))</f>
        <v>0</v>
      </c>
      <c r="O73" s="28" cm="1">
        <f t="array" ref="O73">SUMPRODUCT(($I68:O68))-SUMPRODUCT(($I68:O68)*($I$6:O$6&lt;=(O$6-$E16)))</f>
        <v>0</v>
      </c>
      <c r="P73" s="28" cm="1">
        <f t="array" ref="P73">SUMPRODUCT(($I68:P68))-SUMPRODUCT(($I68:P68)*($I$6:P$6&lt;=(P$6-$E16)))</f>
        <v>0</v>
      </c>
      <c r="Q73" s="28" cm="1">
        <f t="array" ref="Q73">SUMPRODUCT(($I68:Q68))-SUMPRODUCT(($I68:Q68)*($I$6:Q$6&lt;=(Q$6-$E16)))</f>
        <v>0</v>
      </c>
      <c r="R73" s="28" cm="1">
        <f t="array" ref="R73">SUMPRODUCT(($I68:R68))-SUMPRODUCT(($I68:R68)*($I$6:R$6&lt;=(R$6-$E16)))</f>
        <v>0</v>
      </c>
      <c r="S73" s="28" cm="1">
        <f t="array" ref="S73">SUMPRODUCT(($I68:S68))-SUMPRODUCT(($I68:S68)*($I$6:S$6&lt;=(S$6-$E16)))</f>
        <v>0</v>
      </c>
      <c r="T73" s="28" cm="1">
        <f t="array" ref="T73">SUMPRODUCT(($I68:T68))-SUMPRODUCT(($I68:T68)*($I$6:T$6&lt;=(T$6-$E16)))</f>
        <v>0</v>
      </c>
      <c r="U73" s="28" cm="1">
        <f t="array" ref="U73">SUMPRODUCT(($I68:U68))-SUMPRODUCT(($I68:U68)*($I$6:U$6&lt;=(U$6-$E16)))</f>
        <v>0</v>
      </c>
      <c r="V73" s="28" cm="1">
        <f t="array" ref="V73">SUMPRODUCT(($I68:V68))-SUMPRODUCT(($I68:V68)*($I$6:V$6&lt;=(V$6-$E16)))</f>
        <v>0</v>
      </c>
      <c r="W73" s="28" cm="1">
        <f t="array" ref="W73">SUMPRODUCT(($I68:W68))-SUMPRODUCT(($I68:W68)*($I$6:W$6&lt;=(W$6-$E16)))</f>
        <v>0</v>
      </c>
      <c r="X73" s="28" cm="1">
        <f t="array" ref="X73">SUMPRODUCT(($I68:X68))-SUMPRODUCT(($I68:X68)*($I$6:X$6&lt;=(X$6-$E16)))</f>
        <v>0</v>
      </c>
      <c r="Y73" s="28" cm="1">
        <f t="array" ref="Y73">SUMPRODUCT(($I68:Y68))-SUMPRODUCT(($I68:Y68)*($I$6:Y$6&lt;=(Y$6-$E16)))</f>
        <v>0</v>
      </c>
      <c r="Z73" s="28" cm="1">
        <f t="array" ref="Z73">SUMPRODUCT(($I68:Z68))-SUMPRODUCT(($I68:Z68)*($I$6:Z$6&lt;=(Z$6-$E16)))</f>
        <v>0</v>
      </c>
      <c r="AA73" s="28" cm="1">
        <f t="array" ref="AA73">SUMPRODUCT(($I68:AA68))-SUMPRODUCT(($I68:AA68)*($I$6:AA$6&lt;=(AA$6-$E16)))</f>
        <v>0</v>
      </c>
      <c r="AB73" s="28" cm="1">
        <f t="array" ref="AB73">SUMPRODUCT(($I68:AB68))-SUMPRODUCT(($I68:AB68)*($I$6:AB$6&lt;=(AB$6-$E16)))</f>
        <v>0</v>
      </c>
      <c r="AC73" s="28" cm="1">
        <f t="array" ref="AC73">SUMPRODUCT(($I68:AC68))-SUMPRODUCT(($I68:AC68)*($I$6:AC$6&lt;=(AC$6-$E16)))</f>
        <v>0</v>
      </c>
      <c r="AD73" s="28" cm="1">
        <f t="array" ref="AD73">SUMPRODUCT(($I68:AD68))-SUMPRODUCT(($I68:AD68)*($I$6:AD$6&lt;=(AD$6-$E16)))</f>
        <v>0</v>
      </c>
      <c r="AE73" s="28" cm="1">
        <f t="array" ref="AE73">SUMPRODUCT(($I68:AE68))-SUMPRODUCT(($I68:AE68)*($I$6:AE$6&lt;=(AE$6-$E16)))</f>
        <v>0</v>
      </c>
      <c r="AF73" s="28" cm="1">
        <f t="array" ref="AF73">SUMPRODUCT(($I68:AF68))-SUMPRODUCT(($I68:AF68)*($I$6:AF$6&lt;=(AF$6-$E16)))</f>
        <v>0</v>
      </c>
      <c r="AG73" s="28" cm="1">
        <f t="array" ref="AG73">SUMPRODUCT(($I68:AG68))-SUMPRODUCT(($I68:AG68)*($I$6:AG$6&lt;=(AG$6-$E16)))</f>
        <v>0</v>
      </c>
    </row>
    <row r="74" spans="1:33" x14ac:dyDescent="0.2">
      <c r="A74" s="6"/>
      <c r="B74" s="6"/>
      <c r="C74" s="4"/>
      <c r="D74" s="34"/>
      <c r="F74" s="84"/>
      <c r="G74" s="18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33" x14ac:dyDescent="0.2">
      <c r="A75" s="6"/>
      <c r="B75" s="6"/>
      <c r="C75" s="125" t="s">
        <v>143</v>
      </c>
      <c r="D75" s="34"/>
      <c r="F75" s="84"/>
      <c r="G75" s="187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4" t="str">
        <f>$C$75&amp;" - "&amp;C14</f>
        <v>Annualised capex - Replace 1 transformer</v>
      </c>
      <c r="D76" s="34"/>
      <c r="F76" s="84"/>
      <c r="G76" s="184">
        <f>input_dollars</f>
        <v>45291</v>
      </c>
      <c r="H76" s="28"/>
      <c r="I76" s="28">
        <f>IF($E14=0,0,-PMT(real_disc, $E14,H71,))</f>
        <v>0</v>
      </c>
      <c r="J76" s="28">
        <f>IF($E14=0,0,-PMT(real_disc, $E14,I71,))</f>
        <v>0</v>
      </c>
      <c r="K76" s="28">
        <f>IF($E14=0,0,-PMT(real_disc, $E14,J71,))</f>
        <v>0</v>
      </c>
      <c r="L76" s="28">
        <f>IF($E14=0,0,-PMT(real_disc, $E14,K71,))</f>
        <v>-91321.673062792397</v>
      </c>
      <c r="M76" s="28">
        <f>IF($E14=0,0,-PMT(real_disc, $E14,L71,))</f>
        <v>-273965.01918837719</v>
      </c>
      <c r="N76" s="28">
        <f>IF($E14=0,0,-PMT(real_disc, $E14,M71,))</f>
        <v>-273965.01918837719</v>
      </c>
      <c r="O76" s="28">
        <f>IF($E14=0,0,-PMT(real_disc, $E14,N71,))</f>
        <v>-273965.01918837719</v>
      </c>
      <c r="P76" s="28">
        <f>IF($E14=0,0,-PMT(real_disc, $E14,O71,))</f>
        <v>-273965.01918837719</v>
      </c>
      <c r="Q76" s="28">
        <f>IF($E14=0,0,-PMT(real_disc, $E14,P71,))</f>
        <v>-273965.01918837719</v>
      </c>
      <c r="R76" s="28">
        <f>IF($E14=0,0,-PMT(real_disc, $E14,Q71,))</f>
        <v>-273965.01918837719</v>
      </c>
      <c r="S76" s="28">
        <f>IF($E14=0,0,-PMT(real_disc, $E14,R71,))</f>
        <v>-273965.01918837719</v>
      </c>
      <c r="T76" s="28">
        <f>IF($E14=0,0,-PMT(real_disc, $E14,S71,))</f>
        <v>-273965.01918837719</v>
      </c>
      <c r="U76" s="28">
        <f>IF($E14=0,0,-PMT(real_disc, $E14,T71,))</f>
        <v>-273965.01918837719</v>
      </c>
      <c r="V76" s="28">
        <f>IF($E14=0,0,-PMT(real_disc, $E14,U71,))</f>
        <v>-273965.01918837719</v>
      </c>
      <c r="W76" s="28">
        <f>IF($E14=0,0,-PMT(real_disc, $E14,V71,))</f>
        <v>-273965.01918837719</v>
      </c>
      <c r="X76" s="28">
        <f>IF($E14=0,0,-PMT(real_disc, $E14,W71,))</f>
        <v>-273965.01918837719</v>
      </c>
      <c r="Y76" s="28">
        <f>IF($E14=0,0,-PMT(real_disc, $E14,X71,))</f>
        <v>-273965.01918837719</v>
      </c>
      <c r="Z76" s="28">
        <f>IF($E14=0,0,-PMT(real_disc, $E14,Y71,))</f>
        <v>-273965.01918837719</v>
      </c>
      <c r="AA76" s="28">
        <f>IF($E14=0,0,-PMT(real_disc, $E14,Z71,))</f>
        <v>-273965.01918837719</v>
      </c>
      <c r="AB76" s="28">
        <f>IF($E14=0,0,-PMT(real_disc, $E14,AA71,))</f>
        <v>-273965.01918837719</v>
      </c>
      <c r="AC76" s="28">
        <f>IF($E14=0,0,-PMT(real_disc, $E14,AB71,))</f>
        <v>-273965.01918837719</v>
      </c>
      <c r="AD76" s="28">
        <f>IF($E14=0,0,-PMT(real_disc, $E14,AC71,))</f>
        <v>-273965.01918837719</v>
      </c>
      <c r="AE76" s="28">
        <f>IF($E14=0,0,-PMT(real_disc, $E14,AD71,))</f>
        <v>-273965.01918837719</v>
      </c>
      <c r="AF76" s="28">
        <f>IF($E14=0,0,-PMT(real_disc, $E14,AE71,))</f>
        <v>-273965.01918837719</v>
      </c>
      <c r="AG76" s="28">
        <f>IF($E14=0,0,-PMT(real_disc, $E14,AF71,))</f>
        <v>-273965.01918837719</v>
      </c>
    </row>
    <row r="77" spans="1:33" x14ac:dyDescent="0.2">
      <c r="A77" s="6"/>
      <c r="B77" s="6"/>
      <c r="C77" s="4" t="str">
        <f>$C$75&amp;" - "&amp;C15</f>
        <v xml:space="preserve">Annualised capex - </v>
      </c>
      <c r="D77" s="34"/>
      <c r="F77" s="84"/>
      <c r="G77" s="184">
        <f>input_dollars</f>
        <v>45291</v>
      </c>
      <c r="H77" s="28"/>
      <c r="I77" s="28">
        <f>IF($E15=0,0,-PMT(real_disc, $E15,H72,))</f>
        <v>0</v>
      </c>
      <c r="J77" s="28">
        <f>IF($E15=0,0,-PMT(real_disc, $E15,I72,))</f>
        <v>0</v>
      </c>
      <c r="K77" s="28">
        <f>IF($E15=0,0,-PMT(real_disc, $E15,J72,))</f>
        <v>0</v>
      </c>
      <c r="L77" s="28">
        <f>IF($E15=0,0,-PMT(real_disc, $E15,K72,))</f>
        <v>0</v>
      </c>
      <c r="M77" s="28">
        <f>IF($E15=0,0,-PMT(real_disc, $E15,L72,))</f>
        <v>0</v>
      </c>
      <c r="N77" s="28">
        <f>IF($E15=0,0,-PMT(real_disc, $E15,M72,))</f>
        <v>0</v>
      </c>
      <c r="O77" s="28">
        <f>IF($E15=0,0,-PMT(real_disc, $E15,N72,))</f>
        <v>0</v>
      </c>
      <c r="P77" s="28">
        <f>IF($E15=0,0,-PMT(real_disc, $E15,O72,))</f>
        <v>0</v>
      </c>
      <c r="Q77" s="28">
        <f>IF($E15=0,0,-PMT(real_disc, $E15,P72,))</f>
        <v>0</v>
      </c>
      <c r="R77" s="28">
        <f>IF($E15=0,0,-PMT(real_disc, $E15,Q72,))</f>
        <v>0</v>
      </c>
      <c r="S77" s="28">
        <f>IF($E15=0,0,-PMT(real_disc, $E15,R72,))</f>
        <v>0</v>
      </c>
      <c r="T77" s="28">
        <f>IF($E15=0,0,-PMT(real_disc, $E15,S72,))</f>
        <v>0</v>
      </c>
      <c r="U77" s="28">
        <f>IF($E15=0,0,-PMT(real_disc, $E15,T72,))</f>
        <v>0</v>
      </c>
      <c r="V77" s="28">
        <f>IF($E15=0,0,-PMT(real_disc, $E15,U72,))</f>
        <v>0</v>
      </c>
      <c r="W77" s="28">
        <f>IF($E15=0,0,-PMT(real_disc, $E15,V72,))</f>
        <v>0</v>
      </c>
      <c r="X77" s="28">
        <f>IF($E15=0,0,-PMT(real_disc, $E15,W72,))</f>
        <v>0</v>
      </c>
      <c r="Y77" s="28">
        <f>IF($E15=0,0,-PMT(real_disc, $E15,X72,))</f>
        <v>0</v>
      </c>
      <c r="Z77" s="28">
        <f>IF($E15=0,0,-PMT(real_disc, $E15,Y72,))</f>
        <v>0</v>
      </c>
      <c r="AA77" s="28">
        <f>IF($E15=0,0,-PMT(real_disc, $E15,Z72,))</f>
        <v>0</v>
      </c>
      <c r="AB77" s="28">
        <f>IF($E15=0,0,-PMT(real_disc, $E15,AA72,))</f>
        <v>0</v>
      </c>
      <c r="AC77" s="28">
        <f>IF($E15=0,0,-PMT(real_disc, $E15,AB72,))</f>
        <v>0</v>
      </c>
      <c r="AD77" s="28">
        <f>IF($E15=0,0,-PMT(real_disc, $E15,AC72,))</f>
        <v>0</v>
      </c>
      <c r="AE77" s="28">
        <f>IF($E15=0,0,-PMT(real_disc, $E15,AD72,))</f>
        <v>0</v>
      </c>
      <c r="AF77" s="28">
        <f>IF($E15=0,0,-PMT(real_disc, $E15,AE72,))</f>
        <v>0</v>
      </c>
      <c r="AG77" s="28">
        <f>IF($E15=0,0,-PMT(real_disc, $E15,AF72,))</f>
        <v>0</v>
      </c>
    </row>
    <row r="78" spans="1:33" x14ac:dyDescent="0.2">
      <c r="A78" s="6"/>
      <c r="B78" s="6"/>
      <c r="C78" s="4" t="str">
        <f>$C$75&amp;" - "&amp;C16</f>
        <v xml:space="preserve">Annualised capex - </v>
      </c>
      <c r="D78" s="34"/>
      <c r="F78" s="84"/>
      <c r="G78" s="184">
        <f>input_dollars</f>
        <v>45291</v>
      </c>
      <c r="H78" s="28"/>
      <c r="I78" s="28">
        <f>IF($E16=0,0,-PMT(real_disc, $E16,H73,))</f>
        <v>0</v>
      </c>
      <c r="J78" s="28">
        <f>IF($E16=0,0,-PMT(real_disc, $E16,I73,))</f>
        <v>0</v>
      </c>
      <c r="K78" s="28">
        <f>IF($E16=0,0,-PMT(real_disc, $E16,J73,))</f>
        <v>0</v>
      </c>
      <c r="L78" s="28">
        <f>IF($E16=0,0,-PMT(real_disc, $E16,K73,))</f>
        <v>0</v>
      </c>
      <c r="M78" s="28">
        <f>IF($E16=0,0,-PMT(real_disc, $E16,L73,))</f>
        <v>0</v>
      </c>
      <c r="N78" s="28">
        <f>IF($E16=0,0,-PMT(real_disc, $E16,M73,))</f>
        <v>0</v>
      </c>
      <c r="O78" s="28">
        <f>IF($E16=0,0,-PMT(real_disc, $E16,N73,))</f>
        <v>0</v>
      </c>
      <c r="P78" s="28">
        <f>IF($E16=0,0,-PMT(real_disc, $E16,O73,))</f>
        <v>0</v>
      </c>
      <c r="Q78" s="28">
        <f>IF($E16=0,0,-PMT(real_disc, $E16,P73,))</f>
        <v>0</v>
      </c>
      <c r="R78" s="28">
        <f>IF($E16=0,0,-PMT(real_disc, $E16,Q73,))</f>
        <v>0</v>
      </c>
      <c r="S78" s="28">
        <f>IF($E16=0,0,-PMT(real_disc, $E16,R73,))</f>
        <v>0</v>
      </c>
      <c r="T78" s="28">
        <f>IF($E16=0,0,-PMT(real_disc, $E16,S73,))</f>
        <v>0</v>
      </c>
      <c r="U78" s="28">
        <f>IF($E16=0,0,-PMT(real_disc, $E16,T73,))</f>
        <v>0</v>
      </c>
      <c r="V78" s="28">
        <f>IF($E16=0,0,-PMT(real_disc, $E16,U73,))</f>
        <v>0</v>
      </c>
      <c r="W78" s="28">
        <f>IF($E16=0,0,-PMT(real_disc, $E16,V73,))</f>
        <v>0</v>
      </c>
      <c r="X78" s="28">
        <f>IF($E16=0,0,-PMT(real_disc, $E16,W73,))</f>
        <v>0</v>
      </c>
      <c r="Y78" s="28">
        <f>IF($E16=0,0,-PMT(real_disc, $E16,X73,))</f>
        <v>0</v>
      </c>
      <c r="Z78" s="28">
        <f>IF($E16=0,0,-PMT(real_disc, $E16,Y73,))</f>
        <v>0</v>
      </c>
      <c r="AA78" s="28">
        <f>IF($E16=0,0,-PMT(real_disc, $E16,Z73,))</f>
        <v>0</v>
      </c>
      <c r="AB78" s="28">
        <f>IF($E16=0,0,-PMT(real_disc, $E16,AA73,))</f>
        <v>0</v>
      </c>
      <c r="AC78" s="28">
        <f>IF($E16=0,0,-PMT(real_disc, $E16,AB73,))</f>
        <v>0</v>
      </c>
      <c r="AD78" s="28">
        <f>IF($E16=0,0,-PMT(real_disc, $E16,AC73,))</f>
        <v>0</v>
      </c>
      <c r="AE78" s="28">
        <f>IF($E16=0,0,-PMT(real_disc, $E16,AD73,))</f>
        <v>0</v>
      </c>
      <c r="AF78" s="28">
        <f>IF($E16=0,0,-PMT(real_disc, $E16,AE73,))</f>
        <v>0</v>
      </c>
      <c r="AG78" s="28">
        <f>IF($E16=0,0,-PMT(real_disc, $E16,AF73,))</f>
        <v>0</v>
      </c>
    </row>
    <row r="79" spans="1:33" x14ac:dyDescent="0.2">
      <c r="A79" s="6"/>
      <c r="B79" s="6"/>
      <c r="C79" s="148" t="s">
        <v>144</v>
      </c>
      <c r="D79" s="148"/>
      <c r="E79" s="149"/>
      <c r="F79" s="150"/>
      <c r="G79" s="189">
        <f>input_dollars</f>
        <v>45291</v>
      </c>
      <c r="H79" s="151"/>
      <c r="I79" s="151">
        <f>SUM(I76:I78)</f>
        <v>0</v>
      </c>
      <c r="J79" s="151">
        <f t="shared" ref="J79:AB79" si="2">SUM(J76:J78)</f>
        <v>0</v>
      </c>
      <c r="K79" s="151">
        <f t="shared" si="2"/>
        <v>0</v>
      </c>
      <c r="L79" s="151">
        <f t="shared" si="2"/>
        <v>-91321.673062792397</v>
      </c>
      <c r="M79" s="151">
        <f t="shared" si="2"/>
        <v>-273965.01918837719</v>
      </c>
      <c r="N79" s="151">
        <f t="shared" si="2"/>
        <v>-273965.01918837719</v>
      </c>
      <c r="O79" s="151">
        <f t="shared" si="2"/>
        <v>-273965.01918837719</v>
      </c>
      <c r="P79" s="151">
        <f t="shared" si="2"/>
        <v>-273965.01918837719</v>
      </c>
      <c r="Q79" s="151">
        <f t="shared" si="2"/>
        <v>-273965.01918837719</v>
      </c>
      <c r="R79" s="151">
        <f t="shared" si="2"/>
        <v>-273965.01918837719</v>
      </c>
      <c r="S79" s="151">
        <f t="shared" si="2"/>
        <v>-273965.01918837719</v>
      </c>
      <c r="T79" s="151">
        <f t="shared" si="2"/>
        <v>-273965.01918837719</v>
      </c>
      <c r="U79" s="151">
        <f t="shared" si="2"/>
        <v>-273965.01918837719</v>
      </c>
      <c r="V79" s="151">
        <f t="shared" si="2"/>
        <v>-273965.01918837719</v>
      </c>
      <c r="W79" s="151">
        <f t="shared" si="2"/>
        <v>-273965.01918837719</v>
      </c>
      <c r="X79" s="151">
        <f t="shared" si="2"/>
        <v>-273965.01918837719</v>
      </c>
      <c r="Y79" s="151">
        <f t="shared" si="2"/>
        <v>-273965.01918837719</v>
      </c>
      <c r="Z79" s="151">
        <f t="shared" si="2"/>
        <v>-273965.01918837719</v>
      </c>
      <c r="AA79" s="151">
        <f t="shared" si="2"/>
        <v>-273965.01918837719</v>
      </c>
      <c r="AB79" s="151">
        <f t="shared" si="2"/>
        <v>-273965.01918837719</v>
      </c>
      <c r="AC79" s="151">
        <f>SUM(AC76:AC78)</f>
        <v>-273965.01918837719</v>
      </c>
      <c r="AD79" s="151">
        <f>SUM(AD76:AD78)</f>
        <v>-273965.01918837719</v>
      </c>
      <c r="AE79" s="151">
        <f>SUM(AE76:AE78)</f>
        <v>-273965.01918837719</v>
      </c>
      <c r="AF79" s="151">
        <f>SUM(AF76:AF78)</f>
        <v>-273965.01918837719</v>
      </c>
      <c r="AG79" s="151">
        <f>SUM(AG76:AG78)</f>
        <v>-273965.01918837719</v>
      </c>
    </row>
    <row r="80" spans="1:33" x14ac:dyDescent="0.2">
      <c r="A80" s="6"/>
      <c r="B80" s="6"/>
      <c r="C80" s="12"/>
      <c r="D80" s="34"/>
      <c r="F80"/>
      <c r="G80" s="19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x14ac:dyDescent="0.2">
      <c r="A81" s="6"/>
      <c r="B81" s="6"/>
      <c r="C81" s="4" t="s">
        <v>143</v>
      </c>
      <c r="D81" s="34"/>
      <c r="F81" s="84"/>
      <c r="G81" s="184">
        <f t="shared" ref="G81:G86" si="3">input_dollars</f>
        <v>45291</v>
      </c>
      <c r="H81" s="28"/>
      <c r="I81" s="28">
        <f>I79</f>
        <v>0</v>
      </c>
      <c r="J81" s="28">
        <f t="shared" ref="J81:AB81" si="4">J79</f>
        <v>0</v>
      </c>
      <c r="K81" s="28">
        <f t="shared" si="4"/>
        <v>0</v>
      </c>
      <c r="L81" s="28">
        <f t="shared" si="4"/>
        <v>-91321.673062792397</v>
      </c>
      <c r="M81" s="28">
        <f t="shared" si="4"/>
        <v>-273965.01918837719</v>
      </c>
      <c r="N81" s="28">
        <f t="shared" si="4"/>
        <v>-273965.01918837719</v>
      </c>
      <c r="O81" s="28">
        <f t="shared" si="4"/>
        <v>-273965.01918837719</v>
      </c>
      <c r="P81" s="28">
        <f t="shared" si="4"/>
        <v>-273965.01918837719</v>
      </c>
      <c r="Q81" s="28">
        <f t="shared" si="4"/>
        <v>-273965.01918837719</v>
      </c>
      <c r="R81" s="28">
        <f t="shared" si="4"/>
        <v>-273965.01918837719</v>
      </c>
      <c r="S81" s="28">
        <f t="shared" si="4"/>
        <v>-273965.01918837719</v>
      </c>
      <c r="T81" s="28">
        <f t="shared" si="4"/>
        <v>-273965.01918837719</v>
      </c>
      <c r="U81" s="28">
        <f t="shared" si="4"/>
        <v>-273965.01918837719</v>
      </c>
      <c r="V81" s="28">
        <f t="shared" si="4"/>
        <v>-273965.01918837719</v>
      </c>
      <c r="W81" s="28">
        <f t="shared" si="4"/>
        <v>-273965.01918837719</v>
      </c>
      <c r="X81" s="28">
        <f t="shared" si="4"/>
        <v>-273965.01918837719</v>
      </c>
      <c r="Y81" s="28">
        <f t="shared" si="4"/>
        <v>-273965.01918837719</v>
      </c>
      <c r="Z81" s="28">
        <f t="shared" si="4"/>
        <v>-273965.01918837719</v>
      </c>
      <c r="AA81" s="28">
        <f t="shared" si="4"/>
        <v>-273965.01918837719</v>
      </c>
      <c r="AB81" s="28">
        <f t="shared" si="4"/>
        <v>-273965.01918837719</v>
      </c>
      <c r="AC81" s="28">
        <f>AC79</f>
        <v>-273965.01918837719</v>
      </c>
      <c r="AD81" s="28">
        <f>AD79</f>
        <v>-273965.01918837719</v>
      </c>
      <c r="AE81" s="28">
        <f>AE79</f>
        <v>-273965.01918837719</v>
      </c>
      <c r="AF81" s="28">
        <f>AF79</f>
        <v>-273965.01918837719</v>
      </c>
      <c r="AG81" s="28">
        <f>AG79</f>
        <v>-273965.01918837719</v>
      </c>
    </row>
    <row r="82" spans="1:33" x14ac:dyDescent="0.2">
      <c r="A82" s="6"/>
      <c r="B82" s="6"/>
      <c r="C82" s="4" t="s">
        <v>33</v>
      </c>
      <c r="D82" s="34"/>
      <c r="F82" s="84"/>
      <c r="G82" s="184">
        <f t="shared" si="3"/>
        <v>45291</v>
      </c>
      <c r="H82" s="28"/>
      <c r="I82" s="28">
        <f>-I19</f>
        <v>0</v>
      </c>
      <c r="J82" s="28">
        <f>-J19</f>
        <v>0</v>
      </c>
      <c r="K82" s="28">
        <f>-K19</f>
        <v>0</v>
      </c>
      <c r="L82" s="28">
        <f>-L19</f>
        <v>0</v>
      </c>
      <c r="M82" s="28">
        <f>-M19</f>
        <v>0</v>
      </c>
      <c r="N82" s="28">
        <f>-N19</f>
        <v>0</v>
      </c>
      <c r="O82" s="28">
        <f>-O19</f>
        <v>0</v>
      </c>
      <c r="P82" s="28">
        <f>-P19</f>
        <v>0</v>
      </c>
      <c r="Q82" s="28">
        <f>-Q19</f>
        <v>0</v>
      </c>
      <c r="R82" s="28">
        <f>-R19</f>
        <v>0</v>
      </c>
      <c r="S82" s="28">
        <f>-S19</f>
        <v>0</v>
      </c>
      <c r="T82" s="28">
        <f>-T19</f>
        <v>0</v>
      </c>
      <c r="U82" s="28">
        <f>-U19</f>
        <v>0</v>
      </c>
      <c r="V82" s="28">
        <f>-V19</f>
        <v>0</v>
      </c>
      <c r="W82" s="28">
        <f>-W19</f>
        <v>0</v>
      </c>
      <c r="X82" s="28">
        <f>-X19</f>
        <v>0</v>
      </c>
      <c r="Y82" s="28">
        <f>-Y19</f>
        <v>0</v>
      </c>
      <c r="Z82" s="28">
        <f>-Z19</f>
        <v>0</v>
      </c>
      <c r="AA82" s="28">
        <f>-AA19</f>
        <v>0</v>
      </c>
      <c r="AB82" s="28">
        <f>-AB19</f>
        <v>0</v>
      </c>
      <c r="AC82" s="28">
        <f>-AC19</f>
        <v>0</v>
      </c>
      <c r="AD82" s="28">
        <f>-AD19</f>
        <v>0</v>
      </c>
      <c r="AE82" s="28">
        <f>-AE19</f>
        <v>0</v>
      </c>
      <c r="AF82" s="28">
        <f>-AF19</f>
        <v>0</v>
      </c>
      <c r="AG82" s="28">
        <f>-AG19</f>
        <v>0</v>
      </c>
    </row>
    <row r="83" spans="1:33" x14ac:dyDescent="0.2">
      <c r="A83" s="6"/>
      <c r="B83" s="6"/>
      <c r="C83" s="4" t="s">
        <v>145</v>
      </c>
      <c r="D83" s="34"/>
      <c r="F83" s="84"/>
      <c r="G83" s="184">
        <f t="shared" si="3"/>
        <v>45291</v>
      </c>
      <c r="H83" s="28"/>
      <c r="I83" s="28">
        <f>I63</f>
        <v>0</v>
      </c>
      <c r="J83" s="28">
        <f t="shared" ref="J83:AB83" si="5">J63</f>
        <v>0</v>
      </c>
      <c r="K83" s="28">
        <f t="shared" si="5"/>
        <v>0</v>
      </c>
      <c r="L83" s="28">
        <f t="shared" si="5"/>
        <v>0</v>
      </c>
      <c r="M83" s="28">
        <f t="shared" si="5"/>
        <v>1045123.8298811881</v>
      </c>
      <c r="N83" s="28">
        <f t="shared" si="5"/>
        <v>1059377.3587812395</v>
      </c>
      <c r="O83" s="28">
        <f t="shared" si="5"/>
        <v>1091666.5190048055</v>
      </c>
      <c r="P83" s="28">
        <f t="shared" si="5"/>
        <v>1124193.5139967704</v>
      </c>
      <c r="Q83" s="28">
        <f t="shared" si="5"/>
        <v>1144711.9640871505</v>
      </c>
      <c r="R83" s="28">
        <f t="shared" si="5"/>
        <v>1151571.9444334854</v>
      </c>
      <c r="S83" s="28">
        <f t="shared" si="5"/>
        <v>1158764.1419805742</v>
      </c>
      <c r="T83" s="28">
        <f t="shared" si="5"/>
        <v>1166216.2198490428</v>
      </c>
      <c r="U83" s="28">
        <f t="shared" si="5"/>
        <v>1173876.6609452423</v>
      </c>
      <c r="V83" s="28">
        <f t="shared" si="5"/>
        <v>1181707.1468706145</v>
      </c>
      <c r="W83" s="28">
        <f t="shared" si="5"/>
        <v>1189678.4434996594</v>
      </c>
      <c r="X83" s="28">
        <f t="shared" si="5"/>
        <v>1197767.5800758949</v>
      </c>
      <c r="Y83" s="28">
        <f t="shared" si="5"/>
        <v>1205956.1811196357</v>
      </c>
      <c r="Z83" s="28">
        <f t="shared" si="5"/>
        <v>1214229.3650456194</v>
      </c>
      <c r="AA83" s="28">
        <f t="shared" si="5"/>
        <v>1222574.840101711</v>
      </c>
      <c r="AB83" s="28">
        <f t="shared" si="5"/>
        <v>1230982.3717128853</v>
      </c>
      <c r="AC83" s="28">
        <f>AC63</f>
        <v>1239443.3151352457</v>
      </c>
      <c r="AD83" s="28">
        <f>AD63</f>
        <v>1247950.4128940576</v>
      </c>
      <c r="AE83" s="28">
        <f>AE63</f>
        <v>1256204.9353804695</v>
      </c>
      <c r="AF83" s="28">
        <f>AF63</f>
        <v>1264496.0212547174</v>
      </c>
      <c r="AG83" s="28">
        <f>AG63</f>
        <v>1272818.9789731568</v>
      </c>
    </row>
    <row r="84" spans="1:33" x14ac:dyDescent="0.2">
      <c r="A84" s="6"/>
      <c r="B84" s="6"/>
      <c r="C84" s="4" t="s">
        <v>146</v>
      </c>
      <c r="D84" s="34"/>
      <c r="F84" s="84"/>
      <c r="G84" s="184">
        <f t="shared" si="3"/>
        <v>45291</v>
      </c>
      <c r="H84" s="28"/>
      <c r="I84" s="28">
        <f t="shared" ref="I84:AG84" si="6">I56</f>
        <v>0</v>
      </c>
      <c r="J84" s="28">
        <f t="shared" si="6"/>
        <v>0</v>
      </c>
      <c r="K84" s="28">
        <f t="shared" si="6"/>
        <v>0</v>
      </c>
      <c r="L84" s="28">
        <f t="shared" si="6"/>
        <v>0</v>
      </c>
      <c r="M84" s="28">
        <f t="shared" si="6"/>
        <v>0</v>
      </c>
      <c r="N84" s="28">
        <f t="shared" si="6"/>
        <v>0</v>
      </c>
      <c r="O84" s="28">
        <f t="shared" si="6"/>
        <v>0</v>
      </c>
      <c r="P84" s="28">
        <f t="shared" si="6"/>
        <v>0</v>
      </c>
      <c r="Q84" s="28">
        <f t="shared" si="6"/>
        <v>0</v>
      </c>
      <c r="R84" s="28">
        <f t="shared" si="6"/>
        <v>0</v>
      </c>
      <c r="S84" s="28">
        <f t="shared" si="6"/>
        <v>0</v>
      </c>
      <c r="T84" s="28">
        <f t="shared" si="6"/>
        <v>0</v>
      </c>
      <c r="U84" s="28">
        <f t="shared" si="6"/>
        <v>0</v>
      </c>
      <c r="V84" s="28">
        <f t="shared" si="6"/>
        <v>0</v>
      </c>
      <c r="W84" s="28">
        <f t="shared" si="6"/>
        <v>0</v>
      </c>
      <c r="X84" s="28">
        <f t="shared" si="6"/>
        <v>0</v>
      </c>
      <c r="Y84" s="28">
        <f t="shared" si="6"/>
        <v>0</v>
      </c>
      <c r="Z84" s="28">
        <f t="shared" si="6"/>
        <v>0</v>
      </c>
      <c r="AA84" s="28">
        <f t="shared" si="6"/>
        <v>0</v>
      </c>
      <c r="AB84" s="28">
        <f t="shared" si="6"/>
        <v>0</v>
      </c>
      <c r="AC84" s="28">
        <f t="shared" si="6"/>
        <v>0</v>
      </c>
      <c r="AD84" s="28">
        <f t="shared" si="6"/>
        <v>0</v>
      </c>
      <c r="AE84" s="28">
        <f t="shared" si="6"/>
        <v>0</v>
      </c>
      <c r="AF84" s="28">
        <f t="shared" si="6"/>
        <v>0</v>
      </c>
      <c r="AG84" s="28">
        <f t="shared" si="6"/>
        <v>0</v>
      </c>
    </row>
    <row r="85" spans="1:33" x14ac:dyDescent="0.2">
      <c r="A85" s="6"/>
      <c r="B85" s="6"/>
      <c r="C85" s="4"/>
      <c r="D85" s="34"/>
      <c r="F85" s="28"/>
      <c r="G85" s="184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</row>
    <row r="86" spans="1:33" x14ac:dyDescent="0.2">
      <c r="A86" s="6"/>
      <c r="B86" s="6"/>
      <c r="C86" s="152" t="s">
        <v>147</v>
      </c>
      <c r="D86" s="153"/>
      <c r="E86" s="149"/>
      <c r="F86" s="154"/>
      <c r="G86" s="189">
        <f t="shared" si="3"/>
        <v>45291</v>
      </c>
      <c r="H86" s="154"/>
      <c r="I86" s="154">
        <f t="shared" ref="I86:AB86" si="7">SUM(I81:I85)</f>
        <v>0</v>
      </c>
      <c r="J86" s="154">
        <f t="shared" si="7"/>
        <v>0</v>
      </c>
      <c r="K86" s="154">
        <f t="shared" si="7"/>
        <v>0</v>
      </c>
      <c r="L86" s="154">
        <f t="shared" si="7"/>
        <v>-91321.673062792397</v>
      </c>
      <c r="M86" s="154">
        <f t="shared" si="7"/>
        <v>771158.81069281092</v>
      </c>
      <c r="N86" s="154">
        <f t="shared" si="7"/>
        <v>785412.33959286229</v>
      </c>
      <c r="O86" s="154">
        <f t="shared" si="7"/>
        <v>817701.49981642829</v>
      </c>
      <c r="P86" s="154">
        <f t="shared" si="7"/>
        <v>850228.49480839318</v>
      </c>
      <c r="Q86" s="154">
        <f t="shared" si="7"/>
        <v>870746.94489877333</v>
      </c>
      <c r="R86" s="154">
        <f t="shared" si="7"/>
        <v>877606.9252451082</v>
      </c>
      <c r="S86" s="154">
        <f t="shared" si="7"/>
        <v>884799.12279219704</v>
      </c>
      <c r="T86" s="154">
        <f t="shared" si="7"/>
        <v>892251.20066066564</v>
      </c>
      <c r="U86" s="154">
        <f t="shared" si="7"/>
        <v>899911.64175686508</v>
      </c>
      <c r="V86" s="154">
        <f t="shared" si="7"/>
        <v>907742.1276822373</v>
      </c>
      <c r="W86" s="154">
        <f t="shared" si="7"/>
        <v>915713.42431128223</v>
      </c>
      <c r="X86" s="154">
        <f t="shared" si="7"/>
        <v>923802.56088751776</v>
      </c>
      <c r="Y86" s="154">
        <f t="shared" si="7"/>
        <v>931991.16193125851</v>
      </c>
      <c r="Z86" s="154">
        <f t="shared" si="7"/>
        <v>940264.34585724224</v>
      </c>
      <c r="AA86" s="154">
        <f t="shared" si="7"/>
        <v>948609.8209133338</v>
      </c>
      <c r="AB86" s="154">
        <f t="shared" si="7"/>
        <v>957017.35252450814</v>
      </c>
      <c r="AC86" s="154">
        <f>SUM(AC81:AC85)</f>
        <v>965478.29594686849</v>
      </c>
      <c r="AD86" s="154">
        <f>SUM(AD81:AD85)</f>
        <v>973985.39370568038</v>
      </c>
      <c r="AE86" s="154">
        <f>SUM(AE81:AE85)</f>
        <v>982239.91619209235</v>
      </c>
      <c r="AF86" s="154">
        <f>SUM(AF81:AF85)</f>
        <v>990531.00206634018</v>
      </c>
      <c r="AG86" s="154">
        <f>SUM(AG81:AG85)</f>
        <v>998853.95978477958</v>
      </c>
    </row>
    <row r="87" spans="1:33" x14ac:dyDescent="0.2">
      <c r="A87" s="6"/>
      <c r="B87" s="6"/>
      <c r="C87" s="12"/>
      <c r="D87" s="34"/>
      <c r="F87" s="119"/>
      <c r="G87" s="184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</row>
    <row r="88" spans="1:33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203" t="s">
        <v>152</v>
      </c>
      <c r="D89" s="72"/>
      <c r="E89" s="204"/>
      <c r="F89" s="205"/>
      <c r="G89" s="206" cm="1">
        <f t="array" ref="G89">IF(SUM($I17:$AG17)=0,0,(INDEX(I$6:AG$6,MATCH(TRUE,INDEX($I17:$AG17&lt;&gt;0,),0))))</f>
        <v>3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x14ac:dyDescent="0.2">
      <c r="A90" s="6"/>
      <c r="B90" s="6"/>
      <c r="C90" s="72"/>
      <c r="D90" s="207"/>
      <c r="E90" s="204"/>
      <c r="F90" s="205"/>
      <c r="G90" s="206"/>
      <c r="H90" s="30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</row>
    <row r="91" spans="1:33" x14ac:dyDescent="0.2">
      <c r="C91" s="208" t="s">
        <v>153</v>
      </c>
      <c r="D91" s="209"/>
      <c r="E91" s="209"/>
      <c r="F91" s="209"/>
      <c r="G91" s="210">
        <f>IF(_xlfn.MINIFS($G$89:$G$90, $G$89:$G$90, "&gt;"&amp;0)=0, $A$4, _xlfn.MINIFS($G$89:$G$90, $G$89:$G$90, "&gt;"&amp;0))</f>
        <v>3</v>
      </c>
    </row>
    <row r="93" spans="1:33" x14ac:dyDescent="0.2">
      <c r="G93" s="10"/>
      <c r="I93" s="218"/>
      <c r="J93" s="218"/>
      <c r="K93" s="218"/>
      <c r="L93" s="218"/>
      <c r="M93" s="218"/>
      <c r="N93" s="218"/>
      <c r="O93" s="218"/>
      <c r="P93" s="218"/>
      <c r="Q93" s="218"/>
      <c r="R93" s="218"/>
      <c r="S93" s="218"/>
      <c r="T93" s="218"/>
      <c r="U93" s="218"/>
      <c r="V93" s="218"/>
      <c r="W93" s="218"/>
      <c r="X93" s="218"/>
      <c r="Y93" s="28"/>
      <c r="Z93" s="28"/>
      <c r="AA93" s="28"/>
      <c r="AB93" s="28"/>
      <c r="AC93" s="28"/>
      <c r="AD93" s="28"/>
      <c r="AE93" s="28"/>
      <c r="AF93" s="28"/>
      <c r="AG93" s="28"/>
    </row>
    <row r="94" spans="1:33" x14ac:dyDescent="0.2"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</row>
    <row r="95" spans="1:33" x14ac:dyDescent="0.2"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</row>
    <row r="96" spans="1:33" x14ac:dyDescent="0.2"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</row>
    <row r="97" spans="1:43" x14ac:dyDescent="0.2"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</row>
    <row r="98" spans="1:43" x14ac:dyDescent="0.2"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</row>
    <row r="99" spans="1:43" x14ac:dyDescent="0.2"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</row>
    <row r="100" spans="1:43" x14ac:dyDescent="0.2"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</row>
    <row r="101" spans="1:43" ht="15" x14ac:dyDescent="0.2">
      <c r="A101" s="78" t="s">
        <v>37</v>
      </c>
      <c r="B101" s="78"/>
      <c r="C101" s="78"/>
      <c r="D101" s="78"/>
      <c r="E101" s="78"/>
      <c r="F101" s="78"/>
      <c r="G101" s="1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/>
      <c r="AI101"/>
      <c r="AJ101"/>
      <c r="AK101"/>
      <c r="AL101"/>
      <c r="AM101"/>
      <c r="AN101"/>
      <c r="AO101"/>
      <c r="AP101"/>
      <c r="AQ101"/>
    </row>
    <row r="103" spans="1:43" x14ac:dyDescent="0.2">
      <c r="I103" s="213"/>
      <c r="J103" s="21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</row>
    <row r="104" spans="1:43" x14ac:dyDescent="0.2">
      <c r="D104"/>
      <c r="E104"/>
      <c r="F104"/>
      <c r="G104"/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A105" s="1" t="s">
        <v>22</v>
      </c>
      <c r="C105" s="1" t="s">
        <v>147</v>
      </c>
      <c r="D105"/>
      <c r="E105"/>
      <c r="F105"/>
      <c r="G105" s="34" t="str">
        <f>PROPER($A$3)&amp;A105</f>
        <v>Option 2NPV</v>
      </c>
      <c r="I105" s="28">
        <f>I86</f>
        <v>0</v>
      </c>
      <c r="J105" s="28">
        <f t="shared" ref="J105:AG105" si="8">J86</f>
        <v>0</v>
      </c>
      <c r="K105" s="28">
        <f t="shared" si="8"/>
        <v>0</v>
      </c>
      <c r="L105" s="28">
        <f t="shared" si="8"/>
        <v>-91321.673062792397</v>
      </c>
      <c r="M105" s="28">
        <f t="shared" si="8"/>
        <v>771158.81069281092</v>
      </c>
      <c r="N105" s="28">
        <f t="shared" si="8"/>
        <v>785412.33959286229</v>
      </c>
      <c r="O105" s="28">
        <f t="shared" si="8"/>
        <v>817701.49981642829</v>
      </c>
      <c r="P105" s="28">
        <f t="shared" si="8"/>
        <v>850228.49480839318</v>
      </c>
      <c r="Q105" s="28">
        <f t="shared" si="8"/>
        <v>870746.94489877333</v>
      </c>
      <c r="R105" s="28">
        <f t="shared" si="8"/>
        <v>877606.9252451082</v>
      </c>
      <c r="S105" s="28">
        <f t="shared" si="8"/>
        <v>884799.12279219704</v>
      </c>
      <c r="T105" s="28">
        <f t="shared" si="8"/>
        <v>892251.20066066564</v>
      </c>
      <c r="U105" s="28">
        <f t="shared" si="8"/>
        <v>899911.64175686508</v>
      </c>
      <c r="V105" s="28">
        <f t="shared" si="8"/>
        <v>907742.1276822373</v>
      </c>
      <c r="W105" s="28">
        <f t="shared" si="8"/>
        <v>915713.42431128223</v>
      </c>
      <c r="X105" s="28">
        <f t="shared" si="8"/>
        <v>923802.56088751776</v>
      </c>
      <c r="Y105" s="28">
        <f t="shared" si="8"/>
        <v>931991.16193125851</v>
      </c>
      <c r="Z105" s="28">
        <f t="shared" si="8"/>
        <v>940264.34585724224</v>
      </c>
      <c r="AA105" s="28">
        <f t="shared" si="8"/>
        <v>948609.8209133338</v>
      </c>
      <c r="AB105" s="28">
        <f t="shared" si="8"/>
        <v>957017.35252450814</v>
      </c>
      <c r="AC105" s="28">
        <f t="shared" si="8"/>
        <v>965478.29594686849</v>
      </c>
      <c r="AD105" s="28">
        <f t="shared" si="8"/>
        <v>973985.39370568038</v>
      </c>
      <c r="AE105" s="28">
        <f t="shared" si="8"/>
        <v>982239.91619209235</v>
      </c>
      <c r="AF105" s="28">
        <f t="shared" si="8"/>
        <v>990531.00206634018</v>
      </c>
      <c r="AG105" s="28">
        <f t="shared" si="8"/>
        <v>998853.95978477958</v>
      </c>
    </row>
    <row r="106" spans="1:43" x14ac:dyDescent="0.2">
      <c r="C106" s="1" t="s">
        <v>144</v>
      </c>
      <c r="D106"/>
      <c r="E106"/>
      <c r="F106"/>
      <c r="G106"/>
      <c r="I106" s="28">
        <f>I81</f>
        <v>0</v>
      </c>
      <c r="J106" s="28">
        <f t="shared" ref="J106:AG106" si="9">J81</f>
        <v>0</v>
      </c>
      <c r="K106" s="28">
        <f t="shared" si="9"/>
        <v>0</v>
      </c>
      <c r="L106" s="28">
        <f t="shared" si="9"/>
        <v>-91321.673062792397</v>
      </c>
      <c r="M106" s="28">
        <f t="shared" si="9"/>
        <v>-273965.01918837719</v>
      </c>
      <c r="N106" s="28">
        <f t="shared" si="9"/>
        <v>-273965.01918837719</v>
      </c>
      <c r="O106" s="28">
        <f t="shared" si="9"/>
        <v>-273965.01918837719</v>
      </c>
      <c r="P106" s="28">
        <f t="shared" si="9"/>
        <v>-273965.01918837719</v>
      </c>
      <c r="Q106" s="28">
        <f t="shared" si="9"/>
        <v>-273965.01918837719</v>
      </c>
      <c r="R106" s="28">
        <f t="shared" si="9"/>
        <v>-273965.01918837719</v>
      </c>
      <c r="S106" s="28">
        <f t="shared" si="9"/>
        <v>-273965.01918837719</v>
      </c>
      <c r="T106" s="28">
        <f t="shared" si="9"/>
        <v>-273965.01918837719</v>
      </c>
      <c r="U106" s="28">
        <f t="shared" si="9"/>
        <v>-273965.01918837719</v>
      </c>
      <c r="V106" s="28">
        <f t="shared" si="9"/>
        <v>-273965.01918837719</v>
      </c>
      <c r="W106" s="28">
        <f t="shared" si="9"/>
        <v>-273965.01918837719</v>
      </c>
      <c r="X106" s="28">
        <f t="shared" si="9"/>
        <v>-273965.01918837719</v>
      </c>
      <c r="Y106" s="28">
        <f t="shared" si="9"/>
        <v>-273965.01918837719</v>
      </c>
      <c r="Z106" s="28">
        <f t="shared" si="9"/>
        <v>-273965.01918837719</v>
      </c>
      <c r="AA106" s="28">
        <f t="shared" si="9"/>
        <v>-273965.01918837719</v>
      </c>
      <c r="AB106" s="28">
        <f t="shared" si="9"/>
        <v>-273965.01918837719</v>
      </c>
      <c r="AC106" s="28">
        <f t="shared" si="9"/>
        <v>-273965.01918837719</v>
      </c>
      <c r="AD106" s="28">
        <f t="shared" si="9"/>
        <v>-273965.01918837719</v>
      </c>
      <c r="AE106" s="28">
        <f t="shared" si="9"/>
        <v>-273965.01918837719</v>
      </c>
      <c r="AF106" s="28">
        <f t="shared" si="9"/>
        <v>-273965.01918837719</v>
      </c>
      <c r="AG106" s="28">
        <f t="shared" si="9"/>
        <v>-273965.01918837719</v>
      </c>
    </row>
    <row r="107" spans="1:43" x14ac:dyDescent="0.2">
      <c r="C107" s="1" t="s">
        <v>104</v>
      </c>
      <c r="D107" s="221"/>
      <c r="E107" s="34"/>
      <c r="I107" s="28">
        <f>SUM(I83:I84)</f>
        <v>0</v>
      </c>
      <c r="J107" s="28">
        <f t="shared" ref="J107:AG107" si="10">SUM(J83:J84)</f>
        <v>0</v>
      </c>
      <c r="K107" s="28">
        <f t="shared" si="10"/>
        <v>0</v>
      </c>
      <c r="L107" s="28">
        <f t="shared" si="10"/>
        <v>0</v>
      </c>
      <c r="M107" s="28">
        <f t="shared" si="10"/>
        <v>1045123.8298811881</v>
      </c>
      <c r="N107" s="28">
        <f t="shared" si="10"/>
        <v>1059377.3587812395</v>
      </c>
      <c r="O107" s="28">
        <f t="shared" si="10"/>
        <v>1091666.5190048055</v>
      </c>
      <c r="P107" s="28">
        <f t="shared" si="10"/>
        <v>1124193.5139967704</v>
      </c>
      <c r="Q107" s="28">
        <f t="shared" si="10"/>
        <v>1144711.9640871505</v>
      </c>
      <c r="R107" s="28">
        <f t="shared" si="10"/>
        <v>1151571.9444334854</v>
      </c>
      <c r="S107" s="28">
        <f t="shared" si="10"/>
        <v>1158764.1419805742</v>
      </c>
      <c r="T107" s="28">
        <f t="shared" si="10"/>
        <v>1166216.2198490428</v>
      </c>
      <c r="U107" s="28">
        <f t="shared" si="10"/>
        <v>1173876.6609452423</v>
      </c>
      <c r="V107" s="28">
        <f t="shared" si="10"/>
        <v>1181707.1468706145</v>
      </c>
      <c r="W107" s="28">
        <f t="shared" si="10"/>
        <v>1189678.4434996594</v>
      </c>
      <c r="X107" s="28">
        <f t="shared" si="10"/>
        <v>1197767.5800758949</v>
      </c>
      <c r="Y107" s="28">
        <f t="shared" si="10"/>
        <v>1205956.1811196357</v>
      </c>
      <c r="Z107" s="28">
        <f t="shared" si="10"/>
        <v>1214229.3650456194</v>
      </c>
      <c r="AA107" s="28">
        <f t="shared" si="10"/>
        <v>1222574.840101711</v>
      </c>
      <c r="AB107" s="28">
        <f t="shared" si="10"/>
        <v>1230982.3717128853</v>
      </c>
      <c r="AC107" s="28">
        <f t="shared" si="10"/>
        <v>1239443.3151352457</v>
      </c>
      <c r="AD107" s="28">
        <f t="shared" si="10"/>
        <v>1247950.4128940576</v>
      </c>
      <c r="AE107" s="28">
        <f t="shared" si="10"/>
        <v>1256204.9353804695</v>
      </c>
      <c r="AF107" s="28">
        <f t="shared" si="10"/>
        <v>1264496.0212547174</v>
      </c>
      <c r="AG107" s="28">
        <f t="shared" si="10"/>
        <v>1272818.9789731568</v>
      </c>
    </row>
    <row r="108" spans="1:43" x14ac:dyDescent="0.2">
      <c r="D108" s="253" t="str">
        <f>Assumptions!G110</f>
        <v>Capex</v>
      </c>
      <c r="E108" s="253" t="str">
        <f>Assumptions!H110</f>
        <v>Total benefits</v>
      </c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</row>
    <row r="109" spans="1:43" x14ac:dyDescent="0.2">
      <c r="A109" s="1" t="str">
        <f>"sens"&amp;Assumptions!B111</f>
        <v>sens1</v>
      </c>
      <c r="C109" s="252" t="str">
        <f>Assumptions!C111</f>
        <v>Capex 10% higher</v>
      </c>
      <c r="D109" s="253">
        <f>Assumptions!G111</f>
        <v>0.1</v>
      </c>
      <c r="E109" s="253">
        <f>Assumptions!H111</f>
        <v>0</v>
      </c>
      <c r="G109" s="34" t="str">
        <f>PROPER($A$3)&amp;A109</f>
        <v>Option 2sens1</v>
      </c>
      <c r="I109" s="28" cm="1">
        <f t="array" ref="I109">I$105+IF($C109&lt;&gt;0,SUMPRODUCT((I$106:I$107)*TRANSPOSE(($D109:$E109))),0)</f>
        <v>0</v>
      </c>
      <c r="J109" s="28" cm="1">
        <f t="array" ref="J109">J$105+IF($C109&lt;&gt;0,SUMPRODUCT((J$106:J$107)*TRANSPOSE(($D109:$E109))),0)</f>
        <v>0</v>
      </c>
      <c r="K109" s="28" cm="1">
        <f t="array" ref="K109">K$105+IF($C109&lt;&gt;0,SUMPRODUCT((K$106:K$107)*TRANSPOSE(($D109:$E109))),0)</f>
        <v>0</v>
      </c>
      <c r="L109" s="28" cm="1">
        <f t="array" ref="L109">L$105+IF($C109&lt;&gt;0,SUMPRODUCT((L$106:L$107)*TRANSPOSE(($D109:$E109))),0)</f>
        <v>-100453.84036907164</v>
      </c>
      <c r="M109" s="28" cm="1">
        <f t="array" ref="M109">M$105+IF($C109&lt;&gt;0,SUMPRODUCT((M$106:M$107)*TRANSPOSE(($D109:$E109))),0)</f>
        <v>743762.30877397326</v>
      </c>
      <c r="N109" s="28" cm="1">
        <f t="array" ref="N109">N$105+IF($C109&lt;&gt;0,SUMPRODUCT((N$106:N$107)*TRANSPOSE(($D109:$E109))),0)</f>
        <v>758015.83767402451</v>
      </c>
      <c r="O109" s="28" cm="1">
        <f t="array" ref="O109">O$105+IF($C109&lt;&gt;0,SUMPRODUCT((O$106:O$107)*TRANSPOSE(($D109:$E109))),0)</f>
        <v>790304.99789759051</v>
      </c>
      <c r="P109" s="28" cm="1">
        <f t="array" ref="P109">P$105+IF($C109&lt;&gt;0,SUMPRODUCT((P$106:P$107)*TRANSPOSE(($D109:$E109))),0)</f>
        <v>822831.9928895554</v>
      </c>
      <c r="Q109" s="28" cm="1">
        <f t="array" ref="Q109">Q$105+IF($C109&lt;&gt;0,SUMPRODUCT((Q$106:Q$107)*TRANSPOSE(($D109:$E109))),0)</f>
        <v>843350.44297993556</v>
      </c>
      <c r="R109" s="28" cm="1">
        <f t="array" ref="R109">R$105+IF($C109&lt;&gt;0,SUMPRODUCT((R$106:R$107)*TRANSPOSE(($D109:$E109))),0)</f>
        <v>850210.42332627042</v>
      </c>
      <c r="S109" s="28" cm="1">
        <f t="array" ref="S109">S$105+IF($C109&lt;&gt;0,SUMPRODUCT((S$106:S$107)*TRANSPOSE(($D109:$E109))),0)</f>
        <v>857402.62087335926</v>
      </c>
      <c r="T109" s="28" cm="1">
        <f t="array" ref="T109">T$105+IF($C109&lt;&gt;0,SUMPRODUCT((T$106:T$107)*TRANSPOSE(($D109:$E109))),0)</f>
        <v>864854.69874182786</v>
      </c>
      <c r="U109" s="28" cm="1">
        <f t="array" ref="U109">U$105+IF($C109&lt;&gt;0,SUMPRODUCT((U$106:U$107)*TRANSPOSE(($D109:$E109))),0)</f>
        <v>872515.1398380273</v>
      </c>
      <c r="V109" s="28" cm="1">
        <f t="array" ref="V109">V$105+IF($C109&lt;&gt;0,SUMPRODUCT((V$106:V$107)*TRANSPOSE(($D109:$E109))),0)</f>
        <v>880345.62576339953</v>
      </c>
      <c r="W109" s="28" cm="1">
        <f t="array" ref="W109">W$105+IF($C109&lt;&gt;0,SUMPRODUCT((W$106:W$107)*TRANSPOSE(($D109:$E109))),0)</f>
        <v>888316.92239244445</v>
      </c>
      <c r="X109" s="28" cm="1">
        <f t="array" ref="X109">X$105+IF($C109&lt;&gt;0,SUMPRODUCT((X$106:X$107)*TRANSPOSE(($D109:$E109))),0)</f>
        <v>896406.05896867998</v>
      </c>
      <c r="Y109" s="28" cm="1">
        <f t="array" ref="Y109">Y$105+IF($C109&lt;&gt;0,SUMPRODUCT((Y$106:Y$107)*TRANSPOSE(($D109:$E109))),0)</f>
        <v>904594.66001242073</v>
      </c>
      <c r="Z109" s="28" cm="1">
        <f t="array" ref="Z109">Z$105+IF($C109&lt;&gt;0,SUMPRODUCT((Z$106:Z$107)*TRANSPOSE(($D109:$E109))),0)</f>
        <v>912867.84393840446</v>
      </c>
      <c r="AA109" s="28" cm="1">
        <f t="array" ref="AA109">AA$105+IF($C109&lt;&gt;0,SUMPRODUCT((AA$106:AA$107)*TRANSPOSE(($D109:$E109))),0)</f>
        <v>921213.31899449602</v>
      </c>
      <c r="AB109" s="28" cm="1">
        <f t="array" ref="AB109">AB$105+IF($C109&lt;&gt;0,SUMPRODUCT((AB$106:AB$107)*TRANSPOSE(($D109:$E109))),0)</f>
        <v>929620.85060567036</v>
      </c>
      <c r="AC109" s="28" cm="1">
        <f t="array" ref="AC109">AC$105+IF($C109&lt;&gt;0,SUMPRODUCT((AC$106:AC$107)*TRANSPOSE(($D109:$E109))),0)</f>
        <v>938081.79402803071</v>
      </c>
      <c r="AD109" s="28" cm="1">
        <f t="array" ref="AD109">AD$105+IF($C109&lt;&gt;0,SUMPRODUCT((AD$106:AD$107)*TRANSPOSE(($D109:$E109))),0)</f>
        <v>946588.89178684261</v>
      </c>
      <c r="AE109" s="28" cm="1">
        <f t="array" ref="AE109">AE$105+IF($C109&lt;&gt;0,SUMPRODUCT((AE$106:AE$107)*TRANSPOSE(($D109:$E109))),0)</f>
        <v>954843.41427325457</v>
      </c>
      <c r="AF109" s="28" cm="1">
        <f t="array" ref="AF109">AF$105+IF($C109&lt;&gt;0,SUMPRODUCT((AF$106:AF$107)*TRANSPOSE(($D109:$E109))),0)</f>
        <v>963134.5001475024</v>
      </c>
      <c r="AG109" s="28" cm="1">
        <f t="array" ref="AG109">AG$105+IF($C109&lt;&gt;0,SUMPRODUCT((AG$106:AG$107)*TRANSPOSE(($D109:$E109))),0)</f>
        <v>971457.4578659418</v>
      </c>
    </row>
    <row r="110" spans="1:43" x14ac:dyDescent="0.2">
      <c r="A110" s="1" t="str">
        <f>"sens"&amp;Assumptions!B112</f>
        <v>sens2</v>
      </c>
      <c r="C110" s="252" t="str">
        <f>Assumptions!C112</f>
        <v>Capex 10% lower</v>
      </c>
      <c r="D110" s="253">
        <f>Assumptions!G112</f>
        <v>-0.1</v>
      </c>
      <c r="E110" s="253">
        <f>Assumptions!H112</f>
        <v>0</v>
      </c>
      <c r="G110" s="34" t="str">
        <f t="shared" ref="G110:G116" si="11">PROPER($A$3)&amp;A110</f>
        <v>Option 2sens2</v>
      </c>
      <c r="I110" s="28" cm="1">
        <f t="array" ref="I110">I$105+IF($C110&lt;&gt;0,SUMPRODUCT((I$106:I$107)*TRANSPOSE(($D110:$E110))),0)</f>
        <v>0</v>
      </c>
      <c r="J110" s="28" cm="1">
        <f t="array" ref="J110">J$105+IF($C110&lt;&gt;0,SUMPRODUCT((J$106:J$107)*TRANSPOSE(($D110:$E110))),0)</f>
        <v>0</v>
      </c>
      <c r="K110" s="28" cm="1">
        <f t="array" ref="K110">K$105+IF($C110&lt;&gt;0,SUMPRODUCT((K$106:K$107)*TRANSPOSE(($D110:$E110))),0)</f>
        <v>0</v>
      </c>
      <c r="L110" s="28" cm="1">
        <f t="array" ref="L110">L$105+IF($C110&lt;&gt;0,SUMPRODUCT((L$106:L$107)*TRANSPOSE(($D110:$E110))),0)</f>
        <v>-82189.505756513157</v>
      </c>
      <c r="M110" s="28" cm="1">
        <f t="array" ref="M110">M$105+IF($C110&lt;&gt;0,SUMPRODUCT((M$106:M$107)*TRANSPOSE(($D110:$E110))),0)</f>
        <v>798555.31261164858</v>
      </c>
      <c r="N110" s="28" cm="1">
        <f t="array" ref="N110">N$105+IF($C110&lt;&gt;0,SUMPRODUCT((N$106:N$107)*TRANSPOSE(($D110:$E110))),0)</f>
        <v>812808.84151170007</v>
      </c>
      <c r="O110" s="28" cm="1">
        <f t="array" ref="O110">O$105+IF($C110&lt;&gt;0,SUMPRODUCT((O$106:O$107)*TRANSPOSE(($D110:$E110))),0)</f>
        <v>845098.00173526607</v>
      </c>
      <c r="P110" s="28" cm="1">
        <f t="array" ref="P110">P$105+IF($C110&lt;&gt;0,SUMPRODUCT((P$106:P$107)*TRANSPOSE(($D110:$E110))),0)</f>
        <v>877624.99672723096</v>
      </c>
      <c r="Q110" s="28" cm="1">
        <f t="array" ref="Q110">Q$105+IF($C110&lt;&gt;0,SUMPRODUCT((Q$106:Q$107)*TRANSPOSE(($D110:$E110))),0)</f>
        <v>898143.44681761111</v>
      </c>
      <c r="R110" s="28" cm="1">
        <f t="array" ref="R110">R$105+IF($C110&lt;&gt;0,SUMPRODUCT((R$106:R$107)*TRANSPOSE(($D110:$E110))),0)</f>
        <v>905003.42716394598</v>
      </c>
      <c r="S110" s="28" cm="1">
        <f t="array" ref="S110">S$105+IF($C110&lt;&gt;0,SUMPRODUCT((S$106:S$107)*TRANSPOSE(($D110:$E110))),0)</f>
        <v>912195.62471103482</v>
      </c>
      <c r="T110" s="28" cm="1">
        <f t="array" ref="T110">T$105+IF($C110&lt;&gt;0,SUMPRODUCT((T$106:T$107)*TRANSPOSE(($D110:$E110))),0)</f>
        <v>919647.70257950341</v>
      </c>
      <c r="U110" s="28" cm="1">
        <f t="array" ref="U110">U$105+IF($C110&lt;&gt;0,SUMPRODUCT((U$106:U$107)*TRANSPOSE(($D110:$E110))),0)</f>
        <v>927308.14367570286</v>
      </c>
      <c r="V110" s="28" cm="1">
        <f t="array" ref="V110">V$105+IF($C110&lt;&gt;0,SUMPRODUCT((V$106:V$107)*TRANSPOSE(($D110:$E110))),0)</f>
        <v>935138.62960107508</v>
      </c>
      <c r="W110" s="28" cm="1">
        <f t="array" ref="W110">W$105+IF($C110&lt;&gt;0,SUMPRODUCT((W$106:W$107)*TRANSPOSE(($D110:$E110))),0)</f>
        <v>943109.92623012001</v>
      </c>
      <c r="X110" s="28" cm="1">
        <f t="array" ref="X110">X$105+IF($C110&lt;&gt;0,SUMPRODUCT((X$106:X$107)*TRANSPOSE(($D110:$E110))),0)</f>
        <v>951199.06280635553</v>
      </c>
      <c r="Y110" s="28" cm="1">
        <f t="array" ref="Y110">Y$105+IF($C110&lt;&gt;0,SUMPRODUCT((Y$106:Y$107)*TRANSPOSE(($D110:$E110))),0)</f>
        <v>959387.66385009629</v>
      </c>
      <c r="Z110" s="28" cm="1">
        <f t="array" ref="Z110">Z$105+IF($C110&lt;&gt;0,SUMPRODUCT((Z$106:Z$107)*TRANSPOSE(($D110:$E110))),0)</f>
        <v>967660.84777608002</v>
      </c>
      <c r="AA110" s="28" cm="1">
        <f t="array" ref="AA110">AA$105+IF($C110&lt;&gt;0,SUMPRODUCT((AA$106:AA$107)*TRANSPOSE(($D110:$E110))),0)</f>
        <v>976006.32283217157</v>
      </c>
      <c r="AB110" s="28" cm="1">
        <f t="array" ref="AB110">AB$105+IF($C110&lt;&gt;0,SUMPRODUCT((AB$106:AB$107)*TRANSPOSE(($D110:$E110))),0)</f>
        <v>984413.85444334592</v>
      </c>
      <c r="AC110" s="28" cm="1">
        <f t="array" ref="AC110">AC$105+IF($C110&lt;&gt;0,SUMPRODUCT((AC$106:AC$107)*TRANSPOSE(($D110:$E110))),0)</f>
        <v>992874.79786570626</v>
      </c>
      <c r="AD110" s="28" cm="1">
        <f t="array" ref="AD110">AD$105+IF($C110&lt;&gt;0,SUMPRODUCT((AD$106:AD$107)*TRANSPOSE(($D110:$E110))),0)</f>
        <v>1001381.8956245182</v>
      </c>
      <c r="AE110" s="28" cm="1">
        <f t="array" ref="AE110">AE$105+IF($C110&lt;&gt;0,SUMPRODUCT((AE$106:AE$107)*TRANSPOSE(($D110:$E110))),0)</f>
        <v>1009636.4181109301</v>
      </c>
      <c r="AF110" s="28" cm="1">
        <f t="array" ref="AF110">AF$105+IF($C110&lt;&gt;0,SUMPRODUCT((AF$106:AF$107)*TRANSPOSE(($D110:$E110))),0)</f>
        <v>1017927.503985178</v>
      </c>
      <c r="AG110" s="28" cm="1">
        <f t="array" ref="AG110">AG$105+IF($C110&lt;&gt;0,SUMPRODUCT((AG$106:AG$107)*TRANSPOSE(($D110:$E110))),0)</f>
        <v>1026250.4617036174</v>
      </c>
    </row>
    <row r="111" spans="1:43" x14ac:dyDescent="0.2">
      <c r="A111" s="1" t="str">
        <f>"sens"&amp;Assumptions!B113</f>
        <v>sens3</v>
      </c>
      <c r="C111" s="252" t="str">
        <f>Assumptions!C113</f>
        <v>Total benefits 10% higher</v>
      </c>
      <c r="D111" s="253">
        <f>Assumptions!G113</f>
        <v>0</v>
      </c>
      <c r="E111" s="253">
        <f>Assumptions!H113</f>
        <v>0.1</v>
      </c>
      <c r="G111" s="34" t="str">
        <f t="shared" si="11"/>
        <v>Option 2sens3</v>
      </c>
      <c r="I111" s="28" cm="1">
        <f t="array" ref="I111">I$105+IF($C111&lt;&gt;0,SUMPRODUCT((I$106:I$107)*TRANSPOSE(($D111:$E111))),0)</f>
        <v>0</v>
      </c>
      <c r="J111" s="28" cm="1">
        <f t="array" ref="J111">J$105+IF($C111&lt;&gt;0,SUMPRODUCT((J$106:J$107)*TRANSPOSE(($D111:$E111))),0)</f>
        <v>0</v>
      </c>
      <c r="K111" s="28" cm="1">
        <f t="array" ref="K111">K$105+IF($C111&lt;&gt;0,SUMPRODUCT((K$106:K$107)*TRANSPOSE(($D111:$E111))),0)</f>
        <v>0</v>
      </c>
      <c r="L111" s="28" cm="1">
        <f t="array" ref="L111">L$105+IF($C111&lt;&gt;0,SUMPRODUCT((L$106:L$107)*TRANSPOSE(($D111:$E111))),0)</f>
        <v>-91321.673062792397</v>
      </c>
      <c r="M111" s="28" cm="1">
        <f t="array" ref="M111">M$105+IF($C111&lt;&gt;0,SUMPRODUCT((M$106:M$107)*TRANSPOSE(($D111:$E111))),0)</f>
        <v>875671.19368092972</v>
      </c>
      <c r="N111" s="28" cm="1">
        <f t="array" ref="N111">N$105+IF($C111&lt;&gt;0,SUMPRODUCT((N$106:N$107)*TRANSPOSE(($D111:$E111))),0)</f>
        <v>891350.07547098631</v>
      </c>
      <c r="O111" s="28" cm="1">
        <f t="array" ref="O111">O$105+IF($C111&lt;&gt;0,SUMPRODUCT((O$106:O$107)*TRANSPOSE(($D111:$E111))),0)</f>
        <v>926868.15171690891</v>
      </c>
      <c r="P111" s="28" cm="1">
        <f t="array" ref="P111">P$105+IF($C111&lt;&gt;0,SUMPRODUCT((P$106:P$107)*TRANSPOSE(($D111:$E111))),0)</f>
        <v>962647.84620807017</v>
      </c>
      <c r="Q111" s="28" cm="1">
        <f t="array" ref="Q111">Q$105+IF($C111&lt;&gt;0,SUMPRODUCT((Q$106:Q$107)*TRANSPOSE(($D111:$E111))),0)</f>
        <v>985218.14130748843</v>
      </c>
      <c r="R111" s="28" cm="1">
        <f t="array" ref="R111">R$105+IF($C111&lt;&gt;0,SUMPRODUCT((R$106:R$107)*TRANSPOSE(($D111:$E111))),0)</f>
        <v>992764.11968845676</v>
      </c>
      <c r="S111" s="28" cm="1">
        <f t="array" ref="S111">S$105+IF($C111&lt;&gt;0,SUMPRODUCT((S$106:S$107)*TRANSPOSE(($D111:$E111))),0)</f>
        <v>1000675.5369902544</v>
      </c>
      <c r="T111" s="28" cm="1">
        <f t="array" ref="T111">T$105+IF($C111&lt;&gt;0,SUMPRODUCT((T$106:T$107)*TRANSPOSE(($D111:$E111))),0)</f>
        <v>1008872.8226455699</v>
      </c>
      <c r="U111" s="28" cm="1">
        <f t="array" ref="U111">U$105+IF($C111&lt;&gt;0,SUMPRODUCT((U$106:U$107)*TRANSPOSE(($D111:$E111))),0)</f>
        <v>1017299.3078513893</v>
      </c>
      <c r="V111" s="28" cm="1">
        <f t="array" ref="V111">V$105+IF($C111&lt;&gt;0,SUMPRODUCT((V$106:V$107)*TRANSPOSE(($D111:$E111))),0)</f>
        <v>1025912.8423692988</v>
      </c>
      <c r="W111" s="28" cm="1">
        <f t="array" ref="W111">W$105+IF($C111&lt;&gt;0,SUMPRODUCT((W$106:W$107)*TRANSPOSE(($D111:$E111))),0)</f>
        <v>1034681.2686612481</v>
      </c>
      <c r="X111" s="28" cm="1">
        <f t="array" ref="X111">X$105+IF($C111&lt;&gt;0,SUMPRODUCT((X$106:X$107)*TRANSPOSE(($D111:$E111))),0)</f>
        <v>1043579.3188951073</v>
      </c>
      <c r="Y111" s="28" cm="1">
        <f t="array" ref="Y111">Y$105+IF($C111&lt;&gt;0,SUMPRODUCT((Y$106:Y$107)*TRANSPOSE(($D111:$E111))),0)</f>
        <v>1052586.780043222</v>
      </c>
      <c r="Z111" s="28" cm="1">
        <f t="array" ref="Z111">Z$105+IF($C111&lt;&gt;0,SUMPRODUCT((Z$106:Z$107)*TRANSPOSE(($D111:$E111))),0)</f>
        <v>1061687.2823618043</v>
      </c>
      <c r="AA111" s="28" cm="1">
        <f t="array" ref="AA111">AA$105+IF($C111&lt;&gt;0,SUMPRODUCT((AA$106:AA$107)*TRANSPOSE(($D111:$E111))),0)</f>
        <v>1070867.3049235048</v>
      </c>
      <c r="AB111" s="28" cm="1">
        <f t="array" ref="AB111">AB$105+IF($C111&lt;&gt;0,SUMPRODUCT((AB$106:AB$107)*TRANSPOSE(($D111:$E111))),0)</f>
        <v>1080115.5896957966</v>
      </c>
      <c r="AC111" s="28" cm="1">
        <f t="array" ref="AC111">AC$105+IF($C111&lt;&gt;0,SUMPRODUCT((AC$106:AC$107)*TRANSPOSE(($D111:$E111))),0)</f>
        <v>1089422.6274603931</v>
      </c>
      <c r="AD111" s="28" cm="1">
        <f t="array" ref="AD111">AD$105+IF($C111&lt;&gt;0,SUMPRODUCT((AD$106:AD$107)*TRANSPOSE(($D111:$E111))),0)</f>
        <v>1098780.4349950862</v>
      </c>
      <c r="AE111" s="28" cm="1">
        <f t="array" ref="AE111">AE$105+IF($C111&lt;&gt;0,SUMPRODUCT((AE$106:AE$107)*TRANSPOSE(($D111:$E111))),0)</f>
        <v>1107860.4097301392</v>
      </c>
      <c r="AF111" s="28" cm="1">
        <f t="array" ref="AF111">AF$105+IF($C111&lt;&gt;0,SUMPRODUCT((AF$106:AF$107)*TRANSPOSE(($D111:$E111))),0)</f>
        <v>1116980.604191812</v>
      </c>
      <c r="AG111" s="28" cm="1">
        <f t="array" ref="AG111">AG$105+IF($C111&lt;&gt;0,SUMPRODUCT((AG$106:AG$107)*TRANSPOSE(($D111:$E111))),0)</f>
        <v>1126135.8576820954</v>
      </c>
    </row>
    <row r="112" spans="1:43" x14ac:dyDescent="0.2">
      <c r="A112" s="1" t="str">
        <f>"sens"&amp;Assumptions!B114</f>
        <v>sens4</v>
      </c>
      <c r="C112" s="252" t="str">
        <f>Assumptions!C114</f>
        <v>Total benefits 10% lower</v>
      </c>
      <c r="D112" s="253">
        <f>Assumptions!G114</f>
        <v>0</v>
      </c>
      <c r="E112" s="253">
        <f>Assumptions!H114</f>
        <v>-0.1</v>
      </c>
      <c r="G112" s="34" t="str">
        <f t="shared" si="11"/>
        <v>Option 2sens4</v>
      </c>
      <c r="I112" s="28" cm="1">
        <f t="array" ref="I112">I$105+IF($C112&lt;&gt;0,SUMPRODUCT((I$106:I$107)*TRANSPOSE(($D112:$E112))),0)</f>
        <v>0</v>
      </c>
      <c r="J112" s="28" cm="1">
        <f t="array" ref="J112">J$105+IF($C112&lt;&gt;0,SUMPRODUCT((J$106:J$107)*TRANSPOSE(($D112:$E112))),0)</f>
        <v>0</v>
      </c>
      <c r="K112" s="28" cm="1">
        <f t="array" ref="K112">K$105+IF($C112&lt;&gt;0,SUMPRODUCT((K$106:K$107)*TRANSPOSE(($D112:$E112))),0)</f>
        <v>0</v>
      </c>
      <c r="L112" s="28" cm="1">
        <f t="array" ref="L112">L$105+IF($C112&lt;&gt;0,SUMPRODUCT((L$106:L$107)*TRANSPOSE(($D112:$E112))),0)</f>
        <v>-91321.673062792397</v>
      </c>
      <c r="M112" s="28" cm="1">
        <f t="array" ref="M112">M$105+IF($C112&lt;&gt;0,SUMPRODUCT((M$106:M$107)*TRANSPOSE(($D112:$E112))),0)</f>
        <v>666646.42770469212</v>
      </c>
      <c r="N112" s="28" cm="1">
        <f t="array" ref="N112">N$105+IF($C112&lt;&gt;0,SUMPRODUCT((N$106:N$107)*TRANSPOSE(($D112:$E112))),0)</f>
        <v>679474.60371473827</v>
      </c>
      <c r="O112" s="28" cm="1">
        <f t="array" ref="O112">O$105+IF($C112&lt;&gt;0,SUMPRODUCT((O$106:O$107)*TRANSPOSE(($D112:$E112))),0)</f>
        <v>708534.84791594767</v>
      </c>
      <c r="P112" s="28" cm="1">
        <f t="array" ref="P112">P$105+IF($C112&lt;&gt;0,SUMPRODUCT((P$106:P$107)*TRANSPOSE(($D112:$E112))),0)</f>
        <v>737809.14340871619</v>
      </c>
      <c r="Q112" s="28" cm="1">
        <f t="array" ref="Q112">Q$105+IF($C112&lt;&gt;0,SUMPRODUCT((Q$106:Q$107)*TRANSPOSE(($D112:$E112))),0)</f>
        <v>756275.74849005823</v>
      </c>
      <c r="R112" s="28" cm="1">
        <f t="array" ref="R112">R$105+IF($C112&lt;&gt;0,SUMPRODUCT((R$106:R$107)*TRANSPOSE(($D112:$E112))),0)</f>
        <v>762449.73080175964</v>
      </c>
      <c r="S112" s="28" cm="1">
        <f t="array" ref="S112">S$105+IF($C112&lt;&gt;0,SUMPRODUCT((S$106:S$107)*TRANSPOSE(($D112:$E112))),0)</f>
        <v>768922.70859413967</v>
      </c>
      <c r="T112" s="28" cm="1">
        <f t="array" ref="T112">T$105+IF($C112&lt;&gt;0,SUMPRODUCT((T$106:T$107)*TRANSPOSE(($D112:$E112))),0)</f>
        <v>775629.57867576135</v>
      </c>
      <c r="U112" s="28" cm="1">
        <f t="array" ref="U112">U$105+IF($C112&lt;&gt;0,SUMPRODUCT((U$106:U$107)*TRANSPOSE(($D112:$E112))),0)</f>
        <v>782523.97566234088</v>
      </c>
      <c r="V112" s="28" cm="1">
        <f t="array" ref="V112">V$105+IF($C112&lt;&gt;0,SUMPRODUCT((V$106:V$107)*TRANSPOSE(($D112:$E112))),0)</f>
        <v>789571.41299517581</v>
      </c>
      <c r="W112" s="28" cm="1">
        <f t="array" ref="W112">W$105+IF($C112&lt;&gt;0,SUMPRODUCT((W$106:W$107)*TRANSPOSE(($D112:$E112))),0)</f>
        <v>796745.57996131631</v>
      </c>
      <c r="X112" s="28" cm="1">
        <f t="array" ref="X112">X$105+IF($C112&lt;&gt;0,SUMPRODUCT((X$106:X$107)*TRANSPOSE(($D112:$E112))),0)</f>
        <v>804025.80287992826</v>
      </c>
      <c r="Y112" s="28" cm="1">
        <f t="array" ref="Y112">Y$105+IF($C112&lt;&gt;0,SUMPRODUCT((Y$106:Y$107)*TRANSPOSE(($D112:$E112))),0)</f>
        <v>811395.54381929489</v>
      </c>
      <c r="Z112" s="28" cm="1">
        <f t="array" ref="Z112">Z$105+IF($C112&lt;&gt;0,SUMPRODUCT((Z$106:Z$107)*TRANSPOSE(($D112:$E112))),0)</f>
        <v>818841.40935268032</v>
      </c>
      <c r="AA112" s="28" cm="1">
        <f t="array" ref="AA112">AA$105+IF($C112&lt;&gt;0,SUMPRODUCT((AA$106:AA$107)*TRANSPOSE(($D112:$E112))),0)</f>
        <v>826352.33690316265</v>
      </c>
      <c r="AB112" s="28" cm="1">
        <f t="array" ref="AB112">AB$105+IF($C112&lt;&gt;0,SUMPRODUCT((AB$106:AB$107)*TRANSPOSE(($D112:$E112))),0)</f>
        <v>833919.11535321956</v>
      </c>
      <c r="AC112" s="28" cm="1">
        <f t="array" ref="AC112">AC$105+IF($C112&lt;&gt;0,SUMPRODUCT((AC$106:AC$107)*TRANSPOSE(($D112:$E112))),0)</f>
        <v>841533.96443334385</v>
      </c>
      <c r="AD112" s="28" cm="1">
        <f t="array" ref="AD112">AD$105+IF($C112&lt;&gt;0,SUMPRODUCT((AD$106:AD$107)*TRANSPOSE(($D112:$E112))),0)</f>
        <v>849190.3524162746</v>
      </c>
      <c r="AE112" s="28" cm="1">
        <f t="array" ref="AE112">AE$105+IF($C112&lt;&gt;0,SUMPRODUCT((AE$106:AE$107)*TRANSPOSE(($D112:$E112))),0)</f>
        <v>856619.4226540454</v>
      </c>
      <c r="AF112" s="28" cm="1">
        <f t="array" ref="AF112">AF$105+IF($C112&lt;&gt;0,SUMPRODUCT((AF$106:AF$107)*TRANSPOSE(($D112:$E112))),0)</f>
        <v>864081.39994086837</v>
      </c>
      <c r="AG112" s="28" cm="1">
        <f t="array" ref="AG112">AG$105+IF($C112&lt;&gt;0,SUMPRODUCT((AG$106:AG$107)*TRANSPOSE(($D112:$E112))),0)</f>
        <v>871572.0618874639</v>
      </c>
    </row>
    <row r="113" spans="1:33" x14ac:dyDescent="0.2">
      <c r="A113" s="1" t="str">
        <f>"sens"&amp;Assumptions!B115</f>
        <v>sens5</v>
      </c>
      <c r="C113" s="252" t="str">
        <f>Assumptions!C115</f>
        <v>Capex 10% higher &amp; Total benefits 10% lower</v>
      </c>
      <c r="D113" s="253">
        <f>Assumptions!G115</f>
        <v>0.1</v>
      </c>
      <c r="E113" s="253">
        <f>Assumptions!H115</f>
        <v>-0.1</v>
      </c>
      <c r="G113" s="34" t="str">
        <f t="shared" si="11"/>
        <v>Option 2sens5</v>
      </c>
      <c r="I113" s="28" cm="1">
        <f t="array" ref="I113">I$105+IF($C113&lt;&gt;0,SUMPRODUCT((I$106:I$107)*TRANSPOSE(($D113:$E113))),0)</f>
        <v>0</v>
      </c>
      <c r="J113" s="28" cm="1">
        <f t="array" ref="J113">J$105+IF($C113&lt;&gt;0,SUMPRODUCT((J$106:J$107)*TRANSPOSE(($D113:$E113))),0)</f>
        <v>0</v>
      </c>
      <c r="K113" s="28" cm="1">
        <f t="array" ref="K113">K$105+IF($C113&lt;&gt;0,SUMPRODUCT((K$106:K$107)*TRANSPOSE(($D113:$E113))),0)</f>
        <v>0</v>
      </c>
      <c r="L113" s="28" cm="1">
        <f t="array" ref="L113">L$105+IF($C113&lt;&gt;0,SUMPRODUCT((L$106:L$107)*TRANSPOSE(($D113:$E113))),0)</f>
        <v>-100453.84036907164</v>
      </c>
      <c r="M113" s="28" cm="1">
        <f t="array" ref="M113">M$105+IF($C113&lt;&gt;0,SUMPRODUCT((M$106:M$107)*TRANSPOSE(($D113:$E113))),0)</f>
        <v>639249.92578585446</v>
      </c>
      <c r="N113" s="28" cm="1">
        <f t="array" ref="N113">N$105+IF($C113&lt;&gt;0,SUMPRODUCT((N$106:N$107)*TRANSPOSE(($D113:$E113))),0)</f>
        <v>652078.10179590061</v>
      </c>
      <c r="O113" s="28" cm="1">
        <f t="array" ref="O113">O$105+IF($C113&lt;&gt;0,SUMPRODUCT((O$106:O$107)*TRANSPOSE(($D113:$E113))),0)</f>
        <v>681138.34599711001</v>
      </c>
      <c r="P113" s="28" cm="1">
        <f t="array" ref="P113">P$105+IF($C113&lt;&gt;0,SUMPRODUCT((P$106:P$107)*TRANSPOSE(($D113:$E113))),0)</f>
        <v>710412.64148987841</v>
      </c>
      <c r="Q113" s="28" cm="1">
        <f t="array" ref="Q113">Q$105+IF($C113&lt;&gt;0,SUMPRODUCT((Q$106:Q$107)*TRANSPOSE(($D113:$E113))),0)</f>
        <v>728879.24657122057</v>
      </c>
      <c r="R113" s="28" cm="1">
        <f t="array" ref="R113">R$105+IF($C113&lt;&gt;0,SUMPRODUCT((R$106:R$107)*TRANSPOSE(($D113:$E113))),0)</f>
        <v>735053.22888292186</v>
      </c>
      <c r="S113" s="28" cm="1">
        <f t="array" ref="S113">S$105+IF($C113&lt;&gt;0,SUMPRODUCT((S$106:S$107)*TRANSPOSE(($D113:$E113))),0)</f>
        <v>741526.20667530189</v>
      </c>
      <c r="T113" s="28" cm="1">
        <f t="array" ref="T113">T$105+IF($C113&lt;&gt;0,SUMPRODUCT((T$106:T$107)*TRANSPOSE(($D113:$E113))),0)</f>
        <v>748233.07675692369</v>
      </c>
      <c r="U113" s="28" cm="1">
        <f t="array" ref="U113">U$105+IF($C113&lt;&gt;0,SUMPRODUCT((U$106:U$107)*TRANSPOSE(($D113:$E113))),0)</f>
        <v>755127.4737435031</v>
      </c>
      <c r="V113" s="28" cm="1">
        <f t="array" ref="V113">V$105+IF($C113&lt;&gt;0,SUMPRODUCT((V$106:V$107)*TRANSPOSE(($D113:$E113))),0)</f>
        <v>762174.91107633815</v>
      </c>
      <c r="W113" s="28" cm="1">
        <f t="array" ref="W113">W$105+IF($C113&lt;&gt;0,SUMPRODUCT((W$106:W$107)*TRANSPOSE(($D113:$E113))),0)</f>
        <v>769349.07804247853</v>
      </c>
      <c r="X113" s="28" cm="1">
        <f t="array" ref="X113">X$105+IF($C113&lt;&gt;0,SUMPRODUCT((X$106:X$107)*TRANSPOSE(($D113:$E113))),0)</f>
        <v>776629.30096109048</v>
      </c>
      <c r="Y113" s="28" cm="1">
        <f t="array" ref="Y113">Y$105+IF($C113&lt;&gt;0,SUMPRODUCT((Y$106:Y$107)*TRANSPOSE(($D113:$E113))),0)</f>
        <v>783999.04190045723</v>
      </c>
      <c r="Z113" s="28" cm="1">
        <f t="array" ref="Z113">Z$105+IF($C113&lt;&gt;0,SUMPRODUCT((Z$106:Z$107)*TRANSPOSE(($D113:$E113))),0)</f>
        <v>791444.90743384254</v>
      </c>
      <c r="AA113" s="28" cm="1">
        <f t="array" ref="AA113">AA$105+IF($C113&lt;&gt;0,SUMPRODUCT((AA$106:AA$107)*TRANSPOSE(($D113:$E113))),0)</f>
        <v>798955.83498432499</v>
      </c>
      <c r="AB113" s="28" cm="1">
        <f t="array" ref="AB113">AB$105+IF($C113&lt;&gt;0,SUMPRODUCT((AB$106:AB$107)*TRANSPOSE(($D113:$E113))),0)</f>
        <v>806522.6134343819</v>
      </c>
      <c r="AC113" s="28" cm="1">
        <f t="array" ref="AC113">AC$105+IF($C113&lt;&gt;0,SUMPRODUCT((AC$106:AC$107)*TRANSPOSE(($D113:$E113))),0)</f>
        <v>814137.46251450619</v>
      </c>
      <c r="AD113" s="28" cm="1">
        <f t="array" ref="AD113">AD$105+IF($C113&lt;&gt;0,SUMPRODUCT((AD$106:AD$107)*TRANSPOSE(($D113:$E113))),0)</f>
        <v>821793.85049743694</v>
      </c>
      <c r="AE113" s="28" cm="1">
        <f t="array" ref="AE113">AE$105+IF($C113&lt;&gt;0,SUMPRODUCT((AE$106:AE$107)*TRANSPOSE(($D113:$E113))),0)</f>
        <v>829222.92073520762</v>
      </c>
      <c r="AF113" s="28" cm="1">
        <f t="array" ref="AF113">AF$105+IF($C113&lt;&gt;0,SUMPRODUCT((AF$106:AF$107)*TRANSPOSE(($D113:$E113))),0)</f>
        <v>836684.89802203071</v>
      </c>
      <c r="AG113" s="28" cm="1">
        <f t="array" ref="AG113">AG$105+IF($C113&lt;&gt;0,SUMPRODUCT((AG$106:AG$107)*TRANSPOSE(($D113:$E113))),0)</f>
        <v>844175.55996862613</v>
      </c>
    </row>
    <row r="114" spans="1:33" x14ac:dyDescent="0.2">
      <c r="A114" s="1" t="str">
        <f>"sens"&amp;Assumptions!B116</f>
        <v>sens</v>
      </c>
      <c r="C114" s="252">
        <f>Assumptions!C116</f>
        <v>0</v>
      </c>
      <c r="D114" s="253">
        <f>Assumptions!G116</f>
        <v>0</v>
      </c>
      <c r="E114" s="253">
        <f>Assumptions!H116</f>
        <v>0</v>
      </c>
      <c r="G114" s="34" t="str">
        <f t="shared" si="11"/>
        <v>Option 2sens</v>
      </c>
      <c r="I114" s="28" cm="1">
        <f t="array" ref="I114">I$105+IF($C114&lt;&gt;0,SUMPRODUCT((I$106:I$107)*TRANSPOSE(($D114:$E114))),0)</f>
        <v>0</v>
      </c>
      <c r="J114" s="28" cm="1">
        <f t="array" ref="J114">J$105+IF($C114&lt;&gt;0,SUMPRODUCT((J$106:J$107)*TRANSPOSE(($D114:$E114))),0)</f>
        <v>0</v>
      </c>
      <c r="K114" s="28" cm="1">
        <f t="array" ref="K114">K$105+IF($C114&lt;&gt;0,SUMPRODUCT((K$106:K$107)*TRANSPOSE(($D114:$E114))),0)</f>
        <v>0</v>
      </c>
      <c r="L114" s="28" cm="1">
        <f t="array" ref="L114">L$105+IF($C114&lt;&gt;0,SUMPRODUCT((L$106:L$107)*TRANSPOSE(($D114:$E114))),0)</f>
        <v>-91321.673062792397</v>
      </c>
      <c r="M114" s="28" cm="1">
        <f t="array" ref="M114">M$105+IF($C114&lt;&gt;0,SUMPRODUCT((M$106:M$107)*TRANSPOSE(($D114:$E114))),0)</f>
        <v>771158.81069281092</v>
      </c>
      <c r="N114" s="28" cm="1">
        <f t="array" ref="N114">N$105+IF($C114&lt;&gt;0,SUMPRODUCT((N$106:N$107)*TRANSPOSE(($D114:$E114))),0)</f>
        <v>785412.33959286229</v>
      </c>
      <c r="O114" s="28" cm="1">
        <f t="array" ref="O114">O$105+IF($C114&lt;&gt;0,SUMPRODUCT((O$106:O$107)*TRANSPOSE(($D114:$E114))),0)</f>
        <v>817701.49981642829</v>
      </c>
      <c r="P114" s="28" cm="1">
        <f t="array" ref="P114">P$105+IF($C114&lt;&gt;0,SUMPRODUCT((P$106:P$107)*TRANSPOSE(($D114:$E114))),0)</f>
        <v>850228.49480839318</v>
      </c>
      <c r="Q114" s="28" cm="1">
        <f t="array" ref="Q114">Q$105+IF($C114&lt;&gt;0,SUMPRODUCT((Q$106:Q$107)*TRANSPOSE(($D114:$E114))),0)</f>
        <v>870746.94489877333</v>
      </c>
      <c r="R114" s="28" cm="1">
        <f t="array" ref="R114">R$105+IF($C114&lt;&gt;0,SUMPRODUCT((R$106:R$107)*TRANSPOSE(($D114:$E114))),0)</f>
        <v>877606.9252451082</v>
      </c>
      <c r="S114" s="28" cm="1">
        <f t="array" ref="S114">S$105+IF($C114&lt;&gt;0,SUMPRODUCT((S$106:S$107)*TRANSPOSE(($D114:$E114))),0)</f>
        <v>884799.12279219704</v>
      </c>
      <c r="T114" s="28" cm="1">
        <f t="array" ref="T114">T$105+IF($C114&lt;&gt;0,SUMPRODUCT((T$106:T$107)*TRANSPOSE(($D114:$E114))),0)</f>
        <v>892251.20066066564</v>
      </c>
      <c r="U114" s="28" cm="1">
        <f t="array" ref="U114">U$105+IF($C114&lt;&gt;0,SUMPRODUCT((U$106:U$107)*TRANSPOSE(($D114:$E114))),0)</f>
        <v>899911.64175686508</v>
      </c>
      <c r="V114" s="28" cm="1">
        <f t="array" ref="V114">V$105+IF($C114&lt;&gt;0,SUMPRODUCT((V$106:V$107)*TRANSPOSE(($D114:$E114))),0)</f>
        <v>907742.1276822373</v>
      </c>
      <c r="W114" s="28" cm="1">
        <f t="array" ref="W114">W$105+IF($C114&lt;&gt;0,SUMPRODUCT((W$106:W$107)*TRANSPOSE(($D114:$E114))),0)</f>
        <v>915713.42431128223</v>
      </c>
      <c r="X114" s="28" cm="1">
        <f t="array" ref="X114">X$105+IF($C114&lt;&gt;0,SUMPRODUCT((X$106:X$107)*TRANSPOSE(($D114:$E114))),0)</f>
        <v>923802.56088751776</v>
      </c>
      <c r="Y114" s="28" cm="1">
        <f t="array" ref="Y114">Y$105+IF($C114&lt;&gt;0,SUMPRODUCT((Y$106:Y$107)*TRANSPOSE(($D114:$E114))),0)</f>
        <v>931991.16193125851</v>
      </c>
      <c r="Z114" s="28" cm="1">
        <f t="array" ref="Z114">Z$105+IF($C114&lt;&gt;0,SUMPRODUCT((Z$106:Z$107)*TRANSPOSE(($D114:$E114))),0)</f>
        <v>940264.34585724224</v>
      </c>
      <c r="AA114" s="28" cm="1">
        <f t="array" ref="AA114">AA$105+IF($C114&lt;&gt;0,SUMPRODUCT((AA$106:AA$107)*TRANSPOSE(($D114:$E114))),0)</f>
        <v>948609.8209133338</v>
      </c>
      <c r="AB114" s="28" cm="1">
        <f t="array" ref="AB114">AB$105+IF($C114&lt;&gt;0,SUMPRODUCT((AB$106:AB$107)*TRANSPOSE(($D114:$E114))),0)</f>
        <v>957017.35252450814</v>
      </c>
      <c r="AC114" s="28" cm="1">
        <f t="array" ref="AC114">AC$105+IF($C114&lt;&gt;0,SUMPRODUCT((AC$106:AC$107)*TRANSPOSE(($D114:$E114))),0)</f>
        <v>965478.29594686849</v>
      </c>
      <c r="AD114" s="28" cm="1">
        <f t="array" ref="AD114">AD$105+IF($C114&lt;&gt;0,SUMPRODUCT((AD$106:AD$107)*TRANSPOSE(($D114:$E114))),0)</f>
        <v>973985.39370568038</v>
      </c>
      <c r="AE114" s="28" cm="1">
        <f t="array" ref="AE114">AE$105+IF($C114&lt;&gt;0,SUMPRODUCT((AE$106:AE$107)*TRANSPOSE(($D114:$E114))),0)</f>
        <v>982239.91619209235</v>
      </c>
      <c r="AF114" s="28" cm="1">
        <f t="array" ref="AF114">AF$105+IF($C114&lt;&gt;0,SUMPRODUCT((AF$106:AF$107)*TRANSPOSE(($D114:$E114))),0)</f>
        <v>990531.00206634018</v>
      </c>
      <c r="AG114" s="28" cm="1">
        <f t="array" ref="AG114">AG$105+IF($C114&lt;&gt;0,SUMPRODUCT((AG$106:AG$107)*TRANSPOSE(($D114:$E114))),0)</f>
        <v>998853.95978477958</v>
      </c>
    </row>
    <row r="115" spans="1:33" x14ac:dyDescent="0.2">
      <c r="A115" s="1" t="str">
        <f>"sens"&amp;Assumptions!B117</f>
        <v>sens</v>
      </c>
      <c r="C115" s="252">
        <f>Assumptions!C117</f>
        <v>0</v>
      </c>
      <c r="D115" s="253">
        <f>Assumptions!G117</f>
        <v>0</v>
      </c>
      <c r="E115" s="253">
        <f>Assumptions!H117</f>
        <v>0</v>
      </c>
      <c r="G115" s="34" t="str">
        <f t="shared" si="11"/>
        <v>Option 2sens</v>
      </c>
      <c r="I115" s="28" cm="1">
        <f t="array" ref="I115">I$105+IF($C115&lt;&gt;0,SUMPRODUCT((I$106:I$107)*TRANSPOSE(($D115:$E115))),0)</f>
        <v>0</v>
      </c>
      <c r="J115" s="28" cm="1">
        <f t="array" ref="J115">J$105+IF($C115&lt;&gt;0,SUMPRODUCT((J$106:J$107)*TRANSPOSE(($D115:$E115))),0)</f>
        <v>0</v>
      </c>
      <c r="K115" s="28" cm="1">
        <f t="array" ref="K115">K$105+IF($C115&lt;&gt;0,SUMPRODUCT((K$106:K$107)*TRANSPOSE(($D115:$E115))),0)</f>
        <v>0</v>
      </c>
      <c r="L115" s="28" cm="1">
        <f t="array" ref="L115">L$105+IF($C115&lt;&gt;0,SUMPRODUCT((L$106:L$107)*TRANSPOSE(($D115:$E115))),0)</f>
        <v>-91321.673062792397</v>
      </c>
      <c r="M115" s="28" cm="1">
        <f t="array" ref="M115">M$105+IF($C115&lt;&gt;0,SUMPRODUCT((M$106:M$107)*TRANSPOSE(($D115:$E115))),0)</f>
        <v>771158.81069281092</v>
      </c>
      <c r="N115" s="28" cm="1">
        <f t="array" ref="N115">N$105+IF($C115&lt;&gt;0,SUMPRODUCT((N$106:N$107)*TRANSPOSE(($D115:$E115))),0)</f>
        <v>785412.33959286229</v>
      </c>
      <c r="O115" s="28" cm="1">
        <f t="array" ref="O115">O$105+IF($C115&lt;&gt;0,SUMPRODUCT((O$106:O$107)*TRANSPOSE(($D115:$E115))),0)</f>
        <v>817701.49981642829</v>
      </c>
      <c r="P115" s="28" cm="1">
        <f t="array" ref="P115">P$105+IF($C115&lt;&gt;0,SUMPRODUCT((P$106:P$107)*TRANSPOSE(($D115:$E115))),0)</f>
        <v>850228.49480839318</v>
      </c>
      <c r="Q115" s="28" cm="1">
        <f t="array" ref="Q115">Q$105+IF($C115&lt;&gt;0,SUMPRODUCT((Q$106:Q$107)*TRANSPOSE(($D115:$E115))),0)</f>
        <v>870746.94489877333</v>
      </c>
      <c r="R115" s="28" cm="1">
        <f t="array" ref="R115">R$105+IF($C115&lt;&gt;0,SUMPRODUCT((R$106:R$107)*TRANSPOSE(($D115:$E115))),0)</f>
        <v>877606.9252451082</v>
      </c>
      <c r="S115" s="28" cm="1">
        <f t="array" ref="S115">S$105+IF($C115&lt;&gt;0,SUMPRODUCT((S$106:S$107)*TRANSPOSE(($D115:$E115))),0)</f>
        <v>884799.12279219704</v>
      </c>
      <c r="T115" s="28" cm="1">
        <f t="array" ref="T115">T$105+IF($C115&lt;&gt;0,SUMPRODUCT((T$106:T$107)*TRANSPOSE(($D115:$E115))),0)</f>
        <v>892251.20066066564</v>
      </c>
      <c r="U115" s="28" cm="1">
        <f t="array" ref="U115">U$105+IF($C115&lt;&gt;0,SUMPRODUCT((U$106:U$107)*TRANSPOSE(($D115:$E115))),0)</f>
        <v>899911.64175686508</v>
      </c>
      <c r="V115" s="28" cm="1">
        <f t="array" ref="V115">V$105+IF($C115&lt;&gt;0,SUMPRODUCT((V$106:V$107)*TRANSPOSE(($D115:$E115))),0)</f>
        <v>907742.1276822373</v>
      </c>
      <c r="W115" s="28" cm="1">
        <f t="array" ref="W115">W$105+IF($C115&lt;&gt;0,SUMPRODUCT((W$106:W$107)*TRANSPOSE(($D115:$E115))),0)</f>
        <v>915713.42431128223</v>
      </c>
      <c r="X115" s="28" cm="1">
        <f t="array" ref="X115">X$105+IF($C115&lt;&gt;0,SUMPRODUCT((X$106:X$107)*TRANSPOSE(($D115:$E115))),0)</f>
        <v>923802.56088751776</v>
      </c>
      <c r="Y115" s="28" cm="1">
        <f t="array" ref="Y115">Y$105+IF($C115&lt;&gt;0,SUMPRODUCT((Y$106:Y$107)*TRANSPOSE(($D115:$E115))),0)</f>
        <v>931991.16193125851</v>
      </c>
      <c r="Z115" s="28" cm="1">
        <f t="array" ref="Z115">Z$105+IF($C115&lt;&gt;0,SUMPRODUCT((Z$106:Z$107)*TRANSPOSE(($D115:$E115))),0)</f>
        <v>940264.34585724224</v>
      </c>
      <c r="AA115" s="28" cm="1">
        <f t="array" ref="AA115">AA$105+IF($C115&lt;&gt;0,SUMPRODUCT((AA$106:AA$107)*TRANSPOSE(($D115:$E115))),0)</f>
        <v>948609.8209133338</v>
      </c>
      <c r="AB115" s="28" cm="1">
        <f t="array" ref="AB115">AB$105+IF($C115&lt;&gt;0,SUMPRODUCT((AB$106:AB$107)*TRANSPOSE(($D115:$E115))),0)</f>
        <v>957017.35252450814</v>
      </c>
      <c r="AC115" s="28" cm="1">
        <f t="array" ref="AC115">AC$105+IF($C115&lt;&gt;0,SUMPRODUCT((AC$106:AC$107)*TRANSPOSE(($D115:$E115))),0)</f>
        <v>965478.29594686849</v>
      </c>
      <c r="AD115" s="28" cm="1">
        <f t="array" ref="AD115">AD$105+IF($C115&lt;&gt;0,SUMPRODUCT((AD$106:AD$107)*TRANSPOSE(($D115:$E115))),0)</f>
        <v>973985.39370568038</v>
      </c>
      <c r="AE115" s="28" cm="1">
        <f t="array" ref="AE115">AE$105+IF($C115&lt;&gt;0,SUMPRODUCT((AE$106:AE$107)*TRANSPOSE(($D115:$E115))),0)</f>
        <v>982239.91619209235</v>
      </c>
      <c r="AF115" s="28" cm="1">
        <f t="array" ref="AF115">AF$105+IF($C115&lt;&gt;0,SUMPRODUCT((AF$106:AF$107)*TRANSPOSE(($D115:$E115))),0)</f>
        <v>990531.00206634018</v>
      </c>
      <c r="AG115" s="28" cm="1">
        <f t="array" ref="AG115">AG$105+IF($C115&lt;&gt;0,SUMPRODUCT((AG$106:AG$107)*TRANSPOSE(($D115:$E115))),0)</f>
        <v>998853.95978477958</v>
      </c>
    </row>
    <row r="116" spans="1:33" x14ac:dyDescent="0.2">
      <c r="A116" s="1" t="str">
        <f>"sens"&amp;Assumptions!B118</f>
        <v>sens</v>
      </c>
      <c r="C116" s="252">
        <f>Assumptions!C118</f>
        <v>0</v>
      </c>
      <c r="D116" s="253">
        <f>Assumptions!G118</f>
        <v>0</v>
      </c>
      <c r="E116" s="253">
        <f>Assumptions!H118</f>
        <v>0</v>
      </c>
      <c r="G116" s="34" t="str">
        <f t="shared" si="11"/>
        <v>Option 2sens</v>
      </c>
      <c r="I116" s="28" cm="1">
        <f t="array" ref="I116">I$105+IF($C116&lt;&gt;0,SUMPRODUCT((I$106:I$107)*TRANSPOSE(($D116:$E116))),0)</f>
        <v>0</v>
      </c>
      <c r="J116" s="28" cm="1">
        <f t="array" ref="J116">J$105+IF($C116&lt;&gt;0,SUMPRODUCT((J$106:J$107)*TRANSPOSE(($D116:$E116))),0)</f>
        <v>0</v>
      </c>
      <c r="K116" s="28" cm="1">
        <f t="array" ref="K116">K$105+IF($C116&lt;&gt;0,SUMPRODUCT((K$106:K$107)*TRANSPOSE(($D116:$E116))),0)</f>
        <v>0</v>
      </c>
      <c r="L116" s="28" cm="1">
        <f t="array" ref="L116">L$105+IF($C116&lt;&gt;0,SUMPRODUCT((L$106:L$107)*TRANSPOSE(($D116:$E116))),0)</f>
        <v>-91321.673062792397</v>
      </c>
      <c r="M116" s="28" cm="1">
        <f t="array" ref="M116">M$105+IF($C116&lt;&gt;0,SUMPRODUCT((M$106:M$107)*TRANSPOSE(($D116:$E116))),0)</f>
        <v>771158.81069281092</v>
      </c>
      <c r="N116" s="28" cm="1">
        <f t="array" ref="N116">N$105+IF($C116&lt;&gt;0,SUMPRODUCT((N$106:N$107)*TRANSPOSE(($D116:$E116))),0)</f>
        <v>785412.33959286229</v>
      </c>
      <c r="O116" s="28" cm="1">
        <f t="array" ref="O116">O$105+IF($C116&lt;&gt;0,SUMPRODUCT((O$106:O$107)*TRANSPOSE(($D116:$E116))),0)</f>
        <v>817701.49981642829</v>
      </c>
      <c r="P116" s="28" cm="1">
        <f t="array" ref="P116">P$105+IF($C116&lt;&gt;0,SUMPRODUCT((P$106:P$107)*TRANSPOSE(($D116:$E116))),0)</f>
        <v>850228.49480839318</v>
      </c>
      <c r="Q116" s="28" cm="1">
        <f t="array" ref="Q116">Q$105+IF($C116&lt;&gt;0,SUMPRODUCT((Q$106:Q$107)*TRANSPOSE(($D116:$E116))),0)</f>
        <v>870746.94489877333</v>
      </c>
      <c r="R116" s="28" cm="1">
        <f t="array" ref="R116">R$105+IF($C116&lt;&gt;0,SUMPRODUCT((R$106:R$107)*TRANSPOSE(($D116:$E116))),0)</f>
        <v>877606.9252451082</v>
      </c>
      <c r="S116" s="28" cm="1">
        <f t="array" ref="S116">S$105+IF($C116&lt;&gt;0,SUMPRODUCT((S$106:S$107)*TRANSPOSE(($D116:$E116))),0)</f>
        <v>884799.12279219704</v>
      </c>
      <c r="T116" s="28" cm="1">
        <f t="array" ref="T116">T$105+IF($C116&lt;&gt;0,SUMPRODUCT((T$106:T$107)*TRANSPOSE(($D116:$E116))),0)</f>
        <v>892251.20066066564</v>
      </c>
      <c r="U116" s="28" cm="1">
        <f t="array" ref="U116">U$105+IF($C116&lt;&gt;0,SUMPRODUCT((U$106:U$107)*TRANSPOSE(($D116:$E116))),0)</f>
        <v>899911.64175686508</v>
      </c>
      <c r="V116" s="28" cm="1">
        <f t="array" ref="V116">V$105+IF($C116&lt;&gt;0,SUMPRODUCT((V$106:V$107)*TRANSPOSE(($D116:$E116))),0)</f>
        <v>907742.1276822373</v>
      </c>
      <c r="W116" s="28" cm="1">
        <f t="array" ref="W116">W$105+IF($C116&lt;&gt;0,SUMPRODUCT((W$106:W$107)*TRANSPOSE(($D116:$E116))),0)</f>
        <v>915713.42431128223</v>
      </c>
      <c r="X116" s="28" cm="1">
        <f t="array" ref="X116">X$105+IF($C116&lt;&gt;0,SUMPRODUCT((X$106:X$107)*TRANSPOSE(($D116:$E116))),0)</f>
        <v>923802.56088751776</v>
      </c>
      <c r="Y116" s="28" cm="1">
        <f t="array" ref="Y116">Y$105+IF($C116&lt;&gt;0,SUMPRODUCT((Y$106:Y$107)*TRANSPOSE(($D116:$E116))),0)</f>
        <v>931991.16193125851</v>
      </c>
      <c r="Z116" s="28" cm="1">
        <f t="array" ref="Z116">Z$105+IF($C116&lt;&gt;0,SUMPRODUCT((Z$106:Z$107)*TRANSPOSE(($D116:$E116))),0)</f>
        <v>940264.34585724224</v>
      </c>
      <c r="AA116" s="28" cm="1">
        <f t="array" ref="AA116">AA$105+IF($C116&lt;&gt;0,SUMPRODUCT((AA$106:AA$107)*TRANSPOSE(($D116:$E116))),0)</f>
        <v>948609.8209133338</v>
      </c>
      <c r="AB116" s="28" cm="1">
        <f t="array" ref="AB116">AB$105+IF($C116&lt;&gt;0,SUMPRODUCT((AB$106:AB$107)*TRANSPOSE(($D116:$E116))),0)</f>
        <v>957017.35252450814</v>
      </c>
      <c r="AC116" s="28" cm="1">
        <f t="array" ref="AC116">AC$105+IF($C116&lt;&gt;0,SUMPRODUCT((AC$106:AC$107)*TRANSPOSE(($D116:$E116))),0)</f>
        <v>965478.29594686849</v>
      </c>
      <c r="AD116" s="28" cm="1">
        <f t="array" ref="AD116">AD$105+IF($C116&lt;&gt;0,SUMPRODUCT((AD$106:AD$107)*TRANSPOSE(($D116:$E116))),0)</f>
        <v>973985.39370568038</v>
      </c>
      <c r="AE116" s="28" cm="1">
        <f t="array" ref="AE116">AE$105+IF($C116&lt;&gt;0,SUMPRODUCT((AE$106:AE$107)*TRANSPOSE(($D116:$E116))),0)</f>
        <v>982239.91619209235</v>
      </c>
      <c r="AF116" s="28" cm="1">
        <f t="array" ref="AF116">AF$105+IF($C116&lt;&gt;0,SUMPRODUCT((AF$106:AF$107)*TRANSPOSE(($D116:$E116))),0)</f>
        <v>990531.00206634018</v>
      </c>
      <c r="AG116" s="28" cm="1">
        <f t="array" ref="AG116">AG$105+IF($C116&lt;&gt;0,SUMPRODUCT((AG$106:AG$107)*TRANSPOSE(($D116:$E116))),0)</f>
        <v>998853.95978477958</v>
      </c>
    </row>
    <row r="117" spans="1:33" x14ac:dyDescent="0.2">
      <c r="E117" s="214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</row>
    <row r="128" spans="1:33" x14ac:dyDescent="0.2">
      <c r="I128" s="218"/>
      <c r="J128" s="218"/>
      <c r="K128" s="218"/>
      <c r="L128" s="218"/>
    </row>
    <row r="129" spans="9:12" x14ac:dyDescent="0.2">
      <c r="I129" s="218"/>
      <c r="J129" s="218"/>
      <c r="K129" s="218"/>
      <c r="L129" s="218"/>
    </row>
    <row r="130" spans="9:12" x14ac:dyDescent="0.2">
      <c r="I130" s="218"/>
      <c r="J130" s="218"/>
      <c r="K130" s="218"/>
      <c r="L130" s="218"/>
    </row>
    <row r="131" spans="9:12" x14ac:dyDescent="0.2">
      <c r="I131" s="218"/>
      <c r="J131" s="218"/>
      <c r="K131" s="218"/>
      <c r="L131" s="218"/>
    </row>
    <row r="132" spans="9:12" x14ac:dyDescent="0.2">
      <c r="I132" s="218"/>
      <c r="J132" s="218"/>
      <c r="K132" s="218"/>
      <c r="L132" s="218"/>
    </row>
    <row r="133" spans="9:12" x14ac:dyDescent="0.2">
      <c r="I133" s="218"/>
      <c r="J133" s="218"/>
      <c r="K133" s="218"/>
      <c r="L133" s="218"/>
    </row>
    <row r="134" spans="9:12" x14ac:dyDescent="0.2">
      <c r="I134" s="218"/>
      <c r="J134" s="218"/>
      <c r="K134" s="218"/>
      <c r="L134" s="218"/>
    </row>
    <row r="135" spans="9:12" x14ac:dyDescent="0.2">
      <c r="I135" s="218"/>
      <c r="J135" s="218"/>
      <c r="K135" s="218"/>
      <c r="L135" s="218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6"/>
  <sheetViews>
    <sheetView showGridLines="0" workbookViewId="0"/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AR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154</v>
      </c>
      <c r="B3" s="5"/>
      <c r="C3" s="175" t="str">
        <f>INDEX(Assumptions!$E$14:$E$18, MATCH(A3,_xlfn.ANCHORARRAY( Assumptions!$C$14),0))</f>
        <v>Refurb transformer #2 completed in 2028-2029</v>
      </c>
    </row>
    <row r="4" spans="1:43" x14ac:dyDescent="0.2">
      <c r="A4" s="1" t="str">
        <f>(INDEX(Data!$D$9:$D$13, MATCH(A3, options,0)))</f>
        <v/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  <c r="AH12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343</v>
      </c>
      <c r="D14"/>
      <c r="E14" s="126">
        <v>20</v>
      </c>
      <c r="G14" s="181">
        <f>input_dollars</f>
        <v>45291</v>
      </c>
      <c r="H14" s="127"/>
      <c r="I14" s="29">
        <f>Workings_costs!E33</f>
        <v>0</v>
      </c>
      <c r="J14" s="29">
        <f>Workings_costs!F33</f>
        <v>0</v>
      </c>
      <c r="K14" s="29">
        <f>Workings_costs!G33</f>
        <v>530000</v>
      </c>
      <c r="L14" s="29">
        <f>Workings_costs!H33</f>
        <v>0</v>
      </c>
      <c r="M14" s="29">
        <f>Workings_costs!I33</f>
        <v>0</v>
      </c>
      <c r="N14" s="29">
        <f>Workings_costs!J33</f>
        <v>0</v>
      </c>
      <c r="O14" s="29">
        <f>Workings_costs!K33</f>
        <v>0</v>
      </c>
      <c r="P14" s="29">
        <f>Workings_costs!L33</f>
        <v>0</v>
      </c>
      <c r="Q14" s="29">
        <f>Workings_costs!M33</f>
        <v>0</v>
      </c>
      <c r="R14" s="29">
        <f>Workings_costs!N33</f>
        <v>0</v>
      </c>
      <c r="S14" s="29">
        <f>Workings_costs!O33</f>
        <v>0</v>
      </c>
      <c r="T14" s="29">
        <f>Workings_costs!P33</f>
        <v>0</v>
      </c>
      <c r="U14" s="29">
        <f>Workings_costs!Q33</f>
        <v>0</v>
      </c>
      <c r="V14" s="29">
        <f>Workings_costs!R33</f>
        <v>0</v>
      </c>
      <c r="W14" s="29">
        <f>Workings_costs!S33</f>
        <v>0</v>
      </c>
      <c r="X14" s="29">
        <f>Workings_costs!T33</f>
        <v>0</v>
      </c>
      <c r="Y14" s="29">
        <f>Workings_costs!U33</f>
        <v>0</v>
      </c>
      <c r="Z14" s="29">
        <f>Workings_costs!V33</f>
        <v>0</v>
      </c>
      <c r="AA14" s="29">
        <f>Workings_costs!W33</f>
        <v>0</v>
      </c>
      <c r="AB14" s="29">
        <f>Workings_costs!X33</f>
        <v>0</v>
      </c>
      <c r="AC14" s="29">
        <f>Workings_costs!Y33</f>
        <v>0</v>
      </c>
      <c r="AD14" s="29">
        <f>Workings_costs!Z33</f>
        <v>0</v>
      </c>
      <c r="AE14" s="29">
        <f>Workings_costs!AA33</f>
        <v>0</v>
      </c>
      <c r="AF14" s="29">
        <f>Workings_costs!AB33</f>
        <v>0</v>
      </c>
      <c r="AG14" s="29">
        <f>Workings_costs!AC33</f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 t="shared" si="0"/>
        <v>530000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B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>SUM(AC14:AC16)</f>
        <v>0</v>
      </c>
      <c r="AD17" s="93">
        <f>SUM(AD14:AD16)</f>
        <v>0</v>
      </c>
      <c r="AE17" s="93">
        <f>SUM(AE14:AE16)</f>
        <v>0</v>
      </c>
      <c r="AF17" s="93">
        <f>SUM(AF14:AF16)</f>
        <v>0</v>
      </c>
      <c r="AG17" s="93">
        <f>SUM(AG14:AG16)</f>
        <v>0</v>
      </c>
      <c r="AH17"/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x14ac:dyDescent="0.2">
      <c r="G20" s="179"/>
      <c r="AH20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45386.140842230838</v>
      </c>
      <c r="F28" s="211" t="str">
        <f>IF(AND(SUM(I27:AG27)&lt;&gt;0, E28=0), "!", "")</f>
        <v/>
      </c>
      <c r="G28" s="181">
        <f>input_dollars</f>
        <v>45291</v>
      </c>
      <c r="H28"/>
      <c r="I28" s="144">
        <f>Workings_risks!E35</f>
        <v>902550.33179585391</v>
      </c>
      <c r="J28" s="144">
        <f>Workings_risks!F35</f>
        <v>984245.67656817078</v>
      </c>
      <c r="K28" s="144">
        <f>Workings_risks!G35</f>
        <v>1010336.4830719025</v>
      </c>
      <c r="L28" s="144">
        <f>Workings_risks!H35</f>
        <v>1008958.1852193684</v>
      </c>
      <c r="M28" s="144">
        <f>Workings_risks!I35</f>
        <v>1036329.0643394786</v>
      </c>
      <c r="N28" s="144">
        <f>Workings_risks!J35</f>
        <v>1074421.1500195195</v>
      </c>
      <c r="O28" s="144">
        <f>Workings_risks!K35</f>
        <v>1130672.6363681713</v>
      </c>
      <c r="P28" s="144">
        <f>Workings_risks!L35</f>
        <v>1187690.8214807336</v>
      </c>
      <c r="Q28" s="144">
        <f>Workings_risks!M35</f>
        <v>1232310.8809109537</v>
      </c>
      <c r="R28" s="144">
        <f>Workings_risks!N35</f>
        <v>1262090.2277588674</v>
      </c>
      <c r="S28" s="144">
        <f>Workings_risks!O35</f>
        <v>1292166.6282702975</v>
      </c>
      <c r="T28" s="144">
        <f>Workings_risks!P35</f>
        <v>1322539.0504212177</v>
      </c>
      <c r="U28" s="144">
        <f>Workings_risks!Q35</f>
        <v>1353206.4995834338</v>
      </c>
      <c r="V28" s="144">
        <f>Workings_risks!R35</f>
        <v>1384167.9818528639</v>
      </c>
      <c r="W28" s="144">
        <f>Workings_risks!S35</f>
        <v>1415422.5407208456</v>
      </c>
      <c r="X28" s="144">
        <f>Workings_risks!T35</f>
        <v>1446969.2570904908</v>
      </c>
      <c r="Y28" s="144">
        <f>Workings_risks!U35</f>
        <v>1478807.1758742528</v>
      </c>
      <c r="Z28" s="144">
        <f>Workings_risks!V35</f>
        <v>1510935.4160866491</v>
      </c>
      <c r="AA28" s="144">
        <f>Workings_risks!W35</f>
        <v>1543353.0790878863</v>
      </c>
      <c r="AB28" s="144">
        <f>Workings_risks!X35</f>
        <v>1576059.3220114317</v>
      </c>
      <c r="AC28" s="144">
        <f>Workings_risks!Y35</f>
        <v>1609053.3026913169</v>
      </c>
      <c r="AD28" s="144">
        <f>Workings_risks!Z35</f>
        <v>1642334.1612673351</v>
      </c>
      <c r="AE28" s="144">
        <f>Workings_risks!AA35</f>
        <v>1675901.075283099</v>
      </c>
      <c r="AF28" s="144">
        <f>Workings_risks!AB35</f>
        <v>1709753.2964755783</v>
      </c>
      <c r="AG28" s="144">
        <f>Workings_risks!AC35</f>
        <v>1743890.0037377847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tr">
        <f>'Option1 (base case)'!C30</f>
        <v>Safety risk</v>
      </c>
      <c r="D30" s="179" t="s">
        <v>119</v>
      </c>
      <c r="G30" s="181">
        <f>input_dollars</f>
        <v>45291</v>
      </c>
      <c r="H30" s="127"/>
      <c r="I30" s="144">
        <f>Workings_risks!E36</f>
        <v>569.43302312389608</v>
      </c>
      <c r="J30" s="144">
        <f>Workings_risks!F36</f>
        <v>584.88390844473759</v>
      </c>
      <c r="K30" s="144">
        <f>Workings_risks!G36</f>
        <v>600.50471135378461</v>
      </c>
      <c r="L30" s="144">
        <f>Workings_risks!H36</f>
        <v>431.40626276001137</v>
      </c>
      <c r="M30" s="144">
        <f>Workings_risks!I36</f>
        <v>442.57708213382955</v>
      </c>
      <c r="N30" s="144">
        <f>Workings_risks!J36</f>
        <v>453.86522521224754</v>
      </c>
      <c r="O30" s="144">
        <f>Workings_risks!K36</f>
        <v>465.27017126374471</v>
      </c>
      <c r="P30" s="144">
        <f>Workings_risks!L36</f>
        <v>476.79141402156455</v>
      </c>
      <c r="Q30" s="144">
        <f>Workings_risks!M36</f>
        <v>488.42844721895079</v>
      </c>
      <c r="R30" s="144">
        <f>Workings_risks!N36</f>
        <v>500.18077905391141</v>
      </c>
      <c r="S30" s="144">
        <f>Workings_risks!O36</f>
        <v>512.04793218921907</v>
      </c>
      <c r="T30" s="144">
        <f>Workings_risks!P36</f>
        <v>524.02942928764628</v>
      </c>
      <c r="U30" s="144">
        <f>Workings_risks!Q36</f>
        <v>536.12480747672998</v>
      </c>
      <c r="V30" s="144">
        <f>Workings_risks!R36</f>
        <v>548.33360388400729</v>
      </c>
      <c r="W30" s="144">
        <f>Workings_risks!S36</f>
        <v>560.65537010177968</v>
      </c>
      <c r="X30" s="144">
        <f>Workings_risks!T36</f>
        <v>573.08967218711314</v>
      </c>
      <c r="Y30" s="144">
        <f>Workings_risks!U36</f>
        <v>585.63606173230914</v>
      </c>
      <c r="Z30" s="144">
        <f>Workings_risks!V36</f>
        <v>598.29411925919806</v>
      </c>
      <c r="AA30" s="144">
        <f>Workings_risks!W36</f>
        <v>611.06341805722809</v>
      </c>
      <c r="AB30" s="144">
        <f>Workings_risks!X36</f>
        <v>623.94355311299432</v>
      </c>
      <c r="AC30" s="144">
        <f>Workings_risks!Y36</f>
        <v>636.93411941309137</v>
      </c>
      <c r="AD30" s="144">
        <f>Workings_risks!Z36</f>
        <v>650.03470471173193</v>
      </c>
      <c r="AE30" s="144">
        <f>Workings_risks!AA36</f>
        <v>650.03470471173193</v>
      </c>
      <c r="AF30" s="144">
        <f>Workings_risks!AB36</f>
        <v>650.03470471173193</v>
      </c>
      <c r="AG30" s="144">
        <f>Workings_risks!AC36</f>
        <v>650.03470471173193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tr">
        <f>'Option1 (base case)'!C31</f>
        <v>Unplanned replacement risk</v>
      </c>
      <c r="D31" s="180"/>
      <c r="E31"/>
      <c r="G31" s="181">
        <f>input_dollars</f>
        <v>45291</v>
      </c>
      <c r="H31" s="127"/>
      <c r="I31" s="144">
        <f>Workings_risks!E37</f>
        <v>24285.357893167948</v>
      </c>
      <c r="J31" s="144">
        <f>Workings_risks!F37</f>
        <v>24944.312088912386</v>
      </c>
      <c r="K31" s="144">
        <f>Workings_risks!G37</f>
        <v>25610.512983169807</v>
      </c>
      <c r="L31" s="144">
        <f>Workings_risks!H37</f>
        <v>25758.24915001804</v>
      </c>
      <c r="M31" s="144">
        <f>Workings_risks!I37</f>
        <v>26425.23239407151</v>
      </c>
      <c r="N31" s="144">
        <f>Workings_risks!J37</f>
        <v>27099.220759457603</v>
      </c>
      <c r="O31" s="144">
        <f>Workings_risks!K37</f>
        <v>27780.183154526963</v>
      </c>
      <c r="P31" s="144">
        <f>Workings_risks!L37</f>
        <v>28468.089351287148</v>
      </c>
      <c r="Q31" s="144">
        <f>Workings_risks!M37</f>
        <v>29162.909121745732</v>
      </c>
      <c r="R31" s="144">
        <f>Workings_risks!N37</f>
        <v>29864.613101567193</v>
      </c>
      <c r="S31" s="144">
        <f>Workings_risks!O37</f>
        <v>30573.17279007296</v>
      </c>
      <c r="T31" s="144">
        <f>Workings_risks!P37</f>
        <v>31288.559686584456</v>
      </c>
      <c r="U31" s="144">
        <f>Workings_risks!Q37</f>
        <v>32010.74615408001</v>
      </c>
      <c r="V31" s="144">
        <f>Workings_risks!R37</f>
        <v>32739.704555537977</v>
      </c>
      <c r="W31" s="144">
        <f>Workings_risks!S37</f>
        <v>33475.40811759363</v>
      </c>
      <c r="X31" s="144">
        <f>Workings_risks!T37</f>
        <v>34217.830930539167</v>
      </c>
      <c r="Y31" s="144">
        <f>Workings_risks!U37</f>
        <v>34966.946221009857</v>
      </c>
      <c r="Z31" s="144">
        <f>Workings_risks!V37</f>
        <v>35722.728942954818</v>
      </c>
      <c r="AA31" s="144">
        <f>Workings_risks!W37</f>
        <v>36485.153618494718</v>
      </c>
      <c r="AB31" s="144">
        <f>Workings_risks!X37</f>
        <v>37254.196065235621</v>
      </c>
      <c r="AC31" s="144">
        <f>Workings_risks!Y37</f>
        <v>38029.832100783562</v>
      </c>
      <c r="AD31" s="144">
        <f>Workings_risks!Z37</f>
        <v>38812.037110916135</v>
      </c>
      <c r="AE31" s="144">
        <f>Workings_risks!AA37</f>
        <v>38812.037110916135</v>
      </c>
      <c r="AF31" s="144">
        <f>Workings_risks!AB37</f>
        <v>38812.037110916135</v>
      </c>
      <c r="AG31" s="144">
        <f>Workings_risks!AC37</f>
        <v>38812.037110916135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tr">
        <f>'Option1 (base case)'!C32</f>
        <v>Unplanned fault risk</v>
      </c>
      <c r="D32" s="179"/>
      <c r="E32"/>
      <c r="G32" s="181">
        <f>input_dollars</f>
        <v>45291</v>
      </c>
      <c r="H32"/>
      <c r="I32" s="144">
        <f>Workings_risks!E38</f>
        <v>2102.5077156480002</v>
      </c>
      <c r="J32" s="144">
        <f>Workings_risks!F38</f>
        <v>2159.5567526400005</v>
      </c>
      <c r="K32" s="144">
        <f>Workings_risks!G38</f>
        <v>2217.2331734080003</v>
      </c>
      <c r="L32" s="144">
        <f>Workings_risks!H38</f>
        <v>1433.5865032031998</v>
      </c>
      <c r="M32" s="144">
        <f>Workings_risks!I38</f>
        <v>1470.7077442847999</v>
      </c>
      <c r="N32" s="144">
        <f>Workings_risks!J38</f>
        <v>1508.2188584256</v>
      </c>
      <c r="O32" s="144">
        <f>Workings_risks!K38</f>
        <v>1546.1181152064</v>
      </c>
      <c r="P32" s="144">
        <f>Workings_risks!L38</f>
        <v>1584.4038322751999</v>
      </c>
      <c r="Q32" s="144">
        <f>Workings_risks!M38</f>
        <v>1623.0743272799998</v>
      </c>
      <c r="R32" s="144">
        <f>Workings_risks!N38</f>
        <v>1662.1279659359998</v>
      </c>
      <c r="S32" s="144">
        <f>Workings_risks!O38</f>
        <v>1701.5631620255999</v>
      </c>
      <c r="T32" s="144">
        <f>Workings_risks!P38</f>
        <v>1741.3783293311999</v>
      </c>
      <c r="U32" s="144">
        <f>Workings_risks!Q38</f>
        <v>1781.5719297023998</v>
      </c>
      <c r="V32" s="144">
        <f>Workings_risks!R38</f>
        <v>1822.1424249888</v>
      </c>
      <c r="W32" s="144">
        <f>Workings_risks!S38</f>
        <v>1863.0883251071998</v>
      </c>
      <c r="X32" s="144">
        <f>Workings_risks!T38</f>
        <v>1904.4081880415999</v>
      </c>
      <c r="Y32" s="144">
        <f>Workings_risks!U38</f>
        <v>1946.1005237088</v>
      </c>
      <c r="Z32" s="144">
        <f>Workings_risks!V38</f>
        <v>1988.1639381599998</v>
      </c>
      <c r="AA32" s="144">
        <f>Workings_risks!W38</f>
        <v>2030.5970134127999</v>
      </c>
      <c r="AB32" s="144">
        <f>Workings_risks!X38</f>
        <v>2073.3984035856001</v>
      </c>
      <c r="AC32" s="144">
        <f>Workings_risks!Y38</f>
        <v>2116.5667627968</v>
      </c>
      <c r="AD32" s="144">
        <f>Workings_risks!Z38</f>
        <v>2160.1007211311999</v>
      </c>
      <c r="AE32" s="144">
        <f>Workings_risks!AA38</f>
        <v>2160.1007211311999</v>
      </c>
      <c r="AF32" s="144">
        <f>Workings_risks!AB38</f>
        <v>2160.1007211311999</v>
      </c>
      <c r="AG32" s="144">
        <f>Workings_risks!AC38</f>
        <v>2160.1007211311999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1" t="str">
        <f>'Option1 (base case)'!C33</f>
        <v>Environmental risk</v>
      </c>
      <c r="D33" s="179"/>
      <c r="E33"/>
      <c r="G33" s="181">
        <f>input_dollars</f>
        <v>45291</v>
      </c>
      <c r="H33"/>
      <c r="I33" s="144">
        <f>Workings_risks!E39</f>
        <v>4505.3416666666672</v>
      </c>
      <c r="J33" s="144">
        <f>Workings_risks!F39</f>
        <v>4505.3416666666672</v>
      </c>
      <c r="K33" s="144">
        <f>Workings_risks!G39</f>
        <v>4505.3416666666672</v>
      </c>
      <c r="L33" s="144">
        <f>Workings_risks!H39</f>
        <v>1126.3354166666668</v>
      </c>
      <c r="M33" s="144">
        <f>Workings_risks!I39</f>
        <v>1126.3354166666668</v>
      </c>
      <c r="N33" s="144">
        <f>Workings_risks!J39</f>
        <v>1126.3354166666668</v>
      </c>
      <c r="O33" s="144">
        <f>Workings_risks!K39</f>
        <v>1126.3354166666668</v>
      </c>
      <c r="P33" s="144">
        <f>Workings_risks!L39</f>
        <v>1126.3354166666668</v>
      </c>
      <c r="Q33" s="144">
        <f>Workings_risks!M39</f>
        <v>1126.3354166666668</v>
      </c>
      <c r="R33" s="144">
        <f>Workings_risks!N39</f>
        <v>1126.3354166666668</v>
      </c>
      <c r="S33" s="144">
        <f>Workings_risks!O39</f>
        <v>1126.3354166666668</v>
      </c>
      <c r="T33" s="144">
        <f>Workings_risks!P39</f>
        <v>1126.3354166666668</v>
      </c>
      <c r="U33" s="144">
        <f>Workings_risks!Q39</f>
        <v>1126.3354166666668</v>
      </c>
      <c r="V33" s="144">
        <f>Workings_risks!R39</f>
        <v>1126.3354166666668</v>
      </c>
      <c r="W33" s="144">
        <f>Workings_risks!S39</f>
        <v>1126.3354166666668</v>
      </c>
      <c r="X33" s="144">
        <f>Workings_risks!T39</f>
        <v>1126.3354166666668</v>
      </c>
      <c r="Y33" s="144">
        <f>Workings_risks!U39</f>
        <v>1126.3354166666668</v>
      </c>
      <c r="Z33" s="144">
        <f>Workings_risks!V39</f>
        <v>1126.3354166666668</v>
      </c>
      <c r="AA33" s="144">
        <f>Workings_risks!W39</f>
        <v>1126.3354166666668</v>
      </c>
      <c r="AB33" s="144">
        <f>Workings_risks!X39</f>
        <v>1126.3354166666668</v>
      </c>
      <c r="AC33" s="144">
        <f>Workings_risks!Y39</f>
        <v>1126.3354166666668</v>
      </c>
      <c r="AD33" s="144">
        <f>Workings_risks!Z39</f>
        <v>1126.3354166666668</v>
      </c>
      <c r="AE33" s="144">
        <f>Workings_risks!AA39</f>
        <v>1126.3354166666668</v>
      </c>
      <c r="AF33" s="144">
        <f>Workings_risks!AB39</f>
        <v>1126.3354166666668</v>
      </c>
      <c r="AG33" s="144">
        <f>Workings_risks!AC39</f>
        <v>1126.3354166666668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D34" s="180"/>
      <c r="E34"/>
      <c r="G34" s="181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</row>
    <row r="35" spans="1:16372" x14ac:dyDescent="0.2">
      <c r="C35" s="3" t="s">
        <v>121</v>
      </c>
      <c r="D35" s="191"/>
      <c r="E35" s="94"/>
      <c r="F35" s="3"/>
      <c r="G35" s="183"/>
      <c r="H35" s="94"/>
      <c r="I35" s="146">
        <f>SUM(I28:I33)</f>
        <v>934012.97209446051</v>
      </c>
      <c r="J35" s="146">
        <f>SUM(J28:J33)</f>
        <v>1016439.7709848346</v>
      </c>
      <c r="K35" s="146">
        <f>SUM(K28:K33)</f>
        <v>1043270.0756065007</v>
      </c>
      <c r="L35" s="146">
        <f>SUM(L28:L33)</f>
        <v>1037707.7625520164</v>
      </c>
      <c r="M35" s="146">
        <f>SUM(M28:M33)</f>
        <v>1065793.9169766353</v>
      </c>
      <c r="N35" s="146">
        <f>SUM(N28:N33)</f>
        <v>1104608.7902792816</v>
      </c>
      <c r="O35" s="146">
        <f>SUM(O28:O33)</f>
        <v>1161590.5432258351</v>
      </c>
      <c r="P35" s="146">
        <f>SUM(P28:P33)</f>
        <v>1219346.4414949841</v>
      </c>
      <c r="Q35" s="146">
        <f>SUM(Q28:Q33)</f>
        <v>1264711.6282238651</v>
      </c>
      <c r="R35" s="146">
        <f>SUM(R28:R33)</f>
        <v>1295243.4850220911</v>
      </c>
      <c r="S35" s="146">
        <f>SUM(S28:S33)</f>
        <v>1326079.7475712518</v>
      </c>
      <c r="T35" s="146">
        <f>SUM(T28:T33)</f>
        <v>1357219.3532830877</v>
      </c>
      <c r="U35" s="146">
        <f>SUM(U28:U33)</f>
        <v>1388661.2778913595</v>
      </c>
      <c r="V35" s="146">
        <f>SUM(V28:V33)</f>
        <v>1420404.4978539415</v>
      </c>
      <c r="W35" s="146">
        <f>SUM(W28:W33)</f>
        <v>1452448.027950315</v>
      </c>
      <c r="X35" s="146">
        <f>SUM(X28:X33)</f>
        <v>1484790.9212979253</v>
      </c>
      <c r="Y35" s="146">
        <f>SUM(Y28:Y33)</f>
        <v>1517432.1940973706</v>
      </c>
      <c r="Z35" s="146">
        <f>SUM(Z28:Z33)</f>
        <v>1550370.9385036898</v>
      </c>
      <c r="AA35" s="146">
        <f>SUM(AA28:AA33)</f>
        <v>1583606.2285545177</v>
      </c>
      <c r="AB35" s="146">
        <f>SUM(AB28:AB33)</f>
        <v>1617137.1954500326</v>
      </c>
      <c r="AC35" s="146">
        <f>SUM(AC28:AC33)</f>
        <v>1650962.9710909771</v>
      </c>
      <c r="AD35" s="146">
        <f>SUM(AD28:AD33)</f>
        <v>1685082.6692207609</v>
      </c>
      <c r="AE35" s="146">
        <f>SUM(AE28:AE33)</f>
        <v>1718649.5832365248</v>
      </c>
      <c r="AF35" s="146">
        <f>SUM(AF28:AF33)</f>
        <v>1752501.8044290042</v>
      </c>
      <c r="AG35" s="146">
        <f>SUM(AG28:AG33)</f>
        <v>1786638.5116912106</v>
      </c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D36"/>
      <c r="E36"/>
      <c r="G36" s="181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5" x14ac:dyDescent="0.2">
      <c r="A37" s="78" t="s">
        <v>122</v>
      </c>
      <c r="B37" s="78"/>
      <c r="C37" s="78"/>
      <c r="D37" s="78"/>
      <c r="E37" s="78"/>
      <c r="F37" s="78"/>
      <c r="G37" s="1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D38"/>
      <c r="E38"/>
      <c r="G38" s="181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25">
      <c r="C40" s="1" t="s">
        <v>123</v>
      </c>
      <c r="G40" s="179" t="s">
        <v>117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0</v>
      </c>
      <c r="O40" s="29">
        <v>0</v>
      </c>
      <c r="P40" s="29">
        <v>0</v>
      </c>
      <c r="Q40" s="29">
        <v>0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0</v>
      </c>
      <c r="AF40" s="29">
        <v>0</v>
      </c>
      <c r="AG40" s="29">
        <v>0</v>
      </c>
      <c r="AH40"/>
    </row>
    <row r="41" spans="1:16372" ht="13.5" x14ac:dyDescent="0.25">
      <c r="C41" s="1" t="s">
        <v>124</v>
      </c>
      <c r="G41" s="179" t="s">
        <v>125</v>
      </c>
      <c r="I41" s="75">
        <f>I40*I7</f>
        <v>0</v>
      </c>
      <c r="J41" s="75">
        <f>J40*J7</f>
        <v>0</v>
      </c>
      <c r="K41" s="75">
        <f>K40*K7</f>
        <v>0</v>
      </c>
      <c r="L41" s="75">
        <f>L40*L7</f>
        <v>0</v>
      </c>
      <c r="M41" s="75">
        <f>M40*M7</f>
        <v>0</v>
      </c>
      <c r="N41" s="75">
        <f>N40*N7</f>
        <v>0</v>
      </c>
      <c r="O41" s="75">
        <f>O40*O7</f>
        <v>0</v>
      </c>
      <c r="P41" s="75">
        <f>P40*P7</f>
        <v>0</v>
      </c>
      <c r="Q41" s="75">
        <f>Q40*Q7</f>
        <v>0</v>
      </c>
      <c r="R41" s="75">
        <f>R40*R7</f>
        <v>0</v>
      </c>
      <c r="S41" s="75">
        <f>S40*S7</f>
        <v>0</v>
      </c>
      <c r="T41" s="75">
        <f>T40*T7</f>
        <v>0</v>
      </c>
      <c r="U41" s="75">
        <f>U40*U7</f>
        <v>0</v>
      </c>
      <c r="V41" s="75">
        <f>V40*V7</f>
        <v>0</v>
      </c>
      <c r="W41" s="75">
        <f>W40*W7</f>
        <v>0</v>
      </c>
      <c r="X41" s="75">
        <f>X40*X7</f>
        <v>0</v>
      </c>
      <c r="Y41" s="75">
        <f>Y40*Y7</f>
        <v>0</v>
      </c>
      <c r="Z41" s="75">
        <f>Z40*Z7</f>
        <v>0</v>
      </c>
      <c r="AA41" s="75">
        <f>AA40*AA7</f>
        <v>0</v>
      </c>
      <c r="AB41" s="75">
        <f>AB40*AB7</f>
        <v>0</v>
      </c>
      <c r="AC41" s="75">
        <f>AC40*AC7</f>
        <v>0</v>
      </c>
      <c r="AD41" s="75">
        <f>AD40*AD7</f>
        <v>0</v>
      </c>
      <c r="AE41" s="75">
        <f>AE40*AE7</f>
        <v>0</v>
      </c>
      <c r="AF41" s="75">
        <f>AF40*AF7</f>
        <v>0</v>
      </c>
      <c r="AG41" s="75">
        <f>AG40*AG7</f>
        <v>0</v>
      </c>
      <c r="AH41"/>
    </row>
    <row r="42" spans="1:16372" x14ac:dyDescent="0.2">
      <c r="D42"/>
      <c r="E42"/>
      <c r="G42" s="181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 s="180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C44" s="1" t="s">
        <v>126</v>
      </c>
      <c r="D44" s="179" t="s">
        <v>108</v>
      </c>
      <c r="E44" s="100">
        <f>Assumptions!G94</f>
        <v>0</v>
      </c>
      <c r="G44" s="181" t="s">
        <v>117</v>
      </c>
      <c r="I44" s="29">
        <v>0</v>
      </c>
      <c r="J44" s="29">
        <v>0</v>
      </c>
      <c r="K44" s="29">
        <v>0</v>
      </c>
      <c r="L44" s="29">
        <v>0</v>
      </c>
      <c r="M44" s="29">
        <v>0</v>
      </c>
      <c r="N44" s="29">
        <v>0</v>
      </c>
      <c r="O44" s="29">
        <v>0</v>
      </c>
      <c r="P44" s="29">
        <v>0</v>
      </c>
      <c r="Q44" s="29">
        <v>0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  <c r="AE44" s="29">
        <v>0</v>
      </c>
      <c r="AF44" s="29">
        <v>0</v>
      </c>
      <c r="AG44" s="29">
        <v>0</v>
      </c>
      <c r="AH44"/>
    </row>
    <row r="45" spans="1:16372" x14ac:dyDescent="0.2">
      <c r="C45" s="1" t="s">
        <v>127</v>
      </c>
      <c r="D45" s="179" t="s">
        <v>108</v>
      </c>
      <c r="E45" s="100">
        <f>Assumptions!G95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x14ac:dyDescent="0.2">
      <c r="C46" s="1" t="s">
        <v>128</v>
      </c>
      <c r="D46" s="179" t="s">
        <v>108</v>
      </c>
      <c r="E46" s="99">
        <f>Assumptions!G96</f>
        <v>4220.9953699573898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x14ac:dyDescent="0.2">
      <c r="C47" s="1" t="s">
        <v>129</v>
      </c>
      <c r="D47" s="179" t="s">
        <v>130</v>
      </c>
      <c r="E47" s="99">
        <f>Assumptions!G97</f>
        <v>0</v>
      </c>
      <c r="G47" s="181" t="s">
        <v>131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x14ac:dyDescent="0.2">
      <c r="C48" s="1" t="s">
        <v>132</v>
      </c>
      <c r="D48" s="179" t="s">
        <v>133</v>
      </c>
      <c r="E48" s="99">
        <f>Assumptions!G98</f>
        <v>0.54769380678923496</v>
      </c>
      <c r="G48" s="181" t="s">
        <v>134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x14ac:dyDescent="0.2">
      <c r="C49" s="1" t="s">
        <v>135</v>
      </c>
      <c r="D49" s="179" t="s">
        <v>133</v>
      </c>
      <c r="E49" s="99">
        <f>Assumptions!G99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x14ac:dyDescent="0.2">
      <c r="C50" s="1" t="s">
        <v>136</v>
      </c>
      <c r="D50" s="179" t="s">
        <v>130</v>
      </c>
      <c r="E50" s="99">
        <f>Assumptions!G100</f>
        <v>0</v>
      </c>
      <c r="G50" s="181" t="s">
        <v>131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x14ac:dyDescent="0.2">
      <c r="C51" s="1" t="s">
        <v>137</v>
      </c>
      <c r="D51" s="179" t="s">
        <v>130</v>
      </c>
      <c r="E51" s="99">
        <f>Assumptions!G101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x14ac:dyDescent="0.2">
      <c r="D52" s="179"/>
      <c r="G52" s="181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/>
    </row>
    <row r="53" spans="1:43" x14ac:dyDescent="0.2">
      <c r="C53" s="1" t="s">
        <v>138</v>
      </c>
      <c r="D53" s="179"/>
      <c r="G53" s="181">
        <f>input_dollars</f>
        <v>45291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  <c r="AH53"/>
    </row>
    <row r="54" spans="1:43" x14ac:dyDescent="0.2">
      <c r="C54" s="1" t="s">
        <v>139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x14ac:dyDescent="0.2">
      <c r="D55" s="179"/>
      <c r="G55" s="179"/>
      <c r="AH55"/>
    </row>
    <row r="56" spans="1:43" x14ac:dyDescent="0.2">
      <c r="C56" s="3" t="s">
        <v>140</v>
      </c>
      <c r="D56" s="191"/>
      <c r="E56" s="94"/>
      <c r="F56" s="3"/>
      <c r="G56" s="184">
        <f>input_dollars</f>
        <v>45291</v>
      </c>
      <c r="H56" s="94"/>
      <c r="I56" s="146" cm="1">
        <f t="array" ref="I56">SUMPRODUCT((I$44:I$51)*($E$44:$E$51))+SUM(I53:I54)+I41</f>
        <v>0</v>
      </c>
      <c r="J56" s="146" cm="1">
        <f t="array" ref="J56">SUMPRODUCT((J$44:J$51)*($E$44:$E$51))+SUM(J53:J54)+J41</f>
        <v>0</v>
      </c>
      <c r="K56" s="146" cm="1">
        <f t="array" ref="K56">SUMPRODUCT((K$44:K$51)*($E$44:$E$51))+SUM(K53:K54)+K41</f>
        <v>0</v>
      </c>
      <c r="L56" s="146" cm="1">
        <f t="array" ref="L56">SUMPRODUCT((L$44:L$51)*($E$44:$E$51))+SUM(L53:L54)+L41</f>
        <v>0</v>
      </c>
      <c r="M56" s="146" cm="1">
        <f t="array" ref="M56">SUMPRODUCT((M$44:M$51)*($E$44:$E$51))+SUM(M53:M54)+M41</f>
        <v>0</v>
      </c>
      <c r="N56" s="146" cm="1">
        <f t="array" ref="N56">SUMPRODUCT((N$44:N$51)*($E$44:$E$51))+SUM(N53:N54)+N41</f>
        <v>0</v>
      </c>
      <c r="O56" s="146" cm="1">
        <f t="array" ref="O56">SUMPRODUCT((O$44:O$51)*($E$44:$E$51))+SUM(O53:O54)+O41</f>
        <v>0</v>
      </c>
      <c r="P56" s="146" cm="1">
        <f t="array" ref="P56">SUMPRODUCT((P$44:P$51)*($E$44:$E$51))+SUM(P53:P54)+P41</f>
        <v>0</v>
      </c>
      <c r="Q56" s="146" cm="1">
        <f t="array" ref="Q56">SUMPRODUCT((Q$44:Q$51)*($E$44:$E$51))+SUM(Q53:Q54)+Q41</f>
        <v>0</v>
      </c>
      <c r="R56" s="146" cm="1">
        <f t="array" ref="R56">SUMPRODUCT((R$44:R$51)*($E$44:$E$51))+SUM(R53:R54)+R41</f>
        <v>0</v>
      </c>
      <c r="S56" s="146" cm="1">
        <f t="array" ref="S56">SUMPRODUCT((S$44:S$51)*($E$44:$E$51))+SUM(S53:S54)+S41</f>
        <v>0</v>
      </c>
      <c r="T56" s="146" cm="1">
        <f t="array" ref="T56">SUMPRODUCT((T$44:T$51)*($E$44:$E$51))+SUM(T53:T54)+T41</f>
        <v>0</v>
      </c>
      <c r="U56" s="146" cm="1">
        <f t="array" ref="U56">SUMPRODUCT((U$44:U$51)*($E$44:$E$51))+SUM(U53:U54)+U41</f>
        <v>0</v>
      </c>
      <c r="V56" s="146" cm="1">
        <f t="array" ref="V56">SUMPRODUCT((V$44:V$51)*($E$44:$E$51))+SUM(V53:V54)+V41</f>
        <v>0</v>
      </c>
      <c r="W56" s="146" cm="1">
        <f t="array" ref="W56">SUMPRODUCT((W$44:W$51)*($E$44:$E$51))+SUM(W53:W54)+W41</f>
        <v>0</v>
      </c>
      <c r="X56" s="146" cm="1">
        <f t="array" ref="X56">SUMPRODUCT((X$44:X$51)*($E$44:$E$51))+SUM(X53:X54)+X41</f>
        <v>0</v>
      </c>
      <c r="Y56" s="146" cm="1">
        <f t="array" ref="Y56">SUMPRODUCT((Y$44:Y$51)*($E$44:$E$51))+SUM(Y53:Y54)+Y41</f>
        <v>0</v>
      </c>
      <c r="Z56" s="146" cm="1">
        <f t="array" ref="Z56">SUMPRODUCT((Z$44:Z$51)*($E$44:$E$51))+SUM(Z53:Z54)+Z41</f>
        <v>0</v>
      </c>
      <c r="AA56" s="146" cm="1">
        <f t="array" ref="AA56">SUMPRODUCT((AA$44:AA$51)*($E$44:$E$51))+SUM(AA53:AA54)+AA41</f>
        <v>0</v>
      </c>
      <c r="AB56" s="146" cm="1">
        <f t="array" ref="AB56">SUMPRODUCT((AB$44:AB$51)*($E$44:$E$51))+SUM(AB53:AB54)+AB41</f>
        <v>0</v>
      </c>
      <c r="AC56" s="146" cm="1">
        <f t="array" ref="AC56">SUMPRODUCT((AC$44:AC$51)*($E$44:$E$51))+SUM(AC53:AC54)+AC41</f>
        <v>0</v>
      </c>
      <c r="AD56" s="146" cm="1">
        <f t="array" ref="AD56">SUMPRODUCT((AD$44:AD$51)*($E$44:$E$51))+SUM(AD53:AD54)+AD41</f>
        <v>0</v>
      </c>
      <c r="AE56" s="146" cm="1">
        <f t="array" ref="AE56">SUMPRODUCT((AE$44:AE$51)*($E$44:$E$51))+SUM(AE53:AE54)+AE41</f>
        <v>0</v>
      </c>
      <c r="AF56" s="146" cm="1">
        <f t="array" ref="AF56">SUMPRODUCT((AF$44:AF$51)*($E$44:$E$51))+SUM(AF53:AF54)+AF41</f>
        <v>0</v>
      </c>
      <c r="AG56" s="146" cm="1">
        <f t="array" ref="AG56">SUMPRODUCT((AG$44:AG$51)*($E$44:$E$51))+SUM(AG53:AG54)+AG41</f>
        <v>0</v>
      </c>
      <c r="AH56"/>
    </row>
    <row r="57" spans="1:43" x14ac:dyDescent="0.2">
      <c r="D57" s="179"/>
      <c r="G57" s="179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/>
    </row>
    <row r="58" spans="1:43" x14ac:dyDescent="0.2"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ht="15" x14ac:dyDescent="0.2">
      <c r="A59" s="78" t="s">
        <v>23</v>
      </c>
      <c r="B59" s="78"/>
      <c r="C59" s="78"/>
      <c r="D59" s="78"/>
      <c r="E59" s="78"/>
      <c r="F59" s="78"/>
      <c r="G59" s="1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/>
      <c r="AI59"/>
      <c r="AJ59"/>
      <c r="AK59"/>
      <c r="AL59"/>
      <c r="AM59"/>
      <c r="AN59"/>
      <c r="AO59"/>
      <c r="AP59"/>
      <c r="AQ59"/>
    </row>
    <row r="60" spans="1:43" ht="15" x14ac:dyDescent="0.2">
      <c r="A60" s="98"/>
      <c r="B60" s="98"/>
      <c r="C60" s="98"/>
      <c r="D60" s="98"/>
      <c r="E60" s="98"/>
      <c r="F60" s="98"/>
      <c r="G60" s="182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/>
      <c r="AI60"/>
      <c r="AJ60"/>
      <c r="AK60"/>
      <c r="AL60"/>
      <c r="AM60"/>
      <c r="AN60"/>
      <c r="AO60"/>
      <c r="AP60"/>
      <c r="AQ60"/>
    </row>
    <row r="61" spans="1:43" ht="12.75" customHeight="1" x14ac:dyDescent="0.2">
      <c r="A61" s="98"/>
      <c r="B61" s="98"/>
      <c r="C61" s="98"/>
      <c r="D61" s="98"/>
      <c r="E61" s="98"/>
      <c r="F61"/>
      <c r="G61" s="185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:43" x14ac:dyDescent="0.2">
      <c r="C62" s="4"/>
      <c r="F62" s="2"/>
      <c r="G62" s="18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/>
    </row>
    <row r="63" spans="1:43" x14ac:dyDescent="0.2">
      <c r="C63" s="4" t="str">
        <f>'Option1 (base case)'!C63</f>
        <v>Risks mitigated vs base case</v>
      </c>
      <c r="G63" s="184">
        <f>input_dollars</f>
        <v>45291</v>
      </c>
      <c r="I63" s="111">
        <f>(1-INDEX(Data!$C$9:$C$13, MATCH($A$3, options,0)))*('Option1 (base case)'!I35-I35)</f>
        <v>0</v>
      </c>
      <c r="J63" s="111">
        <f>(1-INDEX(Data!$C$9:$C$13, MATCH($A$3, options,0)))*('Option1 (base case)'!J35-J35)</f>
        <v>0</v>
      </c>
      <c r="K63" s="111">
        <f>(1-INDEX(Data!$C$9:$C$13, MATCH($A$3, options,0)))*('Option1 (base case)'!K35-K35)</f>
        <v>0</v>
      </c>
      <c r="L63" s="111">
        <f>(1-INDEX(Data!$C$9:$C$13, MATCH($A$3, options,0)))*('Option1 (base case)'!L35-L35)</f>
        <v>25601.007245612331</v>
      </c>
      <c r="M63" s="111">
        <f>(1-INDEX(Data!$C$9:$C$13, MATCH($A$3, options,0)))*('Option1 (base case)'!M35-M35)</f>
        <v>26204.005432534497</v>
      </c>
      <c r="N63" s="111">
        <f>(1-INDEX(Data!$C$9:$C$13, MATCH($A$3, options,0)))*('Option1 (base case)'!N35-N35)</f>
        <v>27027.197585566202</v>
      </c>
      <c r="O63" s="111">
        <f>(1-INDEX(Data!$C$9:$C$13, MATCH($A$3, options,0)))*('Option1 (base case)'!O35-O35)</f>
        <v>28223.083808001131</v>
      </c>
      <c r="P63" s="111">
        <f>(1-INDEX(Data!$C$9:$C$13, MATCH($A$3, options,0)))*('Option1 (base case)'!P35-P35)</f>
        <v>29435.323085980024</v>
      </c>
      <c r="Q63" s="111">
        <f>(1-INDEX(Data!$C$9:$C$13, MATCH($A$3, options,0)))*('Option1 (base case)'!Q35-Q35)</f>
        <v>30394.154808228137</v>
      </c>
      <c r="R63" s="111">
        <f>(1-INDEX(Data!$C$9:$C$13, MATCH($A$3, options,0)))*('Option1 (base case)'!R35-R35)</f>
        <v>31049.482581821037</v>
      </c>
      <c r="S63" s="111">
        <f>(1-INDEX(Data!$C$9:$C$13, MATCH($A$3, options,0)))*('Option1 (base case)'!S35-S35)</f>
        <v>31711.437692315318</v>
      </c>
      <c r="T63" s="111">
        <f>(1-INDEX(Data!$C$9:$C$13, MATCH($A$3, options,0)))*('Option1 (base case)'!T35-T35)</f>
        <v>32380.031549904728</v>
      </c>
      <c r="U63" s="111">
        <f>(1-INDEX(Data!$C$9:$C$13, MATCH($A$3, options,0)))*('Option1 (base case)'!U35-U35)</f>
        <v>33055.238014483126</v>
      </c>
      <c r="V63" s="111">
        <f>(1-INDEX(Data!$C$9:$C$13, MATCH($A$3, options,0)))*('Option1 (base case)'!V35-V35)</f>
        <v>33737.057863859227</v>
      </c>
      <c r="W63" s="111">
        <f>(1-INDEX(Data!$C$9:$C$13, MATCH($A$3, options,0)))*('Option1 (base case)'!W35-W35)</f>
        <v>34425.454300467158</v>
      </c>
      <c r="X63" s="111">
        <f>(1-INDEX(Data!$C$9:$C$13, MATCH($A$3, options,0)))*('Option1 (base case)'!X35-X35)</f>
        <v>35120.393270304427</v>
      </c>
      <c r="Y63" s="111">
        <f>(1-INDEX(Data!$C$9:$C$13, MATCH($A$3, options,0)))*('Option1 (base case)'!Y35-Y35)</f>
        <v>35821.891826098086</v>
      </c>
      <c r="Z63" s="111">
        <f>(1-INDEX(Data!$C$9:$C$13, MATCH($A$3, options,0)))*('Option1 (base case)'!Z35-Z35)</f>
        <v>36529.932165494654</v>
      </c>
      <c r="AA63" s="111">
        <f>(1-INDEX(Data!$C$9:$C$13, MATCH($A$3, options,0)))*('Option1 (base case)'!AA35-AA35)</f>
        <v>37244.488416692708</v>
      </c>
      <c r="AB63" s="111">
        <f>(1-INDEX(Data!$C$9:$C$13, MATCH($A$3, options,0)))*('Option1 (base case)'!AB35-AB35)</f>
        <v>37965.532095137285</v>
      </c>
      <c r="AC63" s="111">
        <f>(1-INDEX(Data!$C$9:$C$13, MATCH($A$3, options,0)))*('Option1 (base case)'!AC35-AC35)</f>
        <v>38693.034733247245</v>
      </c>
      <c r="AD63" s="111">
        <f>(1-INDEX(Data!$C$9:$C$13, MATCH($A$3, options,0)))*('Option1 (base case)'!AD35-AD35)</f>
        <v>39427.027129442431</v>
      </c>
      <c r="AE63" s="111">
        <f>(1-INDEX(Data!$C$9:$C$13, MATCH($A$3, options,0)))*('Option1 (base case)'!AE35-AE35)</f>
        <v>40119.961865055142</v>
      </c>
      <c r="AF63" s="111">
        <f>(1-INDEX(Data!$C$9:$C$13, MATCH($A$3, options,0)))*('Option1 (base case)'!AF35-AF35)</f>
        <v>40818.905226160306</v>
      </c>
      <c r="AG63" s="111">
        <f>(1-INDEX(Data!$C$9:$C$13, MATCH($A$3, options,0)))*('Option1 (base case)'!AG35-AG35)</f>
        <v>41523.904196710093</v>
      </c>
      <c r="AH63"/>
    </row>
    <row r="64" spans="1:43" x14ac:dyDescent="0.2">
      <c r="G64" s="186"/>
      <c r="AH64"/>
    </row>
    <row r="65" spans="1:34" x14ac:dyDescent="0.2">
      <c r="A65" s="6"/>
      <c r="B65" s="6"/>
      <c r="C65" s="125" t="s">
        <v>32</v>
      </c>
      <c r="D65" s="34"/>
      <c r="F65" s="84"/>
      <c r="G65" s="187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/>
    </row>
    <row r="66" spans="1:34" x14ac:dyDescent="0.2">
      <c r="A66" s="6"/>
      <c r="B66" s="6"/>
      <c r="C66" s="4" t="str">
        <f>C14</f>
        <v>Refurbish transformer</v>
      </c>
      <c r="D66" s="34"/>
      <c r="F66" s="84"/>
      <c r="G66" s="184">
        <f>input_dollars</f>
        <v>45291</v>
      </c>
      <c r="H66" s="28"/>
      <c r="I66" s="28">
        <f>-I14</f>
        <v>0</v>
      </c>
      <c r="J66" s="28">
        <f>-J14</f>
        <v>0</v>
      </c>
      <c r="K66" s="28">
        <f>-K14</f>
        <v>-530000</v>
      </c>
      <c r="L66" s="28">
        <f>-L14</f>
        <v>0</v>
      </c>
      <c r="M66" s="28">
        <f>-M14</f>
        <v>0</v>
      </c>
      <c r="N66" s="28">
        <f>-N14</f>
        <v>0</v>
      </c>
      <c r="O66" s="28">
        <f>-O14</f>
        <v>0</v>
      </c>
      <c r="P66" s="28">
        <f>-P14</f>
        <v>0</v>
      </c>
      <c r="Q66" s="28">
        <f>-Q14</f>
        <v>0</v>
      </c>
      <c r="R66" s="28">
        <f>-R14</f>
        <v>0</v>
      </c>
      <c r="S66" s="28">
        <f>-S14</f>
        <v>0</v>
      </c>
      <c r="T66" s="28">
        <f>-T14</f>
        <v>0</v>
      </c>
      <c r="U66" s="28">
        <f>-U14</f>
        <v>0</v>
      </c>
      <c r="V66" s="28">
        <f>-V14</f>
        <v>0</v>
      </c>
      <c r="W66" s="28">
        <f>-W14</f>
        <v>0</v>
      </c>
      <c r="X66" s="28">
        <f>-X14</f>
        <v>0</v>
      </c>
      <c r="Y66" s="28">
        <f>-Y14</f>
        <v>0</v>
      </c>
      <c r="Z66" s="28">
        <f>-Z14</f>
        <v>0</v>
      </c>
      <c r="AA66" s="28">
        <f>-AA14</f>
        <v>0</v>
      </c>
      <c r="AB66" s="28">
        <f>-AB14</f>
        <v>0</v>
      </c>
      <c r="AC66" s="28">
        <f>-AC14</f>
        <v>0</v>
      </c>
      <c r="AD66" s="28">
        <f>-AD14</f>
        <v>0</v>
      </c>
      <c r="AE66" s="28">
        <f>-AE14</f>
        <v>0</v>
      </c>
      <c r="AF66" s="28">
        <f>-AF14</f>
        <v>0</v>
      </c>
      <c r="AG66" s="28">
        <f>-AG14</f>
        <v>0</v>
      </c>
      <c r="AH66"/>
    </row>
    <row r="67" spans="1:34" x14ac:dyDescent="0.2">
      <c r="A67" s="6"/>
      <c r="B67" s="6"/>
      <c r="C67" s="4" t="str">
        <f>C15</f>
        <v>&lt; Enter description &gt;</v>
      </c>
      <c r="D67" s="34"/>
      <c r="F67" s="84"/>
      <c r="G67" s="184">
        <f>input_dollars</f>
        <v>45291</v>
      </c>
      <c r="H67" s="28"/>
      <c r="I67" s="28">
        <f>-I15</f>
        <v>0</v>
      </c>
      <c r="J67" s="28">
        <f>-J15</f>
        <v>0</v>
      </c>
      <c r="K67" s="28">
        <f>-K15</f>
        <v>0</v>
      </c>
      <c r="L67" s="28">
        <f>-L15</f>
        <v>0</v>
      </c>
      <c r="M67" s="28">
        <f>-M15</f>
        <v>0</v>
      </c>
      <c r="N67" s="28">
        <f>-N15</f>
        <v>0</v>
      </c>
      <c r="O67" s="28">
        <f>-O15</f>
        <v>0</v>
      </c>
      <c r="P67" s="28">
        <f>-P15</f>
        <v>0</v>
      </c>
      <c r="Q67" s="28">
        <f>-Q15</f>
        <v>0</v>
      </c>
      <c r="R67" s="28">
        <f>-R15</f>
        <v>0</v>
      </c>
      <c r="S67" s="28">
        <f>-S15</f>
        <v>0</v>
      </c>
      <c r="T67" s="28">
        <f>-T15</f>
        <v>0</v>
      </c>
      <c r="U67" s="28">
        <f>-U15</f>
        <v>0</v>
      </c>
      <c r="V67" s="28">
        <f>-V15</f>
        <v>0</v>
      </c>
      <c r="W67" s="28">
        <f>-W15</f>
        <v>0</v>
      </c>
      <c r="X67" s="28">
        <f>-X15</f>
        <v>0</v>
      </c>
      <c r="Y67" s="28">
        <f>-Y15</f>
        <v>0</v>
      </c>
      <c r="Z67" s="28">
        <f>-Z15</f>
        <v>0</v>
      </c>
      <c r="AA67" s="28">
        <f>-AA15</f>
        <v>0</v>
      </c>
      <c r="AB67" s="28">
        <f>-AB15</f>
        <v>0</v>
      </c>
      <c r="AC67" s="28">
        <f>-AC15</f>
        <v>0</v>
      </c>
      <c r="AD67" s="28">
        <f>-AD15</f>
        <v>0</v>
      </c>
      <c r="AE67" s="28">
        <f>-AE15</f>
        <v>0</v>
      </c>
      <c r="AF67" s="28">
        <f>-AF15</f>
        <v>0</v>
      </c>
      <c r="AG67" s="28">
        <f>-AG15</f>
        <v>0</v>
      </c>
      <c r="AH67"/>
    </row>
    <row r="68" spans="1:34" x14ac:dyDescent="0.2">
      <c r="A68" s="6"/>
      <c r="B68" s="6"/>
      <c r="C68" s="4" t="str">
        <f>C16</f>
        <v>&lt; Enter description &gt;</v>
      </c>
      <c r="D68" s="34"/>
      <c r="F68" s="84"/>
      <c r="G68" s="184">
        <f>input_dollars</f>
        <v>45291</v>
      </c>
      <c r="H68" s="28"/>
      <c r="I68" s="28">
        <f>-I16</f>
        <v>0</v>
      </c>
      <c r="J68" s="28">
        <f>-J16</f>
        <v>0</v>
      </c>
      <c r="K68" s="28">
        <f>-K16</f>
        <v>0</v>
      </c>
      <c r="L68" s="28">
        <f>-L16</f>
        <v>0</v>
      </c>
      <c r="M68" s="28">
        <f>-M16</f>
        <v>0</v>
      </c>
      <c r="N68" s="28">
        <f>-N16</f>
        <v>0</v>
      </c>
      <c r="O68" s="28">
        <f>-O16</f>
        <v>0</v>
      </c>
      <c r="P68" s="28">
        <f>-P16</f>
        <v>0</v>
      </c>
      <c r="Q68" s="28">
        <f>-Q16</f>
        <v>0</v>
      </c>
      <c r="R68" s="28">
        <f>-R16</f>
        <v>0</v>
      </c>
      <c r="S68" s="28">
        <f>-S16</f>
        <v>0</v>
      </c>
      <c r="T68" s="28">
        <f>-T16</f>
        <v>0</v>
      </c>
      <c r="U68" s="28">
        <f>-U16</f>
        <v>0</v>
      </c>
      <c r="V68" s="28">
        <f>-V16</f>
        <v>0</v>
      </c>
      <c r="W68" s="28">
        <f>-W16</f>
        <v>0</v>
      </c>
      <c r="X68" s="28">
        <f>-X16</f>
        <v>0</v>
      </c>
      <c r="Y68" s="28">
        <f>-Y16</f>
        <v>0</v>
      </c>
      <c r="Z68" s="28">
        <f>-Z16</f>
        <v>0</v>
      </c>
      <c r="AA68" s="28">
        <f>-AA16</f>
        <v>0</v>
      </c>
      <c r="AB68" s="28">
        <f>-AB16</f>
        <v>0</v>
      </c>
      <c r="AC68" s="28">
        <f>-AC16</f>
        <v>0</v>
      </c>
      <c r="AD68" s="28">
        <f>-AD16</f>
        <v>0</v>
      </c>
      <c r="AE68" s="28">
        <f>-AE16</f>
        <v>0</v>
      </c>
      <c r="AF68" s="28">
        <f>-AF16</f>
        <v>0</v>
      </c>
      <c r="AG68" s="28">
        <f>-AG16</f>
        <v>0</v>
      </c>
      <c r="AH68"/>
    </row>
    <row r="69" spans="1:34" x14ac:dyDescent="0.2">
      <c r="A69" s="6"/>
      <c r="B69" s="6"/>
      <c r="C69" s="4"/>
      <c r="D69" s="34"/>
      <c r="F69" s="84"/>
      <c r="G69" s="18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/>
    </row>
    <row r="70" spans="1:34" x14ac:dyDescent="0.2">
      <c r="A70" s="6"/>
      <c r="B70" s="6"/>
      <c r="C70" s="125" t="s">
        <v>142</v>
      </c>
      <c r="D70" s="34"/>
      <c r="F70" s="84"/>
      <c r="G70" s="187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x14ac:dyDescent="0.2">
      <c r="A71" s="6"/>
      <c r="B71" s="6"/>
      <c r="C71" s="4" t="str">
        <f>C14</f>
        <v>Refurbish transformer</v>
      </c>
      <c r="D71" s="34"/>
      <c r="F71" s="84"/>
      <c r="G71" s="184">
        <f>input_dollars</f>
        <v>45291</v>
      </c>
      <c r="H71" s="28"/>
      <c r="I71" s="28" cm="1">
        <f t="array" ref="I71">SUMPRODUCT(($I66:I66))-SUMPRODUCT(($I66:I66)*($I$6:I$6&lt;=(I$6-$E14)))</f>
        <v>0</v>
      </c>
      <c r="J71" s="28" cm="1">
        <f t="array" ref="J71">SUMPRODUCT(($I66:J66))-SUMPRODUCT(($I66:J66)*($I$6:J$6&lt;=(J$6-$E14)))</f>
        <v>0</v>
      </c>
      <c r="K71" s="28" cm="1">
        <f t="array" ref="K71">SUMPRODUCT(($I66:K66))-SUMPRODUCT(($I66:K66)*($I$6:K$6&lt;=(K$6-$E14)))</f>
        <v>-530000</v>
      </c>
      <c r="L71" s="28" cm="1">
        <f t="array" ref="L71">SUMPRODUCT(($I66:L66))-SUMPRODUCT(($I66:L66)*($I$6:L$6&lt;=(L$6-$E14)))</f>
        <v>-530000</v>
      </c>
      <c r="M71" s="28" cm="1">
        <f t="array" ref="M71">SUMPRODUCT(($I66:M66))-SUMPRODUCT(($I66:M66)*($I$6:M$6&lt;=(M$6-$E14)))</f>
        <v>-530000</v>
      </c>
      <c r="N71" s="28" cm="1">
        <f t="array" ref="N71">SUMPRODUCT(($I66:N66))-SUMPRODUCT(($I66:N66)*($I$6:N$6&lt;=(N$6-$E14)))</f>
        <v>-530000</v>
      </c>
      <c r="O71" s="28" cm="1">
        <f t="array" ref="O71">SUMPRODUCT(($I66:O66))-SUMPRODUCT(($I66:O66)*($I$6:O$6&lt;=(O$6-$E14)))</f>
        <v>-530000</v>
      </c>
      <c r="P71" s="28" cm="1">
        <f t="array" ref="P71">SUMPRODUCT(($I66:P66))-SUMPRODUCT(($I66:P66)*($I$6:P$6&lt;=(P$6-$E14)))</f>
        <v>-530000</v>
      </c>
      <c r="Q71" s="28" cm="1">
        <f t="array" ref="Q71">SUMPRODUCT(($I66:Q66))-SUMPRODUCT(($I66:Q66)*($I$6:Q$6&lt;=(Q$6-$E14)))</f>
        <v>-530000</v>
      </c>
      <c r="R71" s="28" cm="1">
        <f t="array" ref="R71">SUMPRODUCT(($I66:R66))-SUMPRODUCT(($I66:R66)*($I$6:R$6&lt;=(R$6-$E14)))</f>
        <v>-530000</v>
      </c>
      <c r="S71" s="28" cm="1">
        <f t="array" ref="S71">SUMPRODUCT(($I66:S66))-SUMPRODUCT(($I66:S66)*($I$6:S$6&lt;=(S$6-$E14)))</f>
        <v>-530000</v>
      </c>
      <c r="T71" s="28" cm="1">
        <f t="array" ref="T71">SUMPRODUCT(($I66:T66))-SUMPRODUCT(($I66:T66)*($I$6:T$6&lt;=(T$6-$E14)))</f>
        <v>-530000</v>
      </c>
      <c r="U71" s="28" cm="1">
        <f t="array" ref="U71">SUMPRODUCT(($I66:U66))-SUMPRODUCT(($I66:U66)*($I$6:U$6&lt;=(U$6-$E14)))</f>
        <v>-530000</v>
      </c>
      <c r="V71" s="28" cm="1">
        <f t="array" ref="V71">SUMPRODUCT(($I66:V66))-SUMPRODUCT(($I66:V66)*($I$6:V$6&lt;=(V$6-$E14)))</f>
        <v>-530000</v>
      </c>
      <c r="W71" s="28" cm="1">
        <f t="array" ref="W71">SUMPRODUCT(($I66:W66))-SUMPRODUCT(($I66:W66)*($I$6:W$6&lt;=(W$6-$E14)))</f>
        <v>-530000</v>
      </c>
      <c r="X71" s="28" cm="1">
        <f t="array" ref="X71">SUMPRODUCT(($I66:X66))-SUMPRODUCT(($I66:X66)*($I$6:X$6&lt;=(X$6-$E14)))</f>
        <v>-530000</v>
      </c>
      <c r="Y71" s="28" cm="1">
        <f t="array" ref="Y71">SUMPRODUCT(($I66:Y66))-SUMPRODUCT(($I66:Y66)*($I$6:Y$6&lt;=(Y$6-$E14)))</f>
        <v>-530000</v>
      </c>
      <c r="Z71" s="28" cm="1">
        <f t="array" ref="Z71">SUMPRODUCT(($I66:Z66))-SUMPRODUCT(($I66:Z66)*($I$6:Z$6&lt;=(Z$6-$E14)))</f>
        <v>-530000</v>
      </c>
      <c r="AA71" s="28" cm="1">
        <f t="array" ref="AA71">SUMPRODUCT(($I66:AA66))-SUMPRODUCT(($I66:AA66)*($I$6:AA$6&lt;=(AA$6-$E14)))</f>
        <v>-530000</v>
      </c>
      <c r="AB71" s="28" cm="1">
        <f t="array" ref="AB71">SUMPRODUCT(($I66:AB66))-SUMPRODUCT(($I66:AB66)*($I$6:AB$6&lt;=(AB$6-$E14)))</f>
        <v>-530000</v>
      </c>
      <c r="AC71" s="28" cm="1">
        <f t="array" ref="AC71">SUMPRODUCT(($I66:AC66))-SUMPRODUCT(($I66:AC66)*($I$6:AC$6&lt;=(AC$6-$E14)))</f>
        <v>-530000</v>
      </c>
      <c r="AD71" s="28" cm="1">
        <f t="array" ref="AD71">SUMPRODUCT(($I66:AD66))-SUMPRODUCT(($I66:AD66)*($I$6:AD$6&lt;=(AD$6-$E14)))</f>
        <v>-530000</v>
      </c>
      <c r="AE71" s="28" cm="1">
        <f t="array" ref="AE71">SUMPRODUCT(($I66:AE66))-SUMPRODUCT(($I66:AE66)*($I$6:AE$6&lt;=(AE$6-$E14)))</f>
        <v>0</v>
      </c>
      <c r="AF71" s="28" cm="1">
        <f t="array" ref="AF71">SUMPRODUCT(($I66:AF66))-SUMPRODUCT(($I66:AF66)*($I$6:AF$6&lt;=(AF$6-$E14)))</f>
        <v>0</v>
      </c>
      <c r="AG71" s="28" cm="1">
        <f t="array" ref="AG71">SUMPRODUCT(($I66:AG66))-SUMPRODUCT(($I66:AG66)*($I$6:AG$6&lt;=(AG$6-$E14)))</f>
        <v>0</v>
      </c>
      <c r="AH71"/>
    </row>
    <row r="72" spans="1:34" x14ac:dyDescent="0.2">
      <c r="A72" s="6"/>
      <c r="B72" s="6"/>
      <c r="C72" s="4" t="str">
        <f>C15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SUMPRODUCT(($I67:I67))-SUMPRODUCT(($I67:I67)*($I$6:I$6&lt;=(I$6-$E15)))</f>
        <v>0</v>
      </c>
      <c r="J72" s="28" cm="1">
        <f t="array" ref="J72">SUMPRODUCT(($I67:J67))-SUMPRODUCT(($I67:J67)*($I$6:J$6&lt;=(J$6-$E15)))</f>
        <v>0</v>
      </c>
      <c r="K72" s="28" cm="1">
        <f t="array" ref="K72">SUMPRODUCT(($I67:K67))-SUMPRODUCT(($I67:K67)*($I$6:K$6&lt;=(K$6-$E15)))</f>
        <v>0</v>
      </c>
      <c r="L72" s="28" cm="1">
        <f t="array" ref="L72">SUMPRODUCT(($I67:L67))-SUMPRODUCT(($I67:L67)*($I$6:L$6&lt;=(L$6-$E15)))</f>
        <v>0</v>
      </c>
      <c r="M72" s="28" cm="1">
        <f t="array" ref="M72">SUMPRODUCT(($I67:M67))-SUMPRODUCT(($I67:M67)*($I$6:M$6&lt;=(M$6-$E15)))</f>
        <v>0</v>
      </c>
      <c r="N72" s="28" cm="1">
        <f t="array" ref="N72">SUMPRODUCT(($I67:N67))-SUMPRODUCT(($I67:N67)*($I$6:N$6&lt;=(N$6-$E15)))</f>
        <v>0</v>
      </c>
      <c r="O72" s="28" cm="1">
        <f t="array" ref="O72">SUMPRODUCT(($I67:O67))-SUMPRODUCT(($I67:O67)*($I$6:O$6&lt;=(O$6-$E15)))</f>
        <v>0</v>
      </c>
      <c r="P72" s="28" cm="1">
        <f t="array" ref="P72">SUMPRODUCT(($I67:P67))-SUMPRODUCT(($I67:P67)*($I$6:P$6&lt;=(P$6-$E15)))</f>
        <v>0</v>
      </c>
      <c r="Q72" s="28" cm="1">
        <f t="array" ref="Q72">SUMPRODUCT(($I67:Q67))-SUMPRODUCT(($I67:Q67)*($I$6:Q$6&lt;=(Q$6-$E15)))</f>
        <v>0</v>
      </c>
      <c r="R72" s="28" cm="1">
        <f t="array" ref="R72">SUMPRODUCT(($I67:R67))-SUMPRODUCT(($I67:R67)*($I$6:R$6&lt;=(R$6-$E15)))</f>
        <v>0</v>
      </c>
      <c r="S72" s="28" cm="1">
        <f t="array" ref="S72">SUMPRODUCT(($I67:S67))-SUMPRODUCT(($I67:S67)*($I$6:S$6&lt;=(S$6-$E15)))</f>
        <v>0</v>
      </c>
      <c r="T72" s="28" cm="1">
        <f t="array" ref="T72">SUMPRODUCT(($I67:T67))-SUMPRODUCT(($I67:T67)*($I$6:T$6&lt;=(T$6-$E15)))</f>
        <v>0</v>
      </c>
      <c r="U72" s="28" cm="1">
        <f t="array" ref="U72">SUMPRODUCT(($I67:U67))-SUMPRODUCT(($I67:U67)*($I$6:U$6&lt;=(U$6-$E15)))</f>
        <v>0</v>
      </c>
      <c r="V72" s="28" cm="1">
        <f t="array" ref="V72">SUMPRODUCT(($I67:V67))-SUMPRODUCT(($I67:V67)*($I$6:V$6&lt;=(V$6-$E15)))</f>
        <v>0</v>
      </c>
      <c r="W72" s="28" cm="1">
        <f t="array" ref="W72">SUMPRODUCT(($I67:W67))-SUMPRODUCT(($I67:W67)*($I$6:W$6&lt;=(W$6-$E15)))</f>
        <v>0</v>
      </c>
      <c r="X72" s="28" cm="1">
        <f t="array" ref="X72">SUMPRODUCT(($I67:X67))-SUMPRODUCT(($I67:X67)*($I$6:X$6&lt;=(X$6-$E15)))</f>
        <v>0</v>
      </c>
      <c r="Y72" s="28" cm="1">
        <f t="array" ref="Y72">SUMPRODUCT(($I67:Y67))-SUMPRODUCT(($I67:Y67)*($I$6:Y$6&lt;=(Y$6-$E15)))</f>
        <v>0</v>
      </c>
      <c r="Z72" s="28" cm="1">
        <f t="array" ref="Z72">SUMPRODUCT(($I67:Z67))-SUMPRODUCT(($I67:Z67)*($I$6:Z$6&lt;=(Z$6-$E15)))</f>
        <v>0</v>
      </c>
      <c r="AA72" s="28" cm="1">
        <f t="array" ref="AA72">SUMPRODUCT(($I67:AA67))-SUMPRODUCT(($I67:AA67)*($I$6:AA$6&lt;=(AA$6-$E15)))</f>
        <v>0</v>
      </c>
      <c r="AB72" s="28" cm="1">
        <f t="array" ref="AB72">SUMPRODUCT(($I67:AB67))-SUMPRODUCT(($I67:AB67)*($I$6:AB$6&lt;=(AB$6-$E15)))</f>
        <v>0</v>
      </c>
      <c r="AC72" s="28" cm="1">
        <f t="array" ref="AC72">SUMPRODUCT(($I67:AC67))-SUMPRODUCT(($I67:AC67)*($I$6:AC$6&lt;=(AC$6-$E15)))</f>
        <v>0</v>
      </c>
      <c r="AD72" s="28" cm="1">
        <f t="array" ref="AD72">SUMPRODUCT(($I67:AD67))-SUMPRODUCT(($I67:AD67)*($I$6:AD$6&lt;=(AD$6-$E15)))</f>
        <v>0</v>
      </c>
      <c r="AE72" s="28" cm="1">
        <f t="array" ref="AE72">SUMPRODUCT(($I67:AE67))-SUMPRODUCT(($I67:AE67)*($I$6:AE$6&lt;=(AE$6-$E15)))</f>
        <v>0</v>
      </c>
      <c r="AF72" s="28" cm="1">
        <f t="array" ref="AF72">SUMPRODUCT(($I67:AF67))-SUMPRODUCT(($I67:AF67)*($I$6:AF$6&lt;=(AF$6-$E15)))</f>
        <v>0</v>
      </c>
      <c r="AG72" s="28" cm="1">
        <f t="array" ref="AG72">SUMPRODUCT(($I67:AG67))-SUMPRODUCT(($I67:AG67)*($I$6:AG$6&lt;=(AG$6-$E15)))</f>
        <v>0</v>
      </c>
      <c r="AH72"/>
    </row>
    <row r="73" spans="1:34" x14ac:dyDescent="0.2">
      <c r="A73" s="6"/>
      <c r="B73" s="6"/>
      <c r="C73" s="4" t="str">
        <f>C16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SUMPRODUCT(($I68:I68))-SUMPRODUCT(($I68:I68)*($I$6:I$6&lt;=(I$6-$E16)))</f>
        <v>0</v>
      </c>
      <c r="J73" s="28" cm="1">
        <f t="array" ref="J73">SUMPRODUCT(($I68:J68))-SUMPRODUCT(($I68:J68)*($I$6:J$6&lt;=(J$6-$E16)))</f>
        <v>0</v>
      </c>
      <c r="K73" s="28" cm="1">
        <f t="array" ref="K73">SUMPRODUCT(($I68:K68))-SUMPRODUCT(($I68:K68)*($I$6:K$6&lt;=(K$6-$E16)))</f>
        <v>0</v>
      </c>
      <c r="L73" s="28" cm="1">
        <f t="array" ref="L73">SUMPRODUCT(($I68:L68))-SUMPRODUCT(($I68:L68)*($I$6:L$6&lt;=(L$6-$E16)))</f>
        <v>0</v>
      </c>
      <c r="M73" s="28" cm="1">
        <f t="array" ref="M73">SUMPRODUCT(($I68:M68))-SUMPRODUCT(($I68:M68)*($I$6:M$6&lt;=(M$6-$E16)))</f>
        <v>0</v>
      </c>
      <c r="N73" s="28" cm="1">
        <f t="array" ref="N73">SUMPRODUCT(($I68:N68))-SUMPRODUCT(($I68:N68)*($I$6:N$6&lt;=(N$6-$E16)))</f>
        <v>0</v>
      </c>
      <c r="O73" s="28" cm="1">
        <f t="array" ref="O73">SUMPRODUCT(($I68:O68))-SUMPRODUCT(($I68:O68)*($I$6:O$6&lt;=(O$6-$E16)))</f>
        <v>0</v>
      </c>
      <c r="P73" s="28" cm="1">
        <f t="array" ref="P73">SUMPRODUCT(($I68:P68))-SUMPRODUCT(($I68:P68)*($I$6:P$6&lt;=(P$6-$E16)))</f>
        <v>0</v>
      </c>
      <c r="Q73" s="28" cm="1">
        <f t="array" ref="Q73">SUMPRODUCT(($I68:Q68))-SUMPRODUCT(($I68:Q68)*($I$6:Q$6&lt;=(Q$6-$E16)))</f>
        <v>0</v>
      </c>
      <c r="R73" s="28" cm="1">
        <f t="array" ref="R73">SUMPRODUCT(($I68:R68))-SUMPRODUCT(($I68:R68)*($I$6:R$6&lt;=(R$6-$E16)))</f>
        <v>0</v>
      </c>
      <c r="S73" s="28" cm="1">
        <f t="array" ref="S73">SUMPRODUCT(($I68:S68))-SUMPRODUCT(($I68:S68)*($I$6:S$6&lt;=(S$6-$E16)))</f>
        <v>0</v>
      </c>
      <c r="T73" s="28" cm="1">
        <f t="array" ref="T73">SUMPRODUCT(($I68:T68))-SUMPRODUCT(($I68:T68)*($I$6:T$6&lt;=(T$6-$E16)))</f>
        <v>0</v>
      </c>
      <c r="U73" s="28" cm="1">
        <f t="array" ref="U73">SUMPRODUCT(($I68:U68))-SUMPRODUCT(($I68:U68)*($I$6:U$6&lt;=(U$6-$E16)))</f>
        <v>0</v>
      </c>
      <c r="V73" s="28" cm="1">
        <f t="array" ref="V73">SUMPRODUCT(($I68:V68))-SUMPRODUCT(($I68:V68)*($I$6:V$6&lt;=(V$6-$E16)))</f>
        <v>0</v>
      </c>
      <c r="W73" s="28" cm="1">
        <f t="array" ref="W73">SUMPRODUCT(($I68:W68))-SUMPRODUCT(($I68:W68)*($I$6:W$6&lt;=(W$6-$E16)))</f>
        <v>0</v>
      </c>
      <c r="X73" s="28" cm="1">
        <f t="array" ref="X73">SUMPRODUCT(($I68:X68))-SUMPRODUCT(($I68:X68)*($I$6:X$6&lt;=(X$6-$E16)))</f>
        <v>0</v>
      </c>
      <c r="Y73" s="28" cm="1">
        <f t="array" ref="Y73">SUMPRODUCT(($I68:Y68))-SUMPRODUCT(($I68:Y68)*($I$6:Y$6&lt;=(Y$6-$E16)))</f>
        <v>0</v>
      </c>
      <c r="Z73" s="28" cm="1">
        <f t="array" ref="Z73">SUMPRODUCT(($I68:Z68))-SUMPRODUCT(($I68:Z68)*($I$6:Z$6&lt;=(Z$6-$E16)))</f>
        <v>0</v>
      </c>
      <c r="AA73" s="28" cm="1">
        <f t="array" ref="AA73">SUMPRODUCT(($I68:AA68))-SUMPRODUCT(($I68:AA68)*($I$6:AA$6&lt;=(AA$6-$E16)))</f>
        <v>0</v>
      </c>
      <c r="AB73" s="28" cm="1">
        <f t="array" ref="AB73">SUMPRODUCT(($I68:AB68))-SUMPRODUCT(($I68:AB68)*($I$6:AB$6&lt;=(AB$6-$E16)))</f>
        <v>0</v>
      </c>
      <c r="AC73" s="28" cm="1">
        <f t="array" ref="AC73">SUMPRODUCT(($I68:AC68))-SUMPRODUCT(($I68:AC68)*($I$6:AC$6&lt;=(AC$6-$E16)))</f>
        <v>0</v>
      </c>
      <c r="AD73" s="28" cm="1">
        <f t="array" ref="AD73">SUMPRODUCT(($I68:AD68))-SUMPRODUCT(($I68:AD68)*($I$6:AD$6&lt;=(AD$6-$E16)))</f>
        <v>0</v>
      </c>
      <c r="AE73" s="28" cm="1">
        <f t="array" ref="AE73">SUMPRODUCT(($I68:AE68))-SUMPRODUCT(($I68:AE68)*($I$6:AE$6&lt;=(AE$6-$E16)))</f>
        <v>0</v>
      </c>
      <c r="AF73" s="28" cm="1">
        <f t="array" ref="AF73">SUMPRODUCT(($I68:AF68))-SUMPRODUCT(($I68:AF68)*($I$6:AF$6&lt;=(AF$6-$E16)))</f>
        <v>0</v>
      </c>
      <c r="AG73" s="28" cm="1">
        <f t="array" ref="AG73">SUMPRODUCT(($I68:AG68))-SUMPRODUCT(($I68:AG68)*($I$6:AG$6&lt;=(AG$6-$E16)))</f>
        <v>0</v>
      </c>
      <c r="AH73"/>
    </row>
    <row r="74" spans="1:34" x14ac:dyDescent="0.2">
      <c r="A74" s="6"/>
      <c r="B74" s="6"/>
      <c r="C74" s="4"/>
      <c r="D74" s="34"/>
      <c r="F74" s="84"/>
      <c r="G74" s="18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/>
    </row>
    <row r="75" spans="1:34" x14ac:dyDescent="0.2">
      <c r="A75" s="6"/>
      <c r="B75" s="6"/>
      <c r="C75" s="125" t="s">
        <v>143</v>
      </c>
      <c r="D75" s="34"/>
      <c r="G75" s="187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x14ac:dyDescent="0.2">
      <c r="A76" s="6"/>
      <c r="B76" s="6"/>
      <c r="C76" s="4" t="str">
        <f>$C$75&amp;" - "&amp;C14</f>
        <v>Annualised capex - Refurbish transformer</v>
      </c>
      <c r="D76" s="34"/>
      <c r="G76" s="184">
        <f>input_dollars</f>
        <v>45291</v>
      </c>
      <c r="H76" s="28"/>
      <c r="I76" s="28">
        <f>IF($E14=0,0,-PMT(real_disc, $E14,H71,))</f>
        <v>0</v>
      </c>
      <c r="J76" s="28">
        <f>IF($E14=0,0,-PMT(real_disc, $E14,I71,))</f>
        <v>0</v>
      </c>
      <c r="K76" s="28">
        <f>IF($E14=0,0,-PMT(real_disc, $E14,J71,))</f>
        <v>0</v>
      </c>
      <c r="L76" s="28">
        <f>IF($E14=0,0,-PMT(real_disc, $E14,K71,))</f>
        <v>-37291.370695003883</v>
      </c>
      <c r="M76" s="28">
        <f>IF($E14=0,0,-PMT(real_disc, $E14,L71,))</f>
        <v>-37291.370695003883</v>
      </c>
      <c r="N76" s="28">
        <f>IF($E14=0,0,-PMT(real_disc, $E14,M71,))</f>
        <v>-37291.370695003883</v>
      </c>
      <c r="O76" s="28">
        <f>IF($E14=0,0,-PMT(real_disc, $E14,N71,))</f>
        <v>-37291.370695003883</v>
      </c>
      <c r="P76" s="28">
        <f>IF($E14=0,0,-PMT(real_disc, $E14,O71,))</f>
        <v>-37291.370695003883</v>
      </c>
      <c r="Q76" s="28">
        <f>IF($E14=0,0,-PMT(real_disc, $E14,P71,))</f>
        <v>-37291.370695003883</v>
      </c>
      <c r="R76" s="28">
        <f>IF($E14=0,0,-PMT(real_disc, $E14,Q71,))</f>
        <v>-37291.370695003883</v>
      </c>
      <c r="S76" s="28">
        <f>IF($E14=0,0,-PMT(real_disc, $E14,R71,))</f>
        <v>-37291.370695003883</v>
      </c>
      <c r="T76" s="28">
        <f>IF($E14=0,0,-PMT(real_disc, $E14,S71,))</f>
        <v>-37291.370695003883</v>
      </c>
      <c r="U76" s="28">
        <f>IF($E14=0,0,-PMT(real_disc, $E14,T71,))</f>
        <v>-37291.370695003883</v>
      </c>
      <c r="V76" s="28">
        <f>IF($E14=0,0,-PMT(real_disc, $E14,U71,))</f>
        <v>-37291.370695003883</v>
      </c>
      <c r="W76" s="28">
        <f>IF($E14=0,0,-PMT(real_disc, $E14,V71,))</f>
        <v>-37291.370695003883</v>
      </c>
      <c r="X76" s="28">
        <f>IF($E14=0,0,-PMT(real_disc, $E14,W71,))</f>
        <v>-37291.370695003883</v>
      </c>
      <c r="Y76" s="28">
        <f>IF($E14=0,0,-PMT(real_disc, $E14,X71,))</f>
        <v>-37291.370695003883</v>
      </c>
      <c r="Z76" s="28">
        <f>IF($E14=0,0,-PMT(real_disc, $E14,Y71,))</f>
        <v>-37291.370695003883</v>
      </c>
      <c r="AA76" s="28">
        <f>IF($E14=0,0,-PMT(real_disc, $E14,Z71,))</f>
        <v>-37291.370695003883</v>
      </c>
      <c r="AB76" s="28">
        <f>IF($E14=0,0,-PMT(real_disc, $E14,AA71,))</f>
        <v>-37291.370695003883</v>
      </c>
      <c r="AC76" s="28">
        <f>IF($E14=0,0,-PMT(real_disc, $E14,AB71,))</f>
        <v>-37291.370695003883</v>
      </c>
      <c r="AD76" s="28">
        <f>IF($E14=0,0,-PMT(real_disc, $E14,AC71,))</f>
        <v>-37291.370695003883</v>
      </c>
      <c r="AE76" s="28">
        <f>IF($E14=0,0,-PMT(real_disc, $E14,AD71,))</f>
        <v>-37291.370695003883</v>
      </c>
      <c r="AF76" s="28">
        <f>IF($E14=0,0,-PMT(real_disc, $E14,AE71,))</f>
        <v>0</v>
      </c>
      <c r="AG76" s="28">
        <f>IF($E14=0,0,-PMT(real_disc, $E14,AF71,))</f>
        <v>0</v>
      </c>
      <c r="AH76"/>
    </row>
    <row r="77" spans="1:34" x14ac:dyDescent="0.2">
      <c r="A77" s="6"/>
      <c r="B77" s="6"/>
      <c r="C77" s="4" t="str">
        <f>$C$75&amp;" - "&amp;C15</f>
        <v>Annualised capex - &lt; Enter description &gt;</v>
      </c>
      <c r="D77" s="34"/>
      <c r="G77" s="184">
        <f>input_dollars</f>
        <v>45291</v>
      </c>
      <c r="H77" s="28"/>
      <c r="I77" s="28">
        <f>IF($E15=0,0,-PMT(real_disc, $E15,H72,))</f>
        <v>0</v>
      </c>
      <c r="J77" s="28">
        <f>IF($E15=0,0,-PMT(real_disc, $E15,I72,))</f>
        <v>0</v>
      </c>
      <c r="K77" s="28">
        <f>IF($E15=0,0,-PMT(real_disc, $E15,J72,))</f>
        <v>0</v>
      </c>
      <c r="L77" s="28">
        <f>IF($E15=0,0,-PMT(real_disc, $E15,K72,))</f>
        <v>0</v>
      </c>
      <c r="M77" s="28">
        <f>IF($E15=0,0,-PMT(real_disc, $E15,L72,))</f>
        <v>0</v>
      </c>
      <c r="N77" s="28">
        <f>IF($E15=0,0,-PMT(real_disc, $E15,M72,))</f>
        <v>0</v>
      </c>
      <c r="O77" s="28">
        <f>IF($E15=0,0,-PMT(real_disc, $E15,N72,))</f>
        <v>0</v>
      </c>
      <c r="P77" s="28">
        <f>IF($E15=0,0,-PMT(real_disc, $E15,O72,))</f>
        <v>0</v>
      </c>
      <c r="Q77" s="28">
        <f>IF($E15=0,0,-PMT(real_disc, $E15,P72,))</f>
        <v>0</v>
      </c>
      <c r="R77" s="28">
        <f>IF($E15=0,0,-PMT(real_disc, $E15,Q72,))</f>
        <v>0</v>
      </c>
      <c r="S77" s="28">
        <f>IF($E15=0,0,-PMT(real_disc, $E15,R72,))</f>
        <v>0</v>
      </c>
      <c r="T77" s="28">
        <f>IF($E15=0,0,-PMT(real_disc, $E15,S72,))</f>
        <v>0</v>
      </c>
      <c r="U77" s="28">
        <f>IF($E15=0,0,-PMT(real_disc, $E15,T72,))</f>
        <v>0</v>
      </c>
      <c r="V77" s="28">
        <f>IF($E15=0,0,-PMT(real_disc, $E15,U72,))</f>
        <v>0</v>
      </c>
      <c r="W77" s="28">
        <f>IF($E15=0,0,-PMT(real_disc, $E15,V72,))</f>
        <v>0</v>
      </c>
      <c r="X77" s="28">
        <f>IF($E15=0,0,-PMT(real_disc, $E15,W72,))</f>
        <v>0</v>
      </c>
      <c r="Y77" s="28">
        <f>IF($E15=0,0,-PMT(real_disc, $E15,X72,))</f>
        <v>0</v>
      </c>
      <c r="Z77" s="28">
        <f>IF($E15=0,0,-PMT(real_disc, $E15,Y72,))</f>
        <v>0</v>
      </c>
      <c r="AA77" s="28">
        <f>IF($E15=0,0,-PMT(real_disc, $E15,Z72,))</f>
        <v>0</v>
      </c>
      <c r="AB77" s="28">
        <f>IF($E15=0,0,-PMT(real_disc, $E15,AA72,))</f>
        <v>0</v>
      </c>
      <c r="AC77" s="28">
        <f>IF($E15=0,0,-PMT(real_disc, $E15,AB72,))</f>
        <v>0</v>
      </c>
      <c r="AD77" s="28">
        <f>IF($E15=0,0,-PMT(real_disc, $E15,AC72,))</f>
        <v>0</v>
      </c>
      <c r="AE77" s="28">
        <f>IF($E15=0,0,-PMT(real_disc, $E15,AD72,))</f>
        <v>0</v>
      </c>
      <c r="AF77" s="28">
        <f>IF($E15=0,0,-PMT(real_disc, $E15,AE72,))</f>
        <v>0</v>
      </c>
      <c r="AG77" s="28">
        <f>IF($E15=0,0,-PMT(real_disc, $E15,AF72,))</f>
        <v>0</v>
      </c>
      <c r="AH77"/>
    </row>
    <row r="78" spans="1:34" x14ac:dyDescent="0.2">
      <c r="A78" s="6"/>
      <c r="B78" s="6"/>
      <c r="C78" s="4" t="str">
        <f>$C$75&amp;" - "&amp;C16</f>
        <v>Annualised capex - &lt; Enter description &gt;</v>
      </c>
      <c r="D78" s="34"/>
      <c r="G78" s="184">
        <f>input_dollars</f>
        <v>45291</v>
      </c>
      <c r="H78" s="28"/>
      <c r="I78" s="28">
        <f>IF($E16=0,0,-PMT(real_disc, $E16,H73,))</f>
        <v>0</v>
      </c>
      <c r="J78" s="28">
        <f>IF($E16=0,0,-PMT(real_disc, $E16,I73,))</f>
        <v>0</v>
      </c>
      <c r="K78" s="28">
        <f>IF($E16=0,0,-PMT(real_disc, $E16,J73,))</f>
        <v>0</v>
      </c>
      <c r="L78" s="28">
        <f>IF($E16=0,0,-PMT(real_disc, $E16,K73,))</f>
        <v>0</v>
      </c>
      <c r="M78" s="28">
        <f>IF($E16=0,0,-PMT(real_disc, $E16,L73,))</f>
        <v>0</v>
      </c>
      <c r="N78" s="28">
        <f>IF($E16=0,0,-PMT(real_disc, $E16,M73,))</f>
        <v>0</v>
      </c>
      <c r="O78" s="28">
        <f>IF($E16=0,0,-PMT(real_disc, $E16,N73,))</f>
        <v>0</v>
      </c>
      <c r="P78" s="28">
        <f>IF($E16=0,0,-PMT(real_disc, $E16,O73,))</f>
        <v>0</v>
      </c>
      <c r="Q78" s="28">
        <f>IF($E16=0,0,-PMT(real_disc, $E16,P73,))</f>
        <v>0</v>
      </c>
      <c r="R78" s="28">
        <f>IF($E16=0,0,-PMT(real_disc, $E16,Q73,))</f>
        <v>0</v>
      </c>
      <c r="S78" s="28">
        <f>IF($E16=0,0,-PMT(real_disc, $E16,R73,))</f>
        <v>0</v>
      </c>
      <c r="T78" s="28">
        <f>IF($E16=0,0,-PMT(real_disc, $E16,S73,))</f>
        <v>0</v>
      </c>
      <c r="U78" s="28">
        <f>IF($E16=0,0,-PMT(real_disc, $E16,T73,))</f>
        <v>0</v>
      </c>
      <c r="V78" s="28">
        <f>IF($E16=0,0,-PMT(real_disc, $E16,U73,))</f>
        <v>0</v>
      </c>
      <c r="W78" s="28">
        <f>IF($E16=0,0,-PMT(real_disc, $E16,V73,))</f>
        <v>0</v>
      </c>
      <c r="X78" s="28">
        <f>IF($E16=0,0,-PMT(real_disc, $E16,W73,))</f>
        <v>0</v>
      </c>
      <c r="Y78" s="28">
        <f>IF($E16=0,0,-PMT(real_disc, $E16,X73,))</f>
        <v>0</v>
      </c>
      <c r="Z78" s="28">
        <f>IF($E16=0,0,-PMT(real_disc, $E16,Y73,))</f>
        <v>0</v>
      </c>
      <c r="AA78" s="28">
        <f>IF($E16=0,0,-PMT(real_disc, $E16,Z73,))</f>
        <v>0</v>
      </c>
      <c r="AB78" s="28">
        <f>IF($E16=0,0,-PMT(real_disc, $E16,AA73,))</f>
        <v>0</v>
      </c>
      <c r="AC78" s="28">
        <f>IF($E16=0,0,-PMT(real_disc, $E16,AB73,))</f>
        <v>0</v>
      </c>
      <c r="AD78" s="28">
        <f>IF($E16=0,0,-PMT(real_disc, $E16,AC73,))</f>
        <v>0</v>
      </c>
      <c r="AE78" s="28">
        <f>IF($E16=0,0,-PMT(real_disc, $E16,AD73,))</f>
        <v>0</v>
      </c>
      <c r="AF78" s="28">
        <f>IF($E16=0,0,-PMT(real_disc, $E16,AE73,))</f>
        <v>0</v>
      </c>
      <c r="AG78" s="28">
        <f>IF($E16=0,0,-PMT(real_disc, $E16,AF73,))</f>
        <v>0</v>
      </c>
      <c r="AH78"/>
    </row>
    <row r="79" spans="1:34" x14ac:dyDescent="0.2">
      <c r="A79" s="6"/>
      <c r="B79" s="6"/>
      <c r="C79" s="148" t="s">
        <v>144</v>
      </c>
      <c r="D79" s="148"/>
      <c r="E79" s="149"/>
      <c r="F79" s="150"/>
      <c r="G79" s="189">
        <f>input_dollars</f>
        <v>45291</v>
      </c>
      <c r="H79" s="151"/>
      <c r="I79" s="151">
        <f>SUM(I76:I78)</f>
        <v>0</v>
      </c>
      <c r="J79" s="151">
        <f t="shared" ref="J79:AB79" si="2">SUM(J76:J78)</f>
        <v>0</v>
      </c>
      <c r="K79" s="151">
        <f t="shared" si="2"/>
        <v>0</v>
      </c>
      <c r="L79" s="151">
        <f t="shared" si="2"/>
        <v>-37291.370695003883</v>
      </c>
      <c r="M79" s="151">
        <f t="shared" si="2"/>
        <v>-37291.370695003883</v>
      </c>
      <c r="N79" s="151">
        <f t="shared" si="2"/>
        <v>-37291.370695003883</v>
      </c>
      <c r="O79" s="151">
        <f t="shared" si="2"/>
        <v>-37291.370695003883</v>
      </c>
      <c r="P79" s="151">
        <f t="shared" si="2"/>
        <v>-37291.370695003883</v>
      </c>
      <c r="Q79" s="151">
        <f t="shared" si="2"/>
        <v>-37291.370695003883</v>
      </c>
      <c r="R79" s="151">
        <f t="shared" si="2"/>
        <v>-37291.370695003883</v>
      </c>
      <c r="S79" s="151">
        <f t="shared" si="2"/>
        <v>-37291.370695003883</v>
      </c>
      <c r="T79" s="151">
        <f t="shared" si="2"/>
        <v>-37291.370695003883</v>
      </c>
      <c r="U79" s="151">
        <f t="shared" si="2"/>
        <v>-37291.370695003883</v>
      </c>
      <c r="V79" s="151">
        <f t="shared" si="2"/>
        <v>-37291.370695003883</v>
      </c>
      <c r="W79" s="151">
        <f t="shared" si="2"/>
        <v>-37291.370695003883</v>
      </c>
      <c r="X79" s="151">
        <f t="shared" si="2"/>
        <v>-37291.370695003883</v>
      </c>
      <c r="Y79" s="151">
        <f t="shared" si="2"/>
        <v>-37291.370695003883</v>
      </c>
      <c r="Z79" s="151">
        <f t="shared" si="2"/>
        <v>-37291.370695003883</v>
      </c>
      <c r="AA79" s="151">
        <f t="shared" si="2"/>
        <v>-37291.370695003883</v>
      </c>
      <c r="AB79" s="151">
        <f t="shared" si="2"/>
        <v>-37291.370695003883</v>
      </c>
      <c r="AC79" s="151">
        <f>SUM(AC76:AC78)</f>
        <v>-37291.370695003883</v>
      </c>
      <c r="AD79" s="151">
        <f>SUM(AD76:AD78)</f>
        <v>-37291.370695003883</v>
      </c>
      <c r="AE79" s="151">
        <f>SUM(AE76:AE78)</f>
        <v>-37291.370695003883</v>
      </c>
      <c r="AF79" s="151">
        <f>SUM(AF76:AF78)</f>
        <v>0</v>
      </c>
      <c r="AG79" s="151">
        <f>SUM(AG76:AG78)</f>
        <v>0</v>
      </c>
      <c r="AH79"/>
    </row>
    <row r="80" spans="1:34" x14ac:dyDescent="0.2">
      <c r="A80" s="6"/>
      <c r="B80" s="6"/>
      <c r="C80" s="12"/>
      <c r="D80" s="34"/>
      <c r="F80"/>
      <c r="G80" s="19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1:34" x14ac:dyDescent="0.2">
      <c r="A81" s="6"/>
      <c r="B81" s="6"/>
      <c r="C81" s="4" t="s">
        <v>143</v>
      </c>
      <c r="D81" s="34"/>
      <c r="F81" s="84"/>
      <c r="G81" s="184">
        <f t="shared" ref="G81:G86" si="3">input_dollars</f>
        <v>45291</v>
      </c>
      <c r="H81" s="28"/>
      <c r="I81" s="28">
        <f>I79</f>
        <v>0</v>
      </c>
      <c r="J81" s="28">
        <f t="shared" ref="J81:AB81" si="4">J79</f>
        <v>0</v>
      </c>
      <c r="K81" s="28">
        <f t="shared" si="4"/>
        <v>0</v>
      </c>
      <c r="L81" s="28">
        <f t="shared" si="4"/>
        <v>-37291.370695003883</v>
      </c>
      <c r="M81" s="28">
        <f t="shared" si="4"/>
        <v>-37291.370695003883</v>
      </c>
      <c r="N81" s="28">
        <f t="shared" si="4"/>
        <v>-37291.370695003883</v>
      </c>
      <c r="O81" s="28">
        <f t="shared" si="4"/>
        <v>-37291.370695003883</v>
      </c>
      <c r="P81" s="28">
        <f t="shared" si="4"/>
        <v>-37291.370695003883</v>
      </c>
      <c r="Q81" s="28">
        <f t="shared" si="4"/>
        <v>-37291.370695003883</v>
      </c>
      <c r="R81" s="28">
        <f t="shared" si="4"/>
        <v>-37291.370695003883</v>
      </c>
      <c r="S81" s="28">
        <f t="shared" si="4"/>
        <v>-37291.370695003883</v>
      </c>
      <c r="T81" s="28">
        <f t="shared" si="4"/>
        <v>-37291.370695003883</v>
      </c>
      <c r="U81" s="28">
        <f t="shared" si="4"/>
        <v>-37291.370695003883</v>
      </c>
      <c r="V81" s="28">
        <f t="shared" si="4"/>
        <v>-37291.370695003883</v>
      </c>
      <c r="W81" s="28">
        <f t="shared" si="4"/>
        <v>-37291.370695003883</v>
      </c>
      <c r="X81" s="28">
        <f t="shared" si="4"/>
        <v>-37291.370695003883</v>
      </c>
      <c r="Y81" s="28">
        <f t="shared" si="4"/>
        <v>-37291.370695003883</v>
      </c>
      <c r="Z81" s="28">
        <f t="shared" si="4"/>
        <v>-37291.370695003883</v>
      </c>
      <c r="AA81" s="28">
        <f t="shared" si="4"/>
        <v>-37291.370695003883</v>
      </c>
      <c r="AB81" s="28">
        <f t="shared" si="4"/>
        <v>-37291.370695003883</v>
      </c>
      <c r="AC81" s="28">
        <f>AC79</f>
        <v>-37291.370695003883</v>
      </c>
      <c r="AD81" s="28">
        <f>AD79</f>
        <v>-37291.370695003883</v>
      </c>
      <c r="AE81" s="28">
        <f>AE79</f>
        <v>-37291.370695003883</v>
      </c>
      <c r="AF81" s="28">
        <f>AF79</f>
        <v>0</v>
      </c>
      <c r="AG81" s="28">
        <f>AG79</f>
        <v>0</v>
      </c>
      <c r="AH81"/>
    </row>
    <row r="82" spans="1:34" x14ac:dyDescent="0.2">
      <c r="A82" s="6"/>
      <c r="B82" s="6"/>
      <c r="C82" s="4" t="s">
        <v>33</v>
      </c>
      <c r="D82" s="34"/>
      <c r="F82" s="84"/>
      <c r="G82" s="184">
        <f t="shared" si="3"/>
        <v>45291</v>
      </c>
      <c r="H82" s="28"/>
      <c r="I82" s="28">
        <f>-I19</f>
        <v>0</v>
      </c>
      <c r="J82" s="28">
        <f>-J19</f>
        <v>0</v>
      </c>
      <c r="K82" s="28">
        <f>-K19</f>
        <v>0</v>
      </c>
      <c r="L82" s="28">
        <f>-L19</f>
        <v>0</v>
      </c>
      <c r="M82" s="28">
        <f>-M19</f>
        <v>0</v>
      </c>
      <c r="N82" s="28">
        <f>-N19</f>
        <v>0</v>
      </c>
      <c r="O82" s="28">
        <f>-O19</f>
        <v>0</v>
      </c>
      <c r="P82" s="28">
        <f>-P19</f>
        <v>0</v>
      </c>
      <c r="Q82" s="28">
        <f>-Q19</f>
        <v>0</v>
      </c>
      <c r="R82" s="28">
        <f>-R19</f>
        <v>0</v>
      </c>
      <c r="S82" s="28">
        <f>-S19</f>
        <v>0</v>
      </c>
      <c r="T82" s="28">
        <f>-T19</f>
        <v>0</v>
      </c>
      <c r="U82" s="28">
        <f>-U19</f>
        <v>0</v>
      </c>
      <c r="V82" s="28">
        <f>-V19</f>
        <v>0</v>
      </c>
      <c r="W82" s="28">
        <f>-W19</f>
        <v>0</v>
      </c>
      <c r="X82" s="28">
        <f>-X19</f>
        <v>0</v>
      </c>
      <c r="Y82" s="28">
        <f>-Y19</f>
        <v>0</v>
      </c>
      <c r="Z82" s="28">
        <f>-Z19</f>
        <v>0</v>
      </c>
      <c r="AA82" s="28">
        <f>-AA19</f>
        <v>0</v>
      </c>
      <c r="AB82" s="28">
        <f>-AB19</f>
        <v>0</v>
      </c>
      <c r="AC82" s="28">
        <f>-AC19</f>
        <v>0</v>
      </c>
      <c r="AD82" s="28">
        <f>-AD19</f>
        <v>0</v>
      </c>
      <c r="AE82" s="28">
        <f>-AE19</f>
        <v>0</v>
      </c>
      <c r="AF82" s="28">
        <f>-AF19</f>
        <v>0</v>
      </c>
      <c r="AG82" s="28">
        <f>-AG19</f>
        <v>0</v>
      </c>
      <c r="AH82"/>
    </row>
    <row r="83" spans="1:34" x14ac:dyDescent="0.2">
      <c r="A83" s="6"/>
      <c r="B83" s="6"/>
      <c r="C83" s="4" t="s">
        <v>145</v>
      </c>
      <c r="D83" s="34"/>
      <c r="F83" s="84"/>
      <c r="G83" s="184">
        <f t="shared" si="3"/>
        <v>45291</v>
      </c>
      <c r="H83" s="28"/>
      <c r="I83" s="28">
        <f t="shared" ref="I83:AG83" si="5">I63</f>
        <v>0</v>
      </c>
      <c r="J83" s="28">
        <f t="shared" si="5"/>
        <v>0</v>
      </c>
      <c r="K83" s="28">
        <f t="shared" si="5"/>
        <v>0</v>
      </c>
      <c r="L83" s="28">
        <f t="shared" si="5"/>
        <v>25601.007245612331</v>
      </c>
      <c r="M83" s="28">
        <f t="shared" si="5"/>
        <v>26204.005432534497</v>
      </c>
      <c r="N83" s="28">
        <f t="shared" si="5"/>
        <v>27027.197585566202</v>
      </c>
      <c r="O83" s="28">
        <f t="shared" si="5"/>
        <v>28223.083808001131</v>
      </c>
      <c r="P83" s="28">
        <f t="shared" si="5"/>
        <v>29435.323085980024</v>
      </c>
      <c r="Q83" s="28">
        <f t="shared" si="5"/>
        <v>30394.154808228137</v>
      </c>
      <c r="R83" s="28">
        <f t="shared" si="5"/>
        <v>31049.482581821037</v>
      </c>
      <c r="S83" s="28">
        <f t="shared" si="5"/>
        <v>31711.437692315318</v>
      </c>
      <c r="T83" s="28">
        <f t="shared" si="5"/>
        <v>32380.031549904728</v>
      </c>
      <c r="U83" s="28">
        <f t="shared" si="5"/>
        <v>33055.238014483126</v>
      </c>
      <c r="V83" s="28">
        <f t="shared" si="5"/>
        <v>33737.057863859227</v>
      </c>
      <c r="W83" s="28">
        <f t="shared" si="5"/>
        <v>34425.454300467158</v>
      </c>
      <c r="X83" s="28">
        <f t="shared" si="5"/>
        <v>35120.393270304427</v>
      </c>
      <c r="Y83" s="28">
        <f t="shared" si="5"/>
        <v>35821.891826098086</v>
      </c>
      <c r="Z83" s="28">
        <f t="shared" si="5"/>
        <v>36529.932165494654</v>
      </c>
      <c r="AA83" s="28">
        <f t="shared" si="5"/>
        <v>37244.488416692708</v>
      </c>
      <c r="AB83" s="28">
        <f t="shared" si="5"/>
        <v>37965.532095137285</v>
      </c>
      <c r="AC83" s="28">
        <f t="shared" si="5"/>
        <v>38693.034733247245</v>
      </c>
      <c r="AD83" s="28">
        <f t="shared" si="5"/>
        <v>39427.027129442431</v>
      </c>
      <c r="AE83" s="28">
        <f t="shared" si="5"/>
        <v>40119.961865055142</v>
      </c>
      <c r="AF83" s="28">
        <f t="shared" si="5"/>
        <v>40818.905226160306</v>
      </c>
      <c r="AG83" s="28">
        <f t="shared" si="5"/>
        <v>41523.904196710093</v>
      </c>
      <c r="AH83"/>
    </row>
    <row r="84" spans="1:34" x14ac:dyDescent="0.2">
      <c r="A84" s="6"/>
      <c r="B84" s="6"/>
      <c r="C84" s="4" t="s">
        <v>146</v>
      </c>
      <c r="D84" s="34"/>
      <c r="F84" s="84"/>
      <c r="G84" s="184">
        <f t="shared" si="3"/>
        <v>45291</v>
      </c>
      <c r="H84" s="28"/>
      <c r="I84" s="28">
        <f t="shared" ref="I84:AG84" si="6">I56</f>
        <v>0</v>
      </c>
      <c r="J84" s="28">
        <f t="shared" si="6"/>
        <v>0</v>
      </c>
      <c r="K84" s="28">
        <f t="shared" si="6"/>
        <v>0</v>
      </c>
      <c r="L84" s="28">
        <f t="shared" si="6"/>
        <v>0</v>
      </c>
      <c r="M84" s="28">
        <f t="shared" si="6"/>
        <v>0</v>
      </c>
      <c r="N84" s="28">
        <f t="shared" si="6"/>
        <v>0</v>
      </c>
      <c r="O84" s="28">
        <f t="shared" si="6"/>
        <v>0</v>
      </c>
      <c r="P84" s="28">
        <f t="shared" si="6"/>
        <v>0</v>
      </c>
      <c r="Q84" s="28">
        <f t="shared" si="6"/>
        <v>0</v>
      </c>
      <c r="R84" s="28">
        <f t="shared" si="6"/>
        <v>0</v>
      </c>
      <c r="S84" s="28">
        <f t="shared" si="6"/>
        <v>0</v>
      </c>
      <c r="T84" s="28">
        <f t="shared" si="6"/>
        <v>0</v>
      </c>
      <c r="U84" s="28">
        <f t="shared" si="6"/>
        <v>0</v>
      </c>
      <c r="V84" s="28">
        <f t="shared" si="6"/>
        <v>0</v>
      </c>
      <c r="W84" s="28">
        <f t="shared" si="6"/>
        <v>0</v>
      </c>
      <c r="X84" s="28">
        <f t="shared" si="6"/>
        <v>0</v>
      </c>
      <c r="Y84" s="28">
        <f t="shared" si="6"/>
        <v>0</v>
      </c>
      <c r="Z84" s="28">
        <f t="shared" si="6"/>
        <v>0</v>
      </c>
      <c r="AA84" s="28">
        <f t="shared" si="6"/>
        <v>0</v>
      </c>
      <c r="AB84" s="28">
        <f t="shared" si="6"/>
        <v>0</v>
      </c>
      <c r="AC84" s="28">
        <f t="shared" si="6"/>
        <v>0</v>
      </c>
      <c r="AD84" s="28">
        <f t="shared" si="6"/>
        <v>0</v>
      </c>
      <c r="AE84" s="28">
        <f t="shared" si="6"/>
        <v>0</v>
      </c>
      <c r="AF84" s="28">
        <f t="shared" si="6"/>
        <v>0</v>
      </c>
      <c r="AG84" s="28">
        <f t="shared" si="6"/>
        <v>0</v>
      </c>
      <c r="AH84"/>
    </row>
    <row r="85" spans="1:34" x14ac:dyDescent="0.2">
      <c r="A85" s="6"/>
      <c r="B85" s="6"/>
      <c r="C85" s="4"/>
      <c r="D85" s="34"/>
      <c r="F85" s="28"/>
      <c r="G85" s="184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/>
    </row>
    <row r="86" spans="1:34" x14ac:dyDescent="0.2">
      <c r="A86" s="6"/>
      <c r="B86" s="6"/>
      <c r="C86" s="152" t="s">
        <v>147</v>
      </c>
      <c r="D86" s="153"/>
      <c r="E86" s="149"/>
      <c r="F86" s="154"/>
      <c r="G86" s="189">
        <f t="shared" si="3"/>
        <v>45291</v>
      </c>
      <c r="H86" s="154"/>
      <c r="I86" s="154">
        <f t="shared" ref="I86:AB86" si="7">SUM(I81:I85)</f>
        <v>0</v>
      </c>
      <c r="J86" s="154">
        <f t="shared" si="7"/>
        <v>0</v>
      </c>
      <c r="K86" s="154">
        <f t="shared" si="7"/>
        <v>0</v>
      </c>
      <c r="L86" s="154">
        <f t="shared" si="7"/>
        <v>-11690.363449391552</v>
      </c>
      <c r="M86" s="154">
        <f t="shared" si="7"/>
        <v>-11087.365262469386</v>
      </c>
      <c r="N86" s="154">
        <f t="shared" si="7"/>
        <v>-10264.173109437681</v>
      </c>
      <c r="O86" s="154">
        <f t="shared" si="7"/>
        <v>-9068.2868870027523</v>
      </c>
      <c r="P86" s="154">
        <f t="shared" si="7"/>
        <v>-7856.047609023859</v>
      </c>
      <c r="Q86" s="154">
        <f t="shared" si="7"/>
        <v>-6897.2158867757462</v>
      </c>
      <c r="R86" s="154">
        <f t="shared" si="7"/>
        <v>-6241.8881131828457</v>
      </c>
      <c r="S86" s="154">
        <f t="shared" si="7"/>
        <v>-5579.9330026885655</v>
      </c>
      <c r="T86" s="154">
        <f t="shared" si="7"/>
        <v>-4911.3391450991548</v>
      </c>
      <c r="U86" s="154">
        <f t="shared" si="7"/>
        <v>-4236.1326805207573</v>
      </c>
      <c r="V86" s="154">
        <f t="shared" si="7"/>
        <v>-3554.3128311446562</v>
      </c>
      <c r="W86" s="154">
        <f t="shared" si="7"/>
        <v>-2865.9163945367254</v>
      </c>
      <c r="X86" s="154">
        <f t="shared" si="7"/>
        <v>-2170.9774246994566</v>
      </c>
      <c r="Y86" s="154">
        <f t="shared" si="7"/>
        <v>-1469.4788689057968</v>
      </c>
      <c r="Z86" s="154">
        <f t="shared" si="7"/>
        <v>-761.43852950922883</v>
      </c>
      <c r="AA86" s="154">
        <f t="shared" si="7"/>
        <v>-46.882278311175469</v>
      </c>
      <c r="AB86" s="154">
        <f t="shared" si="7"/>
        <v>674.16140013340191</v>
      </c>
      <c r="AC86" s="154">
        <f>SUM(AC81:AC85)</f>
        <v>1401.6640382433616</v>
      </c>
      <c r="AD86" s="154">
        <f>SUM(AD81:AD85)</f>
        <v>2135.6564344385479</v>
      </c>
      <c r="AE86" s="154">
        <f>SUM(AE81:AE85)</f>
        <v>2828.5911700512588</v>
      </c>
      <c r="AF86" s="154">
        <f>SUM(AF81:AF85)</f>
        <v>40818.905226160306</v>
      </c>
      <c r="AG86" s="154">
        <f>SUM(AG81:AG85)</f>
        <v>41523.904196710093</v>
      </c>
      <c r="AH86"/>
    </row>
    <row r="87" spans="1:34" x14ac:dyDescent="0.2">
      <c r="A87" s="6"/>
      <c r="B87" s="6"/>
      <c r="C87" s="12"/>
      <c r="D87" s="34"/>
      <c r="F87" s="119"/>
      <c r="G87" s="184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/>
    </row>
    <row r="88" spans="1:34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/>
    </row>
    <row r="89" spans="1:34" x14ac:dyDescent="0.2">
      <c r="A89" s="6"/>
      <c r="B89" s="6"/>
      <c r="C89" s="203" t="s">
        <v>152</v>
      </c>
      <c r="D89" s="72"/>
      <c r="E89" s="204"/>
      <c r="F89" s="205"/>
      <c r="G89" s="206" cm="1">
        <f t="array" ref="G89">IF(SUM($I17:$AG17)=0,0,(INDEX(I$6:AG$6,MATCH(TRUE,INDEX($I17:$AG17&lt;&gt;0,),0))))</f>
        <v>3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/>
    </row>
    <row r="90" spans="1:34" x14ac:dyDescent="0.2">
      <c r="C90" s="72"/>
      <c r="D90" s="207"/>
      <c r="E90" s="204"/>
      <c r="F90" s="204"/>
      <c r="G90" s="206"/>
    </row>
    <row r="91" spans="1:34" x14ac:dyDescent="0.2">
      <c r="C91" s="208" t="s">
        <v>153</v>
      </c>
      <c r="D91" s="209"/>
      <c r="E91" s="209"/>
      <c r="F91" s="209"/>
      <c r="G91" s="210">
        <f>IF(_xlfn.MINIFS($G$89:$G$90, $G$89:$G$90, "&gt;"&amp;0)=0, $A$4, _xlfn.MINIFS($G$89:$G$90, $G$89:$G$90, "&gt;"&amp;0))</f>
        <v>3</v>
      </c>
    </row>
    <row r="93" spans="1:34" x14ac:dyDescent="0.2">
      <c r="G93" s="10"/>
    </row>
    <row r="101" spans="1:43" ht="15" x14ac:dyDescent="0.2">
      <c r="A101" s="78" t="s">
        <v>37</v>
      </c>
      <c r="B101" s="78"/>
      <c r="C101" s="78"/>
      <c r="D101" s="78"/>
      <c r="E101" s="78"/>
      <c r="F101" s="78"/>
      <c r="G101" s="1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/>
      <c r="AI101"/>
      <c r="AJ101"/>
      <c r="AK101"/>
      <c r="AL101"/>
      <c r="AM101"/>
      <c r="AN101"/>
      <c r="AO101"/>
      <c r="AP101"/>
      <c r="AQ101"/>
    </row>
    <row r="103" spans="1:43" x14ac:dyDescent="0.2">
      <c r="I103" s="213"/>
      <c r="J103" s="21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A105" s="1" t="s">
        <v>22</v>
      </c>
      <c r="C105" s="1" t="s">
        <v>147</v>
      </c>
      <c r="D105"/>
      <c r="E105"/>
      <c r="F105"/>
      <c r="G105" s="34" t="str">
        <f>PROPER($A$3)&amp;A105</f>
        <v>Option 3NPV</v>
      </c>
      <c r="I105" s="28">
        <f>I86</f>
        <v>0</v>
      </c>
      <c r="J105" s="28">
        <f t="shared" ref="J105:AG105" si="8">J86</f>
        <v>0</v>
      </c>
      <c r="K105" s="28">
        <f t="shared" si="8"/>
        <v>0</v>
      </c>
      <c r="L105" s="28">
        <f t="shared" si="8"/>
        <v>-11690.363449391552</v>
      </c>
      <c r="M105" s="28">
        <f t="shared" si="8"/>
        <v>-11087.365262469386</v>
      </c>
      <c r="N105" s="28">
        <f t="shared" si="8"/>
        <v>-10264.173109437681</v>
      </c>
      <c r="O105" s="28">
        <f t="shared" si="8"/>
        <v>-9068.2868870027523</v>
      </c>
      <c r="P105" s="28">
        <f t="shared" si="8"/>
        <v>-7856.047609023859</v>
      </c>
      <c r="Q105" s="28">
        <f t="shared" si="8"/>
        <v>-6897.2158867757462</v>
      </c>
      <c r="R105" s="28">
        <f t="shared" si="8"/>
        <v>-6241.8881131828457</v>
      </c>
      <c r="S105" s="28">
        <f t="shared" si="8"/>
        <v>-5579.9330026885655</v>
      </c>
      <c r="T105" s="28">
        <f t="shared" si="8"/>
        <v>-4911.3391450991548</v>
      </c>
      <c r="U105" s="28">
        <f t="shared" si="8"/>
        <v>-4236.1326805207573</v>
      </c>
      <c r="V105" s="28">
        <f t="shared" si="8"/>
        <v>-3554.3128311446562</v>
      </c>
      <c r="W105" s="28">
        <f t="shared" si="8"/>
        <v>-2865.9163945367254</v>
      </c>
      <c r="X105" s="28">
        <f t="shared" si="8"/>
        <v>-2170.9774246994566</v>
      </c>
      <c r="Y105" s="28">
        <f t="shared" si="8"/>
        <v>-1469.4788689057968</v>
      </c>
      <c r="Z105" s="28">
        <f t="shared" si="8"/>
        <v>-761.43852950922883</v>
      </c>
      <c r="AA105" s="28">
        <f t="shared" si="8"/>
        <v>-46.882278311175469</v>
      </c>
      <c r="AB105" s="28">
        <f t="shared" si="8"/>
        <v>674.16140013340191</v>
      </c>
      <c r="AC105" s="28">
        <f t="shared" si="8"/>
        <v>1401.6640382433616</v>
      </c>
      <c r="AD105" s="28">
        <f t="shared" si="8"/>
        <v>2135.6564344385479</v>
      </c>
      <c r="AE105" s="28">
        <f t="shared" si="8"/>
        <v>2828.5911700512588</v>
      </c>
      <c r="AF105" s="28">
        <f t="shared" si="8"/>
        <v>40818.905226160306</v>
      </c>
      <c r="AG105" s="28">
        <f t="shared" si="8"/>
        <v>41523.904196710093</v>
      </c>
    </row>
    <row r="106" spans="1:43" x14ac:dyDescent="0.2">
      <c r="C106" s="1" t="s">
        <v>144</v>
      </c>
      <c r="D106"/>
      <c r="E106"/>
      <c r="F106"/>
      <c r="G106"/>
      <c r="I106" s="28">
        <f>I81</f>
        <v>0</v>
      </c>
      <c r="J106" s="28">
        <f t="shared" ref="J106:AG106" si="9">J81</f>
        <v>0</v>
      </c>
      <c r="K106" s="28">
        <f t="shared" si="9"/>
        <v>0</v>
      </c>
      <c r="L106" s="28">
        <f t="shared" si="9"/>
        <v>-37291.370695003883</v>
      </c>
      <c r="M106" s="28">
        <f t="shared" si="9"/>
        <v>-37291.370695003883</v>
      </c>
      <c r="N106" s="28">
        <f t="shared" si="9"/>
        <v>-37291.370695003883</v>
      </c>
      <c r="O106" s="28">
        <f t="shared" si="9"/>
        <v>-37291.370695003883</v>
      </c>
      <c r="P106" s="28">
        <f t="shared" si="9"/>
        <v>-37291.370695003883</v>
      </c>
      <c r="Q106" s="28">
        <f t="shared" si="9"/>
        <v>-37291.370695003883</v>
      </c>
      <c r="R106" s="28">
        <f t="shared" si="9"/>
        <v>-37291.370695003883</v>
      </c>
      <c r="S106" s="28">
        <f t="shared" si="9"/>
        <v>-37291.370695003883</v>
      </c>
      <c r="T106" s="28">
        <f t="shared" si="9"/>
        <v>-37291.370695003883</v>
      </c>
      <c r="U106" s="28">
        <f t="shared" si="9"/>
        <v>-37291.370695003883</v>
      </c>
      <c r="V106" s="28">
        <f t="shared" si="9"/>
        <v>-37291.370695003883</v>
      </c>
      <c r="W106" s="28">
        <f t="shared" si="9"/>
        <v>-37291.370695003883</v>
      </c>
      <c r="X106" s="28">
        <f t="shared" si="9"/>
        <v>-37291.370695003883</v>
      </c>
      <c r="Y106" s="28">
        <f t="shared" si="9"/>
        <v>-37291.370695003883</v>
      </c>
      <c r="Z106" s="28">
        <f t="shared" si="9"/>
        <v>-37291.370695003883</v>
      </c>
      <c r="AA106" s="28">
        <f t="shared" si="9"/>
        <v>-37291.370695003883</v>
      </c>
      <c r="AB106" s="28">
        <f t="shared" si="9"/>
        <v>-37291.370695003883</v>
      </c>
      <c r="AC106" s="28">
        <f t="shared" si="9"/>
        <v>-37291.370695003883</v>
      </c>
      <c r="AD106" s="28">
        <f t="shared" si="9"/>
        <v>-37291.370695003883</v>
      </c>
      <c r="AE106" s="28">
        <f t="shared" si="9"/>
        <v>-37291.370695003883</v>
      </c>
      <c r="AF106" s="28">
        <f t="shared" si="9"/>
        <v>0</v>
      </c>
      <c r="AG106" s="28">
        <f t="shared" si="9"/>
        <v>0</v>
      </c>
    </row>
    <row r="107" spans="1:43" x14ac:dyDescent="0.2">
      <c r="C107" s="1" t="s">
        <v>104</v>
      </c>
      <c r="D107"/>
      <c r="E107"/>
      <c r="F107"/>
      <c r="G107"/>
      <c r="I107" s="28">
        <f>SUM(I83:I84)</f>
        <v>0</v>
      </c>
      <c r="J107" s="28">
        <f t="shared" ref="J107:AG107" si="10">SUM(J83:J84)</f>
        <v>0</v>
      </c>
      <c r="K107" s="28">
        <f t="shared" si="10"/>
        <v>0</v>
      </c>
      <c r="L107" s="28">
        <f t="shared" si="10"/>
        <v>25601.007245612331</v>
      </c>
      <c r="M107" s="28">
        <f t="shared" si="10"/>
        <v>26204.005432534497</v>
      </c>
      <c r="N107" s="28">
        <f t="shared" si="10"/>
        <v>27027.197585566202</v>
      </c>
      <c r="O107" s="28">
        <f t="shared" si="10"/>
        <v>28223.083808001131</v>
      </c>
      <c r="P107" s="28">
        <f t="shared" si="10"/>
        <v>29435.323085980024</v>
      </c>
      <c r="Q107" s="28">
        <f t="shared" si="10"/>
        <v>30394.154808228137</v>
      </c>
      <c r="R107" s="28">
        <f t="shared" si="10"/>
        <v>31049.482581821037</v>
      </c>
      <c r="S107" s="28">
        <f t="shared" si="10"/>
        <v>31711.437692315318</v>
      </c>
      <c r="T107" s="28">
        <f t="shared" si="10"/>
        <v>32380.031549904728</v>
      </c>
      <c r="U107" s="28">
        <f t="shared" si="10"/>
        <v>33055.238014483126</v>
      </c>
      <c r="V107" s="28">
        <f t="shared" si="10"/>
        <v>33737.057863859227</v>
      </c>
      <c r="W107" s="28">
        <f t="shared" si="10"/>
        <v>34425.454300467158</v>
      </c>
      <c r="X107" s="28">
        <f t="shared" si="10"/>
        <v>35120.393270304427</v>
      </c>
      <c r="Y107" s="28">
        <f t="shared" si="10"/>
        <v>35821.891826098086</v>
      </c>
      <c r="Z107" s="28">
        <f t="shared" si="10"/>
        <v>36529.932165494654</v>
      </c>
      <c r="AA107" s="28">
        <f t="shared" si="10"/>
        <v>37244.488416692708</v>
      </c>
      <c r="AB107" s="28">
        <f t="shared" si="10"/>
        <v>37965.532095137285</v>
      </c>
      <c r="AC107" s="28">
        <f t="shared" si="10"/>
        <v>38693.034733247245</v>
      </c>
      <c r="AD107" s="28">
        <f t="shared" si="10"/>
        <v>39427.027129442431</v>
      </c>
      <c r="AE107" s="28">
        <f t="shared" si="10"/>
        <v>40119.961865055142</v>
      </c>
      <c r="AF107" s="28">
        <f t="shared" si="10"/>
        <v>40818.905226160306</v>
      </c>
      <c r="AG107" s="28">
        <f t="shared" si="10"/>
        <v>41523.904196710093</v>
      </c>
    </row>
    <row r="108" spans="1:43" x14ac:dyDescent="0.2">
      <c r="D108" s="253" t="str">
        <f>Assumptions!G110</f>
        <v>Capex</v>
      </c>
      <c r="E108" s="253" t="str">
        <f>Assumptions!H110</f>
        <v>Total benefits</v>
      </c>
      <c r="I108" s="213"/>
      <c r="J108" s="213"/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</row>
    <row r="109" spans="1:43" x14ac:dyDescent="0.2">
      <c r="A109" s="1" t="str">
        <f>"sens"&amp;Assumptions!B111</f>
        <v>sens1</v>
      </c>
      <c r="C109" s="252" t="str">
        <f>Assumptions!C111</f>
        <v>Capex 10% higher</v>
      </c>
      <c r="D109" s="253">
        <f>Assumptions!G111</f>
        <v>0.1</v>
      </c>
      <c r="E109" s="253">
        <f>Assumptions!H111</f>
        <v>0</v>
      </c>
      <c r="G109" s="34" t="str">
        <f>PROPER($A$3)&amp;A109</f>
        <v>Option 3sens1</v>
      </c>
      <c r="I109" s="28" cm="1">
        <f t="array" ref="I109">I$105+IF($C109&lt;&gt;0,SUMPRODUCT((I$106:I$107)*TRANSPOSE(($D109:$E109))),0)</f>
        <v>0</v>
      </c>
      <c r="J109" s="28" cm="1">
        <f t="array" ref="J109">J$105+IF($C109&lt;&gt;0,SUMPRODUCT((J$106:J$107)*TRANSPOSE(($D109:$E109))),0)</f>
        <v>0</v>
      </c>
      <c r="K109" s="28" cm="1">
        <f t="array" ref="K109">K$105+IF($C109&lt;&gt;0,SUMPRODUCT((K$106:K$107)*TRANSPOSE(($D109:$E109))),0)</f>
        <v>0</v>
      </c>
      <c r="L109" s="28" cm="1">
        <f t="array" ref="L109">L$105+IF($C109&lt;&gt;0,SUMPRODUCT((L$106:L$107)*TRANSPOSE(($D109:$E109))),0)</f>
        <v>-15419.50051889194</v>
      </c>
      <c r="M109" s="28" cm="1">
        <f t="array" ref="M109">M$105+IF($C109&lt;&gt;0,SUMPRODUCT((M$106:M$107)*TRANSPOSE(($D109:$E109))),0)</f>
        <v>-14816.502331969774</v>
      </c>
      <c r="N109" s="28" cm="1">
        <f t="array" ref="N109">N$105+IF($C109&lt;&gt;0,SUMPRODUCT((N$106:N$107)*TRANSPOSE(($D109:$E109))),0)</f>
        <v>-13993.310178938069</v>
      </c>
      <c r="O109" s="28" cm="1">
        <f t="array" ref="O109">O$105+IF($C109&lt;&gt;0,SUMPRODUCT((O$106:O$107)*TRANSPOSE(($D109:$E109))),0)</f>
        <v>-12797.42395650314</v>
      </c>
      <c r="P109" s="28" cm="1">
        <f t="array" ref="P109">P$105+IF($C109&lt;&gt;0,SUMPRODUCT((P$106:P$107)*TRANSPOSE(($D109:$E109))),0)</f>
        <v>-11585.184678524247</v>
      </c>
      <c r="Q109" s="28" cm="1">
        <f t="array" ref="Q109">Q$105+IF($C109&lt;&gt;0,SUMPRODUCT((Q$106:Q$107)*TRANSPOSE(($D109:$E109))),0)</f>
        <v>-10626.352956276134</v>
      </c>
      <c r="R109" s="28" cm="1">
        <f t="array" ref="R109">R$105+IF($C109&lt;&gt;0,SUMPRODUCT((R$106:R$107)*TRANSPOSE(($D109:$E109))),0)</f>
        <v>-9971.0251826832337</v>
      </c>
      <c r="S109" s="28" cm="1">
        <f t="array" ref="S109">S$105+IF($C109&lt;&gt;0,SUMPRODUCT((S$106:S$107)*TRANSPOSE(($D109:$E109))),0)</f>
        <v>-9309.0700721889534</v>
      </c>
      <c r="T109" s="28" cm="1">
        <f t="array" ref="T109">T$105+IF($C109&lt;&gt;0,SUMPRODUCT((T$106:T$107)*TRANSPOSE(($D109:$E109))),0)</f>
        <v>-8640.4762145995428</v>
      </c>
      <c r="U109" s="28" cm="1">
        <f t="array" ref="U109">U$105+IF($C109&lt;&gt;0,SUMPRODUCT((U$106:U$107)*TRANSPOSE(($D109:$E109))),0)</f>
        <v>-7965.2697500211452</v>
      </c>
      <c r="V109" s="28" cm="1">
        <f t="array" ref="V109">V$105+IF($C109&lt;&gt;0,SUMPRODUCT((V$106:V$107)*TRANSPOSE(($D109:$E109))),0)</f>
        <v>-7283.4499006450442</v>
      </c>
      <c r="W109" s="28" cm="1">
        <f t="array" ref="W109">W$105+IF($C109&lt;&gt;0,SUMPRODUCT((W$106:W$107)*TRANSPOSE(($D109:$E109))),0)</f>
        <v>-6595.0534640371134</v>
      </c>
      <c r="X109" s="28" cm="1">
        <f t="array" ref="X109">X$105+IF($C109&lt;&gt;0,SUMPRODUCT((X$106:X$107)*TRANSPOSE(($D109:$E109))),0)</f>
        <v>-5900.1144941998446</v>
      </c>
      <c r="Y109" s="28" cm="1">
        <f t="array" ref="Y109">Y$105+IF($C109&lt;&gt;0,SUMPRODUCT((Y$106:Y$107)*TRANSPOSE(($D109:$E109))),0)</f>
        <v>-5198.6159384061848</v>
      </c>
      <c r="Z109" s="28" cm="1">
        <f t="array" ref="Z109">Z$105+IF($C109&lt;&gt;0,SUMPRODUCT((Z$106:Z$107)*TRANSPOSE(($D109:$E109))),0)</f>
        <v>-4490.5755990096168</v>
      </c>
      <c r="AA109" s="28" cm="1">
        <f t="array" ref="AA109">AA$105+IF($C109&lt;&gt;0,SUMPRODUCT((AA$106:AA$107)*TRANSPOSE(($D109:$E109))),0)</f>
        <v>-3776.0193478115639</v>
      </c>
      <c r="AB109" s="28" cm="1">
        <f t="array" ref="AB109">AB$105+IF($C109&lt;&gt;0,SUMPRODUCT((AB$106:AB$107)*TRANSPOSE(($D109:$E109))),0)</f>
        <v>-3054.9756693669865</v>
      </c>
      <c r="AC109" s="28" cm="1">
        <f t="array" ref="AC109">AC$105+IF($C109&lt;&gt;0,SUMPRODUCT((AC$106:AC$107)*TRANSPOSE(($D109:$E109))),0)</f>
        <v>-2327.4730312570268</v>
      </c>
      <c r="AD109" s="28" cm="1">
        <f t="array" ref="AD109">AD$105+IF($C109&lt;&gt;0,SUMPRODUCT((AD$106:AD$107)*TRANSPOSE(($D109:$E109))),0)</f>
        <v>-1593.4806350618405</v>
      </c>
      <c r="AE109" s="28" cm="1">
        <f t="array" ref="AE109">AE$105+IF($C109&lt;&gt;0,SUMPRODUCT((AE$106:AE$107)*TRANSPOSE(($D109:$E109))),0)</f>
        <v>-900.54589944912959</v>
      </c>
      <c r="AF109" s="28" cm="1">
        <f t="array" ref="AF109">AF$105+IF($C109&lt;&gt;0,SUMPRODUCT((AF$106:AF$107)*TRANSPOSE(($D109:$E109))),0)</f>
        <v>40818.905226160306</v>
      </c>
      <c r="AG109" s="28" cm="1">
        <f t="array" ref="AG109">AG$105+IF($C109&lt;&gt;0,SUMPRODUCT((AG$106:AG$107)*TRANSPOSE(($D109:$E109))),0)</f>
        <v>41523.904196710093</v>
      </c>
    </row>
    <row r="110" spans="1:43" x14ac:dyDescent="0.2">
      <c r="A110" s="1" t="str">
        <f>"sens"&amp;Assumptions!B112</f>
        <v>sens2</v>
      </c>
      <c r="C110" s="252" t="str">
        <f>Assumptions!C112</f>
        <v>Capex 10% lower</v>
      </c>
      <c r="D110" s="253">
        <f>Assumptions!G112</f>
        <v>-0.1</v>
      </c>
      <c r="E110" s="253">
        <f>Assumptions!H112</f>
        <v>0</v>
      </c>
      <c r="G110" s="34" t="str">
        <f t="shared" ref="G110:G116" si="11">PROPER($A$3)&amp;A110</f>
        <v>Option 3sens2</v>
      </c>
      <c r="I110" s="28" cm="1">
        <f t="array" ref="I110">I$105+IF($C110&lt;&gt;0,SUMPRODUCT((I$106:I$107)*TRANSPOSE(($D110:$E110))),0)</f>
        <v>0</v>
      </c>
      <c r="J110" s="28" cm="1">
        <f t="array" ref="J110">J$105+IF($C110&lt;&gt;0,SUMPRODUCT((J$106:J$107)*TRANSPOSE(($D110:$E110))),0)</f>
        <v>0</v>
      </c>
      <c r="K110" s="28" cm="1">
        <f t="array" ref="K110">K$105+IF($C110&lt;&gt;0,SUMPRODUCT((K$106:K$107)*TRANSPOSE(($D110:$E110))),0)</f>
        <v>0</v>
      </c>
      <c r="L110" s="28" cm="1">
        <f t="array" ref="L110">L$105+IF($C110&lt;&gt;0,SUMPRODUCT((L$106:L$107)*TRANSPOSE(($D110:$E110))),0)</f>
        <v>-7961.2263798911645</v>
      </c>
      <c r="M110" s="28" cm="1">
        <f t="array" ref="M110">M$105+IF($C110&lt;&gt;0,SUMPRODUCT((M$106:M$107)*TRANSPOSE(($D110:$E110))),0)</f>
        <v>-7358.228192968998</v>
      </c>
      <c r="N110" s="28" cm="1">
        <f t="array" ref="N110">N$105+IF($C110&lt;&gt;0,SUMPRODUCT((N$106:N$107)*TRANSPOSE(($D110:$E110))),0)</f>
        <v>-6535.036039937293</v>
      </c>
      <c r="O110" s="28" cm="1">
        <f t="array" ref="O110">O$105+IF($C110&lt;&gt;0,SUMPRODUCT((O$106:O$107)*TRANSPOSE(($D110:$E110))),0)</f>
        <v>-5339.1498175023644</v>
      </c>
      <c r="P110" s="28" cm="1">
        <f t="array" ref="P110">P$105+IF($C110&lt;&gt;0,SUMPRODUCT((P$106:P$107)*TRANSPOSE(($D110:$E110))),0)</f>
        <v>-4126.910539523471</v>
      </c>
      <c r="Q110" s="28" cm="1">
        <f t="array" ref="Q110">Q$105+IF($C110&lt;&gt;0,SUMPRODUCT((Q$106:Q$107)*TRANSPOSE(($D110:$E110))),0)</f>
        <v>-3168.0788172753578</v>
      </c>
      <c r="R110" s="28" cm="1">
        <f t="array" ref="R110">R$105+IF($C110&lt;&gt;0,SUMPRODUCT((R$106:R$107)*TRANSPOSE(($D110:$E110))),0)</f>
        <v>-2512.7510436824573</v>
      </c>
      <c r="S110" s="28" cm="1">
        <f t="array" ref="S110">S$105+IF($C110&lt;&gt;0,SUMPRODUCT((S$106:S$107)*TRANSPOSE(($D110:$E110))),0)</f>
        <v>-1850.7959331881771</v>
      </c>
      <c r="T110" s="28" cm="1">
        <f t="array" ref="T110">T$105+IF($C110&lt;&gt;0,SUMPRODUCT((T$106:T$107)*TRANSPOSE(($D110:$E110))),0)</f>
        <v>-1182.2020755987664</v>
      </c>
      <c r="U110" s="28" cm="1">
        <f t="array" ref="U110">U$105+IF($C110&lt;&gt;0,SUMPRODUCT((U$106:U$107)*TRANSPOSE(($D110:$E110))),0)</f>
        <v>-506.99561102036887</v>
      </c>
      <c r="V110" s="28" cm="1">
        <f t="array" ref="V110">V$105+IF($C110&lt;&gt;0,SUMPRODUCT((V$106:V$107)*TRANSPOSE(($D110:$E110))),0)</f>
        <v>174.82423835573218</v>
      </c>
      <c r="W110" s="28" cm="1">
        <f t="array" ref="W110">W$105+IF($C110&lt;&gt;0,SUMPRODUCT((W$106:W$107)*TRANSPOSE(($D110:$E110))),0)</f>
        <v>863.22067496366299</v>
      </c>
      <c r="X110" s="28" cm="1">
        <f t="array" ref="X110">X$105+IF($C110&lt;&gt;0,SUMPRODUCT((X$106:X$107)*TRANSPOSE(($D110:$E110))),0)</f>
        <v>1558.1596448009318</v>
      </c>
      <c r="Y110" s="28" cm="1">
        <f t="array" ref="Y110">Y$105+IF($C110&lt;&gt;0,SUMPRODUCT((Y$106:Y$107)*TRANSPOSE(($D110:$E110))),0)</f>
        <v>2259.6582005945916</v>
      </c>
      <c r="Z110" s="28" cm="1">
        <f t="array" ref="Z110">Z$105+IF($C110&lt;&gt;0,SUMPRODUCT((Z$106:Z$107)*TRANSPOSE(($D110:$E110))),0)</f>
        <v>2967.6985399911596</v>
      </c>
      <c r="AA110" s="28" cm="1">
        <f t="array" ref="AA110">AA$105+IF($C110&lt;&gt;0,SUMPRODUCT((AA$106:AA$107)*TRANSPOSE(($D110:$E110))),0)</f>
        <v>3682.2547911892129</v>
      </c>
      <c r="AB110" s="28" cm="1">
        <f t="array" ref="AB110">AB$105+IF($C110&lt;&gt;0,SUMPRODUCT((AB$106:AB$107)*TRANSPOSE(($D110:$E110))),0)</f>
        <v>4403.2984696337899</v>
      </c>
      <c r="AC110" s="28" cm="1">
        <f t="array" ref="AC110">AC$105+IF($C110&lt;&gt;0,SUMPRODUCT((AC$106:AC$107)*TRANSPOSE(($D110:$E110))),0)</f>
        <v>5130.8011077437495</v>
      </c>
      <c r="AD110" s="28" cm="1">
        <f t="array" ref="AD110">AD$105+IF($C110&lt;&gt;0,SUMPRODUCT((AD$106:AD$107)*TRANSPOSE(($D110:$E110))),0)</f>
        <v>5864.7935039389358</v>
      </c>
      <c r="AE110" s="28" cm="1">
        <f t="array" ref="AE110">AE$105+IF($C110&lt;&gt;0,SUMPRODUCT((AE$106:AE$107)*TRANSPOSE(($D110:$E110))),0)</f>
        <v>6557.7282395516468</v>
      </c>
      <c r="AF110" s="28" cm="1">
        <f t="array" ref="AF110">AF$105+IF($C110&lt;&gt;0,SUMPRODUCT((AF$106:AF$107)*TRANSPOSE(($D110:$E110))),0)</f>
        <v>40818.905226160306</v>
      </c>
      <c r="AG110" s="28" cm="1">
        <f t="array" ref="AG110">AG$105+IF($C110&lt;&gt;0,SUMPRODUCT((AG$106:AG$107)*TRANSPOSE(($D110:$E110))),0)</f>
        <v>41523.904196710093</v>
      </c>
    </row>
    <row r="111" spans="1:43" x14ac:dyDescent="0.2">
      <c r="A111" s="1" t="str">
        <f>"sens"&amp;Assumptions!B113</f>
        <v>sens3</v>
      </c>
      <c r="C111" s="252" t="str">
        <f>Assumptions!C113</f>
        <v>Total benefits 10% higher</v>
      </c>
      <c r="D111" s="253">
        <f>Assumptions!G113</f>
        <v>0</v>
      </c>
      <c r="E111" s="253">
        <f>Assumptions!H113</f>
        <v>0.1</v>
      </c>
      <c r="G111" s="34" t="str">
        <f t="shared" si="11"/>
        <v>Option 3sens3</v>
      </c>
      <c r="I111" s="28" cm="1">
        <f t="array" ref="I111">I$105+IF($C111&lt;&gt;0,SUMPRODUCT((I$106:I$107)*TRANSPOSE(($D111:$E111))),0)</f>
        <v>0</v>
      </c>
      <c r="J111" s="28" cm="1">
        <f t="array" ref="J111">J$105+IF($C111&lt;&gt;0,SUMPRODUCT((J$106:J$107)*TRANSPOSE(($D111:$E111))),0)</f>
        <v>0</v>
      </c>
      <c r="K111" s="28" cm="1">
        <f t="array" ref="K111">K$105+IF($C111&lt;&gt;0,SUMPRODUCT((K$106:K$107)*TRANSPOSE(($D111:$E111))),0)</f>
        <v>0</v>
      </c>
      <c r="L111" s="28" cm="1">
        <f t="array" ref="L111">L$105+IF($C111&lt;&gt;0,SUMPRODUCT((L$106:L$107)*TRANSPOSE(($D111:$E111))),0)</f>
        <v>-9130.2627248303197</v>
      </c>
      <c r="M111" s="28" cm="1">
        <f t="array" ref="M111">M$105+IF($C111&lt;&gt;0,SUMPRODUCT((M$106:M$107)*TRANSPOSE(($D111:$E111))),0)</f>
        <v>-8466.9647192159355</v>
      </c>
      <c r="N111" s="28" cm="1">
        <f t="array" ref="N111">N$105+IF($C111&lt;&gt;0,SUMPRODUCT((N$106:N$107)*TRANSPOSE(($D111:$E111))),0)</f>
        <v>-7561.45335088106</v>
      </c>
      <c r="O111" s="28" cm="1">
        <f t="array" ref="O111">O$105+IF($C111&lt;&gt;0,SUMPRODUCT((O$106:O$107)*TRANSPOSE(($D111:$E111))),0)</f>
        <v>-6245.9785062026385</v>
      </c>
      <c r="P111" s="28" cm="1">
        <f t="array" ref="P111">P$105+IF($C111&lt;&gt;0,SUMPRODUCT((P$106:P$107)*TRANSPOSE(($D111:$E111))),0)</f>
        <v>-4912.5153004258564</v>
      </c>
      <c r="Q111" s="28" cm="1">
        <f t="array" ref="Q111">Q$105+IF($C111&lt;&gt;0,SUMPRODUCT((Q$106:Q$107)*TRANSPOSE(($D111:$E111))),0)</f>
        <v>-3857.8004059529321</v>
      </c>
      <c r="R111" s="28" cm="1">
        <f t="array" ref="R111">R$105+IF($C111&lt;&gt;0,SUMPRODUCT((R$106:R$107)*TRANSPOSE(($D111:$E111))),0)</f>
        <v>-3136.9398550007418</v>
      </c>
      <c r="S111" s="28" cm="1">
        <f t="array" ref="S111">S$105+IF($C111&lt;&gt;0,SUMPRODUCT((S$106:S$107)*TRANSPOSE(($D111:$E111))),0)</f>
        <v>-2408.7892334570333</v>
      </c>
      <c r="T111" s="28" cm="1">
        <f t="array" ref="T111">T$105+IF($C111&lt;&gt;0,SUMPRODUCT((T$106:T$107)*TRANSPOSE(($D111:$E111))),0)</f>
        <v>-1673.3359901086819</v>
      </c>
      <c r="U111" s="28" cm="1">
        <f t="array" ref="U111">U$105+IF($C111&lt;&gt;0,SUMPRODUCT((U$106:U$107)*TRANSPOSE(($D111:$E111))),0)</f>
        <v>-930.60887907244432</v>
      </c>
      <c r="V111" s="28" cm="1">
        <f t="array" ref="V111">V$105+IF($C111&lt;&gt;0,SUMPRODUCT((V$106:V$107)*TRANSPOSE(($D111:$E111))),0)</f>
        <v>-180.60704475873354</v>
      </c>
      <c r="W111" s="28" cm="1">
        <f t="array" ref="W111">W$105+IF($C111&lt;&gt;0,SUMPRODUCT((W$106:W$107)*TRANSPOSE(($D111:$E111))),0)</f>
        <v>576.62903550999044</v>
      </c>
      <c r="X111" s="28" cm="1">
        <f t="array" ref="X111">X$105+IF($C111&lt;&gt;0,SUMPRODUCT((X$106:X$107)*TRANSPOSE(($D111:$E111))),0)</f>
        <v>1341.0619023309864</v>
      </c>
      <c r="Y111" s="28" cm="1">
        <f t="array" ref="Y111">Y$105+IF($C111&lt;&gt;0,SUMPRODUCT((Y$106:Y$107)*TRANSPOSE(($D111:$E111))),0)</f>
        <v>2112.7103137040122</v>
      </c>
      <c r="Z111" s="28" cm="1">
        <f t="array" ref="Z111">Z$105+IF($C111&lt;&gt;0,SUMPRODUCT((Z$106:Z$107)*TRANSPOSE(($D111:$E111))),0)</f>
        <v>2891.5546870402368</v>
      </c>
      <c r="AA111" s="28" cm="1">
        <f t="array" ref="AA111">AA$105+IF($C111&lt;&gt;0,SUMPRODUCT((AA$106:AA$107)*TRANSPOSE(($D111:$E111))),0)</f>
        <v>3677.5665633580957</v>
      </c>
      <c r="AB111" s="28" cm="1">
        <f t="array" ref="AB111">AB$105+IF($C111&lt;&gt;0,SUMPRODUCT((AB$106:AB$107)*TRANSPOSE(($D111:$E111))),0)</f>
        <v>4470.7146096471306</v>
      </c>
      <c r="AC111" s="28" cm="1">
        <f t="array" ref="AC111">AC$105+IF($C111&lt;&gt;0,SUMPRODUCT((AC$106:AC$107)*TRANSPOSE(($D111:$E111))),0)</f>
        <v>5270.9675115680857</v>
      </c>
      <c r="AD111" s="28" cm="1">
        <f t="array" ref="AD111">AD$105+IF($C111&lt;&gt;0,SUMPRODUCT((AD$106:AD$107)*TRANSPOSE(($D111:$E111))),0)</f>
        <v>6078.359147382791</v>
      </c>
      <c r="AE111" s="28" cm="1">
        <f t="array" ref="AE111">AE$105+IF($C111&lt;&gt;0,SUMPRODUCT((AE$106:AE$107)*TRANSPOSE(($D111:$E111))),0)</f>
        <v>6840.5873565567726</v>
      </c>
      <c r="AF111" s="28" cm="1">
        <f t="array" ref="AF111">AF$105+IF($C111&lt;&gt;0,SUMPRODUCT((AF$106:AF$107)*TRANSPOSE(($D111:$E111))),0)</f>
        <v>44900.795748776334</v>
      </c>
      <c r="AG111" s="28" cm="1">
        <f t="array" ref="AG111">AG$105+IF($C111&lt;&gt;0,SUMPRODUCT((AG$106:AG$107)*TRANSPOSE(($D111:$E111))),0)</f>
        <v>45676.294616381099</v>
      </c>
    </row>
    <row r="112" spans="1:43" x14ac:dyDescent="0.2">
      <c r="A112" s="1" t="str">
        <f>"sens"&amp;Assumptions!B114</f>
        <v>sens4</v>
      </c>
      <c r="C112" s="252" t="str">
        <f>Assumptions!C114</f>
        <v>Total benefits 10% lower</v>
      </c>
      <c r="D112" s="253">
        <f>Assumptions!G114</f>
        <v>0</v>
      </c>
      <c r="E112" s="253">
        <f>Assumptions!H114</f>
        <v>-0.1</v>
      </c>
      <c r="G112" s="34" t="str">
        <f t="shared" si="11"/>
        <v>Option 3sens4</v>
      </c>
      <c r="I112" s="28" cm="1">
        <f t="array" ref="I112">I$105+IF($C112&lt;&gt;0,SUMPRODUCT((I$106:I$107)*TRANSPOSE(($D112:$E112))),0)</f>
        <v>0</v>
      </c>
      <c r="J112" s="28" cm="1">
        <f t="array" ref="J112">J$105+IF($C112&lt;&gt;0,SUMPRODUCT((J$106:J$107)*TRANSPOSE(($D112:$E112))),0)</f>
        <v>0</v>
      </c>
      <c r="K112" s="28" cm="1">
        <f t="array" ref="K112">K$105+IF($C112&lt;&gt;0,SUMPRODUCT((K$106:K$107)*TRANSPOSE(($D112:$E112))),0)</f>
        <v>0</v>
      </c>
      <c r="L112" s="28" cm="1">
        <f t="array" ref="L112">L$105+IF($C112&lt;&gt;0,SUMPRODUCT((L$106:L$107)*TRANSPOSE(($D112:$E112))),0)</f>
        <v>-14250.464173952785</v>
      </c>
      <c r="M112" s="28" cm="1">
        <f t="array" ref="M112">M$105+IF($C112&lt;&gt;0,SUMPRODUCT((M$106:M$107)*TRANSPOSE(($D112:$E112))),0)</f>
        <v>-13707.765805722836</v>
      </c>
      <c r="N112" s="28" cm="1">
        <f t="array" ref="N112">N$105+IF($C112&lt;&gt;0,SUMPRODUCT((N$106:N$107)*TRANSPOSE(($D112:$E112))),0)</f>
        <v>-12966.892867994302</v>
      </c>
      <c r="O112" s="28" cm="1">
        <f t="array" ref="O112">O$105+IF($C112&lt;&gt;0,SUMPRODUCT((O$106:O$107)*TRANSPOSE(($D112:$E112))),0)</f>
        <v>-11890.595267802866</v>
      </c>
      <c r="P112" s="28" cm="1">
        <f t="array" ref="P112">P$105+IF($C112&lt;&gt;0,SUMPRODUCT((P$106:P$107)*TRANSPOSE(($D112:$E112))),0)</f>
        <v>-10799.579917621861</v>
      </c>
      <c r="Q112" s="28" cm="1">
        <f t="array" ref="Q112">Q$105+IF($C112&lt;&gt;0,SUMPRODUCT((Q$106:Q$107)*TRANSPOSE(($D112:$E112))),0)</f>
        <v>-9936.6313675985602</v>
      </c>
      <c r="R112" s="28" cm="1">
        <f t="array" ref="R112">R$105+IF($C112&lt;&gt;0,SUMPRODUCT((R$106:R$107)*TRANSPOSE(($D112:$E112))),0)</f>
        <v>-9346.8363713649487</v>
      </c>
      <c r="S112" s="28" cm="1">
        <f t="array" ref="S112">S$105+IF($C112&lt;&gt;0,SUMPRODUCT((S$106:S$107)*TRANSPOSE(($D112:$E112))),0)</f>
        <v>-8751.0767719200976</v>
      </c>
      <c r="T112" s="28" cm="1">
        <f t="array" ref="T112">T$105+IF($C112&lt;&gt;0,SUMPRODUCT((T$106:T$107)*TRANSPOSE(($D112:$E112))),0)</f>
        <v>-8149.3423000896273</v>
      </c>
      <c r="U112" s="28" cm="1">
        <f t="array" ref="U112">U$105+IF($C112&lt;&gt;0,SUMPRODUCT((U$106:U$107)*TRANSPOSE(($D112:$E112))),0)</f>
        <v>-7541.6564819690702</v>
      </c>
      <c r="V112" s="28" cm="1">
        <f t="array" ref="V112">V$105+IF($C112&lt;&gt;0,SUMPRODUCT((V$106:V$107)*TRANSPOSE(($D112:$E112))),0)</f>
        <v>-6928.0186175305789</v>
      </c>
      <c r="W112" s="28" cm="1">
        <f t="array" ref="W112">W$105+IF($C112&lt;&gt;0,SUMPRODUCT((W$106:W$107)*TRANSPOSE(($D112:$E112))),0)</f>
        <v>-6308.4618245834408</v>
      </c>
      <c r="X112" s="28" cm="1">
        <f t="array" ref="X112">X$105+IF($C112&lt;&gt;0,SUMPRODUCT((X$106:X$107)*TRANSPOSE(($D112:$E112))),0)</f>
        <v>-5683.0167517298996</v>
      </c>
      <c r="Y112" s="28" cm="1">
        <f t="array" ref="Y112">Y$105+IF($C112&lt;&gt;0,SUMPRODUCT((Y$106:Y$107)*TRANSPOSE(($D112:$E112))),0)</f>
        <v>-5051.6680515156058</v>
      </c>
      <c r="Z112" s="28" cm="1">
        <f t="array" ref="Z112">Z$105+IF($C112&lt;&gt;0,SUMPRODUCT((Z$106:Z$107)*TRANSPOSE(($D112:$E112))),0)</f>
        <v>-4414.4317460586944</v>
      </c>
      <c r="AA112" s="28" cm="1">
        <f t="array" ref="AA112">AA$105+IF($C112&lt;&gt;0,SUMPRODUCT((AA$106:AA$107)*TRANSPOSE(($D112:$E112))),0)</f>
        <v>-3771.3311199804466</v>
      </c>
      <c r="AB112" s="28" cm="1">
        <f t="array" ref="AB112">AB$105+IF($C112&lt;&gt;0,SUMPRODUCT((AB$106:AB$107)*TRANSPOSE(($D112:$E112))),0)</f>
        <v>-3122.3918093803268</v>
      </c>
      <c r="AC112" s="28" cm="1">
        <f t="array" ref="AC112">AC$105+IF($C112&lt;&gt;0,SUMPRODUCT((AC$106:AC$107)*TRANSPOSE(($D112:$E112))),0)</f>
        <v>-2467.639435081363</v>
      </c>
      <c r="AD112" s="28" cm="1">
        <f t="array" ref="AD112">AD$105+IF($C112&lt;&gt;0,SUMPRODUCT((AD$106:AD$107)*TRANSPOSE(($D112:$E112))),0)</f>
        <v>-1807.0462785056952</v>
      </c>
      <c r="AE112" s="28" cm="1">
        <f t="array" ref="AE112">AE$105+IF($C112&lt;&gt;0,SUMPRODUCT((AE$106:AE$107)*TRANSPOSE(($D112:$E112))),0)</f>
        <v>-1183.4050164542555</v>
      </c>
      <c r="AF112" s="28" cm="1">
        <f t="array" ref="AF112">AF$105+IF($C112&lt;&gt;0,SUMPRODUCT((AF$106:AF$107)*TRANSPOSE(($D112:$E112))),0)</f>
        <v>36737.014703544279</v>
      </c>
      <c r="AG112" s="28" cm="1">
        <f t="array" ref="AG112">AG$105+IF($C112&lt;&gt;0,SUMPRODUCT((AG$106:AG$107)*TRANSPOSE(($D112:$E112))),0)</f>
        <v>37371.513777039087</v>
      </c>
    </row>
    <row r="113" spans="1:33" x14ac:dyDescent="0.2">
      <c r="A113" s="1" t="str">
        <f>"sens"&amp;Assumptions!B115</f>
        <v>sens5</v>
      </c>
      <c r="C113" s="252" t="str">
        <f>Assumptions!C115</f>
        <v>Capex 10% higher &amp; Total benefits 10% lower</v>
      </c>
      <c r="D113" s="253">
        <f>Assumptions!G115</f>
        <v>0.1</v>
      </c>
      <c r="E113" s="253">
        <f>Assumptions!H115</f>
        <v>-0.1</v>
      </c>
      <c r="G113" s="34" t="str">
        <f t="shared" si="11"/>
        <v>Option 3sens5</v>
      </c>
      <c r="I113" s="28" cm="1">
        <f t="array" ref="I113">I$105+IF($C113&lt;&gt;0,SUMPRODUCT((I$106:I$107)*TRANSPOSE(($D113:$E113))),0)</f>
        <v>0</v>
      </c>
      <c r="J113" s="28" cm="1">
        <f t="array" ref="J113">J$105+IF($C113&lt;&gt;0,SUMPRODUCT((J$106:J$107)*TRANSPOSE(($D113:$E113))),0)</f>
        <v>0</v>
      </c>
      <c r="K113" s="28" cm="1">
        <f t="array" ref="K113">K$105+IF($C113&lt;&gt;0,SUMPRODUCT((K$106:K$107)*TRANSPOSE(($D113:$E113))),0)</f>
        <v>0</v>
      </c>
      <c r="L113" s="28" cm="1">
        <f t="array" ref="L113">L$105+IF($C113&lt;&gt;0,SUMPRODUCT((L$106:L$107)*TRANSPOSE(($D113:$E113))),0)</f>
        <v>-17979.601243453173</v>
      </c>
      <c r="M113" s="28" cm="1">
        <f t="array" ref="M113">M$105+IF($C113&lt;&gt;0,SUMPRODUCT((M$106:M$107)*TRANSPOSE(($D113:$E113))),0)</f>
        <v>-17436.902875223226</v>
      </c>
      <c r="N113" s="28" cm="1">
        <f t="array" ref="N113">N$105+IF($C113&lt;&gt;0,SUMPRODUCT((N$106:N$107)*TRANSPOSE(($D113:$E113))),0)</f>
        <v>-16696.029937494692</v>
      </c>
      <c r="O113" s="28" cm="1">
        <f t="array" ref="O113">O$105+IF($C113&lt;&gt;0,SUMPRODUCT((O$106:O$107)*TRANSPOSE(($D113:$E113))),0)</f>
        <v>-15619.732337303254</v>
      </c>
      <c r="P113" s="28" cm="1">
        <f t="array" ref="P113">P$105+IF($C113&lt;&gt;0,SUMPRODUCT((P$106:P$107)*TRANSPOSE(($D113:$E113))),0)</f>
        <v>-14528.71698712225</v>
      </c>
      <c r="Q113" s="28" cm="1">
        <f t="array" ref="Q113">Q$105+IF($C113&lt;&gt;0,SUMPRODUCT((Q$106:Q$107)*TRANSPOSE(($D113:$E113))),0)</f>
        <v>-13665.768437098948</v>
      </c>
      <c r="R113" s="28" cm="1">
        <f t="array" ref="R113">R$105+IF($C113&lt;&gt;0,SUMPRODUCT((R$106:R$107)*TRANSPOSE(($D113:$E113))),0)</f>
        <v>-13075.973440865338</v>
      </c>
      <c r="S113" s="28" cm="1">
        <f t="array" ref="S113">S$105+IF($C113&lt;&gt;0,SUMPRODUCT((S$106:S$107)*TRANSPOSE(($D113:$E113))),0)</f>
        <v>-12480.213841420486</v>
      </c>
      <c r="T113" s="28" cm="1">
        <f t="array" ref="T113">T$105+IF($C113&lt;&gt;0,SUMPRODUCT((T$106:T$107)*TRANSPOSE(($D113:$E113))),0)</f>
        <v>-11878.479369590015</v>
      </c>
      <c r="U113" s="28" cm="1">
        <f t="array" ref="U113">U$105+IF($C113&lt;&gt;0,SUMPRODUCT((U$106:U$107)*TRANSPOSE(($D113:$E113))),0)</f>
        <v>-11270.793551469458</v>
      </c>
      <c r="V113" s="28" cm="1">
        <f t="array" ref="V113">V$105+IF($C113&lt;&gt;0,SUMPRODUCT((V$106:V$107)*TRANSPOSE(($D113:$E113))),0)</f>
        <v>-10657.155687030967</v>
      </c>
      <c r="W113" s="28" cm="1">
        <f t="array" ref="W113">W$105+IF($C113&lt;&gt;0,SUMPRODUCT((W$106:W$107)*TRANSPOSE(($D113:$E113))),0)</f>
        <v>-10037.598894083829</v>
      </c>
      <c r="X113" s="28" cm="1">
        <f t="array" ref="X113">X$105+IF($C113&lt;&gt;0,SUMPRODUCT((X$106:X$107)*TRANSPOSE(($D113:$E113))),0)</f>
        <v>-9412.1538212302876</v>
      </c>
      <c r="Y113" s="28" cm="1">
        <f t="array" ref="Y113">Y$105+IF($C113&lt;&gt;0,SUMPRODUCT((Y$106:Y$107)*TRANSPOSE(($D113:$E113))),0)</f>
        <v>-8780.8051210159938</v>
      </c>
      <c r="Z113" s="28" cm="1">
        <f t="array" ref="Z113">Z$105+IF($C113&lt;&gt;0,SUMPRODUCT((Z$106:Z$107)*TRANSPOSE(($D113:$E113))),0)</f>
        <v>-8143.5688155590833</v>
      </c>
      <c r="AA113" s="28" cm="1">
        <f t="array" ref="AA113">AA$105+IF($C113&lt;&gt;0,SUMPRODUCT((AA$106:AA$107)*TRANSPOSE(($D113:$E113))),0)</f>
        <v>-7500.4681894808346</v>
      </c>
      <c r="AB113" s="28" cm="1">
        <f t="array" ref="AB113">AB$105+IF($C113&lt;&gt;0,SUMPRODUCT((AB$106:AB$107)*TRANSPOSE(($D113:$E113))),0)</f>
        <v>-6851.5288788807156</v>
      </c>
      <c r="AC113" s="28" cm="1">
        <f t="array" ref="AC113">AC$105+IF($C113&lt;&gt;0,SUMPRODUCT((AC$106:AC$107)*TRANSPOSE(($D113:$E113))),0)</f>
        <v>-6196.7765045817514</v>
      </c>
      <c r="AD113" s="28" cm="1">
        <f t="array" ref="AD113">AD$105+IF($C113&lt;&gt;0,SUMPRODUCT((AD$106:AD$107)*TRANSPOSE(($D113:$E113))),0)</f>
        <v>-5536.1833480060832</v>
      </c>
      <c r="AE113" s="28" cm="1">
        <f t="array" ref="AE113">AE$105+IF($C113&lt;&gt;0,SUMPRODUCT((AE$106:AE$107)*TRANSPOSE(($D113:$E113))),0)</f>
        <v>-4912.5420859546439</v>
      </c>
      <c r="AF113" s="28" cm="1">
        <f t="array" ref="AF113">AF$105+IF($C113&lt;&gt;0,SUMPRODUCT((AF$106:AF$107)*TRANSPOSE(($D113:$E113))),0)</f>
        <v>36737.014703544279</v>
      </c>
      <c r="AG113" s="28" cm="1">
        <f t="array" ref="AG113">AG$105+IF($C113&lt;&gt;0,SUMPRODUCT((AG$106:AG$107)*TRANSPOSE(($D113:$E113))),0)</f>
        <v>37371.513777039087</v>
      </c>
    </row>
    <row r="114" spans="1:33" x14ac:dyDescent="0.2">
      <c r="A114" s="1" t="str">
        <f>"sens"&amp;Assumptions!B116</f>
        <v>sens</v>
      </c>
      <c r="C114" s="252">
        <f>Assumptions!C116</f>
        <v>0</v>
      </c>
      <c r="D114" s="253">
        <f>Assumptions!G116</f>
        <v>0</v>
      </c>
      <c r="E114" s="253">
        <f>Assumptions!H116</f>
        <v>0</v>
      </c>
      <c r="G114" s="34" t="str">
        <f t="shared" si="11"/>
        <v>Option 3sens</v>
      </c>
      <c r="I114" s="28" cm="1">
        <f t="array" ref="I114">I$105+IF($C114&lt;&gt;0,SUMPRODUCT((I$106:I$107)*TRANSPOSE(($D114:$E114))),0)</f>
        <v>0</v>
      </c>
      <c r="J114" s="28" cm="1">
        <f t="array" ref="J114">J$105+IF($C114&lt;&gt;0,SUMPRODUCT((J$106:J$107)*TRANSPOSE(($D114:$E114))),0)</f>
        <v>0</v>
      </c>
      <c r="K114" s="28" cm="1">
        <f t="array" ref="K114">K$105+IF($C114&lt;&gt;0,SUMPRODUCT((K$106:K$107)*TRANSPOSE(($D114:$E114))),0)</f>
        <v>0</v>
      </c>
      <c r="L114" s="28" cm="1">
        <f t="array" ref="L114">L$105+IF($C114&lt;&gt;0,SUMPRODUCT((L$106:L$107)*TRANSPOSE(($D114:$E114))),0)</f>
        <v>-11690.363449391552</v>
      </c>
      <c r="M114" s="28" cm="1">
        <f t="array" ref="M114">M$105+IF($C114&lt;&gt;0,SUMPRODUCT((M$106:M$107)*TRANSPOSE(($D114:$E114))),0)</f>
        <v>-11087.365262469386</v>
      </c>
      <c r="N114" s="28" cm="1">
        <f t="array" ref="N114">N$105+IF($C114&lt;&gt;0,SUMPRODUCT((N$106:N$107)*TRANSPOSE(($D114:$E114))),0)</f>
        <v>-10264.173109437681</v>
      </c>
      <c r="O114" s="28" cm="1">
        <f t="array" ref="O114">O$105+IF($C114&lt;&gt;0,SUMPRODUCT((O$106:O$107)*TRANSPOSE(($D114:$E114))),0)</f>
        <v>-9068.2868870027523</v>
      </c>
      <c r="P114" s="28" cm="1">
        <f t="array" ref="P114">P$105+IF($C114&lt;&gt;0,SUMPRODUCT((P$106:P$107)*TRANSPOSE(($D114:$E114))),0)</f>
        <v>-7856.047609023859</v>
      </c>
      <c r="Q114" s="28" cm="1">
        <f t="array" ref="Q114">Q$105+IF($C114&lt;&gt;0,SUMPRODUCT((Q$106:Q$107)*TRANSPOSE(($D114:$E114))),0)</f>
        <v>-6897.2158867757462</v>
      </c>
      <c r="R114" s="28" cm="1">
        <f t="array" ref="R114">R$105+IF($C114&lt;&gt;0,SUMPRODUCT((R$106:R$107)*TRANSPOSE(($D114:$E114))),0)</f>
        <v>-6241.8881131828457</v>
      </c>
      <c r="S114" s="28" cm="1">
        <f t="array" ref="S114">S$105+IF($C114&lt;&gt;0,SUMPRODUCT((S$106:S$107)*TRANSPOSE(($D114:$E114))),0)</f>
        <v>-5579.9330026885655</v>
      </c>
      <c r="T114" s="28" cm="1">
        <f t="array" ref="T114">T$105+IF($C114&lt;&gt;0,SUMPRODUCT((T$106:T$107)*TRANSPOSE(($D114:$E114))),0)</f>
        <v>-4911.3391450991548</v>
      </c>
      <c r="U114" s="28" cm="1">
        <f t="array" ref="U114">U$105+IF($C114&lt;&gt;0,SUMPRODUCT((U$106:U$107)*TRANSPOSE(($D114:$E114))),0)</f>
        <v>-4236.1326805207573</v>
      </c>
      <c r="V114" s="28" cm="1">
        <f t="array" ref="V114">V$105+IF($C114&lt;&gt;0,SUMPRODUCT((V$106:V$107)*TRANSPOSE(($D114:$E114))),0)</f>
        <v>-3554.3128311446562</v>
      </c>
      <c r="W114" s="28" cm="1">
        <f t="array" ref="W114">W$105+IF($C114&lt;&gt;0,SUMPRODUCT((W$106:W$107)*TRANSPOSE(($D114:$E114))),0)</f>
        <v>-2865.9163945367254</v>
      </c>
      <c r="X114" s="28" cm="1">
        <f t="array" ref="X114">X$105+IF($C114&lt;&gt;0,SUMPRODUCT((X$106:X$107)*TRANSPOSE(($D114:$E114))),0)</f>
        <v>-2170.9774246994566</v>
      </c>
      <c r="Y114" s="28" cm="1">
        <f t="array" ref="Y114">Y$105+IF($C114&lt;&gt;0,SUMPRODUCT((Y$106:Y$107)*TRANSPOSE(($D114:$E114))),0)</f>
        <v>-1469.4788689057968</v>
      </c>
      <c r="Z114" s="28" cm="1">
        <f t="array" ref="Z114">Z$105+IF($C114&lt;&gt;0,SUMPRODUCT((Z$106:Z$107)*TRANSPOSE(($D114:$E114))),0)</f>
        <v>-761.43852950922883</v>
      </c>
      <c r="AA114" s="28" cm="1">
        <f t="array" ref="AA114">AA$105+IF($C114&lt;&gt;0,SUMPRODUCT((AA$106:AA$107)*TRANSPOSE(($D114:$E114))),0)</f>
        <v>-46.882278311175469</v>
      </c>
      <c r="AB114" s="28" cm="1">
        <f t="array" ref="AB114">AB$105+IF($C114&lt;&gt;0,SUMPRODUCT((AB$106:AB$107)*TRANSPOSE(($D114:$E114))),0)</f>
        <v>674.16140013340191</v>
      </c>
      <c r="AC114" s="28" cm="1">
        <f t="array" ref="AC114">AC$105+IF($C114&lt;&gt;0,SUMPRODUCT((AC$106:AC$107)*TRANSPOSE(($D114:$E114))),0)</f>
        <v>1401.6640382433616</v>
      </c>
      <c r="AD114" s="28" cm="1">
        <f t="array" ref="AD114">AD$105+IF($C114&lt;&gt;0,SUMPRODUCT((AD$106:AD$107)*TRANSPOSE(($D114:$E114))),0)</f>
        <v>2135.6564344385479</v>
      </c>
      <c r="AE114" s="28" cm="1">
        <f t="array" ref="AE114">AE$105+IF($C114&lt;&gt;0,SUMPRODUCT((AE$106:AE$107)*TRANSPOSE(($D114:$E114))),0)</f>
        <v>2828.5911700512588</v>
      </c>
      <c r="AF114" s="28" cm="1">
        <f t="array" ref="AF114">AF$105+IF($C114&lt;&gt;0,SUMPRODUCT((AF$106:AF$107)*TRANSPOSE(($D114:$E114))),0)</f>
        <v>40818.905226160306</v>
      </c>
      <c r="AG114" s="28" cm="1">
        <f t="array" ref="AG114">AG$105+IF($C114&lt;&gt;0,SUMPRODUCT((AG$106:AG$107)*TRANSPOSE(($D114:$E114))),0)</f>
        <v>41523.904196710093</v>
      </c>
    </row>
    <row r="115" spans="1:33" x14ac:dyDescent="0.2">
      <c r="A115" s="1" t="str">
        <f>"sens"&amp;Assumptions!B117</f>
        <v>sens</v>
      </c>
      <c r="C115" s="252">
        <f>Assumptions!C117</f>
        <v>0</v>
      </c>
      <c r="D115" s="253">
        <f>Assumptions!G117</f>
        <v>0</v>
      </c>
      <c r="E115" s="253">
        <f>Assumptions!H117</f>
        <v>0</v>
      </c>
      <c r="G115" s="34" t="str">
        <f t="shared" si="11"/>
        <v>Option 3sens</v>
      </c>
      <c r="I115" s="28" cm="1">
        <f t="array" ref="I115">I$105+IF($C115&lt;&gt;0,SUMPRODUCT((I$106:I$107)*TRANSPOSE(($D115:$E115))),0)</f>
        <v>0</v>
      </c>
      <c r="J115" s="28" cm="1">
        <f t="array" ref="J115">J$105+IF($C115&lt;&gt;0,SUMPRODUCT((J$106:J$107)*TRANSPOSE(($D115:$E115))),0)</f>
        <v>0</v>
      </c>
      <c r="K115" s="28" cm="1">
        <f t="array" ref="K115">K$105+IF($C115&lt;&gt;0,SUMPRODUCT((K$106:K$107)*TRANSPOSE(($D115:$E115))),0)</f>
        <v>0</v>
      </c>
      <c r="L115" s="28" cm="1">
        <f t="array" ref="L115">L$105+IF($C115&lt;&gt;0,SUMPRODUCT((L$106:L$107)*TRANSPOSE(($D115:$E115))),0)</f>
        <v>-11690.363449391552</v>
      </c>
      <c r="M115" s="28" cm="1">
        <f t="array" ref="M115">M$105+IF($C115&lt;&gt;0,SUMPRODUCT((M$106:M$107)*TRANSPOSE(($D115:$E115))),0)</f>
        <v>-11087.365262469386</v>
      </c>
      <c r="N115" s="28" cm="1">
        <f t="array" ref="N115">N$105+IF($C115&lt;&gt;0,SUMPRODUCT((N$106:N$107)*TRANSPOSE(($D115:$E115))),0)</f>
        <v>-10264.173109437681</v>
      </c>
      <c r="O115" s="28" cm="1">
        <f t="array" ref="O115">O$105+IF($C115&lt;&gt;0,SUMPRODUCT((O$106:O$107)*TRANSPOSE(($D115:$E115))),0)</f>
        <v>-9068.2868870027523</v>
      </c>
      <c r="P115" s="28" cm="1">
        <f t="array" ref="P115">P$105+IF($C115&lt;&gt;0,SUMPRODUCT((P$106:P$107)*TRANSPOSE(($D115:$E115))),0)</f>
        <v>-7856.047609023859</v>
      </c>
      <c r="Q115" s="28" cm="1">
        <f t="array" ref="Q115">Q$105+IF($C115&lt;&gt;0,SUMPRODUCT((Q$106:Q$107)*TRANSPOSE(($D115:$E115))),0)</f>
        <v>-6897.2158867757462</v>
      </c>
      <c r="R115" s="28" cm="1">
        <f t="array" ref="R115">R$105+IF($C115&lt;&gt;0,SUMPRODUCT((R$106:R$107)*TRANSPOSE(($D115:$E115))),0)</f>
        <v>-6241.8881131828457</v>
      </c>
      <c r="S115" s="28" cm="1">
        <f t="array" ref="S115">S$105+IF($C115&lt;&gt;0,SUMPRODUCT((S$106:S$107)*TRANSPOSE(($D115:$E115))),0)</f>
        <v>-5579.9330026885655</v>
      </c>
      <c r="T115" s="28" cm="1">
        <f t="array" ref="T115">T$105+IF($C115&lt;&gt;0,SUMPRODUCT((T$106:T$107)*TRANSPOSE(($D115:$E115))),0)</f>
        <v>-4911.3391450991548</v>
      </c>
      <c r="U115" s="28" cm="1">
        <f t="array" ref="U115">U$105+IF($C115&lt;&gt;0,SUMPRODUCT((U$106:U$107)*TRANSPOSE(($D115:$E115))),0)</f>
        <v>-4236.1326805207573</v>
      </c>
      <c r="V115" s="28" cm="1">
        <f t="array" ref="V115">V$105+IF($C115&lt;&gt;0,SUMPRODUCT((V$106:V$107)*TRANSPOSE(($D115:$E115))),0)</f>
        <v>-3554.3128311446562</v>
      </c>
      <c r="W115" s="28" cm="1">
        <f t="array" ref="W115">W$105+IF($C115&lt;&gt;0,SUMPRODUCT((W$106:W$107)*TRANSPOSE(($D115:$E115))),0)</f>
        <v>-2865.9163945367254</v>
      </c>
      <c r="X115" s="28" cm="1">
        <f t="array" ref="X115">X$105+IF($C115&lt;&gt;0,SUMPRODUCT((X$106:X$107)*TRANSPOSE(($D115:$E115))),0)</f>
        <v>-2170.9774246994566</v>
      </c>
      <c r="Y115" s="28" cm="1">
        <f t="array" ref="Y115">Y$105+IF($C115&lt;&gt;0,SUMPRODUCT((Y$106:Y$107)*TRANSPOSE(($D115:$E115))),0)</f>
        <v>-1469.4788689057968</v>
      </c>
      <c r="Z115" s="28" cm="1">
        <f t="array" ref="Z115">Z$105+IF($C115&lt;&gt;0,SUMPRODUCT((Z$106:Z$107)*TRANSPOSE(($D115:$E115))),0)</f>
        <v>-761.43852950922883</v>
      </c>
      <c r="AA115" s="28" cm="1">
        <f t="array" ref="AA115">AA$105+IF($C115&lt;&gt;0,SUMPRODUCT((AA$106:AA$107)*TRANSPOSE(($D115:$E115))),0)</f>
        <v>-46.882278311175469</v>
      </c>
      <c r="AB115" s="28" cm="1">
        <f t="array" ref="AB115">AB$105+IF($C115&lt;&gt;0,SUMPRODUCT((AB$106:AB$107)*TRANSPOSE(($D115:$E115))),0)</f>
        <v>674.16140013340191</v>
      </c>
      <c r="AC115" s="28" cm="1">
        <f t="array" ref="AC115">AC$105+IF($C115&lt;&gt;0,SUMPRODUCT((AC$106:AC$107)*TRANSPOSE(($D115:$E115))),0)</f>
        <v>1401.6640382433616</v>
      </c>
      <c r="AD115" s="28" cm="1">
        <f t="array" ref="AD115">AD$105+IF($C115&lt;&gt;0,SUMPRODUCT((AD$106:AD$107)*TRANSPOSE(($D115:$E115))),0)</f>
        <v>2135.6564344385479</v>
      </c>
      <c r="AE115" s="28" cm="1">
        <f t="array" ref="AE115">AE$105+IF($C115&lt;&gt;0,SUMPRODUCT((AE$106:AE$107)*TRANSPOSE(($D115:$E115))),0)</f>
        <v>2828.5911700512588</v>
      </c>
      <c r="AF115" s="28" cm="1">
        <f t="array" ref="AF115">AF$105+IF($C115&lt;&gt;0,SUMPRODUCT((AF$106:AF$107)*TRANSPOSE(($D115:$E115))),0)</f>
        <v>40818.905226160306</v>
      </c>
      <c r="AG115" s="28" cm="1">
        <f t="array" ref="AG115">AG$105+IF($C115&lt;&gt;0,SUMPRODUCT((AG$106:AG$107)*TRANSPOSE(($D115:$E115))),0)</f>
        <v>41523.904196710093</v>
      </c>
    </row>
    <row r="116" spans="1:33" x14ac:dyDescent="0.2">
      <c r="A116" s="1" t="str">
        <f>"sens"&amp;Assumptions!B118</f>
        <v>sens</v>
      </c>
      <c r="C116" s="252">
        <f>Assumptions!C118</f>
        <v>0</v>
      </c>
      <c r="D116" s="253">
        <f>Assumptions!G118</f>
        <v>0</v>
      </c>
      <c r="E116" s="253">
        <f>Assumptions!H118</f>
        <v>0</v>
      </c>
      <c r="G116" s="34" t="str">
        <f t="shared" si="11"/>
        <v>Option 3sens</v>
      </c>
      <c r="I116" s="28" cm="1">
        <f t="array" ref="I116">I$105+IF($C116&lt;&gt;0,SUMPRODUCT((I$106:I$107)*TRANSPOSE(($D116:$E116))),0)</f>
        <v>0</v>
      </c>
      <c r="J116" s="28" cm="1">
        <f t="array" ref="J116">J$105+IF($C116&lt;&gt;0,SUMPRODUCT((J$106:J$107)*TRANSPOSE(($D116:$E116))),0)</f>
        <v>0</v>
      </c>
      <c r="K116" s="28" cm="1">
        <f t="array" ref="K116">K$105+IF($C116&lt;&gt;0,SUMPRODUCT((K$106:K$107)*TRANSPOSE(($D116:$E116))),0)</f>
        <v>0</v>
      </c>
      <c r="L116" s="28" cm="1">
        <f t="array" ref="L116">L$105+IF($C116&lt;&gt;0,SUMPRODUCT((L$106:L$107)*TRANSPOSE(($D116:$E116))),0)</f>
        <v>-11690.363449391552</v>
      </c>
      <c r="M116" s="28" cm="1">
        <f t="array" ref="M116">M$105+IF($C116&lt;&gt;0,SUMPRODUCT((M$106:M$107)*TRANSPOSE(($D116:$E116))),0)</f>
        <v>-11087.365262469386</v>
      </c>
      <c r="N116" s="28" cm="1">
        <f t="array" ref="N116">N$105+IF($C116&lt;&gt;0,SUMPRODUCT((N$106:N$107)*TRANSPOSE(($D116:$E116))),0)</f>
        <v>-10264.173109437681</v>
      </c>
      <c r="O116" s="28" cm="1">
        <f t="array" ref="O116">O$105+IF($C116&lt;&gt;0,SUMPRODUCT((O$106:O$107)*TRANSPOSE(($D116:$E116))),0)</f>
        <v>-9068.2868870027523</v>
      </c>
      <c r="P116" s="28" cm="1">
        <f t="array" ref="P116">P$105+IF($C116&lt;&gt;0,SUMPRODUCT((P$106:P$107)*TRANSPOSE(($D116:$E116))),0)</f>
        <v>-7856.047609023859</v>
      </c>
      <c r="Q116" s="28" cm="1">
        <f t="array" ref="Q116">Q$105+IF($C116&lt;&gt;0,SUMPRODUCT((Q$106:Q$107)*TRANSPOSE(($D116:$E116))),0)</f>
        <v>-6897.2158867757462</v>
      </c>
      <c r="R116" s="28" cm="1">
        <f t="array" ref="R116">R$105+IF($C116&lt;&gt;0,SUMPRODUCT((R$106:R$107)*TRANSPOSE(($D116:$E116))),0)</f>
        <v>-6241.8881131828457</v>
      </c>
      <c r="S116" s="28" cm="1">
        <f t="array" ref="S116">S$105+IF($C116&lt;&gt;0,SUMPRODUCT((S$106:S$107)*TRANSPOSE(($D116:$E116))),0)</f>
        <v>-5579.9330026885655</v>
      </c>
      <c r="T116" s="28" cm="1">
        <f t="array" ref="T116">T$105+IF($C116&lt;&gt;0,SUMPRODUCT((T$106:T$107)*TRANSPOSE(($D116:$E116))),0)</f>
        <v>-4911.3391450991548</v>
      </c>
      <c r="U116" s="28" cm="1">
        <f t="array" ref="U116">U$105+IF($C116&lt;&gt;0,SUMPRODUCT((U$106:U$107)*TRANSPOSE(($D116:$E116))),0)</f>
        <v>-4236.1326805207573</v>
      </c>
      <c r="V116" s="28" cm="1">
        <f t="array" ref="V116">V$105+IF($C116&lt;&gt;0,SUMPRODUCT((V$106:V$107)*TRANSPOSE(($D116:$E116))),0)</f>
        <v>-3554.3128311446562</v>
      </c>
      <c r="W116" s="28" cm="1">
        <f t="array" ref="W116">W$105+IF($C116&lt;&gt;0,SUMPRODUCT((W$106:W$107)*TRANSPOSE(($D116:$E116))),0)</f>
        <v>-2865.9163945367254</v>
      </c>
      <c r="X116" s="28" cm="1">
        <f t="array" ref="X116">X$105+IF($C116&lt;&gt;0,SUMPRODUCT((X$106:X$107)*TRANSPOSE(($D116:$E116))),0)</f>
        <v>-2170.9774246994566</v>
      </c>
      <c r="Y116" s="28" cm="1">
        <f t="array" ref="Y116">Y$105+IF($C116&lt;&gt;0,SUMPRODUCT((Y$106:Y$107)*TRANSPOSE(($D116:$E116))),0)</f>
        <v>-1469.4788689057968</v>
      </c>
      <c r="Z116" s="28" cm="1">
        <f t="array" ref="Z116">Z$105+IF($C116&lt;&gt;0,SUMPRODUCT((Z$106:Z$107)*TRANSPOSE(($D116:$E116))),0)</f>
        <v>-761.43852950922883</v>
      </c>
      <c r="AA116" s="28" cm="1">
        <f t="array" ref="AA116">AA$105+IF($C116&lt;&gt;0,SUMPRODUCT((AA$106:AA$107)*TRANSPOSE(($D116:$E116))),0)</f>
        <v>-46.882278311175469</v>
      </c>
      <c r="AB116" s="28" cm="1">
        <f t="array" ref="AB116">AB$105+IF($C116&lt;&gt;0,SUMPRODUCT((AB$106:AB$107)*TRANSPOSE(($D116:$E116))),0)</f>
        <v>674.16140013340191</v>
      </c>
      <c r="AC116" s="28" cm="1">
        <f t="array" ref="AC116">AC$105+IF($C116&lt;&gt;0,SUMPRODUCT((AC$106:AC$107)*TRANSPOSE(($D116:$E116))),0)</f>
        <v>1401.6640382433616</v>
      </c>
      <c r="AD116" s="28" cm="1">
        <f t="array" ref="AD116">AD$105+IF($C116&lt;&gt;0,SUMPRODUCT((AD$106:AD$107)*TRANSPOSE(($D116:$E116))),0)</f>
        <v>2135.6564344385479</v>
      </c>
      <c r="AE116" s="28" cm="1">
        <f t="array" ref="AE116">AE$105+IF($C116&lt;&gt;0,SUMPRODUCT((AE$106:AE$107)*TRANSPOSE(($D116:$E116))),0)</f>
        <v>2828.5911700512588</v>
      </c>
      <c r="AF116" s="28" cm="1">
        <f t="array" ref="AF116">AF$105+IF($C116&lt;&gt;0,SUMPRODUCT((AF$106:AF$107)*TRANSPOSE(($D116:$E116))),0)</f>
        <v>40818.905226160306</v>
      </c>
      <c r="AG116" s="28" cm="1">
        <f t="array" ref="AG116">AG$105+IF($C116&lt;&gt;0,SUMPRODUCT((AG$106:AG$107)*TRANSPOSE(($D116:$E116))),0)</f>
        <v>41523.904196710093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ignoredErrors>
    <ignoredError sqref="I35:AG35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workbookViewId="0"/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AR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155</v>
      </c>
      <c r="B3" s="5"/>
      <c r="C3" s="175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/>
      <c r="AI11"/>
      <c r="AJ11"/>
      <c r="AK11"/>
      <c r="AL11"/>
      <c r="AM11"/>
    </row>
    <row r="12" spans="1:43" x14ac:dyDescent="0.2">
      <c r="A12" s="3"/>
      <c r="B12" s="3"/>
      <c r="C12" s="3"/>
      <c r="D12" s="3"/>
      <c r="G12" s="179"/>
      <c r="AH12"/>
      <c r="AI12"/>
      <c r="AJ12"/>
      <c r="AK12"/>
      <c r="AL12"/>
      <c r="AM12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112</v>
      </c>
      <c r="D14"/>
      <c r="E14" s="126">
        <v>0</v>
      </c>
      <c r="G14" s="181">
        <f>input_dollars</f>
        <v>45291</v>
      </c>
      <c r="H14" s="127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 t="shared" si="0"/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  <c r="AH17"/>
      <c r="AI17"/>
      <c r="AJ17"/>
      <c r="AK17"/>
      <c r="AL17"/>
      <c r="AM17"/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5">
        <v>0</v>
      </c>
      <c r="T19" s="115">
        <v>0</v>
      </c>
      <c r="U19" s="115">
        <v>0</v>
      </c>
      <c r="V19" s="115">
        <v>0</v>
      </c>
      <c r="W19" s="115">
        <v>0</v>
      </c>
      <c r="X19" s="115">
        <v>0</v>
      </c>
      <c r="Y19" s="115">
        <v>0</v>
      </c>
      <c r="Z19" s="115">
        <v>0</v>
      </c>
      <c r="AA19" s="115">
        <v>0</v>
      </c>
      <c r="AB19" s="115">
        <v>0</v>
      </c>
      <c r="AC19" s="115">
        <v>0</v>
      </c>
      <c r="AD19" s="115">
        <v>0</v>
      </c>
      <c r="AE19" s="115">
        <v>0</v>
      </c>
      <c r="AF19" s="115">
        <v>0</v>
      </c>
      <c r="AG19" s="115">
        <v>0</v>
      </c>
      <c r="AH19"/>
      <c r="AI19"/>
      <c r="AJ19"/>
      <c r="AK19"/>
      <c r="AL19"/>
      <c r="AM19"/>
    </row>
    <row r="20" spans="1:43" x14ac:dyDescent="0.2">
      <c r="G20" s="179"/>
      <c r="AH20"/>
      <c r="AI20"/>
      <c r="AJ20"/>
      <c r="AK20"/>
      <c r="AL20"/>
      <c r="AM20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4">
        <v>0</v>
      </c>
      <c r="J24" s="144">
        <v>0</v>
      </c>
      <c r="K24" s="144">
        <v>0</v>
      </c>
      <c r="L24" s="144">
        <v>0</v>
      </c>
      <c r="M24" s="144">
        <v>0</v>
      </c>
      <c r="N24" s="144">
        <v>0</v>
      </c>
      <c r="O24" s="144">
        <v>0</v>
      </c>
      <c r="P24" s="144">
        <v>0</v>
      </c>
      <c r="Q24" s="144">
        <v>0</v>
      </c>
      <c r="R24" s="144">
        <v>0</v>
      </c>
      <c r="S24" s="144">
        <v>0</v>
      </c>
      <c r="T24" s="144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4">
        <v>0</v>
      </c>
      <c r="O25" s="144">
        <v>0</v>
      </c>
      <c r="P25" s="144">
        <v>0</v>
      </c>
      <c r="Q25" s="144">
        <v>0</v>
      </c>
      <c r="R25" s="144">
        <v>0</v>
      </c>
      <c r="S25" s="144">
        <v>0</v>
      </c>
      <c r="T25" s="144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45386.140842230838</v>
      </c>
      <c r="F28" s="211" t="str">
        <f>IF(AND(SUM(I27:AG27)&lt;&gt;0, E28=0), "!", "")</f>
        <v/>
      </c>
      <c r="G28" s="181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156</v>
      </c>
      <c r="D30" s="179" t="s">
        <v>119</v>
      </c>
      <c r="G30" s="181">
        <f>input_dollars</f>
        <v>45291</v>
      </c>
      <c r="H30" s="127"/>
      <c r="I30" s="146" cm="1">
        <f t="array" ref="I30">SUMPRODUCT((Assumptions!$H$70:$H$71)*(Assumptions!$G$70:$G$71)*(Assumptions!$I$70:$I$71)*(I$24:I$25))</f>
        <v>0</v>
      </c>
      <c r="J30" s="146" cm="1">
        <f t="array" ref="J30">SUMPRODUCT((Assumptions!$H$70:$H$71)*(Assumptions!$G$70:$G$71)*(Assumptions!$I$70:$I$71)*(J$24:J$25))</f>
        <v>0</v>
      </c>
      <c r="K30" s="146" cm="1">
        <f t="array" ref="K30">SUMPRODUCT((Assumptions!$H$70:$H$71)*(Assumptions!$G$70:$G$71)*(Assumptions!$I$70:$I$71)*(K$24:K$25))</f>
        <v>0</v>
      </c>
      <c r="L30" s="146" cm="1">
        <f t="array" ref="L30">SUMPRODUCT((Assumptions!$H$70:$H$71)*(Assumptions!$G$70:$G$71)*(Assumptions!$I$70:$I$71)*(L$24:L$25))</f>
        <v>0</v>
      </c>
      <c r="M30" s="146" cm="1">
        <f t="array" ref="M30">SUMPRODUCT((Assumptions!$H$70:$H$71)*(Assumptions!$G$70:$G$71)*(Assumptions!$I$70:$I$71)*(M$24:M$25))</f>
        <v>0</v>
      </c>
      <c r="N30" s="146" cm="1">
        <f t="array" ref="N30">SUMPRODUCT((Assumptions!$H$70:$H$71)*(Assumptions!$G$70:$G$71)*(Assumptions!$I$70:$I$71)*(N$24:N$25))</f>
        <v>0</v>
      </c>
      <c r="O30" s="146" cm="1">
        <f t="array" ref="O30">SUMPRODUCT((Assumptions!$H$70:$H$71)*(Assumptions!$G$70:$G$71)*(Assumptions!$I$70:$I$71)*(O$24:O$25))</f>
        <v>0</v>
      </c>
      <c r="P30" s="146" cm="1">
        <f t="array" ref="P30">SUMPRODUCT((Assumptions!$H$70:$H$71)*(Assumptions!$G$70:$G$71)*(Assumptions!$I$70:$I$71)*(P$24:P$25))</f>
        <v>0</v>
      </c>
      <c r="Q30" s="146" cm="1">
        <f t="array" ref="Q30">SUMPRODUCT((Assumptions!$H$70:$H$71)*(Assumptions!$G$70:$G$71)*(Assumptions!$I$70:$I$71)*(Q$24:Q$25))</f>
        <v>0</v>
      </c>
      <c r="R30" s="146" cm="1">
        <f t="array" ref="R30">SUMPRODUCT((Assumptions!$H$70:$H$71)*(Assumptions!$G$70:$G$71)*(Assumptions!$I$70:$I$71)*(R$24:R$25))</f>
        <v>0</v>
      </c>
      <c r="S30" s="146" cm="1">
        <f t="array" ref="S30">SUMPRODUCT((Assumptions!$H$70:$H$71)*(Assumptions!$G$70:$G$71)*(Assumptions!$I$70:$I$71)*(S$24:S$25))</f>
        <v>0</v>
      </c>
      <c r="T30" s="146" cm="1">
        <f t="array" ref="T30">SUMPRODUCT((Assumptions!$H$70:$H$71)*(Assumptions!$G$70:$G$71)*(Assumptions!$I$70:$I$71)*(T$24:T$25))</f>
        <v>0</v>
      </c>
      <c r="U30" s="146" cm="1">
        <f t="array" ref="U30">SUMPRODUCT((Assumptions!$H$70:$H$71)*(Assumptions!$G$70:$G$71)*(Assumptions!$I$70:$I$71)*(U$24:U$25))</f>
        <v>0</v>
      </c>
      <c r="V30" s="146" cm="1">
        <f t="array" ref="V30">SUMPRODUCT((Assumptions!$H$70:$H$71)*(Assumptions!$G$70:$G$71)*(Assumptions!$I$70:$I$71)*(V$24:V$25))</f>
        <v>0</v>
      </c>
      <c r="W30" s="146" cm="1">
        <f t="array" ref="W30">SUMPRODUCT((Assumptions!$H$70:$H$71)*(Assumptions!$G$70:$G$71)*(Assumptions!$I$70:$I$71)*(W$24:W$25))</f>
        <v>0</v>
      </c>
      <c r="X30" s="146" cm="1">
        <f t="array" ref="X30">SUMPRODUCT((Assumptions!$H$70:$H$71)*(Assumptions!$G$70:$G$71)*(Assumptions!$I$70:$I$71)*(X$24:X$25))</f>
        <v>0</v>
      </c>
      <c r="Y30" s="146" cm="1">
        <f t="array" ref="Y30">SUMPRODUCT((Assumptions!$H$70:$H$71)*(Assumptions!$G$70:$G$71)*(Assumptions!$I$70:$I$71)*(Y$24:Y$25))</f>
        <v>0</v>
      </c>
      <c r="Z30" s="146" cm="1">
        <f t="array" ref="Z30">SUMPRODUCT((Assumptions!$H$70:$H$71)*(Assumptions!$G$70:$G$71)*(Assumptions!$I$70:$I$71)*(Z$24:Z$25))</f>
        <v>0</v>
      </c>
      <c r="AA30" s="146" cm="1">
        <f t="array" ref="AA30">SUMPRODUCT((Assumptions!$H$70:$H$71)*(Assumptions!$G$70:$G$71)*(Assumptions!$I$70:$I$71)*(AA$24:AA$25))</f>
        <v>0</v>
      </c>
      <c r="AB30" s="146" cm="1">
        <f t="array" ref="AB30">SUMPRODUCT((Assumptions!$H$70:$H$71)*(Assumptions!$G$70:$G$71)*(Assumptions!$I$70:$I$71)*(AB$24:AB$25))</f>
        <v>0</v>
      </c>
      <c r="AC30" s="146" cm="1">
        <f t="array" ref="AC30">SUMPRODUCT((Assumptions!$H$70:$H$71)*(Assumptions!$G$70:$G$71)*(Assumptions!$I$70:$I$71)*(AC$24:AC$25))</f>
        <v>0</v>
      </c>
      <c r="AD30" s="146" cm="1">
        <f t="array" ref="AD30">SUMPRODUCT((Assumptions!$H$70:$H$71)*(Assumptions!$G$70:$G$71)*(Assumptions!$I$70:$I$71)*(AD$24:AD$25))</f>
        <v>0</v>
      </c>
      <c r="AE30" s="146" cm="1">
        <f t="array" ref="AE30">SUMPRODUCT((Assumptions!$H$70:$H$71)*(Assumptions!$G$70:$G$71)*(Assumptions!$I$70:$I$71)*(AE$24:AE$25))</f>
        <v>0</v>
      </c>
      <c r="AF30" s="146" cm="1">
        <f t="array" ref="AF30">SUMPRODUCT((Assumptions!$H$70:$H$71)*(Assumptions!$G$70:$G$71)*(Assumptions!$I$70:$I$71)*(AF$24:AF$25))</f>
        <v>0</v>
      </c>
      <c r="AG30" s="146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157</v>
      </c>
      <c r="D31" s="180"/>
      <c r="E31"/>
      <c r="G31" s="181">
        <f>input_dollars</f>
        <v>45291</v>
      </c>
      <c r="H31" s="127"/>
      <c r="I31" s="146" cm="1">
        <f t="array" ref="I31">(1+Assumptions!$G$81)*SUMPRODUCT((Assumptions!$G$78:$G$79)*(I$24:I$25))</f>
        <v>0</v>
      </c>
      <c r="J31" s="146" cm="1">
        <f t="array" ref="J31">(1+Assumptions!$G$81)*SUMPRODUCT((Assumptions!$G$78:$G$79)*(J$24:J$25))</f>
        <v>0</v>
      </c>
      <c r="K31" s="146" cm="1">
        <f t="array" ref="K31">(1+Assumptions!$G$81)*SUMPRODUCT((Assumptions!$G$78:$G$79)*(K$24:K$25))</f>
        <v>0</v>
      </c>
      <c r="L31" s="146" cm="1">
        <f t="array" ref="L31">(1+Assumptions!$G$81)*SUMPRODUCT((Assumptions!$G$78:$G$79)*(L$24:L$25))</f>
        <v>0</v>
      </c>
      <c r="M31" s="146" cm="1">
        <f t="array" ref="M31">(1+Assumptions!$G$81)*SUMPRODUCT((Assumptions!$G$78:$G$79)*(M$24:M$25))</f>
        <v>0</v>
      </c>
      <c r="N31" s="146" cm="1">
        <f t="array" ref="N31">(1+Assumptions!$G$81)*SUMPRODUCT((Assumptions!$G$78:$G$79)*(N$24:N$25))</f>
        <v>0</v>
      </c>
      <c r="O31" s="146" cm="1">
        <f t="array" ref="O31">(1+Assumptions!$G$81)*SUMPRODUCT((Assumptions!$G$78:$G$79)*(O$24:O$25))</f>
        <v>0</v>
      </c>
      <c r="P31" s="146" cm="1">
        <f t="array" ref="P31">(1+Assumptions!$G$81)*SUMPRODUCT((Assumptions!$G$78:$G$79)*(P$24:P$25))</f>
        <v>0</v>
      </c>
      <c r="Q31" s="146" cm="1">
        <f t="array" ref="Q31">(1+Assumptions!$G$81)*SUMPRODUCT((Assumptions!$G$78:$G$79)*(Q$24:Q$25))</f>
        <v>0</v>
      </c>
      <c r="R31" s="146" cm="1">
        <f t="array" ref="R31">(1+Assumptions!$G$81)*SUMPRODUCT((Assumptions!$G$78:$G$79)*(R$24:R$25))</f>
        <v>0</v>
      </c>
      <c r="S31" s="146" cm="1">
        <f t="array" ref="S31">(1+Assumptions!$G$81)*SUMPRODUCT((Assumptions!$G$78:$G$79)*(S$24:S$25))</f>
        <v>0</v>
      </c>
      <c r="T31" s="146" cm="1">
        <f t="array" ref="T31">(1+Assumptions!$G$81)*SUMPRODUCT((Assumptions!$G$78:$G$79)*(T$24:T$25))</f>
        <v>0</v>
      </c>
      <c r="U31" s="146" cm="1">
        <f t="array" ref="U31">(1+Assumptions!$G$81)*SUMPRODUCT((Assumptions!$G$78:$G$79)*(U$24:U$25))</f>
        <v>0</v>
      </c>
      <c r="V31" s="146" cm="1">
        <f t="array" ref="V31">(1+Assumptions!$G$81)*SUMPRODUCT((Assumptions!$G$78:$G$79)*(V$24:V$25))</f>
        <v>0</v>
      </c>
      <c r="W31" s="146" cm="1">
        <f t="array" ref="W31">(1+Assumptions!$G$81)*SUMPRODUCT((Assumptions!$G$78:$G$79)*(W$24:W$25))</f>
        <v>0</v>
      </c>
      <c r="X31" s="146" cm="1">
        <f t="array" ref="X31">(1+Assumptions!$G$81)*SUMPRODUCT((Assumptions!$G$78:$G$79)*(X$24:X$25))</f>
        <v>0</v>
      </c>
      <c r="Y31" s="146" cm="1">
        <f t="array" ref="Y31">(1+Assumptions!$G$81)*SUMPRODUCT((Assumptions!$G$78:$G$79)*(Y$24:Y$25))</f>
        <v>0</v>
      </c>
      <c r="Z31" s="146" cm="1">
        <f t="array" ref="Z31">(1+Assumptions!$G$81)*SUMPRODUCT((Assumptions!$G$78:$G$79)*(Z$24:Z$25))</f>
        <v>0</v>
      </c>
      <c r="AA31" s="146" cm="1">
        <f t="array" ref="AA31">(1+Assumptions!$G$81)*SUMPRODUCT((Assumptions!$G$78:$G$79)*(AA$24:AA$25))</f>
        <v>0</v>
      </c>
      <c r="AB31" s="146" cm="1">
        <f t="array" ref="AB31">(1+Assumptions!$G$81)*SUMPRODUCT((Assumptions!$G$78:$G$79)*(AB$24:AB$25))</f>
        <v>0</v>
      </c>
      <c r="AC31" s="146" cm="1">
        <f t="array" ref="AC31">(1+Assumptions!$G$81)*SUMPRODUCT((Assumptions!$G$78:$G$79)*(AC$24:AC$25))</f>
        <v>0</v>
      </c>
      <c r="AD31" s="146" cm="1">
        <f t="array" ref="AD31">(1+Assumptions!$G$81)*SUMPRODUCT((Assumptions!$G$78:$G$79)*(AD$24:AD$25))</f>
        <v>0</v>
      </c>
      <c r="AE31" s="146" cm="1">
        <f t="array" ref="AE31">(1+Assumptions!$G$81)*SUMPRODUCT((Assumptions!$G$78:$G$79)*(AE$24:AE$25))</f>
        <v>0</v>
      </c>
      <c r="AF31" s="146" cm="1">
        <f t="array" ref="AF31">(1+Assumptions!$G$81)*SUMPRODUCT((Assumptions!$G$78:$G$79)*(AF$24:AF$25))</f>
        <v>0</v>
      </c>
      <c r="AG31" s="146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158</v>
      </c>
      <c r="D32" s="179" t="s">
        <v>119</v>
      </c>
      <c r="E32"/>
      <c r="G32" s="181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5">
        <v>0</v>
      </c>
      <c r="S32" s="115">
        <v>0</v>
      </c>
      <c r="T32" s="115">
        <v>0</v>
      </c>
      <c r="U32" s="115">
        <v>0</v>
      </c>
      <c r="V32" s="115">
        <v>0</v>
      </c>
      <c r="W32" s="115">
        <v>0</v>
      </c>
      <c r="X32" s="115">
        <v>0</v>
      </c>
      <c r="Y32" s="115">
        <v>0</v>
      </c>
      <c r="Z32" s="115">
        <v>0</v>
      </c>
      <c r="AA32" s="115">
        <v>0</v>
      </c>
      <c r="AB32" s="115">
        <v>0</v>
      </c>
      <c r="AC32" s="115">
        <v>0</v>
      </c>
      <c r="AD32" s="115">
        <v>0</v>
      </c>
      <c r="AE32" s="115">
        <v>0</v>
      </c>
      <c r="AF32" s="115">
        <v>0</v>
      </c>
      <c r="AG32" s="115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239" t="s">
        <v>120</v>
      </c>
      <c r="D33" s="192"/>
      <c r="E33"/>
      <c r="G33" s="181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5">
        <v>0</v>
      </c>
      <c r="S33" s="115">
        <v>0</v>
      </c>
      <c r="T33" s="115">
        <v>0</v>
      </c>
      <c r="U33" s="115">
        <v>0</v>
      </c>
      <c r="V33" s="115">
        <v>0</v>
      </c>
      <c r="W33" s="115">
        <v>0</v>
      </c>
      <c r="X33" s="115">
        <v>0</v>
      </c>
      <c r="Y33" s="115">
        <v>0</v>
      </c>
      <c r="Z33" s="115">
        <v>0</v>
      </c>
      <c r="AA33" s="115">
        <v>0</v>
      </c>
      <c r="AB33" s="115">
        <v>0</v>
      </c>
      <c r="AC33" s="115">
        <v>0</v>
      </c>
      <c r="AD33" s="115">
        <v>0</v>
      </c>
      <c r="AE33" s="115">
        <v>0</v>
      </c>
      <c r="AF33" s="115">
        <v>0</v>
      </c>
      <c r="AG33" s="115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39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146">
        <f>SUM(I28:I34)</f>
        <v>0</v>
      </c>
      <c r="J36" s="146">
        <f t="shared" ref="J36:AG36" si="3">SUM(J28:J34)</f>
        <v>0</v>
      </c>
      <c r="K36" s="146">
        <f t="shared" si="3"/>
        <v>0</v>
      </c>
      <c r="L36" s="146">
        <f t="shared" si="3"/>
        <v>0</v>
      </c>
      <c r="M36" s="146">
        <f t="shared" si="3"/>
        <v>0</v>
      </c>
      <c r="N36" s="146">
        <f t="shared" si="3"/>
        <v>0</v>
      </c>
      <c r="O36" s="146">
        <f t="shared" si="3"/>
        <v>0</v>
      </c>
      <c r="P36" s="146">
        <f t="shared" si="3"/>
        <v>0</v>
      </c>
      <c r="Q36" s="146">
        <f t="shared" si="3"/>
        <v>0</v>
      </c>
      <c r="R36" s="146">
        <f t="shared" si="3"/>
        <v>0</v>
      </c>
      <c r="S36" s="146">
        <f t="shared" si="3"/>
        <v>0</v>
      </c>
      <c r="T36" s="146">
        <f t="shared" si="3"/>
        <v>0</v>
      </c>
      <c r="U36" s="146">
        <f t="shared" si="3"/>
        <v>0</v>
      </c>
      <c r="V36" s="146">
        <f t="shared" si="3"/>
        <v>0</v>
      </c>
      <c r="W36" s="146">
        <f t="shared" si="3"/>
        <v>0</v>
      </c>
      <c r="X36" s="146">
        <f t="shared" si="3"/>
        <v>0</v>
      </c>
      <c r="Y36" s="146">
        <f t="shared" si="3"/>
        <v>0</v>
      </c>
      <c r="Z36" s="146">
        <f t="shared" si="3"/>
        <v>0</v>
      </c>
      <c r="AA36" s="146">
        <f t="shared" si="3"/>
        <v>0</v>
      </c>
      <c r="AB36" s="146">
        <f t="shared" si="3"/>
        <v>0</v>
      </c>
      <c r="AC36" s="146">
        <f t="shared" si="3"/>
        <v>0</v>
      </c>
      <c r="AD36" s="146">
        <f t="shared" si="3"/>
        <v>0</v>
      </c>
      <c r="AE36" s="146">
        <f t="shared" si="3"/>
        <v>0</v>
      </c>
      <c r="AF36" s="146">
        <f t="shared" si="3"/>
        <v>0</v>
      </c>
      <c r="AG36" s="146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25">
      <c r="C42" s="1" t="s">
        <v>124</v>
      </c>
      <c r="G42" s="179" t="s">
        <v>125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128</v>
      </c>
      <c r="D47" s="179" t="s">
        <v>108</v>
      </c>
      <c r="E47" s="99">
        <f>Assumptions!G96</f>
        <v>4220.9953699573898</v>
      </c>
      <c r="G47" s="181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132</v>
      </c>
      <c r="D49" s="179" t="s">
        <v>133</v>
      </c>
      <c r="E49" s="99">
        <f>Assumptions!G98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135</v>
      </c>
      <c r="D50" s="179" t="s">
        <v>133</v>
      </c>
      <c r="E50" s="99">
        <f>Assumptions!G99</f>
        <v>0.54769380678923496</v>
      </c>
      <c r="G50" s="181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79"/>
      <c r="G56" s="179"/>
    </row>
    <row r="57" spans="1:43" x14ac:dyDescent="0.2">
      <c r="C57" s="3" t="s">
        <v>140</v>
      </c>
      <c r="D57" s="191"/>
      <c r="E57" s="94"/>
      <c r="F57" s="3"/>
      <c r="G57" s="181">
        <f>input_dollars</f>
        <v>45291</v>
      </c>
      <c r="H57" s="94"/>
      <c r="I57" s="146" cm="1">
        <f t="array" ref="I57">SUMPRODUCT((I$45:I$52)*($E$45:$E$52))+SUM(I54:I55)+I42</f>
        <v>0</v>
      </c>
      <c r="J57" s="146" cm="1">
        <f t="array" ref="J57">SUMPRODUCT((J$45:J$52)*($E$45:$E$52))+SUM(J54:J55)+J42</f>
        <v>0</v>
      </c>
      <c r="K57" s="146" cm="1">
        <f t="array" ref="K57">SUMPRODUCT((K$45:K$52)*($E$45:$E$52))+SUM(K54:K55)+K42</f>
        <v>0</v>
      </c>
      <c r="L57" s="146" cm="1">
        <f t="array" ref="L57">SUMPRODUCT((L$45:L$52)*($E$45:$E$52))+SUM(L54:L55)+L42</f>
        <v>0</v>
      </c>
      <c r="M57" s="146" cm="1">
        <f t="array" ref="M57">SUMPRODUCT((M$45:M$52)*($E$45:$E$52))+SUM(M54:M55)+M42</f>
        <v>0</v>
      </c>
      <c r="N57" s="146" cm="1">
        <f t="array" ref="N57">SUMPRODUCT((N$45:N$52)*($E$45:$E$52))+SUM(N54:N55)+N42</f>
        <v>0</v>
      </c>
      <c r="O57" s="146" cm="1">
        <f t="array" ref="O57">SUMPRODUCT((O$45:O$52)*($E$45:$E$52))+SUM(O54:O55)+O42</f>
        <v>0</v>
      </c>
      <c r="P57" s="146" cm="1">
        <f t="array" ref="P57">SUMPRODUCT((P$45:P$52)*($E$45:$E$52))+SUM(P54:P55)+P42</f>
        <v>0</v>
      </c>
      <c r="Q57" s="146" cm="1">
        <f t="array" ref="Q57">SUMPRODUCT((Q$45:Q$52)*($E$45:$E$52))+SUM(Q54:Q55)+Q42</f>
        <v>0</v>
      </c>
      <c r="R57" s="146" cm="1">
        <f t="array" ref="R57">SUMPRODUCT((R$45:R$52)*($E$45:$E$52))+SUM(R54:R55)+R42</f>
        <v>0</v>
      </c>
      <c r="S57" s="146" cm="1">
        <f t="array" ref="S57">SUMPRODUCT((S$45:S$52)*($E$45:$E$52))+SUM(S54:S55)+S42</f>
        <v>0</v>
      </c>
      <c r="T57" s="146" cm="1">
        <f t="array" ref="T57">SUMPRODUCT((T$45:T$52)*($E$45:$E$52))+SUM(T54:T55)+T42</f>
        <v>0</v>
      </c>
      <c r="U57" s="146" cm="1">
        <f t="array" ref="U57">SUMPRODUCT((U$45:U$52)*($E$45:$E$52))+SUM(U54:U55)+U42</f>
        <v>0</v>
      </c>
      <c r="V57" s="146" cm="1">
        <f t="array" ref="V57">SUMPRODUCT((V$45:V$52)*($E$45:$E$52))+SUM(V54:V55)+V42</f>
        <v>0</v>
      </c>
      <c r="W57" s="146" cm="1">
        <f t="array" ref="W57">SUMPRODUCT((W$45:W$52)*($E$45:$E$52))+SUM(W54:W55)+W42</f>
        <v>0</v>
      </c>
      <c r="X57" s="146" cm="1">
        <f t="array" ref="X57">SUMPRODUCT((X$45:X$52)*($E$45:$E$52))+SUM(X54:X55)+X42</f>
        <v>0</v>
      </c>
      <c r="Y57" s="146" cm="1">
        <f t="array" ref="Y57">SUMPRODUCT((Y$45:Y$52)*($E$45:$E$52))+SUM(Y54:Y55)+Y42</f>
        <v>0</v>
      </c>
      <c r="Z57" s="146" cm="1">
        <f t="array" ref="Z57">SUMPRODUCT((Z$45:Z$52)*($E$45:$E$52))+SUM(Z54:Z55)+Z42</f>
        <v>0</v>
      </c>
      <c r="AA57" s="146" cm="1">
        <f t="array" ref="AA57">SUMPRODUCT((AA$45:AA$52)*($E$45:$E$52))+SUM(AA54:AA55)+AA42</f>
        <v>0</v>
      </c>
      <c r="AB57" s="146" cm="1">
        <f t="array" ref="AB57">SUMPRODUCT((AB$45:AB$52)*($E$45:$E$52))+SUM(AB54:AB55)+AB42</f>
        <v>0</v>
      </c>
      <c r="AC57" s="146" cm="1">
        <f t="array" ref="AC57">SUMPRODUCT((AC$45:AC$52)*($E$45:$E$52))+SUM(AC54:AC55)+AC42</f>
        <v>0</v>
      </c>
      <c r="AD57" s="146" cm="1">
        <f t="array" ref="AD57">SUMPRODUCT((AD$45:AD$52)*($E$45:$E$52))+SUM(AD54:AD55)+AD42</f>
        <v>0</v>
      </c>
      <c r="AE57" s="146" cm="1">
        <f t="array" ref="AE57">SUMPRODUCT((AE$45:AE$52)*($E$45:$E$52))+SUM(AE54:AE55)+AE42</f>
        <v>0</v>
      </c>
      <c r="AF57" s="146" cm="1">
        <f t="array" ref="AF57">SUMPRODUCT((AF$45:AF$52)*($E$45:$E$52))+SUM(AF54:AF55)+AF42</f>
        <v>0</v>
      </c>
      <c r="AG57" s="146" cm="1">
        <f t="array" ref="AG57">SUMPRODUCT((AG$45:AG$52)*($E$45:$E$52))+SUM(AG54:AG55)+AG42</f>
        <v>0</v>
      </c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6"/>
    </row>
    <row r="64" spans="1:43" x14ac:dyDescent="0.2">
      <c r="C64" s="4" t="str">
        <f>'Option1 (base case)'!C63</f>
        <v>Risks mitigated vs base case</v>
      </c>
      <c r="G64" s="184">
        <f>input_dollars</f>
        <v>45291</v>
      </c>
      <c r="I64" s="111">
        <f>(1-INDEX(Data!$C$9:$C$13, MATCH($A$3, options,0)))*('Option1 (base case)'!I35-I36)</f>
        <v>0</v>
      </c>
      <c r="J64" s="111">
        <f>(1-INDEX(Data!$C$9:$C$13, MATCH($A$3, options,0)))*('Option1 (base case)'!J35-J36)</f>
        <v>0</v>
      </c>
      <c r="K64" s="111">
        <f>(1-INDEX(Data!$C$9:$C$13, MATCH($A$3, options,0)))*('Option1 (base case)'!K35-K36)</f>
        <v>0</v>
      </c>
      <c r="L64" s="111">
        <f>(1-INDEX(Data!$C$9:$C$13, MATCH($A$3, options,0)))*('Option1 (base case)'!L35-L36)</f>
        <v>0</v>
      </c>
      <c r="M64" s="111">
        <f>(1-INDEX(Data!$C$9:$C$13, MATCH($A$3, options,0)))*('Option1 (base case)'!M35-M36)</f>
        <v>0</v>
      </c>
      <c r="N64" s="111">
        <f>(1-INDEX(Data!$C$9:$C$13, MATCH($A$3, options,0)))*('Option1 (base case)'!N35-N36)</f>
        <v>0</v>
      </c>
      <c r="O64" s="111">
        <f>(1-INDEX(Data!$C$9:$C$13, MATCH($A$3, options,0)))*('Option1 (base case)'!O35-O36)</f>
        <v>0</v>
      </c>
      <c r="P64" s="111">
        <f>(1-INDEX(Data!$C$9:$C$13, MATCH($A$3, options,0)))*('Option1 (base case)'!P35-P36)</f>
        <v>0</v>
      </c>
      <c r="Q64" s="111">
        <f>(1-INDEX(Data!$C$9:$C$13, MATCH($A$3, options,0)))*('Option1 (base case)'!Q35-Q36)</f>
        <v>0</v>
      </c>
      <c r="R64" s="111">
        <f>(1-INDEX(Data!$C$9:$C$13, MATCH($A$3, options,0)))*('Option1 (base case)'!R35-R36)</f>
        <v>0</v>
      </c>
      <c r="S64" s="111">
        <f>(1-INDEX(Data!$C$9:$C$13, MATCH($A$3, options,0)))*('Option1 (base case)'!S35-S36)</f>
        <v>0</v>
      </c>
      <c r="T64" s="111">
        <f>(1-INDEX(Data!$C$9:$C$13, MATCH($A$3, options,0)))*('Option1 (base case)'!T35-T36)</f>
        <v>0</v>
      </c>
      <c r="U64" s="111">
        <f>(1-INDEX(Data!$C$9:$C$13, MATCH($A$3, options,0)))*('Option1 (base case)'!U35-U36)</f>
        <v>0</v>
      </c>
      <c r="V64" s="111">
        <f>(1-INDEX(Data!$C$9:$C$13, MATCH($A$3, options,0)))*('Option1 (base case)'!V35-V36)</f>
        <v>0</v>
      </c>
      <c r="W64" s="111">
        <f>(1-INDEX(Data!$C$9:$C$13, MATCH($A$3, options,0)))*('Option1 (base case)'!W35-W36)</f>
        <v>0</v>
      </c>
      <c r="X64" s="111">
        <f>(1-INDEX(Data!$C$9:$C$13, MATCH($A$3, options,0)))*('Option1 (base case)'!X35-X36)</f>
        <v>0</v>
      </c>
      <c r="Y64" s="111">
        <f>(1-INDEX(Data!$C$9:$C$13, MATCH($A$3, options,0)))*('Option1 (base case)'!Y35-Y36)</f>
        <v>0</v>
      </c>
      <c r="Z64" s="111">
        <f>(1-INDEX(Data!$C$9:$C$13, MATCH($A$3, options,0)))*('Option1 (base case)'!Z35-Z36)</f>
        <v>0</v>
      </c>
      <c r="AA64" s="111">
        <f>(1-INDEX(Data!$C$9:$C$13, MATCH($A$3, options,0)))*('Option1 (base case)'!AA35-AA36)</f>
        <v>0</v>
      </c>
      <c r="AB64" s="111">
        <f>(1-INDEX(Data!$C$9:$C$13, MATCH($A$3, options,0)))*('Option1 (base case)'!AB35-AB36)</f>
        <v>0</v>
      </c>
      <c r="AC64" s="111">
        <f>(1-INDEX(Data!$C$9:$C$13, MATCH($A$3, options,0)))*('Option1 (base case)'!AC35-AC36)</f>
        <v>0</v>
      </c>
      <c r="AD64" s="111">
        <f>(1-INDEX(Data!$C$9:$C$13, MATCH($A$3, options,0)))*('Option1 (base case)'!AD35-AD36)</f>
        <v>0</v>
      </c>
      <c r="AE64" s="111">
        <f>(1-INDEX(Data!$C$9:$C$13, MATCH($A$3, options,0)))*('Option1 (base case)'!AE35-AE36)</f>
        <v>0</v>
      </c>
      <c r="AF64" s="111">
        <f>(1-INDEX(Data!$C$9:$C$13, MATCH($A$3, options,0)))*('Option1 (base case)'!AF35-AF36)</f>
        <v>0</v>
      </c>
      <c r="AG64" s="111">
        <f>(1-INDEX(Data!$C$9:$C$13, MATCH($A$3, options,0)))*('Option1 (base case)'!AG35-AG36)</f>
        <v>0</v>
      </c>
    </row>
    <row r="65" spans="1:33" x14ac:dyDescent="0.2">
      <c r="G65" s="186"/>
    </row>
    <row r="66" spans="1:33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4"/>
      <c r="G67" s="184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4"/>
      <c r="G68" s="184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4"/>
      <c r="G69" s="184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5" t="s">
        <v>143</v>
      </c>
      <c r="D76" s="34"/>
      <c r="F76" s="8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4"/>
      <c r="G77" s="184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4"/>
      <c r="G78" s="184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4"/>
      <c r="G79" s="184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1">SUM(J77:J79)</f>
        <v>0</v>
      </c>
      <c r="K80" s="151">
        <f t="shared" si="11"/>
        <v>0</v>
      </c>
      <c r="L80" s="151">
        <f t="shared" si="11"/>
        <v>0</v>
      </c>
      <c r="M80" s="151">
        <f t="shared" si="11"/>
        <v>0</v>
      </c>
      <c r="N80" s="151">
        <f t="shared" si="11"/>
        <v>0</v>
      </c>
      <c r="O80" s="151">
        <f t="shared" si="11"/>
        <v>0</v>
      </c>
      <c r="P80" s="151">
        <f t="shared" si="11"/>
        <v>0</v>
      </c>
      <c r="Q80" s="151">
        <f t="shared" si="11"/>
        <v>0</v>
      </c>
      <c r="R80" s="151">
        <f t="shared" si="11"/>
        <v>0</v>
      </c>
      <c r="S80" s="151">
        <f t="shared" si="11"/>
        <v>0</v>
      </c>
      <c r="T80" s="151">
        <f t="shared" si="11"/>
        <v>0</v>
      </c>
      <c r="U80" s="151">
        <f t="shared" si="11"/>
        <v>0</v>
      </c>
      <c r="V80" s="151">
        <f t="shared" si="11"/>
        <v>0</v>
      </c>
      <c r="W80" s="151">
        <f t="shared" si="11"/>
        <v>0</v>
      </c>
      <c r="X80" s="151">
        <f t="shared" si="11"/>
        <v>0</v>
      </c>
      <c r="Y80" s="151">
        <f t="shared" si="11"/>
        <v>0</v>
      </c>
      <c r="Z80" s="151">
        <f t="shared" si="11"/>
        <v>0</v>
      </c>
      <c r="AA80" s="151">
        <f t="shared" si="11"/>
        <v>0</v>
      </c>
      <c r="AB80" s="151">
        <f t="shared" si="11"/>
        <v>0</v>
      </c>
      <c r="AC80" s="151">
        <f>SUM(AC77:AC79)</f>
        <v>0</v>
      </c>
      <c r="AD80" s="151">
        <f>SUM(AD77:AD79)</f>
        <v>0</v>
      </c>
      <c r="AE80" s="151">
        <f>SUM(AE77:AE79)</f>
        <v>0</v>
      </c>
      <c r="AF80" s="151">
        <f>SUM(AF77:AF79)</f>
        <v>0</v>
      </c>
      <c r="AG80" s="151">
        <f>SUM(AG77:AG79)</f>
        <v>0</v>
      </c>
    </row>
    <row r="81" spans="1:33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143</v>
      </c>
      <c r="D82" s="34"/>
      <c r="F82" s="84"/>
      <c r="G82" s="184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33</v>
      </c>
      <c r="D83" s="34"/>
      <c r="F83" s="84"/>
      <c r="G83" s="184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145</v>
      </c>
      <c r="D84" s="34"/>
      <c r="F84" s="84"/>
      <c r="G84" s="184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146</v>
      </c>
      <c r="D85" s="34"/>
      <c r="F85" s="84"/>
      <c r="G85" s="184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2" t="s">
        <v>147</v>
      </c>
      <c r="D87" s="153"/>
      <c r="E87" s="149"/>
      <c r="F87" s="154"/>
      <c r="G87" s="189">
        <f t="shared" si="12"/>
        <v>45291</v>
      </c>
      <c r="H87" s="154"/>
      <c r="I87" s="154">
        <f t="shared" ref="I87:AB87" si="17">SUM(I82:I86)</f>
        <v>0</v>
      </c>
      <c r="J87" s="154">
        <f t="shared" si="17"/>
        <v>0</v>
      </c>
      <c r="K87" s="154">
        <f t="shared" si="17"/>
        <v>0</v>
      </c>
      <c r="L87" s="154">
        <f t="shared" si="17"/>
        <v>0</v>
      </c>
      <c r="M87" s="154">
        <f t="shared" si="17"/>
        <v>0</v>
      </c>
      <c r="N87" s="154">
        <f t="shared" si="17"/>
        <v>0</v>
      </c>
      <c r="O87" s="154">
        <f t="shared" si="17"/>
        <v>0</v>
      </c>
      <c r="P87" s="154">
        <f t="shared" si="17"/>
        <v>0</v>
      </c>
      <c r="Q87" s="154">
        <f t="shared" si="17"/>
        <v>0</v>
      </c>
      <c r="R87" s="154">
        <f t="shared" si="17"/>
        <v>0</v>
      </c>
      <c r="S87" s="154">
        <f t="shared" si="17"/>
        <v>0</v>
      </c>
      <c r="T87" s="154">
        <f t="shared" si="17"/>
        <v>0</v>
      </c>
      <c r="U87" s="154">
        <f t="shared" si="17"/>
        <v>0</v>
      </c>
      <c r="V87" s="154">
        <f t="shared" si="17"/>
        <v>0</v>
      </c>
      <c r="W87" s="154">
        <f t="shared" si="17"/>
        <v>0</v>
      </c>
      <c r="X87" s="154">
        <f t="shared" si="17"/>
        <v>0</v>
      </c>
      <c r="Y87" s="154">
        <f t="shared" si="17"/>
        <v>0</v>
      </c>
      <c r="Z87" s="154">
        <f t="shared" si="17"/>
        <v>0</v>
      </c>
      <c r="AA87" s="154">
        <f t="shared" si="17"/>
        <v>0</v>
      </c>
      <c r="AB87" s="154">
        <f t="shared" si="17"/>
        <v>0</v>
      </c>
      <c r="AC87" s="154">
        <f>SUM(AC82:AC86)</f>
        <v>0</v>
      </c>
      <c r="AD87" s="154">
        <f>SUM(AD82:AD86)</f>
        <v>0</v>
      </c>
      <c r="AE87" s="154">
        <f>SUM(AE82:AE86)</f>
        <v>0</v>
      </c>
      <c r="AF87" s="154">
        <f>SUM(AF82:AF86)</f>
        <v>0</v>
      </c>
      <c r="AG87" s="154">
        <f>SUM(AG82:AG86)</f>
        <v>0</v>
      </c>
    </row>
    <row r="88" spans="1:33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19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3" t="s">
        <v>152</v>
      </c>
      <c r="D90" s="72"/>
      <c r="E90" s="204"/>
      <c r="F90" s="205"/>
      <c r="G90" s="206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7"/>
      <c r="E91" s="204"/>
      <c r="F91" s="204"/>
      <c r="G91" s="206"/>
    </row>
    <row r="92" spans="1:33" x14ac:dyDescent="0.2">
      <c r="C92" s="208" t="s">
        <v>153</v>
      </c>
      <c r="D92" s="209"/>
      <c r="E92" s="209"/>
      <c r="F92" s="209"/>
      <c r="G92" s="210" t="str">
        <f>IF(_xlfn.MINIFS($G$90:$G$91, $G$90:$G$91, "&gt;"&amp;0)=0, $A$4, _xlfn.MINIFS($G$90:$G$91, $G$90:$G$91, "&gt;"&amp;0))</f>
        <v>Not used</v>
      </c>
    </row>
    <row r="94" spans="1:33" x14ac:dyDescent="0.2">
      <c r="G94" s="10"/>
    </row>
    <row r="102" spans="1:43" ht="15" x14ac:dyDescent="0.2">
      <c r="A102" s="78" t="s">
        <v>37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1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1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1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1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1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1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1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workbookViewId="0"/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3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50" t="str">
        <f>proj</f>
        <v>AR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7" t="s">
        <v>159</v>
      </c>
      <c r="B3" s="5"/>
      <c r="C3" s="175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62"/>
      <c r="C4" s="211"/>
    </row>
    <row r="5" spans="1:43" hidden="1" outlineLevel="1" x14ac:dyDescent="0.2">
      <c r="C5" s="86"/>
      <c r="D5" s="85"/>
      <c r="E5" s="87"/>
      <c r="F5" s="87"/>
      <c r="G5" s="85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</row>
    <row r="6" spans="1:43" hidden="1" outlineLevel="1" x14ac:dyDescent="0.2">
      <c r="A6" s="85" t="str">
        <f>'Option1 (base case)'!A6</f>
        <v>Count</v>
      </c>
      <c r="B6" s="85"/>
      <c r="C6" s="86"/>
      <c r="D6" s="85"/>
      <c r="E6" s="87"/>
      <c r="F6" s="87"/>
      <c r="G6" s="85"/>
      <c r="H6" s="88"/>
      <c r="I6" s="88">
        <f>'Option1 (base case)'!I6</f>
        <v>1</v>
      </c>
      <c r="J6" s="88">
        <f>'Option1 (base case)'!J6</f>
        <v>2</v>
      </c>
      <c r="K6" s="88">
        <f>'Option1 (base case)'!K6</f>
        <v>3</v>
      </c>
      <c r="L6" s="88">
        <f>'Option1 (base case)'!L6</f>
        <v>4</v>
      </c>
      <c r="M6" s="88">
        <f>'Option1 (base case)'!M6</f>
        <v>5</v>
      </c>
      <c r="N6" s="88">
        <f>'Option1 (base case)'!N6</f>
        <v>6</v>
      </c>
      <c r="O6" s="88">
        <f>'Option1 (base case)'!O6</f>
        <v>7</v>
      </c>
      <c r="P6" s="88">
        <f>'Option1 (base case)'!P6</f>
        <v>8</v>
      </c>
      <c r="Q6" s="88">
        <f>'Option1 (base case)'!Q6</f>
        <v>9</v>
      </c>
      <c r="R6" s="88">
        <f>'Option1 (base case)'!R6</f>
        <v>10</v>
      </c>
      <c r="S6" s="88">
        <f>'Option1 (base case)'!S6</f>
        <v>11</v>
      </c>
      <c r="T6" s="88">
        <f>'Option1 (base case)'!T6</f>
        <v>12</v>
      </c>
      <c r="U6" s="88">
        <f>'Option1 (base case)'!U6</f>
        <v>13</v>
      </c>
      <c r="V6" s="88">
        <f>'Option1 (base case)'!V6</f>
        <v>14</v>
      </c>
      <c r="W6" s="88">
        <f>'Option1 (base case)'!W6</f>
        <v>15</v>
      </c>
      <c r="X6" s="88">
        <f>'Option1 (base case)'!X6</f>
        <v>16</v>
      </c>
      <c r="Y6" s="88">
        <f>'Option1 (base case)'!Y6</f>
        <v>17</v>
      </c>
      <c r="Z6" s="88">
        <f>'Option1 (base case)'!Z6</f>
        <v>18</v>
      </c>
      <c r="AA6" s="88">
        <f>'Option1 (base case)'!AA6</f>
        <v>19</v>
      </c>
      <c r="AB6" s="88">
        <f>'Option1 (base case)'!AB6</f>
        <v>20</v>
      </c>
      <c r="AC6" s="88">
        <f>'Option1 (base case)'!AC6</f>
        <v>21</v>
      </c>
      <c r="AD6" s="88">
        <f>'Option1 (base case)'!AD6</f>
        <v>22</v>
      </c>
      <c r="AE6" s="88">
        <f>'Option1 (base case)'!AE6</f>
        <v>23</v>
      </c>
      <c r="AF6" s="88">
        <f>'Option1 (base case)'!AF6</f>
        <v>24</v>
      </c>
      <c r="AG6" s="88">
        <f>'Option1 (base case)'!AG6</f>
        <v>25</v>
      </c>
    </row>
    <row r="7" spans="1:43" hidden="1" outlineLevel="1" x14ac:dyDescent="0.2">
      <c r="A7" s="85" t="str">
        <f>'Option1 (base case)'!A7</f>
        <v>Value of CO2 reductions</v>
      </c>
      <c r="B7" s="85"/>
      <c r="G7" s="137" t="s">
        <v>108</v>
      </c>
      <c r="I7" s="86">
        <f>'Option1 (base case)'!I7</f>
        <v>24.730486797759085</v>
      </c>
      <c r="J7" s="86">
        <f>'Option1 (base case)'!J7</f>
        <v>22.340740091772258</v>
      </c>
      <c r="K7" s="86">
        <f>'Option1 (base case)'!K7</f>
        <v>20.196329122153124</v>
      </c>
      <c r="L7" s="86">
        <f>'Option1 (base case)'!L7</f>
        <v>18.06294207659629</v>
      </c>
      <c r="M7" s="86">
        <f>'Option1 (base case)'!M7</f>
        <v>15.913397615084225</v>
      </c>
      <c r="N7" s="86">
        <f>'Option1 (base case)'!N7</f>
        <v>13.715069432539002</v>
      </c>
      <c r="O7" s="86">
        <f>'Option1 (base case)'!O7</f>
        <v>13.715069432539002</v>
      </c>
      <c r="P7" s="86">
        <f>'Option1 (base case)'!P7</f>
        <v>13.715069432539002</v>
      </c>
      <c r="Q7" s="86">
        <f>'Option1 (base case)'!Q7</f>
        <v>13.715069432539002</v>
      </c>
      <c r="R7" s="86">
        <f>'Option1 (base case)'!R7</f>
        <v>13.715069432539002</v>
      </c>
      <c r="S7" s="86">
        <f>'Option1 (base case)'!S7</f>
        <v>13.715069432539002</v>
      </c>
      <c r="T7" s="86">
        <f>'Option1 (base case)'!T7</f>
        <v>13.715069432539002</v>
      </c>
      <c r="U7" s="86">
        <f>'Option1 (base case)'!U7</f>
        <v>13.715069432539002</v>
      </c>
      <c r="V7" s="86">
        <f>'Option1 (base case)'!V7</f>
        <v>13.715069432539002</v>
      </c>
      <c r="W7" s="86">
        <f>'Option1 (base case)'!W7</f>
        <v>13.715069432539002</v>
      </c>
      <c r="X7" s="86">
        <f>'Option1 (base case)'!X7</f>
        <v>13.715069432539002</v>
      </c>
      <c r="Y7" s="86">
        <f>'Option1 (base case)'!Y7</f>
        <v>13.715069432539002</v>
      </c>
      <c r="Z7" s="86">
        <f>'Option1 (base case)'!Z7</f>
        <v>13.715069432539002</v>
      </c>
      <c r="AA7" s="86">
        <f>'Option1 (base case)'!AA7</f>
        <v>13.715069432539002</v>
      </c>
      <c r="AB7" s="86">
        <f>'Option1 (base case)'!AB7</f>
        <v>13.715069432539002</v>
      </c>
      <c r="AC7" s="86">
        <f>'Option1 (base case)'!AC7</f>
        <v>13.715069432539002</v>
      </c>
      <c r="AD7" s="86">
        <f>'Option1 (base case)'!AD7</f>
        <v>13.715069432539002</v>
      </c>
      <c r="AE7" s="86">
        <f>'Option1 (base case)'!AE7</f>
        <v>13.715069432539002</v>
      </c>
      <c r="AF7" s="86">
        <f>'Option1 (base case)'!AF7</f>
        <v>13.715069432539002</v>
      </c>
      <c r="AG7" s="86">
        <f>'Option1 (base case)'!AG7</f>
        <v>13.715069432539002</v>
      </c>
    </row>
    <row r="8" spans="1:43" ht="6.75" customHeight="1" collapsed="1" x14ac:dyDescent="0.2">
      <c r="C8" s="86"/>
      <c r="D8" s="85"/>
      <c r="E8" s="87"/>
      <c r="F8" s="87"/>
      <c r="G8" s="85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</row>
    <row r="9" spans="1:43" ht="15" x14ac:dyDescent="0.2">
      <c r="A9" s="16"/>
      <c r="B9" s="16"/>
      <c r="C9" s="16"/>
      <c r="D9" s="16"/>
      <c r="E9" s="16"/>
      <c r="F9" s="120"/>
      <c r="G9" s="16" t="s">
        <v>109</v>
      </c>
      <c r="H9" s="193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8" t="s">
        <v>110</v>
      </c>
      <c r="B11" s="78"/>
      <c r="C11" s="79"/>
      <c r="D11" s="79"/>
      <c r="E11" s="79"/>
      <c r="F11" s="79"/>
      <c r="G11" s="178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</row>
    <row r="12" spans="1:43" x14ac:dyDescent="0.2">
      <c r="A12" s="3"/>
      <c r="B12" s="3"/>
      <c r="C12" s="3"/>
      <c r="D12" s="3"/>
      <c r="G12" s="179"/>
      <c r="AH12"/>
      <c r="AI12"/>
      <c r="AJ12"/>
      <c r="AK12"/>
    </row>
    <row r="13" spans="1:43" x14ac:dyDescent="0.2">
      <c r="C13" s="3" t="s">
        <v>103</v>
      </c>
      <c r="D13"/>
      <c r="E13" s="105" t="s">
        <v>111</v>
      </c>
      <c r="G13" s="180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1" t="s">
        <v>112</v>
      </c>
      <c r="D14"/>
      <c r="E14" s="126">
        <v>0</v>
      </c>
      <c r="G14" s="181">
        <f>input_dollars</f>
        <v>45291</v>
      </c>
      <c r="H14" s="127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1" t="s">
        <v>112</v>
      </c>
      <c r="D15"/>
      <c r="E15" s="126">
        <v>0</v>
      </c>
      <c r="G15" s="181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1" t="s">
        <v>112</v>
      </c>
      <c r="D16"/>
      <c r="E16" s="126">
        <v>0</v>
      </c>
      <c r="G16" s="181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32</v>
      </c>
      <c r="G17" s="181">
        <f>input_dollars</f>
        <v>45291</v>
      </c>
      <c r="H17" s="94"/>
      <c r="I17" s="93">
        <f t="shared" ref="I17:Q17" si="0">SUM(I14:I16)</f>
        <v>0</v>
      </c>
      <c r="J17" s="93">
        <f t="shared" si="0"/>
        <v>0</v>
      </c>
      <c r="K17" s="93">
        <f>SUM(K14:K16)</f>
        <v>0</v>
      </c>
      <c r="L17" s="93">
        <f t="shared" si="0"/>
        <v>0</v>
      </c>
      <c r="M17" s="93">
        <f t="shared" si="0"/>
        <v>0</v>
      </c>
      <c r="N17" s="93">
        <f t="shared" si="0"/>
        <v>0</v>
      </c>
      <c r="O17" s="93">
        <f t="shared" si="0"/>
        <v>0</v>
      </c>
      <c r="P17" s="93">
        <f t="shared" si="0"/>
        <v>0</v>
      </c>
      <c r="Q17" s="93">
        <f t="shared" si="0"/>
        <v>0</v>
      </c>
      <c r="R17" s="93">
        <f t="shared" ref="R17:AG17" si="1">SUM(R14:R16)</f>
        <v>0</v>
      </c>
      <c r="S17" s="93">
        <f t="shared" si="1"/>
        <v>0</v>
      </c>
      <c r="T17" s="93">
        <f t="shared" si="1"/>
        <v>0</v>
      </c>
      <c r="U17" s="93">
        <f t="shared" si="1"/>
        <v>0</v>
      </c>
      <c r="V17" s="93">
        <f t="shared" si="1"/>
        <v>0</v>
      </c>
      <c r="W17" s="93">
        <f t="shared" si="1"/>
        <v>0</v>
      </c>
      <c r="X17" s="93">
        <f t="shared" si="1"/>
        <v>0</v>
      </c>
      <c r="Y17" s="93">
        <f t="shared" si="1"/>
        <v>0</v>
      </c>
      <c r="Z17" s="93">
        <f t="shared" si="1"/>
        <v>0</v>
      </c>
      <c r="AA17" s="93">
        <f t="shared" si="1"/>
        <v>0</v>
      </c>
      <c r="AB17" s="93">
        <f t="shared" si="1"/>
        <v>0</v>
      </c>
      <c r="AC17" s="93">
        <f t="shared" si="1"/>
        <v>0</v>
      </c>
      <c r="AD17" s="93">
        <f t="shared" si="1"/>
        <v>0</v>
      </c>
      <c r="AE17" s="93">
        <f t="shared" si="1"/>
        <v>0</v>
      </c>
      <c r="AF17" s="93">
        <f t="shared" si="1"/>
        <v>0</v>
      </c>
      <c r="AG17" s="93">
        <f t="shared" si="1"/>
        <v>0</v>
      </c>
      <c r="AH17"/>
      <c r="AI17"/>
      <c r="AJ17"/>
      <c r="AK17"/>
    </row>
    <row r="18" spans="1:43" x14ac:dyDescent="0.2">
      <c r="C18"/>
      <c r="D18"/>
      <c r="E18"/>
      <c r="G18" s="180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33</v>
      </c>
      <c r="D19"/>
      <c r="E19"/>
      <c r="F19" s="94"/>
      <c r="G19" s="181">
        <f>input_dollars</f>
        <v>45291</v>
      </c>
      <c r="H19" s="94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5">
        <v>0</v>
      </c>
      <c r="S19" s="115">
        <v>0</v>
      </c>
      <c r="T19" s="115">
        <v>0</v>
      </c>
      <c r="U19" s="115">
        <v>0</v>
      </c>
      <c r="V19" s="115">
        <v>0</v>
      </c>
      <c r="W19" s="115">
        <v>0</v>
      </c>
      <c r="X19" s="115">
        <v>0</v>
      </c>
      <c r="Y19" s="115">
        <v>0</v>
      </c>
      <c r="Z19" s="115">
        <v>0</v>
      </c>
      <c r="AA19" s="115">
        <v>0</v>
      </c>
      <c r="AB19" s="115">
        <v>0</v>
      </c>
      <c r="AC19" s="115">
        <v>0</v>
      </c>
      <c r="AD19" s="115">
        <v>0</v>
      </c>
      <c r="AE19" s="115">
        <v>0</v>
      </c>
      <c r="AF19" s="115">
        <v>0</v>
      </c>
      <c r="AG19" s="115">
        <v>0</v>
      </c>
      <c r="AH19"/>
      <c r="AI19"/>
      <c r="AJ19"/>
      <c r="AK19"/>
    </row>
    <row r="20" spans="1:43" x14ac:dyDescent="0.2">
      <c r="G20" s="179"/>
      <c r="AH20"/>
      <c r="AI20"/>
      <c r="AJ20"/>
      <c r="AK20"/>
    </row>
    <row r="21" spans="1:43" x14ac:dyDescent="0.2">
      <c r="C21"/>
      <c r="D21"/>
      <c r="E21"/>
      <c r="G21" s="180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8" t="s">
        <v>113</v>
      </c>
      <c r="B22" s="78"/>
      <c r="C22" s="78"/>
      <c r="D22" s="78"/>
      <c r="E22" s="78"/>
      <c r="F22" s="78"/>
      <c r="G22" s="1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8"/>
      <c r="B23" s="98"/>
      <c r="C23" s="98"/>
      <c r="D23" s="98"/>
      <c r="E23" s="98"/>
      <c r="F23" s="98"/>
      <c r="G23" s="182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8"/>
      <c r="B24" s="98"/>
      <c r="C24" s="1" t="s">
        <v>114</v>
      </c>
      <c r="D24" s="98"/>
      <c r="E24" s="98"/>
      <c r="F24" s="98"/>
      <c r="G24" s="182"/>
      <c r="H24" s="98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5">
        <v>0</v>
      </c>
      <c r="W24" s="145">
        <v>0</v>
      </c>
      <c r="X24" s="145">
        <v>0</v>
      </c>
      <c r="Y24" s="145">
        <v>0</v>
      </c>
      <c r="Z24" s="145">
        <v>0</v>
      </c>
      <c r="AA24" s="145">
        <v>0</v>
      </c>
      <c r="AB24" s="145">
        <v>0</v>
      </c>
      <c r="AC24" s="145">
        <v>0</v>
      </c>
      <c r="AD24" s="145">
        <v>0</v>
      </c>
      <c r="AE24" s="145">
        <v>0</v>
      </c>
      <c r="AF24" s="145">
        <v>0</v>
      </c>
      <c r="AG24" s="145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8"/>
      <c r="B25" s="98"/>
      <c r="C25" s="1" t="s">
        <v>115</v>
      </c>
      <c r="D25" s="182"/>
      <c r="E25" s="98"/>
      <c r="F25" s="98"/>
      <c r="G25" s="182"/>
      <c r="H25" s="98"/>
      <c r="I25" s="145">
        <v>0</v>
      </c>
      <c r="J25" s="145">
        <v>0</v>
      </c>
      <c r="K25" s="145">
        <v>0</v>
      </c>
      <c r="L25" s="145">
        <v>0</v>
      </c>
      <c r="M25" s="145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5">
        <v>0</v>
      </c>
      <c r="V25" s="145">
        <v>0</v>
      </c>
      <c r="W25" s="145">
        <v>0</v>
      </c>
      <c r="X25" s="145">
        <v>0</v>
      </c>
      <c r="Y25" s="145">
        <v>0</v>
      </c>
      <c r="Z25" s="145">
        <v>0</v>
      </c>
      <c r="AA25" s="145">
        <v>0</v>
      </c>
      <c r="AB25" s="145">
        <v>0</v>
      </c>
      <c r="AC25" s="145">
        <v>0</v>
      </c>
      <c r="AD25" s="145">
        <v>0</v>
      </c>
      <c r="AE25" s="145">
        <v>0</v>
      </c>
      <c r="AF25" s="145">
        <v>0</v>
      </c>
      <c r="AG25" s="145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8"/>
      <c r="B26" s="98"/>
      <c r="C26" s="98"/>
      <c r="D26" s="182"/>
      <c r="E26" s="98"/>
      <c r="F26" s="98"/>
      <c r="G26" s="182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/>
      <c r="AI26"/>
      <c r="AJ26"/>
      <c r="AK26"/>
      <c r="AL26"/>
      <c r="AM26"/>
      <c r="AN26"/>
      <c r="AO26"/>
      <c r="AP26"/>
      <c r="AQ26"/>
    </row>
    <row r="27" spans="1:43" x14ac:dyDescent="0.2">
      <c r="C27" s="1" t="s">
        <v>116</v>
      </c>
      <c r="D27" s="179"/>
      <c r="E27"/>
      <c r="G27" s="181" t="s">
        <v>117</v>
      </c>
      <c r="H27"/>
      <c r="I27" s="144">
        <v>0</v>
      </c>
      <c r="J27" s="144">
        <v>0</v>
      </c>
      <c r="K27" s="144">
        <v>0</v>
      </c>
      <c r="L27" s="144">
        <v>0</v>
      </c>
      <c r="M27" s="144">
        <v>0</v>
      </c>
      <c r="N27" s="144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/>
      <c r="AI27"/>
      <c r="AJ27"/>
      <c r="AK27"/>
      <c r="AL27"/>
      <c r="AM27"/>
      <c r="AN27"/>
      <c r="AO27"/>
      <c r="AP27"/>
      <c r="AQ27"/>
    </row>
    <row r="28" spans="1:43" x14ac:dyDescent="0.2">
      <c r="C28" s="1" t="s">
        <v>118</v>
      </c>
      <c r="D28" s="179" t="s">
        <v>108</v>
      </c>
      <c r="E28" s="100">
        <f>Assumptions!H41*vcr_esc</f>
        <v>45386.140842230838</v>
      </c>
      <c r="F28" s="211" t="str">
        <f>IF(AND(SUM(I27:AG27)&lt;&gt;0, E28=0), "!", "")</f>
        <v/>
      </c>
      <c r="G28" s="181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x14ac:dyDescent="0.2">
      <c r="D29" s="180"/>
      <c r="E29"/>
      <c r="G29" s="18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x14ac:dyDescent="0.2">
      <c r="C30" s="1" t="s">
        <v>156</v>
      </c>
      <c r="D30" s="179" t="s">
        <v>119</v>
      </c>
      <c r="G30" s="181">
        <f>input_dollars</f>
        <v>45291</v>
      </c>
      <c r="H30" s="127"/>
      <c r="I30" s="146" cm="1">
        <f t="array" ref="I30">SUMPRODUCT((Assumptions!$H$70:$H$71)*(Assumptions!$G$70:$G$71)*(Assumptions!$I$70:$I$71)*(I$24:I$25))</f>
        <v>0</v>
      </c>
      <c r="J30" s="146" cm="1">
        <f t="array" ref="J30">SUMPRODUCT((Assumptions!$H$70:$H$71)*(Assumptions!$G$70:$G$71)*(Assumptions!$I$70:$I$71)*(J$24:J$25))</f>
        <v>0</v>
      </c>
      <c r="K30" s="146" cm="1">
        <f t="array" ref="K30">SUMPRODUCT((Assumptions!$H$70:$H$71)*(Assumptions!$G$70:$G$71)*(Assumptions!$I$70:$I$71)*(K$24:K$25))</f>
        <v>0</v>
      </c>
      <c r="L30" s="146" cm="1">
        <f t="array" ref="L30">SUMPRODUCT((Assumptions!$H$70:$H$71)*(Assumptions!$G$70:$G$71)*(Assumptions!$I$70:$I$71)*(L$24:L$25))</f>
        <v>0</v>
      </c>
      <c r="M30" s="146" cm="1">
        <f t="array" ref="M30">SUMPRODUCT((Assumptions!$H$70:$H$71)*(Assumptions!$G$70:$G$71)*(Assumptions!$I$70:$I$71)*(M$24:M$25))</f>
        <v>0</v>
      </c>
      <c r="N30" s="146" cm="1">
        <f t="array" ref="N30">SUMPRODUCT((Assumptions!$H$70:$H$71)*(Assumptions!$G$70:$G$71)*(Assumptions!$I$70:$I$71)*(N$24:N$25))</f>
        <v>0</v>
      </c>
      <c r="O30" s="146" cm="1">
        <f t="array" ref="O30">SUMPRODUCT((Assumptions!$H$70:$H$71)*(Assumptions!$G$70:$G$71)*(Assumptions!$I$70:$I$71)*(O$24:O$25))</f>
        <v>0</v>
      </c>
      <c r="P30" s="146" cm="1">
        <f t="array" ref="P30">SUMPRODUCT((Assumptions!$H$70:$H$71)*(Assumptions!$G$70:$G$71)*(Assumptions!$I$70:$I$71)*(P$24:P$25))</f>
        <v>0</v>
      </c>
      <c r="Q30" s="146" cm="1">
        <f t="array" ref="Q30">SUMPRODUCT((Assumptions!$H$70:$H$71)*(Assumptions!$G$70:$G$71)*(Assumptions!$I$70:$I$71)*(Q$24:Q$25))</f>
        <v>0</v>
      </c>
      <c r="R30" s="146" cm="1">
        <f t="array" ref="R30">SUMPRODUCT((Assumptions!$H$70:$H$71)*(Assumptions!$G$70:$G$71)*(Assumptions!$I$70:$I$71)*(R$24:R$25))</f>
        <v>0</v>
      </c>
      <c r="S30" s="146" cm="1">
        <f t="array" ref="S30">SUMPRODUCT((Assumptions!$H$70:$H$71)*(Assumptions!$G$70:$G$71)*(Assumptions!$I$70:$I$71)*(S$24:S$25))</f>
        <v>0</v>
      </c>
      <c r="T30" s="146" cm="1">
        <f t="array" ref="T30">SUMPRODUCT((Assumptions!$H$70:$H$71)*(Assumptions!$G$70:$G$71)*(Assumptions!$I$70:$I$71)*(T$24:T$25))</f>
        <v>0</v>
      </c>
      <c r="U30" s="146" cm="1">
        <f t="array" ref="U30">SUMPRODUCT((Assumptions!$H$70:$H$71)*(Assumptions!$G$70:$G$71)*(Assumptions!$I$70:$I$71)*(U$24:U$25))</f>
        <v>0</v>
      </c>
      <c r="V30" s="146" cm="1">
        <f t="array" ref="V30">SUMPRODUCT((Assumptions!$H$70:$H$71)*(Assumptions!$G$70:$G$71)*(Assumptions!$I$70:$I$71)*(V$24:V$25))</f>
        <v>0</v>
      </c>
      <c r="W30" s="146" cm="1">
        <f t="array" ref="W30">SUMPRODUCT((Assumptions!$H$70:$H$71)*(Assumptions!$G$70:$G$71)*(Assumptions!$I$70:$I$71)*(W$24:W$25))</f>
        <v>0</v>
      </c>
      <c r="X30" s="146" cm="1">
        <f t="array" ref="X30">SUMPRODUCT((Assumptions!$H$70:$H$71)*(Assumptions!$G$70:$G$71)*(Assumptions!$I$70:$I$71)*(X$24:X$25))</f>
        <v>0</v>
      </c>
      <c r="Y30" s="146" cm="1">
        <f t="array" ref="Y30">SUMPRODUCT((Assumptions!$H$70:$H$71)*(Assumptions!$G$70:$G$71)*(Assumptions!$I$70:$I$71)*(Y$24:Y$25))</f>
        <v>0</v>
      </c>
      <c r="Z30" s="146" cm="1">
        <f t="array" ref="Z30">SUMPRODUCT((Assumptions!$H$70:$H$71)*(Assumptions!$G$70:$G$71)*(Assumptions!$I$70:$I$71)*(Z$24:Z$25))</f>
        <v>0</v>
      </c>
      <c r="AA30" s="146" cm="1">
        <f t="array" ref="AA30">SUMPRODUCT((Assumptions!$H$70:$H$71)*(Assumptions!$G$70:$G$71)*(Assumptions!$I$70:$I$71)*(AA$24:AA$25))</f>
        <v>0</v>
      </c>
      <c r="AB30" s="146" cm="1">
        <f t="array" ref="AB30">SUMPRODUCT((Assumptions!$H$70:$H$71)*(Assumptions!$G$70:$G$71)*(Assumptions!$I$70:$I$71)*(AB$24:AB$25))</f>
        <v>0</v>
      </c>
      <c r="AC30" s="146" cm="1">
        <f t="array" ref="AC30">SUMPRODUCT((Assumptions!$H$70:$H$71)*(Assumptions!$G$70:$G$71)*(Assumptions!$I$70:$I$71)*(AC$24:AC$25))</f>
        <v>0</v>
      </c>
      <c r="AD30" s="146" cm="1">
        <f t="array" ref="AD30">SUMPRODUCT((Assumptions!$H$70:$H$71)*(Assumptions!$G$70:$G$71)*(Assumptions!$I$70:$I$71)*(AD$24:AD$25))</f>
        <v>0</v>
      </c>
      <c r="AE30" s="146" cm="1">
        <f t="array" ref="AE30">SUMPRODUCT((Assumptions!$H$70:$H$71)*(Assumptions!$G$70:$G$71)*(Assumptions!$I$70:$I$71)*(AE$24:AE$25))</f>
        <v>0</v>
      </c>
      <c r="AF30" s="146" cm="1">
        <f t="array" ref="AF30">SUMPRODUCT((Assumptions!$H$70:$H$71)*(Assumptions!$G$70:$G$71)*(Assumptions!$I$70:$I$71)*(AF$24:AF$25))</f>
        <v>0</v>
      </c>
      <c r="AG30" s="146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157</v>
      </c>
      <c r="D31" s="180"/>
      <c r="E31"/>
      <c r="G31" s="181">
        <f>input_dollars</f>
        <v>45291</v>
      </c>
      <c r="H31" s="127"/>
      <c r="I31" s="146" cm="1">
        <f t="array" ref="I31">(1+Assumptions!$G$81)*SUMPRODUCT((Assumptions!$G$78:$G$79)*(I$24:I$25))</f>
        <v>0</v>
      </c>
      <c r="J31" s="146" cm="1">
        <f t="array" ref="J31">(1+Assumptions!$G$81)*SUMPRODUCT((Assumptions!$G$78:$G$79)*(J$24:J$25))</f>
        <v>0</v>
      </c>
      <c r="K31" s="146" cm="1">
        <f t="array" ref="K31">(1+Assumptions!$G$81)*SUMPRODUCT((Assumptions!$G$78:$G$79)*(K$24:K$25))</f>
        <v>0</v>
      </c>
      <c r="L31" s="146" cm="1">
        <f t="array" ref="L31">(1+Assumptions!$G$81)*SUMPRODUCT((Assumptions!$G$78:$G$79)*(L$24:L$25))</f>
        <v>0</v>
      </c>
      <c r="M31" s="146" cm="1">
        <f t="array" ref="M31">(1+Assumptions!$G$81)*SUMPRODUCT((Assumptions!$G$78:$G$79)*(M$24:M$25))</f>
        <v>0</v>
      </c>
      <c r="N31" s="146" cm="1">
        <f t="array" ref="N31">(1+Assumptions!$G$81)*SUMPRODUCT((Assumptions!$G$78:$G$79)*(N$24:N$25))</f>
        <v>0</v>
      </c>
      <c r="O31" s="146" cm="1">
        <f t="array" ref="O31">(1+Assumptions!$G$81)*SUMPRODUCT((Assumptions!$G$78:$G$79)*(O$24:O$25))</f>
        <v>0</v>
      </c>
      <c r="P31" s="146" cm="1">
        <f t="array" ref="P31">(1+Assumptions!$G$81)*SUMPRODUCT((Assumptions!$G$78:$G$79)*(P$24:P$25))</f>
        <v>0</v>
      </c>
      <c r="Q31" s="146" cm="1">
        <f t="array" ref="Q31">(1+Assumptions!$G$81)*SUMPRODUCT((Assumptions!$G$78:$G$79)*(Q$24:Q$25))</f>
        <v>0</v>
      </c>
      <c r="R31" s="146" cm="1">
        <f t="array" ref="R31">(1+Assumptions!$G$81)*SUMPRODUCT((Assumptions!$G$78:$G$79)*(R$24:R$25))</f>
        <v>0</v>
      </c>
      <c r="S31" s="146" cm="1">
        <f t="array" ref="S31">(1+Assumptions!$G$81)*SUMPRODUCT((Assumptions!$G$78:$G$79)*(S$24:S$25))</f>
        <v>0</v>
      </c>
      <c r="T31" s="146" cm="1">
        <f t="array" ref="T31">(1+Assumptions!$G$81)*SUMPRODUCT((Assumptions!$G$78:$G$79)*(T$24:T$25))</f>
        <v>0</v>
      </c>
      <c r="U31" s="146" cm="1">
        <f t="array" ref="U31">(1+Assumptions!$G$81)*SUMPRODUCT((Assumptions!$G$78:$G$79)*(U$24:U$25))</f>
        <v>0</v>
      </c>
      <c r="V31" s="146" cm="1">
        <f t="array" ref="V31">(1+Assumptions!$G$81)*SUMPRODUCT((Assumptions!$G$78:$G$79)*(V$24:V$25))</f>
        <v>0</v>
      </c>
      <c r="W31" s="146" cm="1">
        <f t="array" ref="W31">(1+Assumptions!$G$81)*SUMPRODUCT((Assumptions!$G$78:$G$79)*(W$24:W$25))</f>
        <v>0</v>
      </c>
      <c r="X31" s="146" cm="1">
        <f t="array" ref="X31">(1+Assumptions!$G$81)*SUMPRODUCT((Assumptions!$G$78:$G$79)*(X$24:X$25))</f>
        <v>0</v>
      </c>
      <c r="Y31" s="146" cm="1">
        <f t="array" ref="Y31">(1+Assumptions!$G$81)*SUMPRODUCT((Assumptions!$G$78:$G$79)*(Y$24:Y$25))</f>
        <v>0</v>
      </c>
      <c r="Z31" s="146" cm="1">
        <f t="array" ref="Z31">(1+Assumptions!$G$81)*SUMPRODUCT((Assumptions!$G$78:$G$79)*(Z$24:Z$25))</f>
        <v>0</v>
      </c>
      <c r="AA31" s="146" cm="1">
        <f t="array" ref="AA31">(1+Assumptions!$G$81)*SUMPRODUCT((Assumptions!$G$78:$G$79)*(AA$24:AA$25))</f>
        <v>0</v>
      </c>
      <c r="AB31" s="146" cm="1">
        <f t="array" ref="AB31">(1+Assumptions!$G$81)*SUMPRODUCT((Assumptions!$G$78:$G$79)*(AB$24:AB$25))</f>
        <v>0</v>
      </c>
      <c r="AC31" s="146" cm="1">
        <f t="array" ref="AC31">(1+Assumptions!$G$81)*SUMPRODUCT((Assumptions!$G$78:$G$79)*(AC$24:AC$25))</f>
        <v>0</v>
      </c>
      <c r="AD31" s="146" cm="1">
        <f t="array" ref="AD31">(1+Assumptions!$G$81)*SUMPRODUCT((Assumptions!$G$78:$G$79)*(AD$24:AD$25))</f>
        <v>0</v>
      </c>
      <c r="AE31" s="146" cm="1">
        <f t="array" ref="AE31">(1+Assumptions!$G$81)*SUMPRODUCT((Assumptions!$G$78:$G$79)*(AE$24:AE$25))</f>
        <v>0</v>
      </c>
      <c r="AF31" s="146" cm="1">
        <f t="array" ref="AF31">(1+Assumptions!$G$81)*SUMPRODUCT((Assumptions!$G$78:$G$79)*(AF$24:AF$25))</f>
        <v>0</v>
      </c>
      <c r="AG31" s="146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158</v>
      </c>
      <c r="D32" s="179" t="s">
        <v>119</v>
      </c>
      <c r="E32"/>
      <c r="G32" s="181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5">
        <v>0</v>
      </c>
      <c r="S32" s="115">
        <v>0</v>
      </c>
      <c r="T32" s="115">
        <v>0</v>
      </c>
      <c r="U32" s="115">
        <v>0</v>
      </c>
      <c r="V32" s="115">
        <v>0</v>
      </c>
      <c r="W32" s="115">
        <v>0</v>
      </c>
      <c r="X32" s="115">
        <v>0</v>
      </c>
      <c r="Y32" s="115">
        <v>0</v>
      </c>
      <c r="Z32" s="115">
        <v>0</v>
      </c>
      <c r="AA32" s="115">
        <v>0</v>
      </c>
      <c r="AB32" s="115">
        <v>0</v>
      </c>
      <c r="AC32" s="115">
        <v>0</v>
      </c>
      <c r="AD32" s="115">
        <v>0</v>
      </c>
      <c r="AE32" s="115">
        <v>0</v>
      </c>
      <c r="AF32" s="115">
        <v>0</v>
      </c>
      <c r="AG32" s="115"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C33" s="239" t="s">
        <v>120</v>
      </c>
      <c r="D33" s="192"/>
      <c r="E33"/>
      <c r="G33" s="181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5">
        <v>0</v>
      </c>
      <c r="S33" s="115">
        <v>0</v>
      </c>
      <c r="T33" s="115">
        <v>0</v>
      </c>
      <c r="U33" s="115">
        <v>0</v>
      </c>
      <c r="V33" s="115">
        <v>0</v>
      </c>
      <c r="W33" s="115">
        <v>0</v>
      </c>
      <c r="X33" s="115">
        <v>0</v>
      </c>
      <c r="Y33" s="115">
        <v>0</v>
      </c>
      <c r="Z33" s="115">
        <v>0</v>
      </c>
      <c r="AA33" s="115">
        <v>0</v>
      </c>
      <c r="AB33" s="115">
        <v>0</v>
      </c>
      <c r="AC33" s="115">
        <v>0</v>
      </c>
      <c r="AD33" s="115">
        <v>0</v>
      </c>
      <c r="AE33" s="115">
        <v>0</v>
      </c>
      <c r="AF33" s="115">
        <v>0</v>
      </c>
      <c r="AG33" s="115">
        <v>0</v>
      </c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239" t="s">
        <v>120</v>
      </c>
      <c r="D34" s="180"/>
      <c r="E34"/>
      <c r="G34" s="181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D35" s="180"/>
      <c r="E35"/>
      <c r="G35" s="181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x14ac:dyDescent="0.2">
      <c r="C36" s="3" t="s">
        <v>121</v>
      </c>
      <c r="D36" s="191"/>
      <c r="E36" s="94"/>
      <c r="F36" s="3"/>
      <c r="G36" s="183"/>
      <c r="H36" s="94"/>
      <c r="I36" s="146">
        <f>SUM(I28:I34)</f>
        <v>0</v>
      </c>
      <c r="J36" s="146">
        <f t="shared" ref="J36:AG36" si="3">SUM(J28:J34)</f>
        <v>0</v>
      </c>
      <c r="K36" s="146">
        <f t="shared" si="3"/>
        <v>0</v>
      </c>
      <c r="L36" s="146">
        <f t="shared" si="3"/>
        <v>0</v>
      </c>
      <c r="M36" s="146">
        <f t="shared" si="3"/>
        <v>0</v>
      </c>
      <c r="N36" s="146">
        <f t="shared" si="3"/>
        <v>0</v>
      </c>
      <c r="O36" s="146">
        <f t="shared" si="3"/>
        <v>0</v>
      </c>
      <c r="P36" s="146">
        <f t="shared" si="3"/>
        <v>0</v>
      </c>
      <c r="Q36" s="146">
        <f t="shared" si="3"/>
        <v>0</v>
      </c>
      <c r="R36" s="146">
        <f t="shared" si="3"/>
        <v>0</v>
      </c>
      <c r="S36" s="146">
        <f t="shared" si="3"/>
        <v>0</v>
      </c>
      <c r="T36" s="146">
        <f t="shared" si="3"/>
        <v>0</v>
      </c>
      <c r="U36" s="146">
        <f t="shared" si="3"/>
        <v>0</v>
      </c>
      <c r="V36" s="146">
        <f t="shared" si="3"/>
        <v>0</v>
      </c>
      <c r="W36" s="146">
        <f t="shared" si="3"/>
        <v>0</v>
      </c>
      <c r="X36" s="146">
        <f t="shared" si="3"/>
        <v>0</v>
      </c>
      <c r="Y36" s="146">
        <f t="shared" si="3"/>
        <v>0</v>
      </c>
      <c r="Z36" s="146">
        <f t="shared" si="3"/>
        <v>0</v>
      </c>
      <c r="AA36" s="146">
        <f t="shared" si="3"/>
        <v>0</v>
      </c>
      <c r="AB36" s="146">
        <f t="shared" si="3"/>
        <v>0</v>
      </c>
      <c r="AC36" s="146">
        <f t="shared" si="3"/>
        <v>0</v>
      </c>
      <c r="AD36" s="146">
        <f t="shared" si="3"/>
        <v>0</v>
      </c>
      <c r="AE36" s="146">
        <f t="shared" si="3"/>
        <v>0</v>
      </c>
      <c r="AF36" s="146">
        <f t="shared" si="3"/>
        <v>0</v>
      </c>
      <c r="AG36" s="146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x14ac:dyDescent="0.2">
      <c r="D37"/>
      <c r="E37"/>
      <c r="G37" s="181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5" x14ac:dyDescent="0.2">
      <c r="A38" s="78" t="s">
        <v>122</v>
      </c>
      <c r="B38" s="78"/>
      <c r="C38" s="78"/>
      <c r="D38" s="78"/>
      <c r="E38" s="78"/>
      <c r="F38" s="78"/>
      <c r="G38" s="1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/>
      <c r="E39"/>
      <c r="G39" s="181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x14ac:dyDescent="0.2">
      <c r="D40"/>
      <c r="E40"/>
      <c r="G40" s="181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25">
      <c r="C41" s="1" t="s">
        <v>123</v>
      </c>
      <c r="G41" s="179" t="s">
        <v>117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3.5" x14ac:dyDescent="0.25">
      <c r="C42" s="1" t="s">
        <v>124</v>
      </c>
      <c r="G42" s="179" t="s">
        <v>125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x14ac:dyDescent="0.2">
      <c r="D43"/>
      <c r="E43"/>
      <c r="G43" s="181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 s="180"/>
      <c r="E44"/>
      <c r="G44" s="181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2">
      <c r="C45" s="1" t="s">
        <v>126</v>
      </c>
      <c r="D45" s="179" t="s">
        <v>108</v>
      </c>
      <c r="E45" s="100">
        <f>Assumptions!G94</f>
        <v>0</v>
      </c>
      <c r="G45" s="181" t="s">
        <v>117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2">
      <c r="C46" s="1" t="s">
        <v>127</v>
      </c>
      <c r="D46" s="179" t="s">
        <v>108</v>
      </c>
      <c r="E46" s="100">
        <f>Assumptions!G95</f>
        <v>0</v>
      </c>
      <c r="G46" s="181" t="s">
        <v>117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2">
      <c r="C47" s="1" t="s">
        <v>128</v>
      </c>
      <c r="D47" s="179" t="s">
        <v>108</v>
      </c>
      <c r="E47" s="99">
        <f>Assumptions!G96</f>
        <v>4220.9953699573898</v>
      </c>
      <c r="G47" s="181" t="s">
        <v>117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2">
      <c r="C48" s="1" t="s">
        <v>129</v>
      </c>
      <c r="D48" s="179" t="s">
        <v>130</v>
      </c>
      <c r="E48" s="99">
        <f>Assumptions!G97</f>
        <v>0</v>
      </c>
      <c r="G48" s="181" t="s">
        <v>131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2">
      <c r="C49" s="1" t="s">
        <v>132</v>
      </c>
      <c r="D49" s="179" t="s">
        <v>133</v>
      </c>
      <c r="E49" s="99">
        <f>Assumptions!G98</f>
        <v>0.54769380678923496</v>
      </c>
      <c r="G49" s="181" t="s">
        <v>134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135</v>
      </c>
      <c r="D50" s="179" t="s">
        <v>133</v>
      </c>
      <c r="E50" s="99">
        <f>Assumptions!G99</f>
        <v>0.54769380678923496</v>
      </c>
      <c r="G50" s="181" t="s">
        <v>134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136</v>
      </c>
      <c r="D51" s="179" t="s">
        <v>130</v>
      </c>
      <c r="E51" s="99">
        <f>Assumptions!G100</f>
        <v>0</v>
      </c>
      <c r="G51" s="181" t="s">
        <v>131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137</v>
      </c>
      <c r="D52" s="179" t="s">
        <v>130</v>
      </c>
      <c r="E52" s="99">
        <f>Assumptions!G101</f>
        <v>0</v>
      </c>
      <c r="G52" s="181" t="s">
        <v>131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D53" s="179"/>
      <c r="G53" s="181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2">
      <c r="C54" s="1" t="s">
        <v>138</v>
      </c>
      <c r="D54" s="179"/>
      <c r="G54" s="181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139</v>
      </c>
      <c r="D55" s="179"/>
      <c r="G55" s="181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D56" s="179"/>
      <c r="G56" s="179"/>
    </row>
    <row r="57" spans="1:43" x14ac:dyDescent="0.2">
      <c r="C57" s="3" t="s">
        <v>140</v>
      </c>
      <c r="D57" s="191"/>
      <c r="E57" s="94"/>
      <c r="F57" s="3"/>
      <c r="G57" s="184">
        <f>input_dollars</f>
        <v>45291</v>
      </c>
      <c r="H57" s="94"/>
      <c r="I57" s="146" cm="1">
        <f t="array" ref="I57">SUMPRODUCT((I$45:I$52)*($E$45:$E$52))+SUM(I54:I55)+I42</f>
        <v>0</v>
      </c>
      <c r="J57" s="146" cm="1">
        <f t="array" ref="J57">SUMPRODUCT((J$45:J$52)*($E$45:$E$52))+SUM(J54:J55)+J42</f>
        <v>0</v>
      </c>
      <c r="K57" s="146" cm="1">
        <f t="array" ref="K57">SUMPRODUCT((K$45:K$52)*($E$45:$E$52))+SUM(K54:K55)+K42</f>
        <v>0</v>
      </c>
      <c r="L57" s="146" cm="1">
        <f t="array" ref="L57">SUMPRODUCT((L$45:L$52)*($E$45:$E$52))+SUM(L54:L55)+L42</f>
        <v>0</v>
      </c>
      <c r="M57" s="146" cm="1">
        <f t="array" ref="M57">SUMPRODUCT((M$45:M$52)*($E$45:$E$52))+SUM(M54:M55)+M42</f>
        <v>0</v>
      </c>
      <c r="N57" s="146" cm="1">
        <f t="array" ref="N57">SUMPRODUCT((N$45:N$52)*($E$45:$E$52))+SUM(N54:N55)+N42</f>
        <v>0</v>
      </c>
      <c r="O57" s="146" cm="1">
        <f t="array" ref="O57">SUMPRODUCT((O$45:O$52)*($E$45:$E$52))+SUM(O54:O55)+O42</f>
        <v>0</v>
      </c>
      <c r="P57" s="146" cm="1">
        <f t="array" ref="P57">SUMPRODUCT((P$45:P$52)*($E$45:$E$52))+SUM(P54:P55)+P42</f>
        <v>0</v>
      </c>
      <c r="Q57" s="146" cm="1">
        <f t="array" ref="Q57">SUMPRODUCT((Q$45:Q$52)*($E$45:$E$52))+SUM(Q54:Q55)+Q42</f>
        <v>0</v>
      </c>
      <c r="R57" s="146" cm="1">
        <f t="array" ref="R57">SUMPRODUCT((R$45:R$52)*($E$45:$E$52))+SUM(R54:R55)+R42</f>
        <v>0</v>
      </c>
      <c r="S57" s="146" cm="1">
        <f t="array" ref="S57">SUMPRODUCT((S$45:S$52)*($E$45:$E$52))+SUM(S54:S55)+S42</f>
        <v>0</v>
      </c>
      <c r="T57" s="146" cm="1">
        <f t="array" ref="T57">SUMPRODUCT((T$45:T$52)*($E$45:$E$52))+SUM(T54:T55)+T42</f>
        <v>0</v>
      </c>
      <c r="U57" s="146" cm="1">
        <f t="array" ref="U57">SUMPRODUCT((U$45:U$52)*($E$45:$E$52))+SUM(U54:U55)+U42</f>
        <v>0</v>
      </c>
      <c r="V57" s="146" cm="1">
        <f t="array" ref="V57">SUMPRODUCT((V$45:V$52)*($E$45:$E$52))+SUM(V54:V55)+V42</f>
        <v>0</v>
      </c>
      <c r="W57" s="146" cm="1">
        <f t="array" ref="W57">SUMPRODUCT((W$45:W$52)*($E$45:$E$52))+SUM(W54:W55)+W42</f>
        <v>0</v>
      </c>
      <c r="X57" s="146" cm="1">
        <f t="array" ref="X57">SUMPRODUCT((X$45:X$52)*($E$45:$E$52))+SUM(X54:X55)+X42</f>
        <v>0</v>
      </c>
      <c r="Y57" s="146" cm="1">
        <f t="array" ref="Y57">SUMPRODUCT((Y$45:Y$52)*($E$45:$E$52))+SUM(Y54:Y55)+Y42</f>
        <v>0</v>
      </c>
      <c r="Z57" s="146" cm="1">
        <f t="array" ref="Z57">SUMPRODUCT((Z$45:Z$52)*($E$45:$E$52))+SUM(Z54:Z55)+Z42</f>
        <v>0</v>
      </c>
      <c r="AA57" s="146" cm="1">
        <f t="array" ref="AA57">SUMPRODUCT((AA$45:AA$52)*($E$45:$E$52))+SUM(AA54:AA55)+AA42</f>
        <v>0</v>
      </c>
      <c r="AB57" s="146" cm="1">
        <f t="array" ref="AB57">SUMPRODUCT((AB$45:AB$52)*($E$45:$E$52))+SUM(AB54:AB55)+AB42</f>
        <v>0</v>
      </c>
      <c r="AC57" s="146" cm="1">
        <f t="array" ref="AC57">SUMPRODUCT((AC$45:AC$52)*($E$45:$E$52))+SUM(AC54:AC55)+AC42</f>
        <v>0</v>
      </c>
      <c r="AD57" s="146" cm="1">
        <f t="array" ref="AD57">SUMPRODUCT((AD$45:AD$52)*($E$45:$E$52))+SUM(AD54:AD55)+AD42</f>
        <v>0</v>
      </c>
      <c r="AE57" s="146" cm="1">
        <f t="array" ref="AE57">SUMPRODUCT((AE$45:AE$52)*($E$45:$E$52))+SUM(AE54:AE55)+AE42</f>
        <v>0</v>
      </c>
      <c r="AF57" s="146" cm="1">
        <f t="array" ref="AF57">SUMPRODUCT((AF$45:AF$52)*($E$45:$E$52))+SUM(AF54:AF55)+AF42</f>
        <v>0</v>
      </c>
      <c r="AG57" s="146" cm="1">
        <f t="array" ref="AG57">SUMPRODUCT((AG$45:AG$52)*($E$45:$E$52))+SUM(AG54:AG55)+AG42</f>
        <v>0</v>
      </c>
    </row>
    <row r="58" spans="1:43" x14ac:dyDescent="0.2">
      <c r="D58" s="179"/>
      <c r="G58" s="179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2">
      <c r="G59" s="179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5" x14ac:dyDescent="0.2">
      <c r="A60" s="78" t="s">
        <v>23</v>
      </c>
      <c r="B60" s="78"/>
      <c r="C60" s="78"/>
      <c r="D60" s="78"/>
      <c r="E60" s="78"/>
      <c r="F60" s="78"/>
      <c r="G60" s="1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5" x14ac:dyDescent="0.2">
      <c r="A61" s="98"/>
      <c r="B61" s="98"/>
      <c r="C61" s="98"/>
      <c r="D61" s="98"/>
      <c r="E61" s="98"/>
      <c r="F61" s="98"/>
      <c r="G61" s="182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2">
      <c r="A62" s="98"/>
      <c r="B62" s="98"/>
      <c r="C62" s="98"/>
      <c r="D62" s="98"/>
      <c r="E62" s="98"/>
      <c r="F62"/>
      <c r="G62" s="185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2">
      <c r="F63" s="2"/>
      <c r="G63" s="186"/>
    </row>
    <row r="64" spans="1:43" x14ac:dyDescent="0.2">
      <c r="C64" s="4" t="str">
        <f>'Option1 (base case)'!C63</f>
        <v>Risks mitigated vs base case</v>
      </c>
      <c r="G64" s="184">
        <f>input_dollars</f>
        <v>45291</v>
      </c>
      <c r="I64" s="111">
        <f>(1-INDEX(Data!$C$9:$C$13, MATCH($A$3, options,0)))*('Option1 (base case)'!I35-I36)</f>
        <v>0</v>
      </c>
      <c r="J64" s="111">
        <f>(1-INDEX(Data!$C$9:$C$13, MATCH($A$3, options,0)))*('Option1 (base case)'!J35-J36)</f>
        <v>0</v>
      </c>
      <c r="K64" s="111">
        <f>(1-INDEX(Data!$C$9:$C$13, MATCH($A$3, options,0)))*('Option1 (base case)'!K35-K36)</f>
        <v>0</v>
      </c>
      <c r="L64" s="111">
        <f>(1-INDEX(Data!$C$9:$C$13, MATCH($A$3, options,0)))*('Option1 (base case)'!L35-L36)</f>
        <v>0</v>
      </c>
      <c r="M64" s="111">
        <f>(1-INDEX(Data!$C$9:$C$13, MATCH($A$3, options,0)))*('Option1 (base case)'!M35-M36)</f>
        <v>0</v>
      </c>
      <c r="N64" s="111">
        <f>(1-INDEX(Data!$C$9:$C$13, MATCH($A$3, options,0)))*('Option1 (base case)'!N35-N36)</f>
        <v>0</v>
      </c>
      <c r="O64" s="111">
        <f>(1-INDEX(Data!$C$9:$C$13, MATCH($A$3, options,0)))*('Option1 (base case)'!O35-O36)</f>
        <v>0</v>
      </c>
      <c r="P64" s="111">
        <f>(1-INDEX(Data!$C$9:$C$13, MATCH($A$3, options,0)))*('Option1 (base case)'!P35-P36)</f>
        <v>0</v>
      </c>
      <c r="Q64" s="111">
        <f>(1-INDEX(Data!$C$9:$C$13, MATCH($A$3, options,0)))*('Option1 (base case)'!Q35-Q36)</f>
        <v>0</v>
      </c>
      <c r="R64" s="111">
        <f>(1-INDEX(Data!$C$9:$C$13, MATCH($A$3, options,0)))*('Option1 (base case)'!R35-R36)</f>
        <v>0</v>
      </c>
      <c r="S64" s="111">
        <f>(1-INDEX(Data!$C$9:$C$13, MATCH($A$3, options,0)))*('Option1 (base case)'!S35-S36)</f>
        <v>0</v>
      </c>
      <c r="T64" s="111">
        <f>(1-INDEX(Data!$C$9:$C$13, MATCH($A$3, options,0)))*('Option1 (base case)'!T35-T36)</f>
        <v>0</v>
      </c>
      <c r="U64" s="111">
        <f>(1-INDEX(Data!$C$9:$C$13, MATCH($A$3, options,0)))*('Option1 (base case)'!U35-U36)</f>
        <v>0</v>
      </c>
      <c r="V64" s="111">
        <f>(1-INDEX(Data!$C$9:$C$13, MATCH($A$3, options,0)))*('Option1 (base case)'!V35-V36)</f>
        <v>0</v>
      </c>
      <c r="W64" s="111">
        <f>(1-INDEX(Data!$C$9:$C$13, MATCH($A$3, options,0)))*('Option1 (base case)'!W35-W36)</f>
        <v>0</v>
      </c>
      <c r="X64" s="111">
        <f>(1-INDEX(Data!$C$9:$C$13, MATCH($A$3, options,0)))*('Option1 (base case)'!X35-X36)</f>
        <v>0</v>
      </c>
      <c r="Y64" s="111">
        <f>(1-INDEX(Data!$C$9:$C$13, MATCH($A$3, options,0)))*('Option1 (base case)'!Y35-Y36)</f>
        <v>0</v>
      </c>
      <c r="Z64" s="111">
        <f>(1-INDEX(Data!$C$9:$C$13, MATCH($A$3, options,0)))*('Option1 (base case)'!Z35-Z36)</f>
        <v>0</v>
      </c>
      <c r="AA64" s="111">
        <f>(1-INDEX(Data!$C$9:$C$13, MATCH($A$3, options,0)))*('Option1 (base case)'!AA35-AA36)</f>
        <v>0</v>
      </c>
      <c r="AB64" s="111">
        <f>(1-INDEX(Data!$C$9:$C$13, MATCH($A$3, options,0)))*('Option1 (base case)'!AB35-AB36)</f>
        <v>0</v>
      </c>
      <c r="AC64" s="111">
        <f>(1-INDEX(Data!$C$9:$C$13, MATCH($A$3, options,0)))*('Option1 (base case)'!AC35-AC36)</f>
        <v>0</v>
      </c>
      <c r="AD64" s="111">
        <f>(1-INDEX(Data!$C$9:$C$13, MATCH($A$3, options,0)))*('Option1 (base case)'!AD35-AD36)</f>
        <v>0</v>
      </c>
      <c r="AE64" s="111">
        <f>(1-INDEX(Data!$C$9:$C$13, MATCH($A$3, options,0)))*('Option1 (base case)'!AE35-AE36)</f>
        <v>0</v>
      </c>
      <c r="AF64" s="111">
        <f>(1-INDEX(Data!$C$9:$C$13, MATCH($A$3, options,0)))*('Option1 (base case)'!AF35-AF36)</f>
        <v>0</v>
      </c>
      <c r="AG64" s="111">
        <f>(1-INDEX(Data!$C$9:$C$13, MATCH($A$3, options,0)))*('Option1 (base case)'!AG35-AG36)</f>
        <v>0</v>
      </c>
    </row>
    <row r="65" spans="1:33" x14ac:dyDescent="0.2">
      <c r="G65" s="186"/>
    </row>
    <row r="66" spans="1:33" x14ac:dyDescent="0.2">
      <c r="A66" s="6"/>
      <c r="B66" s="6"/>
      <c r="C66" s="125" t="s">
        <v>32</v>
      </c>
      <c r="D66" s="34"/>
      <c r="F66" s="84"/>
      <c r="G66" s="18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2">
      <c r="A67" s="6"/>
      <c r="B67" s="6"/>
      <c r="C67" s="4" t="str">
        <f>C14</f>
        <v>&lt; Enter description &gt;</v>
      </c>
      <c r="D67" s="34"/>
      <c r="F67" s="84"/>
      <c r="G67" s="184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2">
      <c r="A68" s="6"/>
      <c r="B68" s="6"/>
      <c r="C68" s="4" t="str">
        <f>C15</f>
        <v>&lt; Enter description &gt;</v>
      </c>
      <c r="D68" s="34"/>
      <c r="F68" s="84"/>
      <c r="G68" s="184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2">
      <c r="A69" s="6"/>
      <c r="B69" s="6"/>
      <c r="C69" s="4" t="str">
        <f>C16</f>
        <v>&lt; Enter description &gt;</v>
      </c>
      <c r="D69" s="34"/>
      <c r="F69" s="84"/>
      <c r="G69" s="184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2">
      <c r="A70" s="6"/>
      <c r="B70" s="6"/>
      <c r="C70" s="4"/>
      <c r="D70" s="34"/>
      <c r="F70" s="84"/>
      <c r="G70" s="18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2">
      <c r="A71" s="6"/>
      <c r="B71" s="6"/>
      <c r="C71" s="125" t="s">
        <v>142</v>
      </c>
      <c r="D71" s="34"/>
      <c r="F71" s="84"/>
      <c r="G71" s="18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2">
      <c r="A72" s="6"/>
      <c r="B72" s="6"/>
      <c r="C72" s="4" t="str">
        <f>C14</f>
        <v>&lt; Enter description &gt;</v>
      </c>
      <c r="D72" s="34"/>
      <c r="F72" s="84"/>
      <c r="G72" s="184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2">
      <c r="A73" s="6"/>
      <c r="B73" s="6"/>
      <c r="C73" s="4" t="str">
        <f>C15</f>
        <v>&lt; Enter description &gt;</v>
      </c>
      <c r="D73" s="34"/>
      <c r="F73" s="84"/>
      <c r="G73" s="184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2">
      <c r="A74" s="6"/>
      <c r="B74" s="6"/>
      <c r="C74" s="4" t="str">
        <f>C16</f>
        <v>&lt; Enter description &gt;</v>
      </c>
      <c r="D74" s="34"/>
      <c r="F74" s="84"/>
      <c r="G74" s="184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2">
      <c r="A75" s="6"/>
      <c r="B75" s="6"/>
      <c r="C75" s="4"/>
      <c r="D75" s="34"/>
      <c r="F75" s="84"/>
      <c r="G75" s="18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2">
      <c r="A76" s="6"/>
      <c r="B76" s="6"/>
      <c r="C76" s="125" t="s">
        <v>143</v>
      </c>
      <c r="D76" s="34"/>
      <c r="F76" s="84"/>
      <c r="G76" s="18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2">
      <c r="A77" s="6"/>
      <c r="B77" s="6"/>
      <c r="C77" s="4" t="str">
        <f>$C$76&amp;" - "&amp;C14</f>
        <v>Annualised capex - &lt; Enter description &gt;</v>
      </c>
      <c r="D77" s="34"/>
      <c r="F77" s="84"/>
      <c r="G77" s="184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2">
      <c r="A78" s="6"/>
      <c r="B78" s="6"/>
      <c r="C78" s="4" t="str">
        <f>$C$76&amp;" - "&amp;C15</f>
        <v>Annualised capex - &lt; Enter description &gt;</v>
      </c>
      <c r="D78" s="34"/>
      <c r="F78" s="84"/>
      <c r="G78" s="184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2">
      <c r="A79" s="6"/>
      <c r="B79" s="6"/>
      <c r="C79" s="4" t="str">
        <f>$C$76&amp;" - "&amp;C16</f>
        <v>Annualised capex - &lt; Enter description &gt;</v>
      </c>
      <c r="D79" s="34"/>
      <c r="F79" s="84"/>
      <c r="G79" s="184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2">
      <c r="A80" s="6"/>
      <c r="B80" s="6"/>
      <c r="C80" s="148" t="s">
        <v>144</v>
      </c>
      <c r="D80" s="148"/>
      <c r="E80" s="149"/>
      <c r="F80" s="150"/>
      <c r="G80" s="189">
        <f>input_dollars</f>
        <v>45291</v>
      </c>
      <c r="H80" s="151"/>
      <c r="I80" s="151">
        <f>SUM(I77:I79)</f>
        <v>0</v>
      </c>
      <c r="J80" s="151">
        <f t="shared" ref="J80:AB80" si="11">SUM(J77:J79)</f>
        <v>0</v>
      </c>
      <c r="K80" s="151">
        <f t="shared" si="11"/>
        <v>0</v>
      </c>
      <c r="L80" s="151">
        <f t="shared" si="11"/>
        <v>0</v>
      </c>
      <c r="M80" s="151">
        <f t="shared" si="11"/>
        <v>0</v>
      </c>
      <c r="N80" s="151">
        <f t="shared" si="11"/>
        <v>0</v>
      </c>
      <c r="O80" s="151">
        <f t="shared" si="11"/>
        <v>0</v>
      </c>
      <c r="P80" s="151">
        <f t="shared" si="11"/>
        <v>0</v>
      </c>
      <c r="Q80" s="151">
        <f t="shared" si="11"/>
        <v>0</v>
      </c>
      <c r="R80" s="151">
        <f t="shared" si="11"/>
        <v>0</v>
      </c>
      <c r="S80" s="151">
        <f t="shared" si="11"/>
        <v>0</v>
      </c>
      <c r="T80" s="151">
        <f t="shared" si="11"/>
        <v>0</v>
      </c>
      <c r="U80" s="151">
        <f t="shared" si="11"/>
        <v>0</v>
      </c>
      <c r="V80" s="151">
        <f t="shared" si="11"/>
        <v>0</v>
      </c>
      <c r="W80" s="151">
        <f t="shared" si="11"/>
        <v>0</v>
      </c>
      <c r="X80" s="151">
        <f t="shared" si="11"/>
        <v>0</v>
      </c>
      <c r="Y80" s="151">
        <f t="shared" si="11"/>
        <v>0</v>
      </c>
      <c r="Z80" s="151">
        <f t="shared" si="11"/>
        <v>0</v>
      </c>
      <c r="AA80" s="151">
        <f t="shared" si="11"/>
        <v>0</v>
      </c>
      <c r="AB80" s="151">
        <f t="shared" si="11"/>
        <v>0</v>
      </c>
      <c r="AC80" s="151">
        <f>SUM(AC77:AC79)</f>
        <v>0</v>
      </c>
      <c r="AD80" s="151">
        <f>SUM(AD77:AD79)</f>
        <v>0</v>
      </c>
      <c r="AE80" s="151">
        <f>SUM(AE77:AE79)</f>
        <v>0</v>
      </c>
      <c r="AF80" s="151">
        <f>SUM(AF77:AF79)</f>
        <v>0</v>
      </c>
      <c r="AG80" s="151">
        <f>SUM(AG77:AG79)</f>
        <v>0</v>
      </c>
    </row>
    <row r="81" spans="1:33" x14ac:dyDescent="0.2">
      <c r="A81" s="6"/>
      <c r="B81" s="6"/>
      <c r="C81" s="12"/>
      <c r="D81" s="34"/>
      <c r="F81"/>
      <c r="G81" s="190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A82" s="6"/>
      <c r="B82" s="6"/>
      <c r="C82" s="4" t="s">
        <v>143</v>
      </c>
      <c r="D82" s="34"/>
      <c r="F82" s="84"/>
      <c r="G82" s="184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2">
      <c r="A83" s="6"/>
      <c r="B83" s="6"/>
      <c r="C83" s="4" t="s">
        <v>33</v>
      </c>
      <c r="D83" s="34"/>
      <c r="F83" s="84"/>
      <c r="G83" s="184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2">
      <c r="A84" s="6"/>
      <c r="B84" s="6"/>
      <c r="C84" s="4" t="s">
        <v>145</v>
      </c>
      <c r="D84" s="34"/>
      <c r="F84" s="84"/>
      <c r="G84" s="184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2">
      <c r="A85" s="6"/>
      <c r="B85" s="6"/>
      <c r="C85" s="4" t="s">
        <v>146</v>
      </c>
      <c r="D85" s="34"/>
      <c r="F85" s="84"/>
      <c r="G85" s="184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2">
      <c r="A86" s="6"/>
      <c r="B86" s="6"/>
      <c r="C86" s="4"/>
      <c r="D86" s="34"/>
      <c r="F86" s="28"/>
      <c r="G86" s="184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2">
      <c r="A87" s="6"/>
      <c r="B87" s="6"/>
      <c r="C87" s="152" t="s">
        <v>147</v>
      </c>
      <c r="D87" s="153"/>
      <c r="E87" s="149"/>
      <c r="F87" s="154"/>
      <c r="G87" s="189">
        <f t="shared" si="12"/>
        <v>45291</v>
      </c>
      <c r="H87" s="154"/>
      <c r="I87" s="154">
        <f t="shared" ref="I87:AB87" si="17">SUM(I82:I86)</f>
        <v>0</v>
      </c>
      <c r="J87" s="154">
        <f t="shared" si="17"/>
        <v>0</v>
      </c>
      <c r="K87" s="154">
        <f t="shared" si="17"/>
        <v>0</v>
      </c>
      <c r="L87" s="154">
        <f t="shared" si="17"/>
        <v>0</v>
      </c>
      <c r="M87" s="154">
        <f t="shared" si="17"/>
        <v>0</v>
      </c>
      <c r="N87" s="154">
        <f t="shared" si="17"/>
        <v>0</v>
      </c>
      <c r="O87" s="154">
        <f t="shared" si="17"/>
        <v>0</v>
      </c>
      <c r="P87" s="154">
        <f t="shared" si="17"/>
        <v>0</v>
      </c>
      <c r="Q87" s="154">
        <f t="shared" si="17"/>
        <v>0</v>
      </c>
      <c r="R87" s="154">
        <f t="shared" si="17"/>
        <v>0</v>
      </c>
      <c r="S87" s="154">
        <f t="shared" si="17"/>
        <v>0</v>
      </c>
      <c r="T87" s="154">
        <f t="shared" si="17"/>
        <v>0</v>
      </c>
      <c r="U87" s="154">
        <f t="shared" si="17"/>
        <v>0</v>
      </c>
      <c r="V87" s="154">
        <f t="shared" si="17"/>
        <v>0</v>
      </c>
      <c r="W87" s="154">
        <f t="shared" si="17"/>
        <v>0</v>
      </c>
      <c r="X87" s="154">
        <f t="shared" si="17"/>
        <v>0</v>
      </c>
      <c r="Y87" s="154">
        <f t="shared" si="17"/>
        <v>0</v>
      </c>
      <c r="Z87" s="154">
        <f t="shared" si="17"/>
        <v>0</v>
      </c>
      <c r="AA87" s="154">
        <f t="shared" si="17"/>
        <v>0</v>
      </c>
      <c r="AB87" s="154">
        <f t="shared" si="17"/>
        <v>0</v>
      </c>
      <c r="AC87" s="154">
        <f>SUM(AC82:AC86)</f>
        <v>0</v>
      </c>
      <c r="AD87" s="154">
        <f>SUM(AD82:AD86)</f>
        <v>0</v>
      </c>
      <c r="AE87" s="154">
        <f>SUM(AE82:AE86)</f>
        <v>0</v>
      </c>
      <c r="AF87" s="154">
        <f>SUM(AF82:AF86)</f>
        <v>0</v>
      </c>
      <c r="AG87" s="154">
        <f>SUM(AG82:AG86)</f>
        <v>0</v>
      </c>
    </row>
    <row r="88" spans="1:33" x14ac:dyDescent="0.2">
      <c r="A88" s="6"/>
      <c r="B88" s="6"/>
      <c r="C88" s="12"/>
      <c r="D88" s="34"/>
      <c r="F88" s="119"/>
      <c r="G88" s="184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</row>
    <row r="89" spans="1:33" x14ac:dyDescent="0.2">
      <c r="A89" s="6"/>
      <c r="B89" s="6"/>
      <c r="C89" s="12"/>
      <c r="D89" s="34"/>
      <c r="F89" s="119"/>
      <c r="G89" s="184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</row>
    <row r="90" spans="1:33" x14ac:dyDescent="0.2">
      <c r="A90" s="6"/>
      <c r="B90" s="6"/>
      <c r="C90" s="203" t="s">
        <v>152</v>
      </c>
      <c r="D90" s="72"/>
      <c r="E90" s="204"/>
      <c r="F90" s="205"/>
      <c r="G90" s="206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2">
      <c r="C91" s="72"/>
      <c r="D91" s="207"/>
      <c r="E91" s="204"/>
      <c r="F91" s="204"/>
      <c r="G91" s="206"/>
    </row>
    <row r="92" spans="1:33" x14ac:dyDescent="0.2">
      <c r="C92" s="208" t="s">
        <v>153</v>
      </c>
      <c r="D92" s="209"/>
      <c r="E92" s="209"/>
      <c r="F92" s="209"/>
      <c r="G92" s="210" t="str">
        <f>IF(_xlfn.MINIFS($G$90:$G$91, $G$90:$G$91, "&gt;"&amp;0)=0, $A$4, _xlfn.MINIFS($G$90:$G$91, $G$90:$G$91, "&gt;"&amp;0))</f>
        <v>Not used</v>
      </c>
    </row>
    <row r="94" spans="1:33" x14ac:dyDescent="0.2">
      <c r="G94" s="10"/>
    </row>
    <row r="102" spans="1:43" ht="15" x14ac:dyDescent="0.2">
      <c r="A102" s="78" t="s">
        <v>37</v>
      </c>
      <c r="B102" s="78"/>
      <c r="C102" s="78"/>
      <c r="D102" s="78"/>
      <c r="E102" s="78"/>
      <c r="F102" s="78"/>
      <c r="G102" s="1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2">
      <c r="I104" s="213"/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</row>
    <row r="105" spans="1:43" x14ac:dyDescent="0.2">
      <c r="I105" s="213"/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</row>
    <row r="106" spans="1:43" x14ac:dyDescent="0.2">
      <c r="A106" s="1" t="s">
        <v>22</v>
      </c>
      <c r="C106" s="1" t="s">
        <v>147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x14ac:dyDescent="0.2">
      <c r="C107" s="1" t="s">
        <v>144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2">
      <c r="C108" s="1" t="s">
        <v>104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2">
      <c r="D109" s="253" t="str">
        <f>Assumptions!G110</f>
        <v>Capex</v>
      </c>
      <c r="E109" s="253" t="str">
        <f>Assumptions!H110</f>
        <v>Total benefits</v>
      </c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</row>
    <row r="110" spans="1:43" x14ac:dyDescent="0.2">
      <c r="A110" s="1" t="str">
        <f>"sens"&amp;Assumptions!B111</f>
        <v>sens1</v>
      </c>
      <c r="C110" s="252" t="str">
        <f>Assumptions!C111</f>
        <v>Capex 10% higher</v>
      </c>
      <c r="D110" s="253">
        <f>Assumptions!G111</f>
        <v>0.1</v>
      </c>
      <c r="E110" s="253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2">
      <c r="A111" s="1" t="str">
        <f>"sens"&amp;Assumptions!B112</f>
        <v>sens2</v>
      </c>
      <c r="C111" s="252" t="str">
        <f>Assumptions!C112</f>
        <v>Capex 10% lower</v>
      </c>
      <c r="D111" s="253">
        <f>Assumptions!G112</f>
        <v>-0.1</v>
      </c>
      <c r="E111" s="253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2">
      <c r="A112" s="1" t="str">
        <f>"sens"&amp;Assumptions!B113</f>
        <v>sens3</v>
      </c>
      <c r="C112" s="252" t="str">
        <f>Assumptions!C113</f>
        <v>Total benefits 10% higher</v>
      </c>
      <c r="D112" s="253">
        <f>Assumptions!G113</f>
        <v>0</v>
      </c>
      <c r="E112" s="253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2">
      <c r="A113" s="1" t="str">
        <f>"sens"&amp;Assumptions!B114</f>
        <v>sens4</v>
      </c>
      <c r="C113" s="252" t="str">
        <f>Assumptions!C114</f>
        <v>Total benefits 10% lower</v>
      </c>
      <c r="D113" s="253">
        <f>Assumptions!G114</f>
        <v>0</v>
      </c>
      <c r="E113" s="253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2">
      <c r="A114" s="1" t="str">
        <f>"sens"&amp;Assumptions!B115</f>
        <v>sens5</v>
      </c>
      <c r="C114" s="252" t="str">
        <f>Assumptions!C115</f>
        <v>Capex 10% higher &amp; Total benefits 10% lower</v>
      </c>
      <c r="D114" s="253">
        <f>Assumptions!G115</f>
        <v>0.1</v>
      </c>
      <c r="E114" s="253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2">
      <c r="A115" s="1" t="str">
        <f>"sens"&amp;Assumptions!B116</f>
        <v>sens</v>
      </c>
      <c r="C115" s="252">
        <f>Assumptions!C116</f>
        <v>0</v>
      </c>
      <c r="D115" s="253">
        <f>Assumptions!G116</f>
        <v>0</v>
      </c>
      <c r="E115" s="253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2">
      <c r="A116" s="1" t="str">
        <f>"sens"&amp;Assumptions!B117</f>
        <v>sens</v>
      </c>
      <c r="C116" s="252">
        <f>Assumptions!C117</f>
        <v>0</v>
      </c>
      <c r="D116" s="253">
        <f>Assumptions!G117</f>
        <v>0</v>
      </c>
      <c r="E116" s="253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2">
      <c r="A117" s="1" t="str">
        <f>"sens"&amp;Assumptions!B118</f>
        <v>sens</v>
      </c>
      <c r="C117" s="252">
        <f>Assumptions!C118</f>
        <v>0</v>
      </c>
      <c r="D117" s="253">
        <f>Assumptions!G118</f>
        <v>0</v>
      </c>
      <c r="E117" s="253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workbookViewId="0"/>
  </sheetViews>
  <sheetFormatPr defaultColWidth="0" defaultRowHeight="12.75" zeroHeight="1" outlineLevelRow="1" x14ac:dyDescent="0.2"/>
  <cols>
    <col min="1" max="1" width="8.125" style="8" customWidth="1"/>
    <col min="2" max="2" width="5.5" style="8" customWidth="1"/>
    <col min="3" max="3" width="16.875" style="8" bestFit="1" customWidth="1"/>
    <col min="4" max="4" width="12.375" style="8" customWidth="1"/>
    <col min="5" max="5" width="14.25" customWidth="1"/>
    <col min="6" max="6" width="12.375" style="8" customWidth="1"/>
    <col min="7" max="7" width="11.625" style="8" customWidth="1"/>
    <col min="8" max="8" width="8.6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75" x14ac:dyDescent="0.3">
      <c r="A2" s="50" t="str">
        <f>proj</f>
        <v>AR transformer replacement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75" x14ac:dyDescent="0.3">
      <c r="A3" s="177" t="s">
        <v>160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2">
      <c r="A4" s="101"/>
      <c r="B4" s="101"/>
      <c r="C4" s="85"/>
      <c r="D4" s="85"/>
      <c r="E4" s="85"/>
      <c r="F4" s="85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</row>
    <row r="5" spans="1:34" s="2" customFormat="1" outlineLevel="1" x14ac:dyDescent="0.2">
      <c r="A5" s="85" t="s">
        <v>161</v>
      </c>
      <c r="B5" s="85"/>
      <c r="C5" s="86"/>
      <c r="D5" s="85"/>
      <c r="E5" s="85"/>
      <c r="F5" s="85"/>
      <c r="G5" s="88"/>
      <c r="H5" s="163">
        <f t="shared" ref="H5:AG5" si="0">IF(H9=start,1/((1+real_disc)^(1/2)),G5/(1+real_disc))</f>
        <v>0</v>
      </c>
      <c r="I5" s="163">
        <f t="shared" si="0"/>
        <v>0.98294637436598087</v>
      </c>
      <c r="J5" s="163">
        <f t="shared" si="0"/>
        <v>0.94970664189949849</v>
      </c>
      <c r="K5" s="163">
        <f t="shared" si="0"/>
        <v>0.91759095835700344</v>
      </c>
      <c r="L5" s="163">
        <f t="shared" si="0"/>
        <v>0.88656131242222558</v>
      </c>
      <c r="M5" s="163">
        <f t="shared" si="0"/>
        <v>0.85658097818572532</v>
      </c>
      <c r="N5" s="163">
        <f t="shared" si="0"/>
        <v>0.8276144716770294</v>
      </c>
      <c r="O5" s="163">
        <f t="shared" si="0"/>
        <v>0.79962750886669509</v>
      </c>
      <c r="P5" s="163">
        <f t="shared" si="0"/>
        <v>0.77258696508859437</v>
      </c>
      <c r="Q5" s="163">
        <f t="shared" si="0"/>
        <v>0.74646083583439071</v>
      </c>
      <c r="R5" s="163">
        <f t="shared" si="0"/>
        <v>0.72121819887380756</v>
      </c>
      <c r="S5" s="163">
        <f t="shared" si="0"/>
        <v>0.69682917765585273</v>
      </c>
      <c r="T5" s="163">
        <f t="shared" si="0"/>
        <v>0.67326490594768384</v>
      </c>
      <c r="U5" s="163">
        <f t="shared" si="0"/>
        <v>0.6504974936692598</v>
      </c>
      <c r="V5" s="163">
        <f t="shared" si="0"/>
        <v>0.62849999388334288</v>
      </c>
      <c r="W5" s="163">
        <f t="shared" si="0"/>
        <v>0.60724637090178057</v>
      </c>
      <c r="X5" s="163">
        <f t="shared" si="0"/>
        <v>0.58671146947031949</v>
      </c>
      <c r="Y5" s="163">
        <f t="shared" si="0"/>
        <v>0.56687098499547783</v>
      </c>
      <c r="Z5" s="163">
        <f t="shared" si="0"/>
        <v>0.54770143477823952</v>
      </c>
      <c r="AA5" s="163">
        <f t="shared" si="0"/>
        <v>0.52918013022052135</v>
      </c>
      <c r="AB5" s="163">
        <f t="shared" si="0"/>
        <v>0.5112851499715183</v>
      </c>
      <c r="AC5" s="163">
        <f t="shared" si="0"/>
        <v>0.4939953139821433</v>
      </c>
      <c r="AD5" s="163">
        <f t="shared" si="0"/>
        <v>0.47729015843685346</v>
      </c>
      <c r="AE5" s="163">
        <f t="shared" si="0"/>
        <v>0.46114991153319179</v>
      </c>
      <c r="AF5" s="163">
        <f t="shared" si="0"/>
        <v>0.4455554700803786</v>
      </c>
      <c r="AG5" s="163">
        <f t="shared" si="0"/>
        <v>0.43048837688925473</v>
      </c>
    </row>
    <row r="6" spans="1:34" s="2" customFormat="1" outlineLevel="1" x14ac:dyDescent="0.2">
      <c r="A6" s="164" t="str">
        <f>'Option1 (base case)'!A6</f>
        <v>Count</v>
      </c>
      <c r="B6" s="85"/>
      <c r="C6" s="86"/>
      <c r="D6" s="85"/>
      <c r="E6" s="85"/>
      <c r="F6" s="85"/>
      <c r="G6" s="88"/>
      <c r="H6" s="164">
        <f>'Option1 (base case)'!H6</f>
        <v>0</v>
      </c>
      <c r="I6" s="164">
        <f>'Option1 (base case)'!I6</f>
        <v>1</v>
      </c>
      <c r="J6" s="164">
        <f>'Option1 (base case)'!J6</f>
        <v>2</v>
      </c>
      <c r="K6" s="164">
        <f>'Option1 (base case)'!K6</f>
        <v>3</v>
      </c>
      <c r="L6" s="164">
        <f>'Option1 (base case)'!L6</f>
        <v>4</v>
      </c>
      <c r="M6" s="164">
        <f>'Option1 (base case)'!M6</f>
        <v>5</v>
      </c>
      <c r="N6" s="164">
        <f>'Option1 (base case)'!N6</f>
        <v>6</v>
      </c>
      <c r="O6" s="164">
        <f>'Option1 (base case)'!O6</f>
        <v>7</v>
      </c>
      <c r="P6" s="164">
        <f>'Option1 (base case)'!P6</f>
        <v>8</v>
      </c>
      <c r="Q6" s="164">
        <f>'Option1 (base case)'!Q6</f>
        <v>9</v>
      </c>
      <c r="R6" s="164">
        <f>'Option1 (base case)'!R6</f>
        <v>10</v>
      </c>
      <c r="S6" s="164">
        <f>'Option1 (base case)'!S6</f>
        <v>11</v>
      </c>
      <c r="T6" s="164">
        <f>'Option1 (base case)'!T6</f>
        <v>12</v>
      </c>
      <c r="U6" s="164">
        <f>'Option1 (base case)'!U6</f>
        <v>13</v>
      </c>
      <c r="V6" s="164">
        <f>'Option1 (base case)'!V6</f>
        <v>14</v>
      </c>
      <c r="W6" s="164">
        <f>'Option1 (base case)'!W6</f>
        <v>15</v>
      </c>
      <c r="X6" s="164">
        <f>'Option1 (base case)'!X6</f>
        <v>16</v>
      </c>
      <c r="Y6" s="164">
        <f>'Option1 (base case)'!Y6</f>
        <v>17</v>
      </c>
      <c r="Z6" s="164">
        <f>'Option1 (base case)'!Z6</f>
        <v>18</v>
      </c>
      <c r="AA6" s="164">
        <f>'Option1 (base case)'!AA6</f>
        <v>19</v>
      </c>
      <c r="AB6" s="164">
        <f>'Option1 (base case)'!AB6</f>
        <v>20</v>
      </c>
      <c r="AC6" s="164">
        <f>'Option1 (base case)'!AC6</f>
        <v>21</v>
      </c>
      <c r="AD6" s="164">
        <f>'Option1 (base case)'!AD6</f>
        <v>22</v>
      </c>
      <c r="AE6" s="164">
        <f>'Option1 (base case)'!AE6</f>
        <v>23</v>
      </c>
      <c r="AF6" s="164">
        <f>'Option1 (base case)'!AF6</f>
        <v>24</v>
      </c>
      <c r="AG6" s="164">
        <f>'Option1 (base case)'!AG6</f>
        <v>25</v>
      </c>
    </row>
    <row r="7" spans="1:34" s="2" customFormat="1" outlineLevel="1" x14ac:dyDescent="0.2">
      <c r="A7" s="85" t="s">
        <v>162</v>
      </c>
      <c r="B7" s="85"/>
      <c r="C7" s="86"/>
      <c r="D7" s="85"/>
      <c r="E7" s="85"/>
      <c r="F7" s="85"/>
      <c r="G7" s="88"/>
      <c r="H7" s="88" t="b">
        <f t="shared" ref="H7:AG7" si="1">H$6&lt;(first_year+years)</f>
        <v>1</v>
      </c>
      <c r="I7" s="88" t="b">
        <f t="shared" si="1"/>
        <v>1</v>
      </c>
      <c r="J7" s="88" t="b">
        <f t="shared" si="1"/>
        <v>1</v>
      </c>
      <c r="K7" s="88" t="b">
        <f t="shared" si="1"/>
        <v>1</v>
      </c>
      <c r="L7" s="88" t="b">
        <f t="shared" si="1"/>
        <v>1</v>
      </c>
      <c r="M7" s="88" t="b">
        <f t="shared" si="1"/>
        <v>1</v>
      </c>
      <c r="N7" s="88" t="b">
        <f t="shared" si="1"/>
        <v>1</v>
      </c>
      <c r="O7" s="88" t="b">
        <f t="shared" si="1"/>
        <v>1</v>
      </c>
      <c r="P7" s="88" t="b">
        <f t="shared" si="1"/>
        <v>1</v>
      </c>
      <c r="Q7" s="88" t="b">
        <f t="shared" si="1"/>
        <v>1</v>
      </c>
      <c r="R7" s="88" t="b">
        <f t="shared" si="1"/>
        <v>1</v>
      </c>
      <c r="S7" s="88" t="b">
        <f t="shared" si="1"/>
        <v>1</v>
      </c>
      <c r="T7" s="88" t="b">
        <f t="shared" si="1"/>
        <v>1</v>
      </c>
      <c r="U7" s="88" t="b">
        <f t="shared" si="1"/>
        <v>1</v>
      </c>
      <c r="V7" s="88" t="b">
        <f t="shared" si="1"/>
        <v>1</v>
      </c>
      <c r="W7" s="88" t="b">
        <f t="shared" si="1"/>
        <v>1</v>
      </c>
      <c r="X7" s="88" t="b">
        <f t="shared" si="1"/>
        <v>1</v>
      </c>
      <c r="Y7" s="88" t="b">
        <f t="shared" si="1"/>
        <v>1</v>
      </c>
      <c r="Z7" s="88" t="b">
        <f t="shared" si="1"/>
        <v>1</v>
      </c>
      <c r="AA7" s="88" t="b">
        <f t="shared" si="1"/>
        <v>1</v>
      </c>
      <c r="AB7" s="88" t="b">
        <f t="shared" si="1"/>
        <v>1</v>
      </c>
      <c r="AC7" s="88" t="b">
        <f t="shared" si="1"/>
        <v>1</v>
      </c>
      <c r="AD7" s="88" t="b">
        <f t="shared" si="1"/>
        <v>1</v>
      </c>
      <c r="AE7" s="88" t="b">
        <f t="shared" si="1"/>
        <v>0</v>
      </c>
      <c r="AF7" s="88" t="b">
        <f t="shared" si="1"/>
        <v>0</v>
      </c>
      <c r="AG7" s="88" t="b">
        <f t="shared" si="1"/>
        <v>0</v>
      </c>
    </row>
    <row r="8" spans="1:34" s="2" customFormat="1" ht="11.25" customHeight="1" x14ac:dyDescent="0.2"/>
    <row r="9" spans="1:34" s="2" customFormat="1" ht="15" x14ac:dyDescent="0.25">
      <c r="A9" s="17"/>
      <c r="B9" s="17"/>
      <c r="C9" s="17"/>
      <c r="D9" s="17"/>
      <c r="E9" s="73"/>
      <c r="F9" s="17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x14ac:dyDescent="0.2">
      <c r="C10" s="7"/>
      <c r="D10" s="7"/>
      <c r="F10" s="7"/>
      <c r="G10" s="194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5" x14ac:dyDescent="0.2">
      <c r="A11" s="78" t="s">
        <v>163</v>
      </c>
      <c r="B11" s="78"/>
      <c r="C11" s="79"/>
      <c r="D11" s="79"/>
      <c r="E11" s="79"/>
      <c r="F11" s="63" t="s">
        <v>4</v>
      </c>
      <c r="G11" s="195"/>
      <c r="H11" s="102" t="str" cm="1">
        <f t="array" ref="H11">IF(H6=$C$4,UPPER($A$4),IF(H6=end, "END", ""))</f>
        <v/>
      </c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</row>
    <row r="12" spans="1:34" s="2" customFormat="1" x14ac:dyDescent="0.2">
      <c r="A12" s="7"/>
      <c r="B12" s="7"/>
      <c r="C12" s="7"/>
      <c r="D12" s="7"/>
      <c r="F12" s="7"/>
      <c r="G12" s="197"/>
      <c r="H12" s="7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</row>
    <row r="13" spans="1:34" s="2" customFormat="1" x14ac:dyDescent="0.2">
      <c r="A13" s="52"/>
      <c r="B13" s="52"/>
      <c r="C13" s="52"/>
      <c r="D13" s="7"/>
      <c r="F13" s="7"/>
      <c r="G13" s="194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x14ac:dyDescent="0.2">
      <c r="A14" s="52" t="str">
        <f>A15</f>
        <v>Option 1 (base case)</v>
      </c>
      <c r="B14" s="52"/>
      <c r="C14" s="52" t="s">
        <v>118</v>
      </c>
      <c r="D14" s="34" t="str">
        <f t="shared" ref="D14:D25" si="2">A14&amp;C14</f>
        <v>Option 1 (base case)Energy at risk value</v>
      </c>
      <c r="F14" s="84">
        <f>SUMPRODUCT($H14:$AG14, $H$5:$AG$5)</f>
        <v>24190370.993771728</v>
      </c>
      <c r="G14" s="198">
        <f>output_dollars</f>
        <v>46203</v>
      </c>
      <c r="H14" s="28"/>
      <c r="I14" s="28">
        <f>'Option1 (base case)'!I$28*conv_2026</f>
        <v>998849.21247700753</v>
      </c>
      <c r="J14" s="28">
        <f>'Option1 (base case)'!J$28*conv_2026</f>
        <v>1089261.1572895474</v>
      </c>
      <c r="K14" s="28">
        <f>'Option1 (base case)'!K$28*conv_2026</f>
        <v>1118135.7591937846</v>
      </c>
      <c r="L14" s="28">
        <f>'Option1 (base case)'!L$28*conv_2026</f>
        <v>1139485.2484914416</v>
      </c>
      <c r="M14" s="28">
        <f>'Option1 (base case)'!M$28*conv_2026</f>
        <v>1170399.3478943408</v>
      </c>
      <c r="N14" s="28">
        <f>'Option1 (base case)'!N$28*conv_2026</f>
        <v>1213421.7892069444</v>
      </c>
      <c r="O14" s="28">
        <f>'Option1 (base case)'!O$28*conv_2026</f>
        <v>1276953.1674580027</v>
      </c>
      <c r="P14" s="28">
        <f>'Option1 (base case)'!P$28*conv_2026</f>
        <v>1341350.6837131293</v>
      </c>
      <c r="Q14" s="28">
        <f>'Option1 (base case)'!Q$28*conv_2026</f>
        <v>1391746.3321713323</v>
      </c>
      <c r="R14" s="28">
        <f>'Option1 (base case)'!R$28*conv_2026</f>
        <v>1425381.4707055581</v>
      </c>
      <c r="S14" s="28">
        <f>'Option1 (base case)'!S$28*conv_2026</f>
        <v>1459352.2353717599</v>
      </c>
      <c r="T14" s="28">
        <f>'Option1 (base case)'!T$28*conv_2026</f>
        <v>1493657.4976952702</v>
      </c>
      <c r="U14" s="28">
        <f>'Option1 (base case)'!U$28*conv_2026</f>
        <v>1528296.1300554811</v>
      </c>
      <c r="V14" s="28">
        <f>'Option1 (base case)'!V$28*conv_2026</f>
        <v>1563267.0346652847</v>
      </c>
      <c r="W14" s="28">
        <f>'Option1 (base case)'!W$28*conv_2026</f>
        <v>1598569.1145634265</v>
      </c>
      <c r="X14" s="28">
        <f>'Option1 (base case)'!X$28*conv_2026</f>
        <v>1634201.3171166806</v>
      </c>
      <c r="Y14" s="28">
        <f>'Option1 (base case)'!Y$28*conv_2026</f>
        <v>1670162.6050167978</v>
      </c>
      <c r="Z14" s="28">
        <f>'Option1 (base case)'!Z$28*conv_2026</f>
        <v>1706451.9853032914</v>
      </c>
      <c r="AA14" s="28">
        <f>'Option1 (base case)'!AA$28*conv_2026</f>
        <v>1743068.4367926144</v>
      </c>
      <c r="AB14" s="28">
        <f>'Option1 (base case)'!AB$28*conv_2026</f>
        <v>1780010.9971556102</v>
      </c>
      <c r="AC14" s="28">
        <f>'Option1 (base case)'!AC$28*conv_2026</f>
        <v>1817278.7048572181</v>
      </c>
      <c r="AD14" s="28">
        <f>'Option1 (base case)'!AD$28*conv_2026</f>
        <v>1854870.6427204437</v>
      </c>
      <c r="AE14" s="28">
        <f>'Option1 (base case)'!AE$28*conv_2026</f>
        <v>1892785.8943572179</v>
      </c>
      <c r="AF14" s="28">
        <f>'Option1 (base case)'!AF$28*conv_2026</f>
        <v>1931023.5441466121</v>
      </c>
      <c r="AG14" s="28">
        <f>'Option1 (base case)'!AG$28*conv_2026</f>
        <v>1969582.7353694409</v>
      </c>
    </row>
    <row r="15" spans="1:34" s="1" customFormat="1" x14ac:dyDescent="0.2">
      <c r="A15" s="114" t="str">
        <f>Data!B9</f>
        <v>Option 1 (base case)</v>
      </c>
      <c r="B15" s="114"/>
      <c r="C15" s="52" t="str">
        <f>'Option1 (base case)'!C$65</f>
        <v>Capital expenditure</v>
      </c>
      <c r="D15" s="34" t="str">
        <f t="shared" si="2"/>
        <v>Option 1 (base case)Capital expenditure</v>
      </c>
      <c r="F15" s="84">
        <f>SUMPRODUCT($H15:$AG15, $H$5:$AG$5)</f>
        <v>0</v>
      </c>
      <c r="G15" s="198">
        <f>output_dollars</f>
        <v>46203</v>
      </c>
      <c r="H15" s="28"/>
      <c r="I15" s="28">
        <f>SUM('Option1 (base case)'!I$66:I$68)*conv_2026</f>
        <v>0</v>
      </c>
      <c r="J15" s="28">
        <f>SUM('Option1 (base case)'!J$66:J$68)</f>
        <v>0</v>
      </c>
      <c r="K15" s="28">
        <f>SUM('Option1 (base case)'!K$66:K$68)</f>
        <v>0</v>
      </c>
      <c r="L15" s="28">
        <f>SUM('Option1 (base case)'!L$66:L$68)</f>
        <v>0</v>
      </c>
      <c r="M15" s="28">
        <f>SUM('Option1 (base case)'!M$66:M$68)</f>
        <v>0</v>
      </c>
      <c r="N15" s="28">
        <f>SUM('Option1 (base case)'!N$66:N$68)</f>
        <v>0</v>
      </c>
      <c r="O15" s="28">
        <f>SUM('Option1 (base case)'!O$66:O$68)</f>
        <v>0</v>
      </c>
      <c r="P15" s="28">
        <f>SUM('Option1 (base case)'!P$66:P$68)</f>
        <v>0</v>
      </c>
      <c r="Q15" s="28">
        <f>SUM('Option1 (base case)'!Q$66:Q$68)</f>
        <v>0</v>
      </c>
      <c r="R15" s="28">
        <f>SUM('Option1 (base case)'!R$66:R$68)</f>
        <v>0</v>
      </c>
      <c r="S15" s="28">
        <f>SUM('Option1 (base case)'!S$66:S$68)</f>
        <v>0</v>
      </c>
      <c r="T15" s="28">
        <f>SUM('Option1 (base case)'!T$66:T$68)</f>
        <v>0</v>
      </c>
      <c r="U15" s="28">
        <f>SUM('Option1 (base case)'!U$66:U$68)</f>
        <v>0</v>
      </c>
      <c r="V15" s="28">
        <f>SUM('Option1 (base case)'!V$66:V$68)</f>
        <v>0</v>
      </c>
      <c r="W15" s="28">
        <f>SUM('Option1 (base case)'!W$66:W$68)</f>
        <v>0</v>
      </c>
      <c r="X15" s="28">
        <f>SUM('Option1 (base case)'!X$66:X$68)</f>
        <v>0</v>
      </c>
      <c r="Y15" s="28">
        <f>SUM('Option1 (base case)'!Y$66:Y$68)</f>
        <v>0</v>
      </c>
      <c r="Z15" s="28">
        <f>SUM('Option1 (base case)'!Z$66:Z$68)</f>
        <v>0</v>
      </c>
      <c r="AA15" s="28">
        <f>SUM('Option1 (base case)'!AA$66:AA$68)</f>
        <v>0</v>
      </c>
      <c r="AB15" s="28">
        <f>SUM('Option1 (base case)'!AB$66:AB$68)</f>
        <v>0</v>
      </c>
      <c r="AC15" s="28">
        <f>SUM('Option1 (base case)'!AC$66:AC$68)</f>
        <v>0</v>
      </c>
      <c r="AD15" s="28">
        <f>SUM('Option1 (base case)'!AD$66:AD$68)</f>
        <v>0</v>
      </c>
      <c r="AE15" s="28">
        <f>SUM('Option1 (base case)'!AE$66:AE$68)</f>
        <v>0</v>
      </c>
      <c r="AF15" s="28">
        <f>SUM('Option1 (base case)'!AF$66:AF$68)</f>
        <v>0</v>
      </c>
      <c r="AG15" s="28">
        <f>SUM('Option1 (base case)'!AG$66:AG$68)</f>
        <v>0</v>
      </c>
    </row>
    <row r="16" spans="1:34" s="1" customFormat="1" x14ac:dyDescent="0.2">
      <c r="A16" s="114" t="str">
        <f t="shared" ref="A16:A25" si="3">A15</f>
        <v>Option 1 (base case)</v>
      </c>
      <c r="B16" s="114"/>
      <c r="C16" s="52" t="str">
        <f>'Option1 (base case)'!C$35</f>
        <v>Total risk cost</v>
      </c>
      <c r="D16" s="34" t="str">
        <f t="shared" si="2"/>
        <v>Option 1 (base case)Total risk cost</v>
      </c>
      <c r="F16" s="95" cm="1">
        <f t="array" ref="F16">SUMPRODUCT(($H16:$AG16)*($H$5:$AG$5)*($H$7:$AG$7))</f>
        <v>22268178.248023171</v>
      </c>
      <c r="G16" s="198">
        <f>output_dollars</f>
        <v>46203</v>
      </c>
      <c r="H16" s="28"/>
      <c r="I16" s="28">
        <f>'Option1 (base case)'!I$35*conv_2026</f>
        <v>1033668.8035597338</v>
      </c>
      <c r="J16" s="28">
        <f>'Option1 (base case)'!J$35*conv_2026</f>
        <v>1124890.2460191592</v>
      </c>
      <c r="K16" s="28">
        <f>'Option1 (base case)'!K$35*conv_2026</f>
        <v>1154583.2478360718</v>
      </c>
      <c r="L16" s="28">
        <f>'Option1 (base case)'!L$35*conv_2026</f>
        <v>1176759.9987681219</v>
      </c>
      <c r="M16" s="28">
        <f>'Option1 (base case)'!M$35*conv_2026</f>
        <v>1208510.1809830593</v>
      </c>
      <c r="N16" s="28">
        <f>'Option1 (base case)'!N$35*conv_2026</f>
        <v>1252377.4857412733</v>
      </c>
      <c r="O16" s="28">
        <f>'Option1 (base case)'!O$35*conv_2026</f>
        <v>1316762.4701798582</v>
      </c>
      <c r="P16" s="28">
        <f>'Option1 (base case)'!P$35*conv_2026</f>
        <v>1382022.296336021</v>
      </c>
      <c r="Q16" s="28">
        <f>'Option1 (base case)'!Q$35*conv_2026</f>
        <v>1433288.9212749463</v>
      </c>
      <c r="R16" s="28">
        <f>'Option1 (base case)'!R$35*conv_2026</f>
        <v>1467803.6664935902</v>
      </c>
      <c r="S16" s="28">
        <f>'Option1 (base case)'!S$35*conv_2026</f>
        <v>1502662.6309140832</v>
      </c>
      <c r="T16" s="28">
        <f>'Option1 (base case)'!T$35*conv_2026</f>
        <v>1537864.651201433</v>
      </c>
      <c r="U16" s="28">
        <f>'Option1 (base case)'!U$35*conv_2026</f>
        <v>1573408.5648747077</v>
      </c>
      <c r="V16" s="28">
        <f>'Option1 (base case)'!V$35*conv_2026</f>
        <v>1609293.2400443088</v>
      </c>
      <c r="W16" s="28">
        <f>'Option1 (base case)'!W$35*conv_2026</f>
        <v>1645517.545646491</v>
      </c>
      <c r="X16" s="28">
        <f>'Option1 (base case)'!X$35*conv_2026</f>
        <v>1682080.396082287</v>
      </c>
      <c r="Y16" s="28">
        <f>'Option1 (base case)'!Y$35*conv_2026</f>
        <v>1718980.7214566222</v>
      </c>
      <c r="Z16" s="28">
        <f>'Option1 (base case)'!Z$35*conv_2026</f>
        <v>1756217.4973589366</v>
      </c>
      <c r="AA16" s="28">
        <f>'Option1 (base case)'!AA$35*conv_2026</f>
        <v>1793789.6703977741</v>
      </c>
      <c r="AB16" s="28">
        <f>'Option1 (base case)'!AB$35*conv_2026</f>
        <v>1831696.2475517362</v>
      </c>
      <c r="AC16" s="28">
        <f>'Option1 (base case)'!AC$35*conv_2026</f>
        <v>1869936.2365935207</v>
      </c>
      <c r="AD16" s="28">
        <f>'Option1 (base case)'!AD$35*conv_2026</f>
        <v>1908508.6907906411</v>
      </c>
      <c r="AE16" s="28">
        <f>'Option1 (base case)'!AE$35*conv_2026</f>
        <v>1946423.9424274154</v>
      </c>
      <c r="AF16" s="28">
        <f>'Option1 (base case)'!AF$35*conv_2026</f>
        <v>1984661.5922168095</v>
      </c>
      <c r="AG16" s="28">
        <f>'Option1 (base case)'!AG$35*conv_2026</f>
        <v>2023220.7834396381</v>
      </c>
    </row>
    <row r="17" spans="1:33" s="1" customFormat="1" x14ac:dyDescent="0.2">
      <c r="A17" s="114" t="str">
        <f t="shared" si="3"/>
        <v>Option 1 (base case)</v>
      </c>
      <c r="B17" s="114"/>
      <c r="C17" s="12"/>
      <c r="D17" s="34" t="str">
        <f t="shared" si="2"/>
        <v>Option 1 (base case)</v>
      </c>
      <c r="F17"/>
      <c r="G17" s="199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x14ac:dyDescent="0.2">
      <c r="A18" s="114" t="str">
        <f t="shared" si="3"/>
        <v>Option 1 (base case)</v>
      </c>
      <c r="B18" s="114"/>
      <c r="C18" s="52" t="str">
        <f>'Option1 (base case)'!C$81</f>
        <v>Annualised capex</v>
      </c>
      <c r="D18" s="34" t="str">
        <f t="shared" si="2"/>
        <v>Option 1 (base case)Annualised capex</v>
      </c>
      <c r="F18" s="84">
        <f>SUMPRODUCT($H18:$AG18, $H$5:$AG$5)</f>
        <v>0</v>
      </c>
      <c r="G18" s="198">
        <f t="shared" ref="G18:G25" si="4">output_dollars</f>
        <v>46203</v>
      </c>
      <c r="H18" s="28"/>
      <c r="I18" s="28">
        <f>'Option1 (base case)'!I$81*conv_2026</f>
        <v>0</v>
      </c>
      <c r="J18" s="28">
        <f>'Option1 (base case)'!J$81*conv_2026</f>
        <v>0</v>
      </c>
      <c r="K18" s="28">
        <f>'Option1 (base case)'!K$81*conv_2026</f>
        <v>0</v>
      </c>
      <c r="L18" s="28">
        <f>'Option1 (base case)'!L$81*conv_2026</f>
        <v>0</v>
      </c>
      <c r="M18" s="28">
        <f>'Option1 (base case)'!M$81*conv_2026</f>
        <v>0</v>
      </c>
      <c r="N18" s="28">
        <f>'Option1 (base case)'!N$81*conv_2026</f>
        <v>0</v>
      </c>
      <c r="O18" s="28">
        <f>'Option1 (base case)'!O$81*conv_2026</f>
        <v>0</v>
      </c>
      <c r="P18" s="28">
        <f>'Option1 (base case)'!P$81*conv_2026</f>
        <v>0</v>
      </c>
      <c r="Q18" s="28">
        <f>'Option1 (base case)'!Q$81*conv_2026</f>
        <v>0</v>
      </c>
      <c r="R18" s="28">
        <f>'Option1 (base case)'!R$81*conv_2026</f>
        <v>0</v>
      </c>
      <c r="S18" s="28">
        <f>'Option1 (base case)'!S$81*conv_2026</f>
        <v>0</v>
      </c>
      <c r="T18" s="28">
        <f>'Option1 (base case)'!T$81*conv_2026</f>
        <v>0</v>
      </c>
      <c r="U18" s="28">
        <f>'Option1 (base case)'!U$81*conv_2026</f>
        <v>0</v>
      </c>
      <c r="V18" s="28">
        <f>'Option1 (base case)'!V$81*conv_2026</f>
        <v>0</v>
      </c>
      <c r="W18" s="28">
        <f>'Option1 (base case)'!W$81*conv_2026</f>
        <v>0</v>
      </c>
      <c r="X18" s="28">
        <f>'Option1 (base case)'!X$81*conv_2026</f>
        <v>0</v>
      </c>
      <c r="Y18" s="28">
        <f>'Option1 (base case)'!Y$81*conv_2026</f>
        <v>0</v>
      </c>
      <c r="Z18" s="28">
        <f>'Option1 (base case)'!Z$81*conv_2026</f>
        <v>0</v>
      </c>
      <c r="AA18" s="28">
        <f>'Option1 (base case)'!AA$81*conv_2026</f>
        <v>0</v>
      </c>
      <c r="AB18" s="28">
        <f>'Option1 (base case)'!AB$81*conv_2026</f>
        <v>0</v>
      </c>
      <c r="AC18" s="28">
        <f>'Option1 (base case)'!AC$81*conv_2026</f>
        <v>0</v>
      </c>
      <c r="AD18" s="28">
        <f>'Option1 (base case)'!AD$81*conv_2026</f>
        <v>0</v>
      </c>
      <c r="AE18" s="28">
        <f>'Option1 (base case)'!AE$81*conv_2026</f>
        <v>0</v>
      </c>
      <c r="AF18" s="28">
        <f>'Option1 (base case)'!AF$81*conv_2026</f>
        <v>0</v>
      </c>
      <c r="AG18" s="28">
        <f>'Option1 (base case)'!AG$81*conv_2026</f>
        <v>0</v>
      </c>
    </row>
    <row r="19" spans="1:33" s="1" customFormat="1" x14ac:dyDescent="0.2">
      <c r="A19" s="114" t="str">
        <f t="shared" si="3"/>
        <v>Option 1 (base case)</v>
      </c>
      <c r="B19" s="114"/>
      <c r="C19" s="52" t="str">
        <f>'Option1 (base case)'!C$82</f>
        <v>Operating expenditure</v>
      </c>
      <c r="D19" s="34" t="str">
        <f t="shared" si="2"/>
        <v>Option 1 (base case)Operating expenditure</v>
      </c>
      <c r="F19" s="84">
        <f>SUMPRODUCT($H19:$AG19, $H$5:$AG$5)</f>
        <v>0</v>
      </c>
      <c r="G19" s="198">
        <f t="shared" si="4"/>
        <v>46203</v>
      </c>
      <c r="H19" s="28"/>
      <c r="I19" s="28">
        <f>'Option1 (base case)'!I$82*conv_2026</f>
        <v>0</v>
      </c>
      <c r="J19" s="28">
        <f>'Option1 (base case)'!J$82*conv_2026</f>
        <v>0</v>
      </c>
      <c r="K19" s="28">
        <f>'Option1 (base case)'!K$82*conv_2026</f>
        <v>0</v>
      </c>
      <c r="L19" s="28">
        <f>'Option1 (base case)'!L$82*conv_2026</f>
        <v>0</v>
      </c>
      <c r="M19" s="28">
        <f>'Option1 (base case)'!M$82*conv_2026</f>
        <v>0</v>
      </c>
      <c r="N19" s="28">
        <f>'Option1 (base case)'!N$82*conv_2026</f>
        <v>0</v>
      </c>
      <c r="O19" s="28">
        <f>'Option1 (base case)'!O$82*conv_2026</f>
        <v>0</v>
      </c>
      <c r="P19" s="28">
        <f>'Option1 (base case)'!P$82*conv_2026</f>
        <v>0</v>
      </c>
      <c r="Q19" s="28">
        <f>'Option1 (base case)'!Q$82*conv_2026</f>
        <v>0</v>
      </c>
      <c r="R19" s="28">
        <f>'Option1 (base case)'!R$82*conv_2026</f>
        <v>0</v>
      </c>
      <c r="S19" s="28">
        <f>'Option1 (base case)'!S$82*conv_2026</f>
        <v>0</v>
      </c>
      <c r="T19" s="28">
        <f>'Option1 (base case)'!T$82*conv_2026</f>
        <v>0</v>
      </c>
      <c r="U19" s="28">
        <f>'Option1 (base case)'!U$82*conv_2026</f>
        <v>0</v>
      </c>
      <c r="V19" s="28">
        <f>'Option1 (base case)'!V$82*conv_2026</f>
        <v>0</v>
      </c>
      <c r="W19" s="28">
        <f>'Option1 (base case)'!W$82*conv_2026</f>
        <v>0</v>
      </c>
      <c r="X19" s="28">
        <f>'Option1 (base case)'!X$82*conv_2026</f>
        <v>0</v>
      </c>
      <c r="Y19" s="28">
        <f>'Option1 (base case)'!Y$82*conv_2026</f>
        <v>0</v>
      </c>
      <c r="Z19" s="28">
        <f>'Option1 (base case)'!Z$82*conv_2026</f>
        <v>0</v>
      </c>
      <c r="AA19" s="28">
        <f>'Option1 (base case)'!AA$82*conv_2026</f>
        <v>0</v>
      </c>
      <c r="AB19" s="28">
        <f>'Option1 (base case)'!AB$82*conv_2026</f>
        <v>0</v>
      </c>
      <c r="AC19" s="28">
        <f>'Option1 (base case)'!AC$82*conv_2026</f>
        <v>0</v>
      </c>
      <c r="AD19" s="28">
        <f>'Option1 (base case)'!AD$82*conv_2026</f>
        <v>0</v>
      </c>
      <c r="AE19" s="28">
        <f>'Option1 (base case)'!AE$82*conv_2026</f>
        <v>0</v>
      </c>
      <c r="AF19" s="28">
        <f>'Option1 (base case)'!AF$82*conv_2026</f>
        <v>0</v>
      </c>
      <c r="AG19" s="28">
        <f>'Option1 (base case)'!AG$82*conv_2026</f>
        <v>0</v>
      </c>
    </row>
    <row r="20" spans="1:33" s="1" customFormat="1" x14ac:dyDescent="0.2">
      <c r="A20" s="114" t="str">
        <f t="shared" si="3"/>
        <v>Option 1 (base case)</v>
      </c>
      <c r="B20" s="114"/>
      <c r="C20" s="52" t="str">
        <f>'Option1 (base case)'!C$83</f>
        <v>Risk mitigated</v>
      </c>
      <c r="D20" s="34" t="str">
        <f t="shared" si="2"/>
        <v>Option 1 (base case)Risk mitigated</v>
      </c>
      <c r="F20" s="84">
        <f>SUMPRODUCT($H20:$AG20, $H$5:$AG$5)</f>
        <v>0</v>
      </c>
      <c r="G20" s="198">
        <f t="shared" si="4"/>
        <v>46203</v>
      </c>
      <c r="H20" s="28"/>
      <c r="I20" s="28">
        <f>'Option1 (base case)'!I$83*conv_2026</f>
        <v>0</v>
      </c>
      <c r="J20" s="28">
        <f>'Option1 (base case)'!J$83*conv_2026</f>
        <v>0</v>
      </c>
      <c r="K20" s="28">
        <f>'Option1 (base case)'!K$83*conv_2026</f>
        <v>0</v>
      </c>
      <c r="L20" s="28">
        <f>'Option1 (base case)'!L$83*conv_2026</f>
        <v>0</v>
      </c>
      <c r="M20" s="28">
        <f>'Option1 (base case)'!M$83*conv_2026</f>
        <v>0</v>
      </c>
      <c r="N20" s="28">
        <f>'Option1 (base case)'!N$83*conv_2026</f>
        <v>0</v>
      </c>
      <c r="O20" s="28">
        <f>'Option1 (base case)'!O$83*conv_2026</f>
        <v>0</v>
      </c>
      <c r="P20" s="28">
        <f>'Option1 (base case)'!P$83*conv_2026</f>
        <v>0</v>
      </c>
      <c r="Q20" s="28">
        <f>'Option1 (base case)'!Q$83*conv_2026</f>
        <v>0</v>
      </c>
      <c r="R20" s="28">
        <f>'Option1 (base case)'!R$83*conv_2026</f>
        <v>0</v>
      </c>
      <c r="S20" s="28">
        <f>'Option1 (base case)'!S$83*conv_2026</f>
        <v>0</v>
      </c>
      <c r="T20" s="28">
        <f>'Option1 (base case)'!T$83*conv_2026</f>
        <v>0</v>
      </c>
      <c r="U20" s="28">
        <f>'Option1 (base case)'!U$83*conv_2026</f>
        <v>0</v>
      </c>
      <c r="V20" s="28">
        <f>'Option1 (base case)'!V$83*conv_2026</f>
        <v>0</v>
      </c>
      <c r="W20" s="28">
        <f>'Option1 (base case)'!W$83*conv_2026</f>
        <v>0</v>
      </c>
      <c r="X20" s="28">
        <f>'Option1 (base case)'!X$83*conv_2026</f>
        <v>0</v>
      </c>
      <c r="Y20" s="28">
        <f>'Option1 (base case)'!Y$83*conv_2026</f>
        <v>0</v>
      </c>
      <c r="Z20" s="28">
        <f>'Option1 (base case)'!Z$83*conv_2026</f>
        <v>0</v>
      </c>
      <c r="AA20" s="28">
        <f>'Option1 (base case)'!AA$83*conv_2026</f>
        <v>0</v>
      </c>
      <c r="AB20" s="28">
        <f>'Option1 (base case)'!AB$83*conv_2026</f>
        <v>0</v>
      </c>
      <c r="AC20" s="28">
        <f>'Option1 (base case)'!AC$83*conv_2026</f>
        <v>0</v>
      </c>
      <c r="AD20" s="28">
        <f>'Option1 (base case)'!AD$83*conv_2026</f>
        <v>0</v>
      </c>
      <c r="AE20" s="28">
        <f>'Option1 (base case)'!AE$83*conv_2026</f>
        <v>0</v>
      </c>
      <c r="AF20" s="28">
        <f>'Option1 (base case)'!AF$83*conv_2026</f>
        <v>0</v>
      </c>
      <c r="AG20" s="28">
        <f>'Option1 (base case)'!AG$83*conv_2026</f>
        <v>0</v>
      </c>
    </row>
    <row r="21" spans="1:33" s="1" customFormat="1" x14ac:dyDescent="0.2">
      <c r="A21" s="114" t="str">
        <f t="shared" si="3"/>
        <v>Option 1 (base case)</v>
      </c>
      <c r="B21" s="114"/>
      <c r="C21" s="52" t="str">
        <f>'Option1 (base case)'!C$84</f>
        <v>Other benefits value</v>
      </c>
      <c r="D21" s="34" t="str">
        <f t="shared" si="2"/>
        <v>Option 1 (base case)Other benefits value</v>
      </c>
      <c r="F21" s="84">
        <f>SUMPRODUCT($H21:$AG21, $H$5:$AG$5)</f>
        <v>0</v>
      </c>
      <c r="G21" s="198">
        <f t="shared" si="4"/>
        <v>46203</v>
      </c>
      <c r="H21" s="28"/>
      <c r="I21" s="28">
        <f>'Option1 (base case)'!I$84*conv_2026</f>
        <v>0</v>
      </c>
      <c r="J21" s="28">
        <f>'Option1 (base case)'!J$84*conv_2026</f>
        <v>0</v>
      </c>
      <c r="K21" s="28">
        <f>'Option1 (base case)'!K$84*conv_2026</f>
        <v>0</v>
      </c>
      <c r="L21" s="28">
        <f>'Option1 (base case)'!L$84*conv_2026</f>
        <v>0</v>
      </c>
      <c r="M21" s="28">
        <f>'Option1 (base case)'!M$84*conv_2026</f>
        <v>0</v>
      </c>
      <c r="N21" s="28">
        <f>'Option1 (base case)'!N$84*conv_2026</f>
        <v>0</v>
      </c>
      <c r="O21" s="28">
        <f>'Option1 (base case)'!O$84*conv_2026</f>
        <v>0</v>
      </c>
      <c r="P21" s="28">
        <f>'Option1 (base case)'!P$84*conv_2026</f>
        <v>0</v>
      </c>
      <c r="Q21" s="28">
        <f>'Option1 (base case)'!Q$84*conv_2026</f>
        <v>0</v>
      </c>
      <c r="R21" s="28">
        <f>'Option1 (base case)'!R$84*conv_2026</f>
        <v>0</v>
      </c>
      <c r="S21" s="28">
        <f>'Option1 (base case)'!S$84*conv_2026</f>
        <v>0</v>
      </c>
      <c r="T21" s="28">
        <f>'Option1 (base case)'!T$84*conv_2026</f>
        <v>0</v>
      </c>
      <c r="U21" s="28">
        <f>'Option1 (base case)'!U$84*conv_2026</f>
        <v>0</v>
      </c>
      <c r="V21" s="28">
        <f>'Option1 (base case)'!V$84*conv_2026</f>
        <v>0</v>
      </c>
      <c r="W21" s="28">
        <f>'Option1 (base case)'!W$84*conv_2026</f>
        <v>0</v>
      </c>
      <c r="X21" s="28">
        <f>'Option1 (base case)'!X$84*conv_2026</f>
        <v>0</v>
      </c>
      <c r="Y21" s="28">
        <f>'Option1 (base case)'!Y$84*conv_2026</f>
        <v>0</v>
      </c>
      <c r="Z21" s="28">
        <f>'Option1 (base case)'!Z$84*conv_2026</f>
        <v>0</v>
      </c>
      <c r="AA21" s="28">
        <f>'Option1 (base case)'!AA$84*conv_2026</f>
        <v>0</v>
      </c>
      <c r="AB21" s="28">
        <f>'Option1 (base case)'!AB$84*conv_2026</f>
        <v>0</v>
      </c>
      <c r="AC21" s="28">
        <f>'Option1 (base case)'!AC$84*conv_2026</f>
        <v>0</v>
      </c>
      <c r="AD21" s="28">
        <f>'Option1 (base case)'!AD$84*conv_2026</f>
        <v>0</v>
      </c>
      <c r="AE21" s="28">
        <f>'Option1 (base case)'!AE$84*conv_2026</f>
        <v>0</v>
      </c>
      <c r="AF21" s="28">
        <f>'Option1 (base case)'!AF$84*conv_2026</f>
        <v>0</v>
      </c>
      <c r="AG21" s="28">
        <f>'Option1 (base case)'!AG$84*conv_2026</f>
        <v>0</v>
      </c>
    </row>
    <row r="22" spans="1:33" s="1" customFormat="1" x14ac:dyDescent="0.2">
      <c r="A22" s="114" t="str">
        <f t="shared" si="3"/>
        <v>Option 1 (base case)</v>
      </c>
      <c r="B22" s="114"/>
      <c r="C22" s="122" t="str">
        <f>'Option1 (base case)'!C$86</f>
        <v>Net benefits</v>
      </c>
      <c r="D22" s="96" t="str">
        <f t="shared" si="2"/>
        <v>Option 1 (base case)Net benefits</v>
      </c>
      <c r="E22" s="97"/>
      <c r="F22" s="121"/>
      <c r="G22" s="200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x14ac:dyDescent="0.2">
      <c r="A23" s="114" t="str">
        <f t="shared" si="3"/>
        <v>Option 1 (base case)</v>
      </c>
      <c r="B23" s="114"/>
      <c r="C23" s="6" t="s">
        <v>22</v>
      </c>
      <c r="D23" s="34" t="str">
        <f t="shared" si="2"/>
        <v>Option 1 (base case)NPV</v>
      </c>
      <c r="F23" s="95" cm="1">
        <f t="array" ref="F23">SUMPRODUCT(($H22:$AG22)*($H$5:$AG$5)*($H$7:$AG$7))</f>
        <v>0</v>
      </c>
      <c r="G23" s="198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x14ac:dyDescent="0.2">
      <c r="A24" s="114" t="str">
        <f t="shared" si="3"/>
        <v>Option 1 (base case)</v>
      </c>
      <c r="B24" s="114"/>
      <c r="C24" s="6" t="s">
        <v>25</v>
      </c>
      <c r="D24" s="34" t="str">
        <f t="shared" si="2"/>
        <v>Option 1 (base case)PV of costs</v>
      </c>
      <c r="F24" s="95">
        <f>SUM(F18:F19)</f>
        <v>0</v>
      </c>
      <c r="G24" s="198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x14ac:dyDescent="0.2">
      <c r="A25" s="114" t="str">
        <f t="shared" si="3"/>
        <v>Option 1 (base case)</v>
      </c>
      <c r="B25" s="114"/>
      <c r="C25" s="6" t="s">
        <v>26</v>
      </c>
      <c r="D25" s="34" t="str">
        <f t="shared" si="2"/>
        <v>Option 1 (base case)PV of benefits</v>
      </c>
      <c r="F25" s="95">
        <f>SUM(F20:F21)</f>
        <v>0</v>
      </c>
      <c r="G25" s="198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x14ac:dyDescent="0.2">
      <c r="D26" s="34" t="str">
        <f t="shared" ref="D26:D39" si="6">A26&amp;C26</f>
        <v/>
      </c>
      <c r="G26" s="201"/>
    </row>
    <row r="27" spans="1:33" s="2" customFormat="1" x14ac:dyDescent="0.2">
      <c r="A27" s="52"/>
      <c r="B27" s="52"/>
      <c r="C27" s="52"/>
      <c r="D27" s="34" t="str">
        <f t="shared" si="6"/>
        <v/>
      </c>
      <c r="F27" s="7"/>
      <c r="G27" s="194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x14ac:dyDescent="0.2">
      <c r="A28" s="52" t="str">
        <f>A29</f>
        <v>Option 2</v>
      </c>
      <c r="B28" s="52"/>
      <c r="C28" s="52" t="s">
        <v>118</v>
      </c>
      <c r="D28" s="34" t="str">
        <f t="shared" si="6"/>
        <v>Option 2Energy at risk value</v>
      </c>
      <c r="F28" s="84">
        <f>SUMPRODUCT($H28:$AG28, $H$5:$AG$5)</f>
        <v>7604633.6526457174</v>
      </c>
      <c r="G28" s="198">
        <f>output_dollars</f>
        <v>46203</v>
      </c>
      <c r="H28" s="28"/>
      <c r="I28" s="28">
        <f>Option2!I$28*conv_2026</f>
        <v>998849.21247700753</v>
      </c>
      <c r="J28" s="28">
        <f>Option2!J$28*conv_2026</f>
        <v>1089261.1572895474</v>
      </c>
      <c r="K28" s="28">
        <f>Option2!K$28*conv_2026</f>
        <v>1118135.7591937846</v>
      </c>
      <c r="L28" s="28">
        <f>Option2!L$28*conv_2026</f>
        <v>1139485.2484914416</v>
      </c>
      <c r="M28" s="28">
        <f>Option2!M$28*conv_2026</f>
        <v>32697.93355739427</v>
      </c>
      <c r="N28" s="28">
        <f>Option2!N$28*conv_2026</f>
        <v>60339.182903831708</v>
      </c>
      <c r="O28" s="28">
        <f>Option2!O$28*conv_2026</f>
        <v>88521.072156119597</v>
      </c>
      <c r="P28" s="28">
        <f>Option2!P$28*conv_2026</f>
        <v>117299.0507891186</v>
      </c>
      <c r="Q28" s="28">
        <f>Option2!Q$28*conv_2026</f>
        <v>145359.060843666</v>
      </c>
      <c r="R28" s="28">
        <f>Option2!R$28*conv_2026</f>
        <v>171769.07858774898</v>
      </c>
      <c r="S28" s="28">
        <f>Option2!S$28*conv_2026</f>
        <v>198142.29210983985</v>
      </c>
      <c r="T28" s="28">
        <f>Option2!T$28*conv_2026</f>
        <v>224558.02197324758</v>
      </c>
      <c r="U28" s="28">
        <f>Option2!U$28*conv_2026</f>
        <v>251072.4781241889</v>
      </c>
      <c r="V28" s="28">
        <f>Option2!V$28*conv_2026</f>
        <v>277727.24167178996</v>
      </c>
      <c r="W28" s="28">
        <f>Option2!W$28*conv_2026</f>
        <v>304553.80236915487</v>
      </c>
      <c r="X28" s="28">
        <f>Option2!X$28*conv_2026</f>
        <v>331576.73214662401</v>
      </c>
      <c r="Y28" s="28">
        <f>Option2!Y$28*conv_2026</f>
        <v>358815.50824305759</v>
      </c>
      <c r="Z28" s="28">
        <f>Option2!Z$28*conv_2026</f>
        <v>386285.7662399204</v>
      </c>
      <c r="AA28" s="28">
        <f>Option2!AA$28*conv_2026</f>
        <v>414000.23028534302</v>
      </c>
      <c r="AB28" s="28">
        <f>Option2!AB$28*conv_2026</f>
        <v>441969.3932597856</v>
      </c>
      <c r="AC28" s="28">
        <f>Option2!AC$28*conv_2026</f>
        <v>470201.97725207172</v>
      </c>
      <c r="AD28" s="28">
        <f>Option2!AD$28*conv_2026</f>
        <v>498705.20413983287</v>
      </c>
      <c r="AE28" s="28">
        <f>Option2!AE$28*conv_2026</f>
        <v>527485.20537065936</v>
      </c>
      <c r="AF28" s="28">
        <f>Option2!AF$28*conv_2026</f>
        <v>556547.14018403273</v>
      </c>
      <c r="AG28" s="28">
        <f>Option2!AG$28*conv_2026</f>
        <v>585895.34397527855</v>
      </c>
    </row>
    <row r="29" spans="1:33" s="2" customFormat="1" x14ac:dyDescent="0.2">
      <c r="A29" s="114" t="str">
        <f>Data!B10</f>
        <v>Option 2</v>
      </c>
      <c r="B29" s="114"/>
      <c r="C29" s="52" t="str">
        <f>Option2!C$65</f>
        <v>Capital expenditure</v>
      </c>
      <c r="D29" s="34" t="str">
        <f t="shared" si="6"/>
        <v>Option 2Capital expenditure</v>
      </c>
      <c r="E29" s="1"/>
      <c r="F29" s="84" cm="1">
        <f t="array" ref="F29">SUMPRODUCT(($H29:$AG29)*($H$5:$AG$5)*($H$7:$AG$7))</f>
        <v>-6378472.8243338177</v>
      </c>
      <c r="G29" s="198">
        <f>output_dollars</f>
        <v>46203</v>
      </c>
      <c r="H29" s="28"/>
      <c r="I29" s="28">
        <f>SUM(Option2!I$66:I$68)*conv_2026*I$7</f>
        <v>0</v>
      </c>
      <c r="J29" s="28">
        <f>SUM(Option2!J$66:J$68)*conv_2026*J$7</f>
        <v>0</v>
      </c>
      <c r="K29" s="28">
        <f>SUM(Option2!K$66:K$68)*conv_2026*K$7</f>
        <v>-2370550.6465480458</v>
      </c>
      <c r="L29" s="28">
        <f>SUM(Option2!L$66:L$68)*conv_2026*L$7</f>
        <v>-4741101.2930960916</v>
      </c>
      <c r="M29" s="28">
        <f>SUM(Option2!M$66:M$68)*conv_2026*M$7</f>
        <v>0</v>
      </c>
      <c r="N29" s="28">
        <f>SUM(Option2!N$66:N$68)*conv_2026*N$7</f>
        <v>0</v>
      </c>
      <c r="O29" s="28">
        <f>SUM(Option2!O$66:O$68)*conv_2026*O$7</f>
        <v>0</v>
      </c>
      <c r="P29" s="28">
        <f>SUM(Option2!P$66:P$68)*conv_2026*P$7</f>
        <v>0</v>
      </c>
      <c r="Q29" s="28">
        <f>SUM(Option2!Q$66:Q$68)*conv_2026*Q$7</f>
        <v>0</v>
      </c>
      <c r="R29" s="28">
        <f>SUM(Option2!R$66:R$68)*conv_2026*R$7</f>
        <v>0</v>
      </c>
      <c r="S29" s="28">
        <f>SUM(Option2!S$66:S$68)*conv_2026*S$7</f>
        <v>0</v>
      </c>
      <c r="T29" s="28">
        <f>SUM(Option2!T$66:T$68)*conv_2026*T$7</f>
        <v>0</v>
      </c>
      <c r="U29" s="28">
        <f>SUM(Option2!U$66:U$68)*conv_2026*U$7</f>
        <v>0</v>
      </c>
      <c r="V29" s="28">
        <f>SUM(Option2!V$66:V$68)*conv_2026*V$7</f>
        <v>0</v>
      </c>
      <c r="W29" s="28">
        <f>SUM(Option2!W$66:W$68)*conv_2026*W$7</f>
        <v>0</v>
      </c>
      <c r="X29" s="28">
        <f>SUM(Option2!X$66:X$68)*conv_2026*X$7</f>
        <v>0</v>
      </c>
      <c r="Y29" s="28">
        <f>SUM(Option2!Y$66:Y$68)*conv_2026*Y$7</f>
        <v>0</v>
      </c>
      <c r="Z29" s="28">
        <f>SUM(Option2!Z$66:Z$68)*conv_2026*Z$7</f>
        <v>0</v>
      </c>
      <c r="AA29" s="28">
        <f>SUM(Option2!AA$66:AA$68)*conv_2026*AA$7</f>
        <v>0</v>
      </c>
      <c r="AB29" s="28">
        <f>SUM(Option2!AB$66:AB$68)*conv_2026*AB$7</f>
        <v>0</v>
      </c>
      <c r="AC29" s="28">
        <f>SUM(Option2!AC$66:AC$68)*conv_2026*AC$7</f>
        <v>0</v>
      </c>
      <c r="AD29" s="28">
        <f>SUM(Option2!AD$66:AD$68)*conv_2026*AD$7</f>
        <v>0</v>
      </c>
      <c r="AE29" s="28">
        <f>SUM(Option2!AE$66:AE$68)*conv_2026*AE$7</f>
        <v>0</v>
      </c>
      <c r="AF29" s="28">
        <f>SUM(Option2!AF$66:AF$68)*conv_2026*AF$7</f>
        <v>0</v>
      </c>
      <c r="AG29" s="28">
        <f>SUM(Option2!AG$66:AG$68)*conv_2026*AG$7</f>
        <v>0</v>
      </c>
    </row>
    <row r="30" spans="1:33" s="2" customFormat="1" x14ac:dyDescent="0.2">
      <c r="A30" s="114" t="str">
        <f t="shared" ref="A30:A39" si="7">A29</f>
        <v>Option 2</v>
      </c>
      <c r="B30" s="114"/>
      <c r="C30" s="52" t="str">
        <f>'Option1 (base case)'!C$35</f>
        <v>Total risk cost</v>
      </c>
      <c r="D30" s="34" t="str">
        <f t="shared" si="6"/>
        <v>Option 2Total risk cost</v>
      </c>
      <c r="E30" s="1"/>
      <c r="F30" s="84" cm="1">
        <f t="array" ref="F30">SUMPRODUCT(($H30:$AG30)*($H$5:$AG$5)*($H$7:$AG$7))</f>
        <v>7266357.4698242433</v>
      </c>
      <c r="G30" s="198">
        <f>output_dollars</f>
        <v>46203</v>
      </c>
      <c r="H30" s="28"/>
      <c r="I30" s="28">
        <f>Option2!I$35*conv_2026*I$7</f>
        <v>1033668.8035597338</v>
      </c>
      <c r="J30" s="28">
        <f>Option2!J$35*conv_2026*J$7</f>
        <v>1124890.2460191592</v>
      </c>
      <c r="K30" s="28">
        <f>Option2!K$35*conv_2026*K$7</f>
        <v>1154583.2478360718</v>
      </c>
      <c r="L30" s="28">
        <f>Option2!L$35*conv_2026*L$7</f>
        <v>1176759.9987681219</v>
      </c>
      <c r="M30" s="28">
        <f>Option2!M$35*conv_2026*M$7</f>
        <v>51875.389945276831</v>
      </c>
      <c r="N30" s="28">
        <f>Option2!N$35*conv_2026*N$7</f>
        <v>79968.365433115381</v>
      </c>
      <c r="O30" s="28">
        <f>Option2!O$35*conv_2026*O$7</f>
        <v>108619.05215483013</v>
      </c>
      <c r="P30" s="28">
        <f>Option2!P$35*conv_2026*P$7</f>
        <v>137881.36970964848</v>
      </c>
      <c r="Q30" s="28">
        <f>Option2!Q$35*conv_2026*Q$7</f>
        <v>166440.2995849142</v>
      </c>
      <c r="R30" s="28">
        <f>Option2!R$35*conv_2026*R$7</f>
        <v>193363.12917829835</v>
      </c>
      <c r="S30" s="28">
        <f>Option2!S$35*conv_2026*S$7</f>
        <v>220262.51438995701</v>
      </c>
      <c r="T30" s="28">
        <f>Option2!T$35*conv_2026*T$7</f>
        <v>247217.34684964697</v>
      </c>
      <c r="U30" s="28">
        <f>Option2!U$35*conv_2026*U$7</f>
        <v>274283.47785905574</v>
      </c>
      <c r="V30" s="28">
        <f>Option2!V$35*conv_2026*V$7</f>
        <v>301502.18236272456</v>
      </c>
      <c r="W30" s="28">
        <f>Option2!W$35*conv_2026*W$7</f>
        <v>328904.68259866227</v>
      </c>
      <c r="X30" s="28">
        <f>Option2!X$35*conv_2026*X$7</f>
        <v>356515.31462164712</v>
      </c>
      <c r="Y30" s="28">
        <f>Option2!Y$35*conv_2026*Y$7</f>
        <v>384353.34461401252</v>
      </c>
      <c r="Z30" s="28">
        <f>Option2!Z$35*conv_2026*Z$7</f>
        <v>412434.21756219072</v>
      </c>
      <c r="AA30" s="28">
        <f>Option2!AA$35*conv_2026*AA$7</f>
        <v>440770.48331269209</v>
      </c>
      <c r="AB30" s="28">
        <f>Option2!AB$35*conv_2026*AB$7</f>
        <v>469372.47541156108</v>
      </c>
      <c r="AC30" s="28">
        <f>Option2!AC$35*conv_2026*AC$7</f>
        <v>498248.76873853552</v>
      </c>
      <c r="AD30" s="28">
        <f>Option2!AD$35*conv_2026*AD$7</f>
        <v>527406.44838236691</v>
      </c>
      <c r="AE30" s="28">
        <f>Option2!AE$35*conv_2026*AE$7</f>
        <v>0</v>
      </c>
      <c r="AF30" s="28">
        <f>Option2!AF$35*conv_2026*AF$7</f>
        <v>0</v>
      </c>
      <c r="AG30" s="28">
        <f>Option2!AG$35*conv_2026*AG$7</f>
        <v>0</v>
      </c>
    </row>
    <row r="31" spans="1:33" s="2" customFormat="1" x14ac:dyDescent="0.2">
      <c r="A31" s="114" t="str">
        <f t="shared" si="7"/>
        <v>Option 2</v>
      </c>
      <c r="B31" s="114"/>
      <c r="C31" s="12"/>
      <c r="D31" s="34" t="str">
        <f t="shared" si="6"/>
        <v>Option 2</v>
      </c>
      <c r="E31" s="1"/>
      <c r="F31" s="84"/>
      <c r="G31" s="199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x14ac:dyDescent="0.2">
      <c r="A32" s="114" t="str">
        <f t="shared" si="7"/>
        <v>Option 2</v>
      </c>
      <c r="B32" s="114"/>
      <c r="C32" s="52" t="str">
        <f>Option2!C$81</f>
        <v>Annualised capex</v>
      </c>
      <c r="D32" s="34" t="str">
        <f t="shared" si="6"/>
        <v>Option 2Annualised capex</v>
      </c>
      <c r="E32" s="1"/>
      <c r="F32" s="84" cm="1">
        <f t="array" ref="F32">SUMPRODUCT(($H32:$AG32)*($H$5:$AG$5)*($H$7:$AG$7))</f>
        <v>-3635012.6192412591</v>
      </c>
      <c r="G32" s="198">
        <f t="shared" ref="G32:G39" si="8">output_dollars</f>
        <v>46203</v>
      </c>
      <c r="H32" s="28"/>
      <c r="I32" s="28">
        <f>Option2!I$81*conv_2026*I$7</f>
        <v>0</v>
      </c>
      <c r="J32" s="28">
        <f>Option2!J$81*conv_2026*J$7</f>
        <v>0</v>
      </c>
      <c r="K32" s="28">
        <f>Option2!K$81*conv_2026*K$7</f>
        <v>0</v>
      </c>
      <c r="L32" s="28">
        <f>Option2!L$81*conv_2026*L$7</f>
        <v>-101065.36777772193</v>
      </c>
      <c r="M32" s="28">
        <f>Option2!M$81*conv_2026*M$7</f>
        <v>-303196.10333316581</v>
      </c>
      <c r="N32" s="28">
        <f>Option2!N$81*conv_2026*N$7</f>
        <v>-303196.10333316581</v>
      </c>
      <c r="O32" s="28">
        <f>Option2!O$81*conv_2026*O$7</f>
        <v>-303196.10333316581</v>
      </c>
      <c r="P32" s="28">
        <f>Option2!P$81*conv_2026*P$7</f>
        <v>-303196.10333316581</v>
      </c>
      <c r="Q32" s="28">
        <f>Option2!Q$81*conv_2026*Q$7</f>
        <v>-303196.10333316581</v>
      </c>
      <c r="R32" s="28">
        <f>Option2!R$81*conv_2026*R$7</f>
        <v>-303196.10333316581</v>
      </c>
      <c r="S32" s="28">
        <f>Option2!S$81*conv_2026*S$7</f>
        <v>-303196.10333316581</v>
      </c>
      <c r="T32" s="28">
        <f>Option2!T$81*conv_2026*T$7</f>
        <v>-303196.10333316581</v>
      </c>
      <c r="U32" s="28">
        <f>Option2!U$81*conv_2026*U$7</f>
        <v>-303196.10333316581</v>
      </c>
      <c r="V32" s="28">
        <f>Option2!V$81*conv_2026*V$7</f>
        <v>-303196.10333316581</v>
      </c>
      <c r="W32" s="28">
        <f>Option2!W$81*conv_2026*W$7</f>
        <v>-303196.10333316581</v>
      </c>
      <c r="X32" s="28">
        <f>Option2!X$81*conv_2026*X$7</f>
        <v>-303196.10333316581</v>
      </c>
      <c r="Y32" s="28">
        <f>Option2!Y$81*conv_2026*Y$7</f>
        <v>-303196.10333316581</v>
      </c>
      <c r="Z32" s="28">
        <f>Option2!Z$81*conv_2026*Z$7</f>
        <v>-303196.10333316581</v>
      </c>
      <c r="AA32" s="28">
        <f>Option2!AA$81*conv_2026*AA$7</f>
        <v>-303196.10333316581</v>
      </c>
      <c r="AB32" s="28">
        <f>Option2!AB$81*conv_2026*AB$7</f>
        <v>-303196.10333316581</v>
      </c>
      <c r="AC32" s="28">
        <f>Option2!AC$81*conv_2026*AC$7</f>
        <v>-303196.10333316581</v>
      </c>
      <c r="AD32" s="28">
        <f>Option2!AD$81*conv_2026*AD$7</f>
        <v>-303196.10333316581</v>
      </c>
      <c r="AE32" s="28">
        <f>Option2!AE$81*conv_2026*AE$7</f>
        <v>0</v>
      </c>
      <c r="AF32" s="28">
        <f>Option2!AF$81*conv_2026*AF$7</f>
        <v>0</v>
      </c>
      <c r="AG32" s="28">
        <f>Option2!AG$81*conv_2026*AG$7</f>
        <v>0</v>
      </c>
    </row>
    <row r="33" spans="1:33" s="2" customFormat="1" x14ac:dyDescent="0.2">
      <c r="A33" s="114" t="str">
        <f t="shared" si="7"/>
        <v>Option 2</v>
      </c>
      <c r="B33" s="114"/>
      <c r="C33" s="52" t="str">
        <f>Option2!C$82</f>
        <v>Operating expenditure</v>
      </c>
      <c r="D33" s="34" t="str">
        <f t="shared" si="6"/>
        <v>Option 2Operating expenditure</v>
      </c>
      <c r="E33" s="1"/>
      <c r="F33" s="84" cm="1">
        <f t="array" ref="F33">SUMPRODUCT(($H33:$AG33)*($H$5:$AG$5)*($H$7:$AG$7))</f>
        <v>0</v>
      </c>
      <c r="G33" s="198">
        <f t="shared" si="8"/>
        <v>46203</v>
      </c>
      <c r="H33" s="28"/>
      <c r="I33" s="28">
        <f>Option2!I$82*conv_2026*I$7</f>
        <v>0</v>
      </c>
      <c r="J33" s="28">
        <f>Option2!J$82*conv_2026*J$7</f>
        <v>0</v>
      </c>
      <c r="K33" s="28">
        <f>Option2!K$82*conv_2026*K$7</f>
        <v>0</v>
      </c>
      <c r="L33" s="28">
        <f>Option2!L$82*conv_2026*L$7</f>
        <v>0</v>
      </c>
      <c r="M33" s="28">
        <f>Option2!M$82*conv_2026*M$7</f>
        <v>0</v>
      </c>
      <c r="N33" s="28">
        <f>Option2!N$82*conv_2026*N$7</f>
        <v>0</v>
      </c>
      <c r="O33" s="28">
        <f>Option2!O$82*conv_2026*O$7</f>
        <v>0</v>
      </c>
      <c r="P33" s="28">
        <f>Option2!P$82*conv_2026*P$7</f>
        <v>0</v>
      </c>
      <c r="Q33" s="28">
        <f>Option2!Q$82*conv_2026*Q$7</f>
        <v>0</v>
      </c>
      <c r="R33" s="28">
        <f>Option2!R$82*conv_2026*R$7</f>
        <v>0</v>
      </c>
      <c r="S33" s="28">
        <f>Option2!S$82*conv_2026*S$7</f>
        <v>0</v>
      </c>
      <c r="T33" s="28">
        <f>Option2!T$82*conv_2026*T$7</f>
        <v>0</v>
      </c>
      <c r="U33" s="28">
        <f>Option2!U$82*conv_2026*U$7</f>
        <v>0</v>
      </c>
      <c r="V33" s="28">
        <f>Option2!V$82*conv_2026*V$7</f>
        <v>0</v>
      </c>
      <c r="W33" s="28">
        <f>Option2!W$82*conv_2026*W$7</f>
        <v>0</v>
      </c>
      <c r="X33" s="28">
        <f>Option2!X$82*conv_2026*X$7</f>
        <v>0</v>
      </c>
      <c r="Y33" s="28">
        <f>Option2!Y$82*conv_2026*Y$7</f>
        <v>0</v>
      </c>
      <c r="Z33" s="28">
        <f>Option2!Z$82*conv_2026*Z$7</f>
        <v>0</v>
      </c>
      <c r="AA33" s="28">
        <f>Option2!AA$82*conv_2026*AA$7</f>
        <v>0</v>
      </c>
      <c r="AB33" s="28">
        <f>Option2!AB$82*conv_2026*AB$7</f>
        <v>0</v>
      </c>
      <c r="AC33" s="28">
        <f>Option2!AC$82*conv_2026*AC$7</f>
        <v>0</v>
      </c>
      <c r="AD33" s="28">
        <f>Option2!AD$82*conv_2026*AD$7</f>
        <v>0</v>
      </c>
      <c r="AE33" s="28">
        <f>Option2!AE$82*conv_2026*AE$7</f>
        <v>0</v>
      </c>
      <c r="AF33" s="28">
        <f>Option2!AF$82*conv_2026*AF$7</f>
        <v>0</v>
      </c>
      <c r="AG33" s="28">
        <f>Option2!AG$82*conv_2026*AG$7</f>
        <v>0</v>
      </c>
    </row>
    <row r="34" spans="1:33" s="2" customFormat="1" x14ac:dyDescent="0.2">
      <c r="A34" s="114" t="str">
        <f t="shared" si="7"/>
        <v>Option 2</v>
      </c>
      <c r="B34" s="114"/>
      <c r="C34" s="52" t="str">
        <f>Option2!C$83</f>
        <v>Risk mitigated</v>
      </c>
      <c r="D34" s="34" t="str">
        <f t="shared" si="6"/>
        <v>Option 2Risk mitigated</v>
      </c>
      <c r="E34" s="1"/>
      <c r="F34" s="84" cm="1">
        <f t="array" ref="F34">SUMPRODUCT(($H34:$AG34)*($H$5:$AG$5)*($H$7:$AG$7))</f>
        <v>15001820.778198926</v>
      </c>
      <c r="G34" s="198">
        <f t="shared" si="8"/>
        <v>46203</v>
      </c>
      <c r="H34" s="28"/>
      <c r="I34" s="28">
        <f>Option2!I$83*conv_2026*I$7</f>
        <v>0</v>
      </c>
      <c r="J34" s="28">
        <f>Option2!J$83*conv_2026*J$7</f>
        <v>0</v>
      </c>
      <c r="K34" s="28">
        <f>Option2!K$83*conv_2026*K$7</f>
        <v>0</v>
      </c>
      <c r="L34" s="28">
        <f>Option2!L$83*conv_2026*L$7</f>
        <v>0</v>
      </c>
      <c r="M34" s="28">
        <f>Option2!M$83*conv_2026*M$7</f>
        <v>1156634.7910377823</v>
      </c>
      <c r="N34" s="28">
        <f>Option2!N$83*conv_2026*N$7</f>
        <v>1172409.120308158</v>
      </c>
      <c r="O34" s="28">
        <f>Option2!O$83*conv_2026*O$7</f>
        <v>1208143.418025028</v>
      </c>
      <c r="P34" s="28">
        <f>Option2!P$83*conv_2026*P$7</f>
        <v>1244140.9266263726</v>
      </c>
      <c r="Q34" s="28">
        <f>Option2!Q$83*conv_2026*Q$7</f>
        <v>1266848.6216900323</v>
      </c>
      <c r="R34" s="28">
        <f>Option2!R$83*conv_2026*R$7</f>
        <v>1274440.5373152921</v>
      </c>
      <c r="S34" s="28">
        <f>Option2!S$83*conv_2026*S$7</f>
        <v>1282400.1165241261</v>
      </c>
      <c r="T34" s="28">
        <f>Option2!T$83*conv_2026*T$7</f>
        <v>1290647.3043517862</v>
      </c>
      <c r="U34" s="28">
        <f>Option2!U$83*conv_2026*U$7</f>
        <v>1299125.0870156521</v>
      </c>
      <c r="V34" s="28">
        <f>Option2!V$83*conv_2026*V$7</f>
        <v>1307791.0576815843</v>
      </c>
      <c r="W34" s="28">
        <f>Option2!W$83*conv_2026*W$7</f>
        <v>1316612.8630478287</v>
      </c>
      <c r="X34" s="28">
        <f>Option2!X$83*conv_2026*X$7</f>
        <v>1325565.0814606398</v>
      </c>
      <c r="Y34" s="28">
        <f>Option2!Y$83*conv_2026*Y$7</f>
        <v>1334627.3768426096</v>
      </c>
      <c r="Z34" s="28">
        <f>Option2!Z$83*conv_2026*Z$7</f>
        <v>1343783.2797967459</v>
      </c>
      <c r="AA34" s="28">
        <f>Option2!AA$83*conv_2026*AA$7</f>
        <v>1353019.1870850821</v>
      </c>
      <c r="AB34" s="28">
        <f>Option2!AB$83*conv_2026*AB$7</f>
        <v>1362323.7721401751</v>
      </c>
      <c r="AC34" s="28">
        <f>Option2!AC$83*conv_2026*AC$7</f>
        <v>1371687.467854985</v>
      </c>
      <c r="AD34" s="28">
        <f>Option2!AD$83*conv_2026*AD$7</f>
        <v>1381102.2424082742</v>
      </c>
      <c r="AE34" s="28">
        <f>Option2!AE$83*conv_2026*AE$7</f>
        <v>0</v>
      </c>
      <c r="AF34" s="28">
        <f>Option2!AF$83*conv_2026*AF$7</f>
        <v>0</v>
      </c>
      <c r="AG34" s="28">
        <f>Option2!AG$83*conv_2026*AG$7</f>
        <v>0</v>
      </c>
    </row>
    <row r="35" spans="1:33" s="2" customFormat="1" x14ac:dyDescent="0.2">
      <c r="A35" s="114" t="str">
        <f t="shared" si="7"/>
        <v>Option 2</v>
      </c>
      <c r="B35" s="114"/>
      <c r="C35" s="52" t="str">
        <f>Option2!C$84</f>
        <v>Other benefits value</v>
      </c>
      <c r="D35" s="34" t="str">
        <f t="shared" si="6"/>
        <v>Option 2Other benefits value</v>
      </c>
      <c r="E35" s="1"/>
      <c r="F35" s="84" cm="1">
        <f t="array" ref="F35">SUMPRODUCT(($H35:$AG35)*($H$5:$AG$5)*($H$7:$AG$7))</f>
        <v>0</v>
      </c>
      <c r="G35" s="198">
        <f t="shared" si="8"/>
        <v>46203</v>
      </c>
      <c r="H35" s="28"/>
      <c r="I35" s="28">
        <f>Option2!I$84*conv_2026*I$7</f>
        <v>0</v>
      </c>
      <c r="J35" s="28">
        <f>Option2!J$84*conv_2026*J$7</f>
        <v>0</v>
      </c>
      <c r="K35" s="28">
        <f>Option2!K$84*conv_2026*K$7</f>
        <v>0</v>
      </c>
      <c r="L35" s="28">
        <f>Option2!L$84*conv_2026*L$7</f>
        <v>0</v>
      </c>
      <c r="M35" s="28">
        <f>Option2!M$84*conv_2026*M$7</f>
        <v>0</v>
      </c>
      <c r="N35" s="28">
        <f>Option2!N$84*conv_2026*N$7</f>
        <v>0</v>
      </c>
      <c r="O35" s="28">
        <f>Option2!O$84*conv_2026*O$7</f>
        <v>0</v>
      </c>
      <c r="P35" s="28">
        <f>Option2!P$84*conv_2026*P$7</f>
        <v>0</v>
      </c>
      <c r="Q35" s="28">
        <f>Option2!Q$84*conv_2026*Q$7</f>
        <v>0</v>
      </c>
      <c r="R35" s="28">
        <f>Option2!R$84*conv_2026*R$7</f>
        <v>0</v>
      </c>
      <c r="S35" s="28">
        <f>Option2!S$84*conv_2026*S$7</f>
        <v>0</v>
      </c>
      <c r="T35" s="28">
        <f>Option2!T$84*conv_2026*T$7</f>
        <v>0</v>
      </c>
      <c r="U35" s="28">
        <f>Option2!U$84*conv_2026*U$7</f>
        <v>0</v>
      </c>
      <c r="V35" s="28">
        <f>Option2!V$84*conv_2026*V$7</f>
        <v>0</v>
      </c>
      <c r="W35" s="28">
        <f>Option2!W$84*conv_2026*W$7</f>
        <v>0</v>
      </c>
      <c r="X35" s="28">
        <f>Option2!X$84*conv_2026*X$7</f>
        <v>0</v>
      </c>
      <c r="Y35" s="28">
        <f>Option2!Y$84*conv_2026*Y$7</f>
        <v>0</v>
      </c>
      <c r="Z35" s="28">
        <f>Option2!Z$84*conv_2026*Z$7</f>
        <v>0</v>
      </c>
      <c r="AA35" s="28">
        <f>Option2!AA$84*conv_2026*AA$7</f>
        <v>0</v>
      </c>
      <c r="AB35" s="28">
        <f>Option2!AB$84*conv_2026*AB$7</f>
        <v>0</v>
      </c>
      <c r="AC35" s="28">
        <f>Option2!AC$84*conv_2026*AC$7</f>
        <v>0</v>
      </c>
      <c r="AD35" s="28">
        <f>Option2!AD$84*conv_2026*AD$7</f>
        <v>0</v>
      </c>
      <c r="AE35" s="28">
        <f>Option2!AE$84*conv_2026*AE$7</f>
        <v>0</v>
      </c>
      <c r="AF35" s="28">
        <f>Option2!AF$84*conv_2026*AF$7</f>
        <v>0</v>
      </c>
      <c r="AG35" s="28">
        <f>Option2!AG$84*conv_2026*AG$7</f>
        <v>0</v>
      </c>
    </row>
    <row r="36" spans="1:33" s="2" customFormat="1" x14ac:dyDescent="0.2">
      <c r="A36" s="114" t="str">
        <f t="shared" si="7"/>
        <v>Option 2</v>
      </c>
      <c r="B36" s="114"/>
      <c r="C36" s="104" t="str">
        <f>Option2!C86</f>
        <v>Net benefits</v>
      </c>
      <c r="D36" s="96" t="str">
        <f t="shared" si="6"/>
        <v>Option 2Net benefits</v>
      </c>
      <c r="E36" s="97"/>
      <c r="F36" s="121"/>
      <c r="G36" s="200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0</v>
      </c>
      <c r="L36" s="46">
        <f t="shared" si="9"/>
        <v>-101065.36777772193</v>
      </c>
      <c r="M36" s="46">
        <f t="shared" si="9"/>
        <v>853438.68770461646</v>
      </c>
      <c r="N36" s="46">
        <f t="shared" si="9"/>
        <v>869213.01697499212</v>
      </c>
      <c r="O36" s="46">
        <f t="shared" si="9"/>
        <v>904947.31469186209</v>
      </c>
      <c r="P36" s="46">
        <f t="shared" si="9"/>
        <v>940944.82329320675</v>
      </c>
      <c r="Q36" s="46">
        <f t="shared" si="9"/>
        <v>963652.51835686644</v>
      </c>
      <c r="R36" s="46">
        <f t="shared" si="9"/>
        <v>971244.43398212618</v>
      </c>
      <c r="S36" s="46">
        <f t="shared" si="9"/>
        <v>979204.01319096028</v>
      </c>
      <c r="T36" s="46">
        <f t="shared" si="9"/>
        <v>987451.20101862028</v>
      </c>
      <c r="U36" s="46">
        <f t="shared" si="9"/>
        <v>995928.98368248623</v>
      </c>
      <c r="V36" s="46">
        <f t="shared" si="9"/>
        <v>1004594.9543484184</v>
      </c>
      <c r="W36" s="46">
        <f t="shared" si="9"/>
        <v>1013416.7597146628</v>
      </c>
      <c r="X36" s="46">
        <f t="shared" si="9"/>
        <v>1022368.978127474</v>
      </c>
      <c r="Y36" s="46">
        <f t="shared" si="9"/>
        <v>1031431.2735094437</v>
      </c>
      <c r="Z36" s="46">
        <f t="shared" si="9"/>
        <v>1040587.17646358</v>
      </c>
      <c r="AA36" s="46">
        <f t="shared" si="9"/>
        <v>1049823.0837519162</v>
      </c>
      <c r="AB36" s="46">
        <f t="shared" si="9"/>
        <v>1059127.6688070092</v>
      </c>
      <c r="AC36" s="46">
        <f t="shared" si="9"/>
        <v>1068491.3645218192</v>
      </c>
      <c r="AD36" s="46">
        <f t="shared" si="9"/>
        <v>1077906.1390751083</v>
      </c>
      <c r="AE36" s="46">
        <f t="shared" si="9"/>
        <v>0</v>
      </c>
      <c r="AF36" s="46">
        <f t="shared" si="9"/>
        <v>0</v>
      </c>
      <c r="AG36" s="46">
        <f t="shared" si="9"/>
        <v>0</v>
      </c>
    </row>
    <row r="37" spans="1:33" s="2" customFormat="1" x14ac:dyDescent="0.2">
      <c r="A37" s="114" t="str">
        <f t="shared" si="7"/>
        <v>Option 2</v>
      </c>
      <c r="B37" s="114"/>
      <c r="C37" s="6" t="s">
        <v>22</v>
      </c>
      <c r="D37" s="34" t="str">
        <f t="shared" si="6"/>
        <v>Option 2NPV</v>
      </c>
      <c r="E37" s="1"/>
      <c r="F37" s="95" cm="1">
        <f t="array" ref="F37">SUMPRODUCT(($H36:$AG36)*($H$5:$AG$5)*($H$7:$AG$7))</f>
        <v>11366808.158957664</v>
      </c>
      <c r="G37" s="198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x14ac:dyDescent="0.2">
      <c r="A38" s="114" t="str">
        <f t="shared" si="7"/>
        <v>Option 2</v>
      </c>
      <c r="B38" s="114"/>
      <c r="C38" s="6" t="s">
        <v>25</v>
      </c>
      <c r="D38" s="34" t="str">
        <f t="shared" si="6"/>
        <v>Option 2PV of costs</v>
      </c>
      <c r="E38" s="1"/>
      <c r="F38" s="95">
        <f>SUM(F32:F33)</f>
        <v>-3635012.6192412591</v>
      </c>
      <c r="G38" s="198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x14ac:dyDescent="0.2">
      <c r="A39" s="114" t="str">
        <f t="shared" si="7"/>
        <v>Option 2</v>
      </c>
      <c r="B39" s="114"/>
      <c r="C39" s="6" t="s">
        <v>26</v>
      </c>
      <c r="D39" s="34" t="str">
        <f t="shared" si="6"/>
        <v>Option 2PV of benefits</v>
      </c>
      <c r="E39" s="1"/>
      <c r="F39" s="95">
        <f>SUM(F34:F35)</f>
        <v>15001820.778198926</v>
      </c>
      <c r="G39" s="198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x14ac:dyDescent="0.2">
      <c r="A40" s="114"/>
      <c r="B40" s="114"/>
      <c r="C40" s="1"/>
      <c r="D40" s="34"/>
      <c r="E40" s="1"/>
      <c r="F40" s="95"/>
      <c r="G40" s="201"/>
      <c r="H40" s="1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</row>
    <row r="41" spans="1:33" s="2" customFormat="1" x14ac:dyDescent="0.2">
      <c r="A41" s="52"/>
      <c r="B41" s="52"/>
      <c r="C41" s="52"/>
      <c r="D41" s="34" t="str">
        <f>A41&amp;C41</f>
        <v/>
      </c>
      <c r="F41" s="7"/>
      <c r="G41" s="194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x14ac:dyDescent="0.2">
      <c r="A42" s="52" t="str">
        <f>A43</f>
        <v>Option 3</v>
      </c>
      <c r="B42" s="52"/>
      <c r="C42" s="52" t="s">
        <v>118</v>
      </c>
      <c r="D42" s="34" t="str">
        <f>A42&amp;C42</f>
        <v>Option 3Energy at risk value</v>
      </c>
      <c r="F42" s="84">
        <f>SUMPRODUCT($H42:$AG42, $H$5:$AG$5)</f>
        <v>23765393.277230285</v>
      </c>
      <c r="G42" s="198">
        <f>output_dollars</f>
        <v>46203</v>
      </c>
      <c r="H42" s="28"/>
      <c r="I42" s="28">
        <f>Option3!I$28*conv_2026</f>
        <v>998849.21247700753</v>
      </c>
      <c r="J42" s="28">
        <f>Option3!J$28*conv_2026</f>
        <v>1089261.1572895474</v>
      </c>
      <c r="K42" s="28">
        <f>Option3!K$28*conv_2026</f>
        <v>1118135.7591937846</v>
      </c>
      <c r="L42" s="28">
        <f>Option3!L$28*conv_2026</f>
        <v>1116610.4019078112</v>
      </c>
      <c r="M42" s="28">
        <f>Option3!M$28*conv_2026</f>
        <v>1146901.6555817495</v>
      </c>
      <c r="N42" s="28">
        <f>Option3!N$28*conv_2026</f>
        <v>1189058.0300715896</v>
      </c>
      <c r="O42" s="28">
        <f>Option3!O$28*conv_2026</f>
        <v>1251311.3480978699</v>
      </c>
      <c r="P42" s="28">
        <f>Option3!P$28*conv_2026</f>
        <v>1314413.1688940902</v>
      </c>
      <c r="Q42" s="28">
        <f>Option3!Q$28*conv_2026</f>
        <v>1363794.0285009686</v>
      </c>
      <c r="R42" s="28">
        <f>Option3!R$28*conv_2026</f>
        <v>1396750.7247640267</v>
      </c>
      <c r="S42" s="28">
        <f>Option3!S$28*conv_2026</f>
        <v>1430036.1692502187</v>
      </c>
      <c r="T42" s="28">
        <f>Option3!T$28*conv_2026</f>
        <v>1463649.2198222589</v>
      </c>
      <c r="U42" s="28">
        <f>Option3!U$28*conv_2026</f>
        <v>1497588.7757286956</v>
      </c>
      <c r="V42" s="28">
        <f>Option3!V$28*conv_2026</f>
        <v>1531853.7370194483</v>
      </c>
      <c r="W42" s="28">
        <f>Option3!W$28*conv_2026</f>
        <v>1566443.0451298142</v>
      </c>
      <c r="X42" s="28">
        <f>Option3!X$28*conv_2026</f>
        <v>1601355.6828985664</v>
      </c>
      <c r="Y42" s="28">
        <f>Option3!Y$28*conv_2026</f>
        <v>1636590.5933337449</v>
      </c>
      <c r="Z42" s="28">
        <f>Option3!Z$28*conv_2026</f>
        <v>1672146.8014518789</v>
      </c>
      <c r="AA42" s="28">
        <f>Option3!AA$28*conv_2026</f>
        <v>1708023.3127315342</v>
      </c>
      <c r="AB42" s="28">
        <f>Option3!AB$28*conv_2026</f>
        <v>1744219.1943753453</v>
      </c>
      <c r="AC42" s="28">
        <f>Option3!AC$28*conv_2026</f>
        <v>1780733.5143612574</v>
      </c>
      <c r="AD42" s="28">
        <f>Option3!AD$28*conv_2026</f>
        <v>1817565.3210850661</v>
      </c>
      <c r="AE42" s="28">
        <f>Option3!AE$28*conv_2026</f>
        <v>1854713.7043372402</v>
      </c>
      <c r="AF42" s="28">
        <f>Option3!AF$28*conv_2026</f>
        <v>1892177.8360177698</v>
      </c>
      <c r="AG42" s="28">
        <f>Option3!AG$28*conv_2026</f>
        <v>1929956.8074104979</v>
      </c>
    </row>
    <row r="43" spans="1:33" s="2" customFormat="1" x14ac:dyDescent="0.2">
      <c r="A43" s="114" t="str">
        <f>Data!B11</f>
        <v>Option 3</v>
      </c>
      <c r="B43" s="114"/>
      <c r="C43" s="52" t="str">
        <f>Option3!C$65</f>
        <v>Capital expenditure</v>
      </c>
      <c r="D43" s="34" t="str">
        <f>A43&amp;C43</f>
        <v>Option 3Capital expenditure</v>
      </c>
      <c r="E43" s="1"/>
      <c r="F43" s="84">
        <f>SUMPRODUCT($H43:$AG43, $H$5:$AG$5)</f>
        <v>-538212.14854891784</v>
      </c>
      <c r="G43" s="198">
        <f>output_dollars</f>
        <v>46203</v>
      </c>
      <c r="H43" s="28"/>
      <c r="I43" s="28">
        <f>SUM(Option3!I$66:I$68)*conv_2026*I$7</f>
        <v>0</v>
      </c>
      <c r="J43" s="28">
        <f>SUM(Option3!J$66:J$68)*conv_2026*J$7</f>
        <v>0</v>
      </c>
      <c r="K43" s="28">
        <f>SUM(Option3!K$66:K$68)*conv_2026*K$7</f>
        <v>-586549.09755498893</v>
      </c>
      <c r="L43" s="28">
        <f>SUM(Option3!L$66:L$68)*conv_2026*L$7</f>
        <v>0</v>
      </c>
      <c r="M43" s="28">
        <f>SUM(Option3!M$66:M$68)*conv_2026*M$7</f>
        <v>0</v>
      </c>
      <c r="N43" s="28">
        <f>SUM(Option3!N$66:N$68)*conv_2026*N$7</f>
        <v>0</v>
      </c>
      <c r="O43" s="28">
        <f>SUM(Option3!O$66:O$68)*conv_2026*O$7</f>
        <v>0</v>
      </c>
      <c r="P43" s="28">
        <f>SUM(Option3!P$66:P$68)*conv_2026*P$7</f>
        <v>0</v>
      </c>
      <c r="Q43" s="28">
        <f>SUM(Option3!Q$66:Q$68)*conv_2026*Q$7</f>
        <v>0</v>
      </c>
      <c r="R43" s="28">
        <f>SUM(Option3!R$66:R$68)*conv_2026*R$7</f>
        <v>0</v>
      </c>
      <c r="S43" s="28">
        <f>SUM(Option3!S$66:S$68)*conv_2026*S$7</f>
        <v>0</v>
      </c>
      <c r="T43" s="28">
        <f>SUM(Option3!T$66:T$68)*conv_2026*T$7</f>
        <v>0</v>
      </c>
      <c r="U43" s="28">
        <f>SUM(Option3!U$66:U$68)*conv_2026*U$7</f>
        <v>0</v>
      </c>
      <c r="V43" s="28">
        <f>SUM(Option3!V$66:V$68)*conv_2026*V$7</f>
        <v>0</v>
      </c>
      <c r="W43" s="28">
        <f>SUM(Option3!W$66:W$68)*conv_2026*W$7</f>
        <v>0</v>
      </c>
      <c r="X43" s="28">
        <f>SUM(Option3!X$66:X$68)*conv_2026*X$7</f>
        <v>0</v>
      </c>
      <c r="Y43" s="28">
        <f>SUM(Option3!Y$66:Y$68)*conv_2026*Y$7</f>
        <v>0</v>
      </c>
      <c r="Z43" s="28">
        <f>SUM(Option3!Z$66:Z$68)*conv_2026*Z$7</f>
        <v>0</v>
      </c>
      <c r="AA43" s="28">
        <f>SUM(Option3!AA$66:AA$68)*conv_2026*AA$7</f>
        <v>0</v>
      </c>
      <c r="AB43" s="28">
        <f>SUM(Option3!AB$66:AB$68)*conv_2026*AB$7</f>
        <v>0</v>
      </c>
      <c r="AC43" s="28">
        <f>SUM(Option3!AC$66:AC$68)*conv_2026*AC$7</f>
        <v>0</v>
      </c>
      <c r="AD43" s="28">
        <f>SUM(Option3!AD$66:AD$68)*conv_2026*AD$7</f>
        <v>0</v>
      </c>
      <c r="AE43" s="28">
        <f>SUM(Option3!AE$66:AE$68)*conv_2026*AE$7</f>
        <v>0</v>
      </c>
      <c r="AF43" s="28">
        <f>SUM(Option3!AF$66:AF$68)*conv_2026*AF$7</f>
        <v>0</v>
      </c>
      <c r="AG43" s="28">
        <f>SUM(Option3!AG$66:AG$68)*conv_2026*AG$7</f>
        <v>0</v>
      </c>
    </row>
    <row r="44" spans="1:33" s="2" customFormat="1" x14ac:dyDescent="0.2">
      <c r="A44" s="114" t="str">
        <f t="shared" ref="A44:A53" si="10">A43</f>
        <v>Option 3</v>
      </c>
      <c r="B44" s="114"/>
      <c r="C44" s="52" t="str">
        <f>'Option1 (base case)'!C$35</f>
        <v>Total risk cost</v>
      </c>
      <c r="D44" s="34" t="str">
        <f>A44&amp;C44</f>
        <v>Option 3Total risk cost</v>
      </c>
      <c r="E44" s="1"/>
      <c r="F44" s="84">
        <f>SUMPRODUCT($H44:$AG44, $H$5:$AG$5)</f>
        <v>21821756.591628529</v>
      </c>
      <c r="G44" s="198">
        <f>output_dollars</f>
        <v>46203</v>
      </c>
      <c r="H44" s="28"/>
      <c r="I44" s="28">
        <f>Option3!I$35*conv_2026*I$7</f>
        <v>1033668.8035597338</v>
      </c>
      <c r="J44" s="28">
        <f>Option3!J$35*conv_2026*J$7</f>
        <v>1124890.2460191592</v>
      </c>
      <c r="K44" s="28">
        <f>Option3!K$35*conv_2026*K$7</f>
        <v>1154583.2478360718</v>
      </c>
      <c r="L44" s="28">
        <f>Option3!L$35*conv_2026*L$7</f>
        <v>1148427.4559447018</v>
      </c>
      <c r="M44" s="28">
        <f>Option3!M$35*conv_2026*M$7</f>
        <v>1179510.3022306459</v>
      </c>
      <c r="N44" s="28">
        <f>Option3!N$35*conv_2026*N$7</f>
        <v>1222466.5831879636</v>
      </c>
      <c r="O44" s="28">
        <f>Option3!O$35*conv_2026*O$7</f>
        <v>1285528.0846368358</v>
      </c>
      <c r="P44" s="28">
        <f>Option3!P$35*conv_2026*P$7</f>
        <v>1349446.3299354152</v>
      </c>
      <c r="Q44" s="28">
        <f>Option3!Q$35*conv_2026*Q$7</f>
        <v>1399651.819249073</v>
      </c>
      <c r="R44" s="28">
        <f>Option3!R$35*conv_2026*R$7</f>
        <v>1433441.3155729931</v>
      </c>
      <c r="S44" s="28">
        <f>Option3!S$35*conv_2026*S$7</f>
        <v>1467567.6966488024</v>
      </c>
      <c r="T44" s="28">
        <f>Option3!T$35*conv_2026*T$7</f>
        <v>1502029.7865138883</v>
      </c>
      <c r="U44" s="28">
        <f>Option3!U$35*conv_2026*U$7</f>
        <v>1536826.4516164805</v>
      </c>
      <c r="V44" s="28">
        <f>Option3!V$35*conv_2026*V$7</f>
        <v>1571956.5592061824</v>
      </c>
      <c r="W44" s="28">
        <f>Option3!W$35*conv_2026*W$7</f>
        <v>1607419.0189429824</v>
      </c>
      <c r="X44" s="28">
        <f>Option3!X$35*conv_2026*X$7</f>
        <v>1643212.7829153561</v>
      </c>
      <c r="Y44" s="28">
        <f>Option3!Y$35*conv_2026*Y$7</f>
        <v>1679336.7623560368</v>
      </c>
      <c r="Z44" s="28">
        <f>Option3!Z$35*conv_2026*Z$7</f>
        <v>1715789.9525562653</v>
      </c>
      <c r="AA44" s="28">
        <f>Option3!AA$35*conv_2026*AA$7</f>
        <v>1752571.3287568151</v>
      </c>
      <c r="AB44" s="28">
        <f>Option3!AB$35*conv_2026*AB$7</f>
        <v>1789679.9294600422</v>
      </c>
      <c r="AC44" s="28">
        <f>Option3!AC$35*conv_2026*AC$7</f>
        <v>1827114.7939436149</v>
      </c>
      <c r="AD44" s="28">
        <f>Option3!AD$35*conv_2026*AD$7</f>
        <v>1864874.9413905458</v>
      </c>
      <c r="AE44" s="28">
        <f>Option3!AE$35*conv_2026*AE$7</f>
        <v>0</v>
      </c>
      <c r="AF44" s="28">
        <f>Option3!AF$35*conv_2026*AF$7</f>
        <v>0</v>
      </c>
      <c r="AG44" s="28">
        <f>Option3!AG$35*conv_2026*AG$7</f>
        <v>0</v>
      </c>
    </row>
    <row r="45" spans="1:33" s="2" customFormat="1" x14ac:dyDescent="0.2">
      <c r="A45" s="114" t="str">
        <f t="shared" si="10"/>
        <v>Option 3</v>
      </c>
      <c r="B45" s="114"/>
      <c r="C45" s="52"/>
      <c r="D45" s="34"/>
      <c r="E45" s="1"/>
      <c r="F45" s="84"/>
      <c r="G45" s="19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x14ac:dyDescent="0.2">
      <c r="A46" s="114" t="str">
        <f t="shared" si="10"/>
        <v>Option 3</v>
      </c>
      <c r="B46" s="114"/>
      <c r="C46" s="52" t="str">
        <f>Option3!C$81</f>
        <v>Annualised capex</v>
      </c>
      <c r="D46" s="34" t="str">
        <f t="shared" ref="D46:D53" si="11">A46&amp;C46</f>
        <v>Option 3Annualised capex</v>
      </c>
      <c r="E46" s="1"/>
      <c r="F46" s="84">
        <f>SUMPRODUCT($H46:$AG46, $H$5:$AG$5)</f>
        <v>-519180.38743852242</v>
      </c>
      <c r="G46" s="198">
        <f t="shared" ref="G46:G53" si="12">output_dollars</f>
        <v>46203</v>
      </c>
      <c r="H46" s="28"/>
      <c r="I46" s="28">
        <f>Option3!I$81*conv_2026*I$7</f>
        <v>0</v>
      </c>
      <c r="J46" s="28">
        <f>Option3!J$81*conv_2026*J$7</f>
        <v>0</v>
      </c>
      <c r="K46" s="28">
        <f>Option3!K$81*conv_2026*K$7</f>
        <v>0</v>
      </c>
      <c r="L46" s="28">
        <f>Option3!L$81*conv_2026*L$7</f>
        <v>-41270.226090081298</v>
      </c>
      <c r="M46" s="28">
        <f>Option3!M$81*conv_2026*M$7</f>
        <v>-41270.226090081298</v>
      </c>
      <c r="N46" s="28">
        <f>Option3!N$81*conv_2026*N$7</f>
        <v>-41270.226090081298</v>
      </c>
      <c r="O46" s="28">
        <f>Option3!O$81*conv_2026*O$7</f>
        <v>-41270.226090081298</v>
      </c>
      <c r="P46" s="28">
        <f>Option3!P$81*conv_2026*P$7</f>
        <v>-41270.226090081298</v>
      </c>
      <c r="Q46" s="28">
        <f>Option3!Q$81*conv_2026*Q$7</f>
        <v>-41270.226090081298</v>
      </c>
      <c r="R46" s="28">
        <f>Option3!R$81*conv_2026*R$7</f>
        <v>-41270.226090081298</v>
      </c>
      <c r="S46" s="28">
        <f>Option3!S$81*conv_2026*S$7</f>
        <v>-41270.226090081298</v>
      </c>
      <c r="T46" s="28">
        <f>Option3!T$81*conv_2026*T$7</f>
        <v>-41270.226090081298</v>
      </c>
      <c r="U46" s="28">
        <f>Option3!U$81*conv_2026*U$7</f>
        <v>-41270.226090081298</v>
      </c>
      <c r="V46" s="28">
        <f>Option3!V$81*conv_2026*V$7</f>
        <v>-41270.226090081298</v>
      </c>
      <c r="W46" s="28">
        <f>Option3!W$81*conv_2026*W$7</f>
        <v>-41270.226090081298</v>
      </c>
      <c r="X46" s="28">
        <f>Option3!X$81*conv_2026*X$7</f>
        <v>-41270.226090081298</v>
      </c>
      <c r="Y46" s="28">
        <f>Option3!Y$81*conv_2026*Y$7</f>
        <v>-41270.226090081298</v>
      </c>
      <c r="Z46" s="28">
        <f>Option3!Z$81*conv_2026*Z$7</f>
        <v>-41270.226090081298</v>
      </c>
      <c r="AA46" s="28">
        <f>Option3!AA$81*conv_2026*AA$7</f>
        <v>-41270.226090081298</v>
      </c>
      <c r="AB46" s="28">
        <f>Option3!AB$81*conv_2026*AB$7</f>
        <v>-41270.226090081298</v>
      </c>
      <c r="AC46" s="28">
        <f>Option3!AC$81*conv_2026*AC$7</f>
        <v>-41270.226090081298</v>
      </c>
      <c r="AD46" s="28">
        <f>Option3!AD$81*conv_2026*AD$7</f>
        <v>-41270.226090081298</v>
      </c>
      <c r="AE46" s="28">
        <f>Option3!AE$81*conv_2026*AE$7</f>
        <v>0</v>
      </c>
      <c r="AF46" s="28">
        <f>Option3!AF$81*conv_2026*AF$7</f>
        <v>0</v>
      </c>
      <c r="AG46" s="28">
        <f>Option3!AG$81*conv_2026*AG$7</f>
        <v>0</v>
      </c>
    </row>
    <row r="47" spans="1:33" s="2" customFormat="1" x14ac:dyDescent="0.2">
      <c r="A47" s="114" t="str">
        <f t="shared" si="10"/>
        <v>Option 3</v>
      </c>
      <c r="B47" s="114"/>
      <c r="C47" s="52" t="str">
        <f>Option3!C$82</f>
        <v>Operating expenditure</v>
      </c>
      <c r="D47" s="34" t="str">
        <f t="shared" si="11"/>
        <v>Option 3Operating expenditure</v>
      </c>
      <c r="E47" s="1"/>
      <c r="F47" s="84">
        <f>SUMPRODUCT($H47:$AG47, $H$5:$AG$5)</f>
        <v>0</v>
      </c>
      <c r="G47" s="198">
        <f t="shared" si="12"/>
        <v>46203</v>
      </c>
      <c r="H47" s="28"/>
      <c r="I47" s="28">
        <f>Option3!I$82*conv_2026*I$7</f>
        <v>0</v>
      </c>
      <c r="J47" s="28">
        <f>Option3!J$82*conv_2026*J$7</f>
        <v>0</v>
      </c>
      <c r="K47" s="28">
        <f>Option3!K$82*conv_2026*K$7</f>
        <v>0</v>
      </c>
      <c r="L47" s="28">
        <f>Option3!L$82*conv_2026*L$7</f>
        <v>0</v>
      </c>
      <c r="M47" s="28">
        <f>Option3!M$82*conv_2026*M$7</f>
        <v>0</v>
      </c>
      <c r="N47" s="28">
        <f>Option3!N$82*conv_2026*N$7</f>
        <v>0</v>
      </c>
      <c r="O47" s="28">
        <f>Option3!O$82*conv_2026*O$7</f>
        <v>0</v>
      </c>
      <c r="P47" s="28">
        <f>Option3!P$82*conv_2026*P$7</f>
        <v>0</v>
      </c>
      <c r="Q47" s="28">
        <f>Option3!Q$82*conv_2026*Q$7</f>
        <v>0</v>
      </c>
      <c r="R47" s="28">
        <f>Option3!R$82*conv_2026*R$7</f>
        <v>0</v>
      </c>
      <c r="S47" s="28">
        <f>Option3!S$82*conv_2026*S$7</f>
        <v>0</v>
      </c>
      <c r="T47" s="28">
        <f>Option3!T$82*conv_2026*T$7</f>
        <v>0</v>
      </c>
      <c r="U47" s="28">
        <f>Option3!U$82*conv_2026*U$7</f>
        <v>0</v>
      </c>
      <c r="V47" s="28">
        <f>Option3!V$82*conv_2026*V$7</f>
        <v>0</v>
      </c>
      <c r="W47" s="28">
        <f>Option3!W$82*conv_2026*W$7</f>
        <v>0</v>
      </c>
      <c r="X47" s="28">
        <f>Option3!X$82*conv_2026*X$7</f>
        <v>0</v>
      </c>
      <c r="Y47" s="28">
        <f>Option3!Y$82*conv_2026*Y$7</f>
        <v>0</v>
      </c>
      <c r="Z47" s="28">
        <f>Option3!Z$82*conv_2026*Z$7</f>
        <v>0</v>
      </c>
      <c r="AA47" s="28">
        <f>Option3!AA$82*conv_2026*AA$7</f>
        <v>0</v>
      </c>
      <c r="AB47" s="28">
        <f>Option3!AB$82*conv_2026*AB$7</f>
        <v>0</v>
      </c>
      <c r="AC47" s="28">
        <f>Option3!AC$82*conv_2026*AC$7</f>
        <v>0</v>
      </c>
      <c r="AD47" s="28">
        <f>Option3!AD$82*conv_2026*AD$7</f>
        <v>0</v>
      </c>
      <c r="AE47" s="28">
        <f>Option3!AE$82*conv_2026*AE$7</f>
        <v>0</v>
      </c>
      <c r="AF47" s="28">
        <f>Option3!AF$82*conv_2026*AF$7</f>
        <v>0</v>
      </c>
      <c r="AG47" s="28">
        <f>Option3!AG$82*conv_2026*AG$7</f>
        <v>0</v>
      </c>
    </row>
    <row r="48" spans="1:33" s="2" customFormat="1" x14ac:dyDescent="0.2">
      <c r="A48" s="114" t="str">
        <f t="shared" si="10"/>
        <v>Option 3</v>
      </c>
      <c r="B48" s="114"/>
      <c r="C48" s="52" t="str">
        <f>Option3!C$83</f>
        <v>Risk mitigated</v>
      </c>
      <c r="D48" s="34" t="str">
        <f t="shared" si="11"/>
        <v>Option 3Risk mitigated</v>
      </c>
      <c r="E48" s="1"/>
      <c r="F48" s="84">
        <f>SUMPRODUCT($H48:$AG48, $H$5:$AG$5)</f>
        <v>446421.65639463416</v>
      </c>
      <c r="G48" s="198">
        <f t="shared" si="12"/>
        <v>46203</v>
      </c>
      <c r="H48" s="28"/>
      <c r="I48" s="28">
        <f>Option3!I$83*conv_2026*I$7</f>
        <v>0</v>
      </c>
      <c r="J48" s="28">
        <f>Option3!J$83*conv_2026*J$7</f>
        <v>0</v>
      </c>
      <c r="K48" s="28">
        <f>Option3!K$83*conv_2026*K$7</f>
        <v>0</v>
      </c>
      <c r="L48" s="28">
        <f>Option3!L$83*conv_2026*L$7</f>
        <v>28332.542823420088</v>
      </c>
      <c r="M48" s="28">
        <f>Option3!M$83*conv_2026*M$7</f>
        <v>28999.878752413468</v>
      </c>
      <c r="N48" s="28">
        <f>Option3!N$83*conv_2026*N$7</f>
        <v>29910.902553309872</v>
      </c>
      <c r="O48" s="28">
        <f>Option3!O$83*conv_2026*O$7</f>
        <v>31234.385543022425</v>
      </c>
      <c r="P48" s="28">
        <f>Option3!P$83*conv_2026*P$7</f>
        <v>32575.966400605877</v>
      </c>
      <c r="Q48" s="28">
        <f>Option3!Q$83*conv_2026*Q$7</f>
        <v>33637.10202587329</v>
      </c>
      <c r="R48" s="28">
        <f>Option3!R$83*conv_2026*R$7</f>
        <v>34362.350920597128</v>
      </c>
      <c r="S48" s="28">
        <f>Option3!S$83*conv_2026*S$7</f>
        <v>35094.934265280775</v>
      </c>
      <c r="T48" s="28">
        <f>Option3!T$83*conv_2026*T$7</f>
        <v>35834.864687544694</v>
      </c>
      <c r="U48" s="28">
        <f>Option3!U$83*conv_2026*U$7</f>
        <v>36582.113258227248</v>
      </c>
      <c r="V48" s="28">
        <f>Option3!V$83*conv_2026*V$7</f>
        <v>37336.680838126551</v>
      </c>
      <c r="W48" s="28">
        <f>Option3!W$83*conv_2026*W$7</f>
        <v>38098.526703508534</v>
      </c>
      <c r="X48" s="28">
        <f>Option3!X$83*conv_2026*X$7</f>
        <v>38867.613166930882</v>
      </c>
      <c r="Y48" s="28">
        <f>Option3!Y$83*conv_2026*Y$7</f>
        <v>39643.959100585409</v>
      </c>
      <c r="Z48" s="28">
        <f>Option3!Z$83*conv_2026*Z$7</f>
        <v>40427.544802671422</v>
      </c>
      <c r="AA48" s="28">
        <f>Option3!AA$83*conv_2026*AA$7</f>
        <v>41218.341640959145</v>
      </c>
      <c r="AB48" s="28">
        <f>Option3!AB$83*conv_2026*AB$7</f>
        <v>42016.318091693858</v>
      </c>
      <c r="AC48" s="28">
        <f>Option3!AC$83*conv_2026*AC$7</f>
        <v>42821.442649905686</v>
      </c>
      <c r="AD48" s="28">
        <f>Option3!AD$83*conv_2026*AD$7</f>
        <v>43633.74940009533</v>
      </c>
      <c r="AE48" s="28">
        <f>Option3!AE$83*conv_2026*AE$7</f>
        <v>0</v>
      </c>
      <c r="AF48" s="28">
        <f>Option3!AF$83*conv_2026*AF$7</f>
        <v>0</v>
      </c>
      <c r="AG48" s="28">
        <f>Option3!AG$83*conv_2026*AG$7</f>
        <v>0</v>
      </c>
    </row>
    <row r="49" spans="1:33" s="2" customFormat="1" x14ac:dyDescent="0.2">
      <c r="A49" s="114" t="str">
        <f t="shared" si="10"/>
        <v>Option 3</v>
      </c>
      <c r="B49" s="114"/>
      <c r="C49" s="52" t="str">
        <f>Option3!C$84</f>
        <v>Other benefits value</v>
      </c>
      <c r="D49" s="34" t="str">
        <f t="shared" si="11"/>
        <v>Option 3Other benefits value</v>
      </c>
      <c r="E49" s="1"/>
      <c r="F49" s="84">
        <f>SUMPRODUCT($H49:$AG49, $H$5:$AG$5)</f>
        <v>0</v>
      </c>
      <c r="G49" s="198">
        <f t="shared" si="12"/>
        <v>46203</v>
      </c>
      <c r="H49" s="28"/>
      <c r="I49" s="28">
        <f>Option3!I$84*conv_2026*I$7</f>
        <v>0</v>
      </c>
      <c r="J49" s="28">
        <f>Option3!J$84*conv_2026*J$7</f>
        <v>0</v>
      </c>
      <c r="K49" s="28">
        <f>Option3!K$84*conv_2026*K$7</f>
        <v>0</v>
      </c>
      <c r="L49" s="28">
        <f>Option3!L$84*conv_2026*L$7</f>
        <v>0</v>
      </c>
      <c r="M49" s="28">
        <f>Option3!M$84*conv_2026*M$7</f>
        <v>0</v>
      </c>
      <c r="N49" s="28">
        <f>Option3!N$84*conv_2026*N$7</f>
        <v>0</v>
      </c>
      <c r="O49" s="28">
        <f>Option3!O$84*conv_2026*O$7</f>
        <v>0</v>
      </c>
      <c r="P49" s="28">
        <f>Option3!P$84*conv_2026*P$7</f>
        <v>0</v>
      </c>
      <c r="Q49" s="28">
        <f>Option3!Q$84*conv_2026*Q$7</f>
        <v>0</v>
      </c>
      <c r="R49" s="28">
        <f>Option3!R$84*conv_2026*R$7</f>
        <v>0</v>
      </c>
      <c r="S49" s="28">
        <f>Option3!S$84*conv_2026*S$7</f>
        <v>0</v>
      </c>
      <c r="T49" s="28">
        <f>Option3!T$84*conv_2026*T$7</f>
        <v>0</v>
      </c>
      <c r="U49" s="28">
        <f>Option3!U$84*conv_2026*U$7</f>
        <v>0</v>
      </c>
      <c r="V49" s="28">
        <f>Option3!V$84*conv_2026*V$7</f>
        <v>0</v>
      </c>
      <c r="W49" s="28">
        <f>Option3!W$84*conv_2026*W$7</f>
        <v>0</v>
      </c>
      <c r="X49" s="28">
        <f>Option3!X$84*conv_2026*X$7</f>
        <v>0</v>
      </c>
      <c r="Y49" s="28">
        <f>Option3!Y$84*conv_2026*Y$7</f>
        <v>0</v>
      </c>
      <c r="Z49" s="28">
        <f>Option3!Z$84*conv_2026*Z$7</f>
        <v>0</v>
      </c>
      <c r="AA49" s="28">
        <f>Option3!AA$84*conv_2026*AA$7</f>
        <v>0</v>
      </c>
      <c r="AB49" s="28">
        <f>Option3!AB$84*conv_2026*AB$7</f>
        <v>0</v>
      </c>
      <c r="AC49" s="28">
        <f>Option3!AC$84*conv_2026*AC$7</f>
        <v>0</v>
      </c>
      <c r="AD49" s="28">
        <f>Option3!AD$84*conv_2026*AD$7</f>
        <v>0</v>
      </c>
      <c r="AE49" s="28">
        <f>Option3!AE$84*conv_2026*AE$7</f>
        <v>0</v>
      </c>
      <c r="AF49" s="28">
        <f>Option3!AF$84*conv_2026*AF$7</f>
        <v>0</v>
      </c>
      <c r="AG49" s="28">
        <f>Option3!AG$84*conv_2026*AG$7</f>
        <v>0</v>
      </c>
    </row>
    <row r="50" spans="1:33" s="2" customFormat="1" x14ac:dyDescent="0.2">
      <c r="A50" s="114" t="str">
        <f t="shared" si="10"/>
        <v>Option 3</v>
      </c>
      <c r="B50" s="114"/>
      <c r="C50" s="104" t="str">
        <f>Option3!C86</f>
        <v>Net benefits</v>
      </c>
      <c r="D50" s="96" t="str">
        <f t="shared" si="11"/>
        <v>Option 3Net benefits</v>
      </c>
      <c r="E50" s="97"/>
      <c r="F50" s="121"/>
      <c r="G50" s="200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0</v>
      </c>
      <c r="L50" s="46">
        <f t="shared" si="13"/>
        <v>-12937.68326666121</v>
      </c>
      <c r="M50" s="46">
        <f t="shared" si="13"/>
        <v>-12270.34733766783</v>
      </c>
      <c r="N50" s="46">
        <f t="shared" si="13"/>
        <v>-11359.323536771426</v>
      </c>
      <c r="O50" s="46">
        <f t="shared" si="13"/>
        <v>-10035.840547058873</v>
      </c>
      <c r="P50" s="46">
        <f t="shared" si="13"/>
        <v>-8694.2596894754206</v>
      </c>
      <c r="Q50" s="46">
        <f t="shared" si="13"/>
        <v>-7633.1240642080083</v>
      </c>
      <c r="R50" s="46">
        <f t="shared" si="13"/>
        <v>-6907.8751694841703</v>
      </c>
      <c r="S50" s="46">
        <f t="shared" si="13"/>
        <v>-6175.2918248005226</v>
      </c>
      <c r="T50" s="46">
        <f t="shared" si="13"/>
        <v>-5435.3614025366041</v>
      </c>
      <c r="U50" s="46">
        <f t="shared" si="13"/>
        <v>-4688.1128318540505</v>
      </c>
      <c r="V50" s="46">
        <f t="shared" si="13"/>
        <v>-3933.5452519547471</v>
      </c>
      <c r="W50" s="46">
        <f t="shared" si="13"/>
        <v>-3171.6993865727636</v>
      </c>
      <c r="X50" s="46">
        <f t="shared" si="13"/>
        <v>-2402.6129231504165</v>
      </c>
      <c r="Y50" s="46">
        <f t="shared" si="13"/>
        <v>-1626.266989495889</v>
      </c>
      <c r="Z50" s="46">
        <f t="shared" si="13"/>
        <v>-842.68128740987595</v>
      </c>
      <c r="AA50" s="46">
        <f t="shared" si="13"/>
        <v>-51.884449122153455</v>
      </c>
      <c r="AB50" s="46">
        <f t="shared" si="13"/>
        <v>746.09200161256013</v>
      </c>
      <c r="AC50" s="46">
        <f>SUM(AC46:AC49)</f>
        <v>1551.2165598243882</v>
      </c>
      <c r="AD50" s="46">
        <f>SUM(AD46:AD49)</f>
        <v>2363.5233100140322</v>
      </c>
      <c r="AE50" s="46">
        <f>SUM(AE46:AE49)</f>
        <v>0</v>
      </c>
      <c r="AF50" s="46">
        <f>SUM(AF46:AF49)</f>
        <v>0</v>
      </c>
      <c r="AG50" s="46">
        <f>SUM(AG46:AG49)</f>
        <v>0</v>
      </c>
    </row>
    <row r="51" spans="1:33" s="2" customFormat="1" x14ac:dyDescent="0.2">
      <c r="A51" s="114" t="str">
        <f t="shared" si="10"/>
        <v>Option 3</v>
      </c>
      <c r="B51" s="114"/>
      <c r="C51" s="6" t="s">
        <v>22</v>
      </c>
      <c r="D51" s="34" t="str">
        <f t="shared" si="11"/>
        <v>Option 3NPV</v>
      </c>
      <c r="E51" s="1"/>
      <c r="F51" s="95" cm="1">
        <f t="array" ref="F51">SUMPRODUCT(($H50:$AG50)*($H$5:$AG$5)*($H$7:$AG$7))</f>
        <v>-72758.731043888256</v>
      </c>
      <c r="G51" s="198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x14ac:dyDescent="0.2">
      <c r="A52" s="114" t="str">
        <f t="shared" si="10"/>
        <v>Option 3</v>
      </c>
      <c r="B52" s="114"/>
      <c r="C52" s="6" t="s">
        <v>25</v>
      </c>
      <c r="D52" s="34" t="str">
        <f t="shared" si="11"/>
        <v>Option 3PV of costs</v>
      </c>
      <c r="E52" s="1"/>
      <c r="F52" s="95">
        <f>SUM(F46:F47)</f>
        <v>-519180.38743852242</v>
      </c>
      <c r="G52" s="198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x14ac:dyDescent="0.2">
      <c r="A53" s="114" t="str">
        <f t="shared" si="10"/>
        <v>Option 3</v>
      </c>
      <c r="B53" s="114"/>
      <c r="C53" s="6" t="s">
        <v>26</v>
      </c>
      <c r="D53" s="34" t="str">
        <f t="shared" si="11"/>
        <v>Option 3PV of benefits</v>
      </c>
      <c r="E53" s="1"/>
      <c r="F53" s="95">
        <f>SUM(F48:F49)</f>
        <v>446421.65639463416</v>
      </c>
      <c r="G53" s="198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x14ac:dyDescent="0.2">
      <c r="A54" s="114"/>
      <c r="B54" s="114"/>
      <c r="C54" s="1"/>
      <c r="D54" s="34"/>
      <c r="E54" s="1"/>
      <c r="F54" s="95"/>
      <c r="G54" s="201"/>
      <c r="H54" s="1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</row>
    <row r="55" spans="1:33" s="2" customFormat="1" x14ac:dyDescent="0.2">
      <c r="A55" s="52"/>
      <c r="B55" s="52"/>
      <c r="C55" s="52"/>
      <c r="D55" s="34"/>
      <c r="F55" s="7"/>
      <c r="G55" s="194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x14ac:dyDescent="0.2">
      <c r="A56" s="52" t="str">
        <f>A57</f>
        <v>Option 4</v>
      </c>
      <c r="B56" s="52"/>
      <c r="C56" s="52" t="s">
        <v>118</v>
      </c>
      <c r="D56" s="34" t="str">
        <f>A56&amp;C56</f>
        <v>Option 4Energy at risk value</v>
      </c>
      <c r="F56" s="84">
        <f>SUMPRODUCT($H56:$AG56, $H$5:$AG$5)</f>
        <v>0</v>
      </c>
      <c r="G56" s="198">
        <f>output_dollars</f>
        <v>46203</v>
      </c>
      <c r="H56" s="28"/>
      <c r="I56" s="28">
        <f>Option4!I$28*conv_2026</f>
        <v>0</v>
      </c>
      <c r="J56" s="28">
        <f>Option4!J$28*conv_2026</f>
        <v>0</v>
      </c>
      <c r="K56" s="28">
        <f>Option4!K$28*conv_2026</f>
        <v>0</v>
      </c>
      <c r="L56" s="28">
        <f>Option4!L$28*conv_2026</f>
        <v>0</v>
      </c>
      <c r="M56" s="28">
        <f>Option4!M$28*conv_2026</f>
        <v>0</v>
      </c>
      <c r="N56" s="28">
        <f>Option4!N$28*conv_2026</f>
        <v>0</v>
      </c>
      <c r="O56" s="28">
        <f>Option4!O$28*conv_2026</f>
        <v>0</v>
      </c>
      <c r="P56" s="28">
        <f>Option4!P$28*conv_2026</f>
        <v>0</v>
      </c>
      <c r="Q56" s="28">
        <f>Option4!Q$28*conv_2026</f>
        <v>0</v>
      </c>
      <c r="R56" s="28">
        <f>Option4!R$28*conv_2026</f>
        <v>0</v>
      </c>
      <c r="S56" s="28">
        <f>Option4!S$28*conv_2026</f>
        <v>0</v>
      </c>
      <c r="T56" s="28">
        <f>Option4!T$28*conv_2026</f>
        <v>0</v>
      </c>
      <c r="U56" s="28">
        <f>Option4!U$28*conv_2026</f>
        <v>0</v>
      </c>
      <c r="V56" s="28">
        <f>Option4!V$28*conv_2026</f>
        <v>0</v>
      </c>
      <c r="W56" s="28">
        <f>Option4!W$28*conv_2026</f>
        <v>0</v>
      </c>
      <c r="X56" s="28">
        <f>Option4!X$28*conv_2026</f>
        <v>0</v>
      </c>
      <c r="Y56" s="28">
        <f>Option4!Y$28*conv_2026</f>
        <v>0</v>
      </c>
      <c r="Z56" s="28">
        <f>Option4!Z$28*conv_2026</f>
        <v>0</v>
      </c>
      <c r="AA56" s="28">
        <f>Option4!AA$28*conv_2026</f>
        <v>0</v>
      </c>
      <c r="AB56" s="28">
        <f>Option4!AB$28*conv_2026</f>
        <v>0</v>
      </c>
      <c r="AC56" s="28">
        <f>Option4!AC$28*conv_2026</f>
        <v>0</v>
      </c>
      <c r="AD56" s="28">
        <f>Option4!AD$28*conv_2026</f>
        <v>0</v>
      </c>
      <c r="AE56" s="28">
        <f>Option4!AE$28*conv_2026</f>
        <v>0</v>
      </c>
      <c r="AF56" s="28">
        <f>Option4!AF$28*conv_2026</f>
        <v>0</v>
      </c>
      <c r="AG56" s="28">
        <f>Option4!AG$28*conv_2026</f>
        <v>0</v>
      </c>
    </row>
    <row r="57" spans="1:33" s="2" customFormat="1" x14ac:dyDescent="0.2">
      <c r="A57" s="114" t="str">
        <f>Data!B12</f>
        <v>Option 4</v>
      </c>
      <c r="B57" s="114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4">
        <f>SUMPRODUCT($H57:$AG57, $H$5:$AG$5)</f>
        <v>0</v>
      </c>
      <c r="G57" s="198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0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x14ac:dyDescent="0.2">
      <c r="A58" s="114" t="str">
        <f t="shared" ref="A58:A67" si="15">A57</f>
        <v>Option 4</v>
      </c>
      <c r="B58" s="114"/>
      <c r="C58" s="52" t="str">
        <f>'Option1 (base case)'!C$35</f>
        <v>Total risk cost</v>
      </c>
      <c r="D58" s="34" t="str">
        <f t="shared" si="14"/>
        <v>Option 4Total risk cost</v>
      </c>
      <c r="E58" s="1"/>
      <c r="F58" s="84">
        <f>SUMPRODUCT($H58:$AG58, $H$5:$AG$5)</f>
        <v>0</v>
      </c>
      <c r="G58" s="198">
        <f>output_dollars</f>
        <v>46203</v>
      </c>
      <c r="H58" s="28"/>
      <c r="I58" s="28">
        <f>Option4!I$36*conv_2026*I$7</f>
        <v>0</v>
      </c>
      <c r="J58" s="28">
        <f>Option4!J$36*conv_2026*J$7</f>
        <v>0</v>
      </c>
      <c r="K58" s="28">
        <f>Option4!K$36*conv_2026*K$7</f>
        <v>0</v>
      </c>
      <c r="L58" s="28">
        <f>Option4!L$36*conv_2026*L$7</f>
        <v>0</v>
      </c>
      <c r="M58" s="28">
        <f>Option4!M$36*conv_2026*M$7</f>
        <v>0</v>
      </c>
      <c r="N58" s="28">
        <f>Option4!N$36*conv_2026*N$7</f>
        <v>0</v>
      </c>
      <c r="O58" s="28">
        <f>Option4!O$36*conv_2026*O$7</f>
        <v>0</v>
      </c>
      <c r="P58" s="28">
        <f>Option4!P$36*conv_2026*P$7</f>
        <v>0</v>
      </c>
      <c r="Q58" s="28">
        <f>Option4!Q$36*conv_2026*Q$7</f>
        <v>0</v>
      </c>
      <c r="R58" s="28">
        <f>Option4!R$36*conv_2026*R$7</f>
        <v>0</v>
      </c>
      <c r="S58" s="28">
        <f>Option4!S$36*conv_2026*S$7</f>
        <v>0</v>
      </c>
      <c r="T58" s="28">
        <f>Option4!T$36*conv_2026*T$7</f>
        <v>0</v>
      </c>
      <c r="U58" s="28">
        <f>Option4!U$36*conv_2026*U$7</f>
        <v>0</v>
      </c>
      <c r="V58" s="28">
        <f>Option4!V$36*conv_2026*V$7</f>
        <v>0</v>
      </c>
      <c r="W58" s="28">
        <f>Option4!W$36*conv_2026*W$7</f>
        <v>0</v>
      </c>
      <c r="X58" s="28">
        <f>Option4!X$36*conv_2026*X$7</f>
        <v>0</v>
      </c>
      <c r="Y58" s="28">
        <f>Option4!Y$36*conv_2026*Y$7</f>
        <v>0</v>
      </c>
      <c r="Z58" s="28">
        <f>Option4!Z$36*conv_2026*Z$7</f>
        <v>0</v>
      </c>
      <c r="AA58" s="28">
        <f>Option4!AA$36*conv_2026*AA$7</f>
        <v>0</v>
      </c>
      <c r="AB58" s="28">
        <f>Option4!AB$36*conv_2026*AB$7</f>
        <v>0</v>
      </c>
      <c r="AC58" s="28">
        <f>Option4!AC$36*conv_2026*AC$7</f>
        <v>0</v>
      </c>
      <c r="AD58" s="28">
        <f>Option4!AD$36*conv_2026*AD$7</f>
        <v>0</v>
      </c>
      <c r="AE58" s="28">
        <f>Option4!AE$36*conv_2026*AE$7</f>
        <v>0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2">
      <c r="A59" s="114" t="str">
        <f t="shared" si="15"/>
        <v>Option 4</v>
      </c>
      <c r="B59" s="114"/>
      <c r="C59" s="12"/>
      <c r="D59" s="34" t="str">
        <f t="shared" si="14"/>
        <v>Option 4</v>
      </c>
      <c r="E59" s="1"/>
      <c r="F59"/>
      <c r="G59" s="19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x14ac:dyDescent="0.2">
      <c r="A60" s="114" t="str">
        <f t="shared" si="15"/>
        <v>Option 4</v>
      </c>
      <c r="B60" s="114"/>
      <c r="C60" s="52" t="str">
        <f>Option4!C$82</f>
        <v>Annualised capex</v>
      </c>
      <c r="D60" s="34" t="str">
        <f t="shared" si="14"/>
        <v>Option 4Annualised capex</v>
      </c>
      <c r="E60" s="1"/>
      <c r="F60" s="84">
        <f>SUMPRODUCT($H60:$AG60, $H$5:$AG$5)</f>
        <v>0</v>
      </c>
      <c r="G60" s="198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0</v>
      </c>
      <c r="M60" s="28">
        <f>Option4!M$82*conv_2026*M$7</f>
        <v>0</v>
      </c>
      <c r="N60" s="28">
        <f>Option4!N$82*conv_2026*N$7</f>
        <v>0</v>
      </c>
      <c r="O60" s="28">
        <f>Option4!O$82*conv_2026*O$7</f>
        <v>0</v>
      </c>
      <c r="P60" s="28">
        <f>Option4!P$82*conv_2026*P$7</f>
        <v>0</v>
      </c>
      <c r="Q60" s="28">
        <f>Option4!Q$82*conv_2026*Q$7</f>
        <v>0</v>
      </c>
      <c r="R60" s="28">
        <f>Option4!R$82*conv_2026*R$7</f>
        <v>0</v>
      </c>
      <c r="S60" s="28">
        <f>Option4!S$82*conv_2026*S$7</f>
        <v>0</v>
      </c>
      <c r="T60" s="28">
        <f>Option4!T$82*conv_2026*T$7</f>
        <v>0</v>
      </c>
      <c r="U60" s="28">
        <f>Option4!U$82*conv_2026*U$7</f>
        <v>0</v>
      </c>
      <c r="V60" s="28">
        <f>Option4!V$82*conv_2026*V$7</f>
        <v>0</v>
      </c>
      <c r="W60" s="28">
        <f>Option4!W$82*conv_2026*W$7</f>
        <v>0</v>
      </c>
      <c r="X60" s="28">
        <f>Option4!X$82*conv_2026*X$7</f>
        <v>0</v>
      </c>
      <c r="Y60" s="28">
        <f>Option4!Y$82*conv_2026*Y$7</f>
        <v>0</v>
      </c>
      <c r="Z60" s="28">
        <f>Option4!Z$82*conv_2026*Z$7</f>
        <v>0</v>
      </c>
      <c r="AA60" s="28">
        <f>Option4!AA$82*conv_2026*AA$7</f>
        <v>0</v>
      </c>
      <c r="AB60" s="28">
        <f>Option4!AB$82*conv_2026*AB$7</f>
        <v>0</v>
      </c>
      <c r="AC60" s="28">
        <f>Option4!AC$82*conv_2026*AC$7</f>
        <v>0</v>
      </c>
      <c r="AD60" s="28">
        <f>Option4!AD$82*conv_2026*AD$7</f>
        <v>0</v>
      </c>
      <c r="AE60" s="28">
        <f>Option4!AE$82*conv_2026*AE$7</f>
        <v>0</v>
      </c>
      <c r="AF60" s="28">
        <f>Option4!AF$82*conv_2026*AF$7</f>
        <v>0</v>
      </c>
      <c r="AG60" s="28">
        <f>Option4!AG$82*conv_2026*AG$7</f>
        <v>0</v>
      </c>
    </row>
    <row r="61" spans="1:33" s="2" customFormat="1" x14ac:dyDescent="0.2">
      <c r="A61" s="114" t="str">
        <f t="shared" si="15"/>
        <v>Option 4</v>
      </c>
      <c r="B61" s="114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4">
        <f>SUMPRODUCT($H61:$AG61, $H$5:$AG$5)</f>
        <v>0</v>
      </c>
      <c r="G61" s="198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x14ac:dyDescent="0.2">
      <c r="A62" s="114" t="str">
        <f t="shared" si="15"/>
        <v>Option 4</v>
      </c>
      <c r="B62" s="114"/>
      <c r="C62" s="52" t="str">
        <f>Option4!C$84</f>
        <v>Risk mitigated</v>
      </c>
      <c r="D62" s="34" t="str">
        <f t="shared" si="14"/>
        <v>Option 4Risk mitigated</v>
      </c>
      <c r="E62" s="1"/>
      <c r="F62" s="84">
        <f>SUMPRODUCT($H62:$AG62, $H$5:$AG$5)</f>
        <v>0</v>
      </c>
      <c r="G62" s="198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0</v>
      </c>
      <c r="M62" s="28">
        <f>Option4!M$84*conv_2026*M$7</f>
        <v>0</v>
      </c>
      <c r="N62" s="28">
        <f>Option4!N$84*conv_2026*N$7</f>
        <v>0</v>
      </c>
      <c r="O62" s="28">
        <f>Option4!O$84*conv_2026*O$7</f>
        <v>0</v>
      </c>
      <c r="P62" s="28">
        <f>Option4!P$84*conv_2026*P$7</f>
        <v>0</v>
      </c>
      <c r="Q62" s="28">
        <f>Option4!Q$84*conv_2026*Q$7</f>
        <v>0</v>
      </c>
      <c r="R62" s="28">
        <f>Option4!R$84*conv_2026*R$7</f>
        <v>0</v>
      </c>
      <c r="S62" s="28">
        <f>Option4!S$84*conv_2026*S$7</f>
        <v>0</v>
      </c>
      <c r="T62" s="28">
        <f>Option4!T$84*conv_2026*T$7</f>
        <v>0</v>
      </c>
      <c r="U62" s="28">
        <f>Option4!U$84*conv_2026*U$7</f>
        <v>0</v>
      </c>
      <c r="V62" s="28">
        <f>Option4!V$84*conv_2026*V$7</f>
        <v>0</v>
      </c>
      <c r="W62" s="28">
        <f>Option4!W$84*conv_2026*W$7</f>
        <v>0</v>
      </c>
      <c r="X62" s="28">
        <f>Option4!X$84*conv_2026*X$7</f>
        <v>0</v>
      </c>
      <c r="Y62" s="28">
        <f>Option4!Y$84*conv_2026*Y$7</f>
        <v>0</v>
      </c>
      <c r="Z62" s="28">
        <f>Option4!Z$84*conv_2026*Z$7</f>
        <v>0</v>
      </c>
      <c r="AA62" s="28">
        <f>Option4!AA$84*conv_2026*AA$7</f>
        <v>0</v>
      </c>
      <c r="AB62" s="28">
        <f>Option4!AB$84*conv_2026*AB$7</f>
        <v>0</v>
      </c>
      <c r="AC62" s="28">
        <f>Option4!AC$84*conv_2026*AC$7</f>
        <v>0</v>
      </c>
      <c r="AD62" s="28">
        <f>Option4!AD$84*conv_2026*AD$7</f>
        <v>0</v>
      </c>
      <c r="AE62" s="28">
        <f>Option4!AE$84*conv_2026*AE$7</f>
        <v>0</v>
      </c>
      <c r="AF62" s="28">
        <f>Option4!AF$84*conv_2026*AF$7</f>
        <v>0</v>
      </c>
      <c r="AG62" s="28">
        <f>Option4!AG$84*conv_2026*AG$7</f>
        <v>0</v>
      </c>
    </row>
    <row r="63" spans="1:33" s="2" customFormat="1" x14ac:dyDescent="0.2">
      <c r="A63" s="114" t="str">
        <f t="shared" si="15"/>
        <v>Option 4</v>
      </c>
      <c r="B63" s="114"/>
      <c r="C63" s="52" t="str">
        <f>Option4!C$85</f>
        <v>Other benefits value</v>
      </c>
      <c r="D63" s="34" t="str">
        <f t="shared" si="14"/>
        <v>Option 4Other benefits value</v>
      </c>
      <c r="E63" s="1"/>
      <c r="F63" s="84">
        <f>SUMPRODUCT($H63:$AG63, $H$5:$AG$5)</f>
        <v>0</v>
      </c>
      <c r="G63" s="198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x14ac:dyDescent="0.2">
      <c r="A64" s="114" t="str">
        <f t="shared" si="15"/>
        <v>Option 4</v>
      </c>
      <c r="B64" s="114"/>
      <c r="C64" s="104" t="str">
        <f>Option4!C87</f>
        <v>Net benefits</v>
      </c>
      <c r="D64" s="96" t="str">
        <f t="shared" si="14"/>
        <v>Option 4Net benefits</v>
      </c>
      <c r="E64" s="97"/>
      <c r="F64" s="121"/>
      <c r="G64" s="200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0</v>
      </c>
      <c r="M64" s="46">
        <f t="shared" si="17"/>
        <v>0</v>
      </c>
      <c r="N64" s="46">
        <f t="shared" si="17"/>
        <v>0</v>
      </c>
      <c r="O64" s="46">
        <f t="shared" si="17"/>
        <v>0</v>
      </c>
      <c r="P64" s="46">
        <f t="shared" si="17"/>
        <v>0</v>
      </c>
      <c r="Q64" s="46">
        <f t="shared" si="17"/>
        <v>0</v>
      </c>
      <c r="R64" s="46">
        <f t="shared" si="17"/>
        <v>0</v>
      </c>
      <c r="S64" s="46">
        <f t="shared" si="17"/>
        <v>0</v>
      </c>
      <c r="T64" s="46">
        <f t="shared" si="17"/>
        <v>0</v>
      </c>
      <c r="U64" s="46">
        <f t="shared" si="17"/>
        <v>0</v>
      </c>
      <c r="V64" s="46">
        <f t="shared" si="17"/>
        <v>0</v>
      </c>
      <c r="W64" s="46">
        <f t="shared" si="17"/>
        <v>0</v>
      </c>
      <c r="X64" s="46">
        <f t="shared" si="17"/>
        <v>0</v>
      </c>
      <c r="Y64" s="46">
        <f t="shared" si="17"/>
        <v>0</v>
      </c>
      <c r="Z64" s="46">
        <f t="shared" si="17"/>
        <v>0</v>
      </c>
      <c r="AA64" s="46">
        <f t="shared" si="17"/>
        <v>0</v>
      </c>
      <c r="AB64" s="46">
        <f t="shared" si="17"/>
        <v>0</v>
      </c>
      <c r="AC64" s="46">
        <f>SUM(AC60:AC63)</f>
        <v>0</v>
      </c>
      <c r="AD64" s="46">
        <f>SUM(AD60:AD63)</f>
        <v>0</v>
      </c>
      <c r="AE64" s="46">
        <f>SUM(AE60:AE63)</f>
        <v>0</v>
      </c>
      <c r="AF64" s="46">
        <f>SUM(AF60:AF63)</f>
        <v>0</v>
      </c>
      <c r="AG64" s="46">
        <f>SUM(AG60:AG63)</f>
        <v>0</v>
      </c>
    </row>
    <row r="65" spans="1:33" s="2" customFormat="1" x14ac:dyDescent="0.2">
      <c r="A65" s="114" t="str">
        <f t="shared" si="15"/>
        <v>Option 4</v>
      </c>
      <c r="B65" s="114"/>
      <c r="C65" s="6" t="s">
        <v>22</v>
      </c>
      <c r="D65" s="34" t="str">
        <f t="shared" si="14"/>
        <v>Option 4NPV</v>
      </c>
      <c r="E65" s="1"/>
      <c r="F65" s="95" cm="1">
        <f t="array" ref="F65">SUMPRODUCT(($H64:$AG64)*($H$5:$AG$5)*($H$7:$AG$7))</f>
        <v>0</v>
      </c>
      <c r="G65" s="198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x14ac:dyDescent="0.2">
      <c r="A66" s="114" t="str">
        <f t="shared" si="15"/>
        <v>Option 4</v>
      </c>
      <c r="B66" s="114"/>
      <c r="C66" s="6" t="s">
        <v>25</v>
      </c>
      <c r="D66" s="34" t="str">
        <f t="shared" si="14"/>
        <v>Option 4PV of costs</v>
      </c>
      <c r="E66" s="1"/>
      <c r="F66" s="95">
        <f>SUM(F60:F61)</f>
        <v>0</v>
      </c>
      <c r="G66" s="198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x14ac:dyDescent="0.2">
      <c r="A67" s="114" t="str">
        <f t="shared" si="15"/>
        <v>Option 4</v>
      </c>
      <c r="B67" s="114"/>
      <c r="C67" s="6" t="s">
        <v>26</v>
      </c>
      <c r="D67" s="34" t="str">
        <f t="shared" si="14"/>
        <v>Option 4PV of benefits</v>
      </c>
      <c r="E67" s="1"/>
      <c r="F67" s="95">
        <f>SUM(F62:F63)</f>
        <v>0</v>
      </c>
      <c r="G67" s="198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x14ac:dyDescent="0.2">
      <c r="A68" s="114"/>
      <c r="B68" s="114"/>
      <c r="C68" s="1"/>
      <c r="D68" s="34"/>
      <c r="E68" s="1"/>
      <c r="F68" s="95"/>
      <c r="G68" s="201"/>
      <c r="H68" s="1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</row>
    <row r="69" spans="1:33" s="2" customFormat="1" x14ac:dyDescent="0.2">
      <c r="A69" s="52"/>
      <c r="B69" s="52"/>
      <c r="C69" s="52"/>
      <c r="D69" s="34" t="str">
        <f t="shared" ref="D69:D81" si="18">A69&amp;C69</f>
        <v/>
      </c>
      <c r="F69" s="7"/>
      <c r="G69" s="194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x14ac:dyDescent="0.2">
      <c r="A70" s="52" t="str">
        <f>A71</f>
        <v>Option 5</v>
      </c>
      <c r="B70" s="52"/>
      <c r="C70" s="52" t="s">
        <v>118</v>
      </c>
      <c r="D70" s="34" t="str">
        <f t="shared" si="18"/>
        <v>Option 5Energy at risk value</v>
      </c>
      <c r="F70" s="84">
        <f>SUMPRODUCT($H70:$AG70, $H$5:$AG$5)</f>
        <v>0</v>
      </c>
      <c r="G70" s="198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x14ac:dyDescent="0.2">
      <c r="A71" s="114" t="str">
        <f>Data!B13</f>
        <v>Option 5</v>
      </c>
      <c r="B71" s="114"/>
      <c r="C71" s="52" t="str">
        <f>Option5!C$66</f>
        <v>Capital expenditure</v>
      </c>
      <c r="D71" s="34" t="str">
        <f t="shared" si="18"/>
        <v>Option 5Capital expenditure</v>
      </c>
      <c r="E71" s="1"/>
      <c r="F71" s="84">
        <f>SUMPRODUCT($H71:$AG71, $H$5:$AG$5)</f>
        <v>0</v>
      </c>
      <c r="G71" s="198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x14ac:dyDescent="0.2">
      <c r="A72" s="114" t="str">
        <f t="shared" ref="A72:A81" si="19">A71</f>
        <v>Option 5</v>
      </c>
      <c r="B72" s="114"/>
      <c r="C72" s="52" t="str">
        <f>'Option1 (base case)'!C$35</f>
        <v>Total risk cost</v>
      </c>
      <c r="D72" s="34" t="str">
        <f t="shared" si="18"/>
        <v>Option 5Total risk cost</v>
      </c>
      <c r="E72" s="1"/>
      <c r="F72" s="84">
        <f>SUMPRODUCT($H72:$AG72, $H$5:$AG$5)</f>
        <v>0</v>
      </c>
      <c r="G72" s="198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2">
      <c r="A73" s="114" t="str">
        <f t="shared" si="19"/>
        <v>Option 5</v>
      </c>
      <c r="B73" s="114"/>
      <c r="C73" s="12"/>
      <c r="D73" s="34" t="str">
        <f t="shared" si="18"/>
        <v>Option 5</v>
      </c>
      <c r="E73" s="1"/>
      <c r="F73"/>
      <c r="G73" s="199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x14ac:dyDescent="0.2">
      <c r="A74" s="114" t="str">
        <f t="shared" si="19"/>
        <v>Option 5</v>
      </c>
      <c r="B74" s="114"/>
      <c r="C74" s="52" t="str">
        <f>Option5!C$82</f>
        <v>Annualised capex</v>
      </c>
      <c r="D74" s="34" t="str">
        <f t="shared" si="18"/>
        <v>Option 5Annualised capex</v>
      </c>
      <c r="E74" s="1"/>
      <c r="F74" s="95" cm="1">
        <f t="array" ref="F74">SUMPRODUCT(($H74:$AG74)*($H$5:$AG$5)*($H$7:$AG$7))</f>
        <v>0</v>
      </c>
      <c r="G74" s="198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x14ac:dyDescent="0.2">
      <c r="A75" s="114" t="str">
        <f t="shared" si="19"/>
        <v>Option 5</v>
      </c>
      <c r="B75" s="114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5" cm="1">
        <f t="array" ref="F75">SUMPRODUCT(($H75:$AG75)*($H$5:$AG$5)*($H$7:$AG$7))</f>
        <v>0</v>
      </c>
      <c r="G75" s="198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x14ac:dyDescent="0.2">
      <c r="A76" s="114" t="str">
        <f t="shared" si="19"/>
        <v>Option 5</v>
      </c>
      <c r="B76" s="114"/>
      <c r="C76" s="52" t="str">
        <f>Option5!C$84</f>
        <v>Risk mitigated</v>
      </c>
      <c r="D76" s="34" t="str">
        <f t="shared" si="18"/>
        <v>Option 5Risk mitigated</v>
      </c>
      <c r="E76" s="1"/>
      <c r="F76" s="84">
        <f>SUMPRODUCT($H76:$AG76, $H$5:$AG$5)</f>
        <v>0</v>
      </c>
      <c r="G76" s="198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x14ac:dyDescent="0.2">
      <c r="A77" s="114" t="str">
        <f t="shared" si="19"/>
        <v>Option 5</v>
      </c>
      <c r="B77" s="114"/>
      <c r="C77" s="52" t="str">
        <f>Option5!C$85</f>
        <v>Other benefits value</v>
      </c>
      <c r="D77" s="34" t="str">
        <f t="shared" si="18"/>
        <v>Option 5Other benefits value</v>
      </c>
      <c r="E77" s="1"/>
      <c r="F77" s="84">
        <f>SUMPRODUCT($H77:$AG77, $H$5:$AG$5)</f>
        <v>0</v>
      </c>
      <c r="G77" s="198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x14ac:dyDescent="0.2">
      <c r="A78" s="114" t="str">
        <f t="shared" si="19"/>
        <v>Option 5</v>
      </c>
      <c r="B78" s="114"/>
      <c r="C78" s="104" t="str">
        <f>Option5!C87</f>
        <v>Net benefits</v>
      </c>
      <c r="D78" s="96" t="str">
        <f t="shared" si="18"/>
        <v>Option 5Net benefits</v>
      </c>
      <c r="E78" s="97"/>
      <c r="F78" s="121"/>
      <c r="G78" s="200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x14ac:dyDescent="0.2">
      <c r="A79" s="114" t="str">
        <f t="shared" si="19"/>
        <v>Option 5</v>
      </c>
      <c r="B79" s="114"/>
      <c r="C79" s="6" t="s">
        <v>22</v>
      </c>
      <c r="D79" s="34" t="str">
        <f t="shared" si="18"/>
        <v>Option 5NPV</v>
      </c>
      <c r="E79" s="1"/>
      <c r="F79" s="95" cm="1">
        <f t="array" ref="F79">SUMPRODUCT(($H78:$AG78)*($H$5:$AG$5)*($H$7:$AG$7))</f>
        <v>0</v>
      </c>
      <c r="G79" s="198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x14ac:dyDescent="0.2">
      <c r="A80" s="114" t="str">
        <f t="shared" si="19"/>
        <v>Option 5</v>
      </c>
      <c r="B80" s="114"/>
      <c r="C80" s="6" t="s">
        <v>25</v>
      </c>
      <c r="D80" s="34" t="str">
        <f t="shared" si="18"/>
        <v>Option 5PV of costs</v>
      </c>
      <c r="E80" s="1"/>
      <c r="F80" s="95">
        <f>SUM(F74:F75)</f>
        <v>0</v>
      </c>
      <c r="G80" s="198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x14ac:dyDescent="0.2">
      <c r="A81" s="114" t="str">
        <f t="shared" si="19"/>
        <v>Option 5</v>
      </c>
      <c r="B81" s="114"/>
      <c r="C81" s="6" t="s">
        <v>26</v>
      </c>
      <c r="D81" s="34" t="str">
        <f t="shared" si="18"/>
        <v>Option 5PV of benefits</v>
      </c>
      <c r="E81" s="1"/>
      <c r="F81" s="95">
        <f>SUM(F76:F77)</f>
        <v>0</v>
      </c>
      <c r="G81" s="198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x14ac:dyDescent="0.2">
      <c r="A82" s="103"/>
      <c r="B82" s="103"/>
      <c r="C82" s="103"/>
      <c r="D82" s="34" t="str">
        <f>A82&amp;C82</f>
        <v/>
      </c>
      <c r="F82" s="7"/>
      <c r="G82" s="194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2">
      <c r="E83" s="74"/>
      <c r="G83" s="202"/>
    </row>
    <row r="84" spans="1:33" ht="12" x14ac:dyDescent="0.2">
      <c r="E84" s="74"/>
      <c r="G84" s="202"/>
    </row>
    <row r="85" spans="1:33" ht="12" x14ac:dyDescent="0.2">
      <c r="E85" s="74"/>
      <c r="G85" s="202"/>
    </row>
    <row r="86" spans="1:33" ht="12" x14ac:dyDescent="0.2">
      <c r="E86" s="74"/>
      <c r="G86" s="202"/>
    </row>
    <row r="87" spans="1:33" ht="12" x14ac:dyDescent="0.2">
      <c r="E87" s="8"/>
      <c r="G87" s="202"/>
    </row>
    <row r="88" spans="1:33" ht="15" x14ac:dyDescent="0.25">
      <c r="A88" s="176" t="s">
        <v>164</v>
      </c>
      <c r="B88" s="48"/>
      <c r="C88" s="17"/>
      <c r="D88" s="17"/>
      <c r="E88" s="73"/>
      <c r="F88" s="17"/>
      <c r="G88" s="196"/>
      <c r="H88" s="196"/>
      <c r="I88" s="174" t="str">
        <f>"FY"&amp;RIGHT(I$9,2)</f>
        <v>FY27</v>
      </c>
      <c r="J88" s="174" t="str">
        <f t="shared" ref="J88:AG88" si="22">"FY"&amp;RIGHT(J$9,2)</f>
        <v>FY28</v>
      </c>
      <c r="K88" s="174" t="str">
        <f t="shared" si="22"/>
        <v>FY29</v>
      </c>
      <c r="L88" s="174" t="str">
        <f t="shared" si="22"/>
        <v>FY30</v>
      </c>
      <c r="M88" s="174" t="str">
        <f t="shared" si="22"/>
        <v>FY31</v>
      </c>
      <c r="N88" s="174" t="str">
        <f t="shared" si="22"/>
        <v>FY32</v>
      </c>
      <c r="O88" s="174" t="str">
        <f t="shared" si="22"/>
        <v>FY33</v>
      </c>
      <c r="P88" s="174" t="str">
        <f t="shared" si="22"/>
        <v>FY34</v>
      </c>
      <c r="Q88" s="174" t="str">
        <f t="shared" si="22"/>
        <v>FY35</v>
      </c>
      <c r="R88" s="174" t="str">
        <f t="shared" si="22"/>
        <v>FY36</v>
      </c>
      <c r="S88" s="174" t="str">
        <f t="shared" si="22"/>
        <v>FY37</v>
      </c>
      <c r="T88" s="174" t="str">
        <f t="shared" si="22"/>
        <v>FY38</v>
      </c>
      <c r="U88" s="174" t="str">
        <f t="shared" si="22"/>
        <v>FY39</v>
      </c>
      <c r="V88" s="174" t="str">
        <f t="shared" si="22"/>
        <v>FY40</v>
      </c>
      <c r="W88" s="174" t="str">
        <f t="shared" si="22"/>
        <v>FY41</v>
      </c>
      <c r="X88" s="174" t="str">
        <f t="shared" si="22"/>
        <v>FY42</v>
      </c>
      <c r="Y88" s="174" t="str">
        <f t="shared" si="22"/>
        <v>FY43</v>
      </c>
      <c r="Z88" s="174" t="str">
        <f t="shared" si="22"/>
        <v>FY44</v>
      </c>
      <c r="AA88" s="174" t="str">
        <f t="shared" si="22"/>
        <v>FY45</v>
      </c>
      <c r="AB88" s="174" t="str">
        <f t="shared" si="22"/>
        <v>FY46</v>
      </c>
      <c r="AC88" s="174" t="str">
        <f t="shared" si="22"/>
        <v>FY47</v>
      </c>
      <c r="AD88" s="174" t="str">
        <f t="shared" si="22"/>
        <v>FY48</v>
      </c>
      <c r="AE88" s="174" t="str">
        <f t="shared" si="22"/>
        <v>FY49</v>
      </c>
      <c r="AF88" s="174" t="str">
        <f t="shared" si="22"/>
        <v>FY50</v>
      </c>
      <c r="AG88" s="174" t="str">
        <f t="shared" si="22"/>
        <v>FY51</v>
      </c>
    </row>
    <row r="89" spans="1:33" ht="12" x14ac:dyDescent="0.2">
      <c r="E89" s="74"/>
      <c r="G89" s="202"/>
    </row>
    <row r="90" spans="1:33" ht="12" x14ac:dyDescent="0.2">
      <c r="E90" s="74"/>
    </row>
    <row r="91" spans="1:33" x14ac:dyDescent="0.2">
      <c r="A91" s="173" t="str">
        <f>Summary!$C$26</f>
        <v>Option 2</v>
      </c>
      <c r="B91" s="117"/>
      <c r="C91" s="171" t="s">
        <v>143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2 annualised capex</v>
      </c>
      <c r="I91" s="92" cm="1">
        <f t="array" ref="I91">MAX($D91*INDEX(I$15:W$81, MATCH($A91&amp;$C91, $D$15:$D$81,0),))/mill_conv</f>
        <v>0.30319610333316582</v>
      </c>
      <c r="J91" s="92" cm="1">
        <f t="array" ref="J91">MAX($D91*INDEX(J$15:X$81, MATCH($A91&amp;$C91, $D$15:$D$81,0),))/mill_conv</f>
        <v>0.30319610333316582</v>
      </c>
      <c r="K91" s="92" cm="1">
        <f t="array" ref="K91">MAX($D91*INDEX(K$15:Y$81, MATCH($A91&amp;$C91, $D$15:$D$81,0),))/mill_conv</f>
        <v>0.30319610333316582</v>
      </c>
      <c r="L91" s="92" cm="1">
        <f t="array" ref="L91">MAX($D91*INDEX(L$15:Z$81, MATCH($A91&amp;$C91, $D$15:$D$81,0),))/mill_conv</f>
        <v>0.30319610333316582</v>
      </c>
      <c r="M91" s="92" cm="1">
        <f t="array" ref="M91">MAX($D91*INDEX(M$15:AA$81, MATCH($A91&amp;$C91, $D$15:$D$81,0),))/mill_conv</f>
        <v>0.30319610333316582</v>
      </c>
      <c r="N91" s="92" cm="1">
        <f t="array" ref="N91">MAX($D91*INDEX(N$15:AB$81, MATCH($A91&amp;$C91, $D$15:$D$81,0),))/mill_conv</f>
        <v>0.30319610333316582</v>
      </c>
      <c r="O91" s="92" cm="1">
        <f t="array" ref="O91">MAX($D91*INDEX(O$15:AC$81, MATCH($A91&amp;$C91, $D$15:$D$81,0),))/mill_conv</f>
        <v>0.30319610333316582</v>
      </c>
      <c r="P91" s="92" cm="1">
        <f t="array" ref="P91">MAX($D91*INDEX(P$15:AD$81, MATCH($A91&amp;$C91, $D$15:$D$81,0),))/mill_conv</f>
        <v>0.30319610333316582</v>
      </c>
      <c r="Q91" s="92" cm="1">
        <f t="array" ref="Q91">MAX($D91*INDEX(Q$15:AE$81, MATCH($A91&amp;$C91, $D$15:$D$81,0),))/mill_conv</f>
        <v>0.30319610333316582</v>
      </c>
      <c r="R91" s="92" cm="1">
        <f t="array" ref="R91">MAX($D91*INDEX(R$15:AF$81, MATCH($A91&amp;$C91, $D$15:$D$81,0),))/mill_conv</f>
        <v>0.30319610333316582</v>
      </c>
      <c r="S91" s="92" cm="1">
        <f t="array" ref="S91">MAX($D91*INDEX(S$15:AG$81, MATCH($A91&amp;$C91, $D$15:$D$81,0),))/mill_conv</f>
        <v>0.30319610333316582</v>
      </c>
      <c r="T91" s="92" cm="1">
        <f t="array" ref="T91">MAX($D91*INDEX(T$15:AH$81, MATCH($A91&amp;$C91, $D$15:$D$81,0),))/mill_conv</f>
        <v>0.30319610333316582</v>
      </c>
      <c r="U91" s="92" cm="1">
        <f t="array" ref="U91">MAX($D91*INDEX(U$15:AI$81, MATCH($A91&amp;$C91, $D$15:$D$81,0),))/mill_conv</f>
        <v>0.30319610333316582</v>
      </c>
      <c r="V91" s="92" cm="1">
        <f t="array" ref="V91">MAX($D91*INDEX(V$15:AJ$81, MATCH($A91&amp;$C91, $D$15:$D$81,0),))/mill_conv</f>
        <v>0.30319610333316582</v>
      </c>
      <c r="W91" s="92" cm="1">
        <f t="array" ref="W91">MAX($D91*INDEX(W$15:AK$81, MATCH($A91&amp;$C91, $D$15:$D$81,0),))/mill_conv</f>
        <v>0.30319610333316582</v>
      </c>
      <c r="X91" s="92" cm="1">
        <f t="array" ref="X91">MAX($D91*INDEX(X$15:AL$81, MATCH($A91&amp;$C91, $D$15:$D$81,0),))/mill_conv</f>
        <v>0.30319610333316582</v>
      </c>
      <c r="Y91" s="92" cm="1">
        <f t="array" ref="Y91">MAX($D91*INDEX(Y$15:AM$81, MATCH($A91&amp;$C91, $D$15:$D$81,0),))/mill_conv</f>
        <v>0.30319610333316582</v>
      </c>
      <c r="Z91" s="92" cm="1">
        <f t="array" ref="Z91">MAX($D91*INDEX(Z$15:AN$81, MATCH($A91&amp;$C91, $D$15:$D$81,0),))/mill_conv</f>
        <v>0.30319610333316582</v>
      </c>
      <c r="AA91" s="92" cm="1">
        <f t="array" ref="AA91">MAX($D91*INDEX(AA$15:AO$81, MATCH($A91&amp;$C91, $D$15:$D$81,0),))/mill_conv</f>
        <v>0.30319610333316582</v>
      </c>
      <c r="AB91" s="92" cm="1">
        <f t="array" ref="AB91">MAX($D91*INDEX(AB$15:AP$81, MATCH($A91&amp;$C91, $D$15:$D$81,0),))/mill_conv</f>
        <v>0.30319610333316582</v>
      </c>
      <c r="AC91" s="92" cm="1">
        <f t="array" ref="AC91">MAX($D91*INDEX(AC$15:AQ$81, MATCH($A91&amp;$C91, $D$15:$D$81,0),))/mill_conv</f>
        <v>0.30319610333316582</v>
      </c>
      <c r="AD91" s="92" cm="1">
        <f t="array" ref="AD91">MAX($D91*INDEX(AD$15:AR$81, MATCH($A91&amp;$C91, $D$15:$D$81,0),))/mill_conv</f>
        <v>0.30319610333316582</v>
      </c>
      <c r="AE91" s="92" cm="1">
        <f t="array" ref="AE91">MAX($D91*INDEX(AE$15:AS$81, MATCH($A91&amp;$C91, $D$15:$D$81,0),))/mill_conv</f>
        <v>0</v>
      </c>
      <c r="AF91" s="92" cm="1">
        <f t="array" ref="AF91">MAX($D91*INDEX(AF$15:AT$81, MATCH($A91&amp;$C91, $D$15:$D$81,0),))/mill_conv</f>
        <v>0</v>
      </c>
      <c r="AG91" s="92" cm="1">
        <f t="array" ref="AG91">MAX($D91*INDEX(AG$15:AU$81, MATCH($A91&amp;$C91, $D$15:$D$81,0),))/mill_conv</f>
        <v>0</v>
      </c>
    </row>
    <row r="92" spans="1:33" x14ac:dyDescent="0.2">
      <c r="A92" s="172" t="str">
        <f>A16</f>
        <v>Option 1 (base case)</v>
      </c>
      <c r="B92" s="117"/>
      <c r="C92" s="172" t="s">
        <v>121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2">
        <f t="shared" ref="I92:R92" si="23">$D92*INDEX(I$15:I$81, MATCH($A92&amp;$C92, $D$15:$D$81,0))/mill_conv</f>
        <v>1.0336688035597339</v>
      </c>
      <c r="J92" s="92">
        <f t="shared" si="23"/>
        <v>1.1248902460191592</v>
      </c>
      <c r="K92" s="92">
        <f t="shared" si="23"/>
        <v>1.1545832478360718</v>
      </c>
      <c r="L92" s="92">
        <f t="shared" si="23"/>
        <v>1.1767599987681219</v>
      </c>
      <c r="M92" s="92">
        <f t="shared" si="23"/>
        <v>1.2085101809830594</v>
      </c>
      <c r="N92" s="92">
        <f t="shared" si="23"/>
        <v>1.2523774857412733</v>
      </c>
      <c r="O92" s="92">
        <f t="shared" si="23"/>
        <v>1.3167624701798581</v>
      </c>
      <c r="P92" s="92">
        <f t="shared" si="23"/>
        <v>1.3820222963360211</v>
      </c>
      <c r="Q92" s="92">
        <f t="shared" si="23"/>
        <v>1.4332889212749462</v>
      </c>
      <c r="R92" s="92">
        <f t="shared" si="23"/>
        <v>1.4678036664935903</v>
      </c>
      <c r="S92" s="92">
        <f t="shared" ref="S92:AG92" si="24">$D92*INDEX(S$15:S$81, MATCH($A92&amp;$C92, $D$15:$D$81,0))/mill_conv</f>
        <v>1.5026626309140831</v>
      </c>
      <c r="T92" s="92">
        <f t="shared" si="24"/>
        <v>1.5378646512014331</v>
      </c>
      <c r="U92" s="92">
        <f t="shared" si="24"/>
        <v>1.5734085648747078</v>
      </c>
      <c r="V92" s="92">
        <f t="shared" si="24"/>
        <v>1.6092932400443087</v>
      </c>
      <c r="W92" s="92">
        <f t="shared" si="24"/>
        <v>1.645517545646491</v>
      </c>
      <c r="X92" s="92">
        <f t="shared" si="24"/>
        <v>1.682080396082287</v>
      </c>
      <c r="Y92" s="92">
        <f t="shared" si="24"/>
        <v>1.7189807214566222</v>
      </c>
      <c r="Z92" s="92">
        <f t="shared" si="24"/>
        <v>1.7562174973589366</v>
      </c>
      <c r="AA92" s="92">
        <f t="shared" si="24"/>
        <v>1.793789670397774</v>
      </c>
      <c r="AB92" s="92">
        <f t="shared" si="24"/>
        <v>1.8316962475517362</v>
      </c>
      <c r="AC92" s="92">
        <f t="shared" si="24"/>
        <v>1.8699362365935208</v>
      </c>
      <c r="AD92" s="92">
        <f t="shared" si="24"/>
        <v>1.9085086907906412</v>
      </c>
      <c r="AE92" s="92">
        <f t="shared" si="24"/>
        <v>1.9464239424274155</v>
      </c>
      <c r="AF92" s="92">
        <f t="shared" si="24"/>
        <v>1.9846615922168096</v>
      </c>
      <c r="AG92" s="92">
        <f t="shared" si="24"/>
        <v>2.0232207834396383</v>
      </c>
    </row>
    <row r="93" spans="1:33" ht="12" x14ac:dyDescent="0.2">
      <c r="E93" s="74"/>
      <c r="I93" s="128"/>
      <c r="J93" s="128"/>
      <c r="K93" s="128"/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8"/>
    </row>
    <row r="94" spans="1:33" ht="12" x14ac:dyDescent="0.2">
      <c r="E94" s="74"/>
    </row>
    <row r="95" spans="1:33" ht="12" x14ac:dyDescent="0.2">
      <c r="E95" s="74"/>
    </row>
    <row r="96" spans="1:33" ht="12" x14ac:dyDescent="0.2">
      <c r="E96" s="74"/>
    </row>
    <row r="97" spans="1:33" ht="12" x14ac:dyDescent="0.2">
      <c r="E97" s="74"/>
      <c r="I97" s="248" t="str">
        <f>I88</f>
        <v>FY27</v>
      </c>
      <c r="J97" s="248" t="str">
        <f t="shared" ref="J97:AG97" si="25">J88</f>
        <v>FY28</v>
      </c>
      <c r="K97" s="248" t="str">
        <f t="shared" si="25"/>
        <v>FY29</v>
      </c>
      <c r="L97" s="248" t="str">
        <f t="shared" si="25"/>
        <v>FY30</v>
      </c>
      <c r="M97" s="248" t="str">
        <f t="shared" si="25"/>
        <v>FY31</v>
      </c>
      <c r="N97" s="248" t="str">
        <f t="shared" si="25"/>
        <v>FY32</v>
      </c>
      <c r="O97" s="248" t="str">
        <f t="shared" si="25"/>
        <v>FY33</v>
      </c>
      <c r="P97" s="248" t="str">
        <f t="shared" si="25"/>
        <v>FY34</v>
      </c>
      <c r="Q97" s="248" t="str">
        <f t="shared" si="25"/>
        <v>FY35</v>
      </c>
      <c r="R97" s="248" t="str">
        <f t="shared" si="25"/>
        <v>FY36</v>
      </c>
      <c r="S97" s="248" t="str">
        <f t="shared" si="25"/>
        <v>FY37</v>
      </c>
      <c r="T97" s="248" t="str">
        <f t="shared" si="25"/>
        <v>FY38</v>
      </c>
      <c r="U97" s="248" t="str">
        <f t="shared" si="25"/>
        <v>FY39</v>
      </c>
      <c r="V97" s="248" t="str">
        <f t="shared" si="25"/>
        <v>FY40</v>
      </c>
      <c r="W97" s="248" t="str">
        <f t="shared" si="25"/>
        <v>FY41</v>
      </c>
      <c r="X97" s="248" t="str">
        <f t="shared" si="25"/>
        <v>FY42</v>
      </c>
      <c r="Y97" s="248" t="str">
        <f t="shared" si="25"/>
        <v>FY43</v>
      </c>
      <c r="Z97" s="248" t="str">
        <f t="shared" si="25"/>
        <v>FY44</v>
      </c>
      <c r="AA97" s="248" t="str">
        <f t="shared" si="25"/>
        <v>FY45</v>
      </c>
      <c r="AB97" s="248" t="str">
        <f t="shared" si="25"/>
        <v>FY46</v>
      </c>
      <c r="AC97" s="248" t="str">
        <f t="shared" si="25"/>
        <v>FY47</v>
      </c>
      <c r="AD97" s="248" t="str">
        <f t="shared" si="25"/>
        <v>FY48</v>
      </c>
      <c r="AE97" s="248" t="str">
        <f t="shared" si="25"/>
        <v>FY49</v>
      </c>
      <c r="AF97" s="248" t="str">
        <f t="shared" si="25"/>
        <v>FY50</v>
      </c>
      <c r="AG97" s="248" t="str">
        <f t="shared" si="25"/>
        <v>FY51</v>
      </c>
    </row>
    <row r="98" spans="1:33" x14ac:dyDescent="0.2">
      <c r="A98" s="173" t="s">
        <v>8</v>
      </c>
      <c r="B98" s="117"/>
      <c r="C98" s="171" t="s">
        <v>116</v>
      </c>
      <c r="D98" s="165">
        <f>MAX(H98:AG98)</f>
        <v>0</v>
      </c>
      <c r="E98" s="247"/>
      <c r="F98" s="7"/>
      <c r="G98" s="28"/>
      <c r="H98" s="28" t="str">
        <f>A98&amp;" "&amp;LOWER(C98)</f>
        <v>Energy at risk energy at risk (weighted)</v>
      </c>
      <c r="I98" s="28">
        <f>INDEX('Option1 (base case)'!I$14:I$86, MATCH($C98, 'Option1 (base case)'!$C$14:$C$86,0))</f>
        <v>0</v>
      </c>
      <c r="J98" s="28">
        <f>INDEX('Option1 (base case)'!J$14:J$86, MATCH($C98, 'Option1 (base case)'!$C$14:$C$86,0))</f>
        <v>0</v>
      </c>
      <c r="K98" s="28">
        <f>INDEX('Option1 (base case)'!K$14:K$86, MATCH($C98, 'Option1 (base case)'!$C$14:$C$86,0))</f>
        <v>0</v>
      </c>
      <c r="L98" s="28">
        <f>INDEX('Option1 (base case)'!L$14:L$86, MATCH($C98, 'Option1 (base case)'!$C$14:$C$86,0))</f>
        <v>0</v>
      </c>
      <c r="M98" s="28">
        <f>INDEX('Option1 (base case)'!M$14:M$86, MATCH($C98, 'Option1 (base case)'!$C$14:$C$86,0))</f>
        <v>0</v>
      </c>
      <c r="N98" s="28">
        <f>INDEX('Option1 (base case)'!N$14:N$86, MATCH($C98, 'Option1 (base case)'!$C$14:$C$86,0))</f>
        <v>0</v>
      </c>
      <c r="O98" s="28">
        <f>INDEX('Option1 (base case)'!O$14:O$86, MATCH($C98, 'Option1 (base case)'!$C$14:$C$86,0))</f>
        <v>0</v>
      </c>
      <c r="P98" s="28">
        <f>INDEX('Option1 (base case)'!P$14:P$86, MATCH($C98, 'Option1 (base case)'!$C$14:$C$86,0))</f>
        <v>0</v>
      </c>
      <c r="Q98" s="28">
        <f>INDEX('Option1 (base case)'!Q$14:Q$86, MATCH($C98, 'Option1 (base case)'!$C$14:$C$86,0))</f>
        <v>0</v>
      </c>
      <c r="R98" s="28">
        <f>INDEX('Option1 (base case)'!R$14:R$86, MATCH($C98, 'Option1 (base case)'!$C$14:$C$86,0))</f>
        <v>0</v>
      </c>
      <c r="S98" s="28">
        <f>INDEX('Option1 (base case)'!S$14:S$86, MATCH($C98, 'Option1 (base case)'!$C$14:$C$86,0))</f>
        <v>0</v>
      </c>
      <c r="T98" s="28">
        <f>INDEX('Option1 (base case)'!T$14:T$86, MATCH($C98, 'Option1 (base case)'!$C$14:$C$86,0))</f>
        <v>0</v>
      </c>
      <c r="U98" s="28">
        <f>INDEX('Option1 (base case)'!U$14:U$86, MATCH($C98, 'Option1 (base case)'!$C$14:$C$86,0))</f>
        <v>0</v>
      </c>
      <c r="V98" s="28">
        <f>INDEX('Option1 (base case)'!V$14:V$86, MATCH($C98, 'Option1 (base case)'!$C$14:$C$86,0))</f>
        <v>0</v>
      </c>
      <c r="W98" s="28">
        <f>INDEX('Option1 (base case)'!W$14:W$86, MATCH($C98, 'Option1 (base case)'!$C$14:$C$86,0))</f>
        <v>0</v>
      </c>
      <c r="X98" s="28">
        <f>INDEX('Option1 (base case)'!X$14:X$86, MATCH($C98, 'Option1 (base case)'!$C$14:$C$86,0))</f>
        <v>0</v>
      </c>
      <c r="Y98" s="28">
        <f>INDEX('Option1 (base case)'!Y$14:Y$86, MATCH($C98, 'Option1 (base case)'!$C$14:$C$86,0))</f>
        <v>0</v>
      </c>
      <c r="Z98" s="28">
        <f>INDEX('Option1 (base case)'!Z$14:Z$86, MATCH($C98, 'Option1 (base case)'!$C$14:$C$86,0))</f>
        <v>0</v>
      </c>
      <c r="AA98" s="28">
        <f>INDEX('Option1 (base case)'!AA$14:AA$86, MATCH($C98, 'Option1 (base case)'!$C$14:$C$86,0))</f>
        <v>0</v>
      </c>
      <c r="AB98" s="28">
        <f>INDEX('Option1 (base case)'!AB$14:AB$86, MATCH($C98, 'Option1 (base case)'!$C$14:$C$86,0))</f>
        <v>0</v>
      </c>
      <c r="AC98" s="28">
        <f>INDEX('Option1 (base case)'!AC$14:AC$86, MATCH($C98, 'Option1 (base case)'!$C$14:$C$86,0))</f>
        <v>0</v>
      </c>
      <c r="AD98" s="28">
        <f>INDEX('Option1 (base case)'!AD$14:AD$86, MATCH($C98, 'Option1 (base case)'!$C$14:$C$86,0))</f>
        <v>0</v>
      </c>
      <c r="AE98" s="28">
        <f>INDEX('Option1 (base case)'!AE$14:AE$86, MATCH($C98, 'Option1 (base case)'!$C$14:$C$86,0))</f>
        <v>0</v>
      </c>
      <c r="AF98" s="28">
        <f>INDEX('Option1 (base case)'!AF$14:AF$86, MATCH($C98, 'Option1 (base case)'!$C$14:$C$86,0))</f>
        <v>0</v>
      </c>
      <c r="AG98" s="28">
        <f>INDEX('Option1 (base case)'!AG$14:AG$86, MATCH($C98, 'Option1 (base case)'!$C$14:$C$86,0))</f>
        <v>0</v>
      </c>
    </row>
    <row r="99" spans="1:33" x14ac:dyDescent="0.2">
      <c r="A99" s="172" t="str">
        <f>A23</f>
        <v>Option 1 (base case)</v>
      </c>
      <c r="B99" s="117"/>
      <c r="C99" s="172" t="s">
        <v>118</v>
      </c>
      <c r="D99" s="165">
        <f>MAX(H99:AG99)</f>
        <v>1.779695602801503</v>
      </c>
      <c r="E99" s="247"/>
      <c r="H99" s="28" t="str">
        <f>A99&amp;" risk cost"</f>
        <v>Option 1 (base case) risk cost</v>
      </c>
      <c r="I99" s="28">
        <f>INDEX('Option1 (base case)'!I$14:I$86, MATCH($C99, 'Option1 (base case)'!$C$14:$C$86,0))/10^6</f>
        <v>0.90255033179585387</v>
      </c>
      <c r="J99" s="28">
        <f>INDEX('Option1 (base case)'!J$14:J$86, MATCH($C99, 'Option1 (base case)'!$C$14:$C$86,0))/10^6</f>
        <v>0.98424567656817075</v>
      </c>
      <c r="K99" s="28">
        <f>INDEX('Option1 (base case)'!K$14:K$86, MATCH($C99, 'Option1 (base case)'!$C$14:$C$86,0))/10^6</f>
        <v>1.0103364830719026</v>
      </c>
      <c r="L99" s="28">
        <f>INDEX('Option1 (base case)'!L$14:L$86, MATCH($C99, 'Option1 (base case)'!$C$14:$C$86,0))/10^6</f>
        <v>1.0296276717804445</v>
      </c>
      <c r="M99" s="28">
        <f>INDEX('Option1 (base case)'!M$14:M$86, MATCH($C99, 'Option1 (base case)'!$C$14:$C$86,0))/10^6</f>
        <v>1.057561348179973</v>
      </c>
      <c r="N99" s="28">
        <f>INDEX('Option1 (base case)'!N$14:N$86, MATCH($C99, 'Option1 (base case)'!$C$14:$C$86,0))/10^6</f>
        <v>1.0964360033294378</v>
      </c>
      <c r="O99" s="28">
        <f>INDEX('Option1 (base case)'!O$14:O$86, MATCH($C99, 'Option1 (base case)'!$C$14:$C$86,0))/10^6</f>
        <v>1.1538423323365403</v>
      </c>
      <c r="P99" s="28">
        <f>INDEX('Option1 (base case)'!P$14:P$86, MATCH($C99, 'Option1 (base case)'!$C$14:$C$86,0))/10^6</f>
        <v>1.2120312951317944</v>
      </c>
      <c r="Q99" s="28">
        <f>INDEX('Option1 (base case)'!Q$14:Q$86, MATCH($C99, 'Option1 (base case)'!$C$14:$C$86,0))/10^6</f>
        <v>1.2575683077948199</v>
      </c>
      <c r="R99" s="28">
        <f>INDEX('Option1 (base case)'!R$14:R$86, MATCH($C99, 'Option1 (base case)'!$C$14:$C$86,0))/10^6</f>
        <v>1.2879606884112922</v>
      </c>
      <c r="S99" s="28">
        <f>INDEX('Option1 (base case)'!S$14:S$86, MATCH($C99, 'Option1 (base case)'!$C$14:$C$86,0))/10^6</f>
        <v>1.3186563375021154</v>
      </c>
      <c r="T99" s="28">
        <f>INDEX('Option1 (base case)'!T$14:T$86, MATCH($C99, 'Option1 (base case)'!$C$14:$C$86,0))/10^6</f>
        <v>1.3496542353886702</v>
      </c>
      <c r="U99" s="28">
        <f>INDEX('Option1 (base case)'!U$14:U$86, MATCH($C99, 'Option1 (base case)'!$C$14:$C$86,0))/10^6</f>
        <v>1.3809533631640578</v>
      </c>
      <c r="V99" s="28">
        <f>INDEX('Option1 (base case)'!V$14:V$86, MATCH($C99, 'Option1 (base case)'!$C$14:$C$86,0))/10^6</f>
        <v>1.4125527288786359</v>
      </c>
      <c r="W99" s="28">
        <f>INDEX('Option1 (base case)'!W$14:W$86, MATCH($C99, 'Option1 (base case)'!$C$14:$C$86,0))/10^6</f>
        <v>1.4444513413289963</v>
      </c>
      <c r="X99" s="28">
        <f>INDEX('Option1 (base case)'!X$14:X$86, MATCH($C99, 'Option1 (base case)'!$C$14:$C$86,0))/10^6</f>
        <v>1.4766482493661008</v>
      </c>
      <c r="Y99" s="28">
        <f>INDEX('Option1 (base case)'!Y$14:Y$86, MATCH($C99, 'Option1 (base case)'!$C$14:$C$86,0))/10^6</f>
        <v>1.5091425156884102</v>
      </c>
      <c r="Z99" s="28">
        <f>INDEX('Option1 (base case)'!Z$14:Z$86, MATCH($C99, 'Option1 (base case)'!$C$14:$C$86,0))/10^6</f>
        <v>1.5419332430665877</v>
      </c>
      <c r="AA99" s="28">
        <f>INDEX('Option1 (base case)'!AA$14:AA$86, MATCH($C99, 'Option1 (base case)'!$C$14:$C$86,0))/10^6</f>
        <v>1.575019508769216</v>
      </c>
      <c r="AB99" s="28">
        <f>INDEX('Option1 (base case)'!AB$14:AB$86, MATCH($C99, 'Option1 (base case)'!$C$14:$C$86,0))/10^6</f>
        <v>1.6084004432451269</v>
      </c>
      <c r="AC99" s="28">
        <f>INDEX('Option1 (base case)'!AC$14:AC$86, MATCH($C99, 'Option1 (base case)'!$C$14:$C$86,0))/10^6</f>
        <v>1.6420751776606894</v>
      </c>
      <c r="AD99" s="28">
        <f>INDEX('Option1 (base case)'!AD$14:AD$86, MATCH($C99, 'Option1 (base case)'!$C$14:$C$86,0))/10^6</f>
        <v>1.6760428832637857</v>
      </c>
      <c r="AE99" s="28">
        <f>INDEX('Option1 (base case)'!AE$14:AE$86, MATCH($C99, 'Option1 (base case)'!$C$14:$C$86,0))/10^6</f>
        <v>1.7103027320151623</v>
      </c>
      <c r="AF99" s="28">
        <f>INDEX('Option1 (base case)'!AF$14:AF$86, MATCH($C99, 'Option1 (base case)'!$C$14:$C$86,0))/10^6</f>
        <v>1.7448538965687468</v>
      </c>
      <c r="AG99" s="28">
        <f>INDEX('Option1 (base case)'!AG$14:AG$86, MATCH($C99, 'Option1 (base case)'!$C$14:$C$86,0))/10^6</f>
        <v>1.779695602801503</v>
      </c>
    </row>
    <row r="100" spans="1:33" ht="12" x14ac:dyDescent="0.2">
      <c r="E100" s="8"/>
    </row>
    <row r="101" spans="1:33" s="249" customFormat="1" ht="12" x14ac:dyDescent="0.2"/>
    <row r="102" spans="1:33" ht="12" x14ac:dyDescent="0.2">
      <c r="E102" s="8"/>
    </row>
    <row r="103" spans="1:33" ht="12" x14ac:dyDescent="0.2">
      <c r="E103" s="8"/>
      <c r="I103" s="249"/>
    </row>
    <row r="104" spans="1:33" ht="12" x14ac:dyDescent="0.2">
      <c r="E104" s="8"/>
      <c r="H104" s="128"/>
    </row>
    <row r="105" spans="1:33" ht="12" x14ac:dyDescent="0.2">
      <c r="E105" s="8"/>
      <c r="H105" s="128"/>
    </row>
    <row r="106" spans="1:33" ht="12" x14ac:dyDescent="0.2">
      <c r="D106" s="165"/>
      <c r="E106" s="8"/>
    </row>
    <row r="107" spans="1:33" ht="12" x14ac:dyDescent="0.2">
      <c r="D107" s="165"/>
      <c r="E107" s="8"/>
    </row>
    <row r="108" spans="1:33" ht="12" x14ac:dyDescent="0.2">
      <c r="D108" s="165"/>
      <c r="E108" s="74"/>
    </row>
    <row r="109" spans="1:33" ht="12" x14ac:dyDescent="0.2">
      <c r="C109" s="103"/>
      <c r="D109" s="165"/>
      <c r="E109" s="165"/>
    </row>
    <row r="110" spans="1:33" ht="12" x14ac:dyDescent="0.2">
      <c r="D110" s="165"/>
      <c r="E110" s="74"/>
    </row>
    <row r="111" spans="1:33" ht="12" x14ac:dyDescent="0.2">
      <c r="D111" s="165"/>
      <c r="E111" s="74"/>
    </row>
    <row r="112" spans="1:33" ht="12" x14ac:dyDescent="0.2">
      <c r="D112" s="165"/>
      <c r="E112" s="74"/>
    </row>
    <row r="113" spans="4:5" ht="12" x14ac:dyDescent="0.2">
      <c r="D113" s="165"/>
      <c r="E113" s="74"/>
    </row>
    <row r="114" spans="4:5" ht="12" x14ac:dyDescent="0.2">
      <c r="D114" s="165"/>
      <c r="E114" s="74"/>
    </row>
    <row r="115" spans="4:5" ht="12" x14ac:dyDescent="0.2">
      <c r="D115" s="165"/>
      <c r="E115" s="74"/>
    </row>
    <row r="116" spans="4:5" ht="12" x14ac:dyDescent="0.2">
      <c r="D116" s="165"/>
      <c r="E116" s="74"/>
    </row>
    <row r="117" spans="4:5" ht="12" x14ac:dyDescent="0.2">
      <c r="D117" s="165"/>
      <c r="E117" s="74"/>
    </row>
    <row r="118" spans="4:5" ht="12" x14ac:dyDescent="0.2">
      <c r="D118" s="165"/>
      <c r="E118" s="74"/>
    </row>
    <row r="119" spans="4:5" ht="12" x14ac:dyDescent="0.2">
      <c r="D119" s="165"/>
      <c r="E119" s="74"/>
    </row>
    <row r="120" spans="4:5" ht="12" x14ac:dyDescent="0.2">
      <c r="D120" s="165"/>
      <c r="E120" s="74"/>
    </row>
    <row r="121" spans="4:5" ht="12" x14ac:dyDescent="0.2">
      <c r="D121" s="165"/>
      <c r="E121" s="74"/>
    </row>
    <row r="122" spans="4:5" ht="12" x14ac:dyDescent="0.2">
      <c r="D122" s="165"/>
      <c r="E122" s="74"/>
    </row>
    <row r="123" spans="4:5" ht="12" x14ac:dyDescent="0.2">
      <c r="D123" s="165"/>
      <c r="E123" s="74"/>
    </row>
    <row r="124" spans="4:5" ht="12" x14ac:dyDescent="0.2">
      <c r="D124" s="165"/>
      <c r="E124" s="74"/>
    </row>
    <row r="125" spans="4:5" ht="12" x14ac:dyDescent="0.2">
      <c r="D125" s="165"/>
      <c r="E125" s="74"/>
    </row>
    <row r="126" spans="4:5" ht="12" x14ac:dyDescent="0.2">
      <c r="D126" s="165"/>
      <c r="E126" s="74"/>
    </row>
    <row r="127" spans="4:5" ht="12" x14ac:dyDescent="0.2">
      <c r="D127" s="165"/>
      <c r="E127" s="74"/>
    </row>
    <row r="128" spans="4:5" ht="12" x14ac:dyDescent="0.2">
      <c r="D128" s="165"/>
      <c r="E128" s="74"/>
    </row>
    <row r="129" spans="4:5" ht="12" x14ac:dyDescent="0.2">
      <c r="D129" s="165"/>
      <c r="E129" s="74"/>
    </row>
    <row r="130" spans="4:5" ht="12" x14ac:dyDescent="0.2">
      <c r="D130" s="165"/>
      <c r="E130" s="74"/>
    </row>
    <row r="131" spans="4:5" ht="12" x14ac:dyDescent="0.2">
      <c r="D131" s="165"/>
      <c r="E131" s="74"/>
    </row>
    <row r="132" spans="4:5" ht="12" x14ac:dyDescent="0.2">
      <c r="D132" s="165"/>
      <c r="E132" s="74"/>
    </row>
    <row r="133" spans="4:5" ht="12" x14ac:dyDescent="0.2">
      <c r="D133" s="165"/>
      <c r="E133" s="74"/>
    </row>
    <row r="134" spans="4:5" ht="12" x14ac:dyDescent="0.2">
      <c r="D134" s="165"/>
      <c r="E134" s="74"/>
    </row>
    <row r="135" spans="4:5" ht="12" x14ac:dyDescent="0.2">
      <c r="D135" s="165"/>
      <c r="E135" s="74"/>
    </row>
    <row r="136" spans="4:5" ht="12" x14ac:dyDescent="0.2">
      <c r="D136" s="165"/>
      <c r="E136" s="74"/>
    </row>
    <row r="137" spans="4:5" ht="12" x14ac:dyDescent="0.2">
      <c r="D137" s="165"/>
      <c r="E137" s="74"/>
    </row>
    <row r="138" spans="4:5" ht="12" x14ac:dyDescent="0.2">
      <c r="E138" s="74"/>
    </row>
    <row r="139" spans="4:5" ht="12" x14ac:dyDescent="0.2">
      <c r="E139" s="74"/>
    </row>
    <row r="140" spans="4:5" ht="12" x14ac:dyDescent="0.2">
      <c r="E140" s="74"/>
    </row>
    <row r="141" spans="4:5" ht="12" x14ac:dyDescent="0.2">
      <c r="E141" s="74"/>
    </row>
    <row r="142" spans="4:5" ht="12" x14ac:dyDescent="0.2">
      <c r="E142" s="74"/>
    </row>
    <row r="143" spans="4:5" ht="12" x14ac:dyDescent="0.2">
      <c r="E143" s="74"/>
    </row>
    <row r="144" spans="4:5" ht="12" x14ac:dyDescent="0.2">
      <c r="E144" s="74"/>
    </row>
    <row r="145" spans="5:5" ht="12" x14ac:dyDescent="0.2">
      <c r="E145" s="74"/>
    </row>
    <row r="146" spans="5:5" ht="12" x14ac:dyDescent="0.2">
      <c r="E146" s="74"/>
    </row>
    <row r="147" spans="5:5" ht="12" x14ac:dyDescent="0.2">
      <c r="E147" s="74"/>
    </row>
    <row r="148" spans="5:5" ht="12" x14ac:dyDescent="0.2">
      <c r="E148" s="74"/>
    </row>
    <row r="149" spans="5:5" ht="12" x14ac:dyDescent="0.2">
      <c r="E149" s="74"/>
    </row>
    <row r="150" spans="5:5" ht="12" x14ac:dyDescent="0.2">
      <c r="E150" s="74"/>
    </row>
    <row r="151" spans="5:5" ht="12" x14ac:dyDescent="0.2">
      <c r="E151" s="74"/>
    </row>
    <row r="152" spans="5:5" ht="12" x14ac:dyDescent="0.2">
      <c r="E152" s="74"/>
    </row>
    <row r="153" spans="5:5" ht="12" x14ac:dyDescent="0.2">
      <c r="E153" s="74"/>
    </row>
    <row r="154" spans="5:5" ht="12" x14ac:dyDescent="0.2">
      <c r="E154" s="74"/>
    </row>
    <row r="155" spans="5:5" ht="12" x14ac:dyDescent="0.2">
      <c r="E155" s="74"/>
    </row>
    <row r="156" spans="5:5" ht="12" x14ac:dyDescent="0.2">
      <c r="E156" s="74"/>
    </row>
    <row r="157" spans="5:5" ht="12" x14ac:dyDescent="0.2">
      <c r="E157" s="74"/>
    </row>
    <row r="158" spans="5:5" ht="12" x14ac:dyDescent="0.2">
      <c r="E158" s="74"/>
    </row>
    <row r="159" spans="5:5" ht="12" x14ac:dyDescent="0.2">
      <c r="E159" s="74"/>
    </row>
    <row r="160" spans="5:5" ht="12" x14ac:dyDescent="0.2">
      <c r="E160" s="74"/>
    </row>
    <row r="161" spans="5:5" ht="12" x14ac:dyDescent="0.2">
      <c r="E161" s="74"/>
    </row>
    <row r="162" spans="5:5" ht="12" x14ac:dyDescent="0.2">
      <c r="E162" s="74"/>
    </row>
    <row r="163" spans="5:5" ht="12" x14ac:dyDescent="0.2">
      <c r="E163" s="74"/>
    </row>
    <row r="164" spans="5:5" ht="12" x14ac:dyDescent="0.2">
      <c r="E164" s="74"/>
    </row>
    <row r="165" spans="5:5" ht="12" x14ac:dyDescent="0.2">
      <c r="E165" s="74"/>
    </row>
    <row r="166" spans="5:5" ht="12" x14ac:dyDescent="0.2">
      <c r="E166" s="74"/>
    </row>
    <row r="167" spans="5:5" ht="12" x14ac:dyDescent="0.2">
      <c r="E167" s="74"/>
    </row>
    <row r="168" spans="5:5" ht="12" x14ac:dyDescent="0.2">
      <c r="E168" s="74"/>
    </row>
    <row r="169" spans="5:5" ht="12" x14ac:dyDescent="0.2">
      <c r="E169" s="74"/>
    </row>
    <row r="170" spans="5:5" ht="12" x14ac:dyDescent="0.2">
      <c r="E170" s="74"/>
    </row>
    <row r="171" spans="5:5" ht="12" x14ac:dyDescent="0.2">
      <c r="E171" s="74"/>
    </row>
    <row r="172" spans="5:5" ht="12" x14ac:dyDescent="0.2">
      <c r="E172" s="74"/>
    </row>
    <row r="173" spans="5:5" ht="12" x14ac:dyDescent="0.2">
      <c r="E173" s="74"/>
    </row>
    <row r="174" spans="5:5" ht="12" x14ac:dyDescent="0.2">
      <c r="E174" s="74"/>
    </row>
    <row r="175" spans="5:5" ht="12" x14ac:dyDescent="0.2">
      <c r="E175" s="74"/>
    </row>
    <row r="176" spans="5:5" ht="12" x14ac:dyDescent="0.2">
      <c r="E176" s="74"/>
    </row>
    <row r="177" spans="5:5" ht="12" x14ac:dyDescent="0.2">
      <c r="E177" s="74"/>
    </row>
    <row r="178" spans="5:5" ht="12" x14ac:dyDescent="0.2">
      <c r="E178" s="74"/>
    </row>
    <row r="179" spans="5:5" ht="12" x14ac:dyDescent="0.2">
      <c r="E179" s="74"/>
    </row>
    <row r="180" spans="5:5" ht="12" x14ac:dyDescent="0.2">
      <c r="E180" s="74"/>
    </row>
    <row r="181" spans="5:5" ht="12" x14ac:dyDescent="0.2">
      <c r="E181" s="74"/>
    </row>
    <row r="182" spans="5:5" ht="12" x14ac:dyDescent="0.2">
      <c r="E182" s="74"/>
    </row>
    <row r="183" spans="5:5" ht="12" x14ac:dyDescent="0.2">
      <c r="E183" s="74"/>
    </row>
    <row r="184" spans="5:5" ht="12" x14ac:dyDescent="0.2">
      <c r="E184" s="74"/>
    </row>
    <row r="185" spans="5:5" ht="12" x14ac:dyDescent="0.2">
      <c r="E185" s="74"/>
    </row>
    <row r="186" spans="5:5" ht="12" x14ac:dyDescent="0.2">
      <c r="E186" s="74"/>
    </row>
    <row r="187" spans="5:5" ht="12" x14ac:dyDescent="0.2">
      <c r="E187" s="74"/>
    </row>
    <row r="188" spans="5:5" ht="12" x14ac:dyDescent="0.2">
      <c r="E188" s="74"/>
    </row>
    <row r="189" spans="5:5" ht="12" x14ac:dyDescent="0.2">
      <c r="E189" s="74"/>
    </row>
    <row r="190" spans="5:5" ht="12" x14ac:dyDescent="0.2">
      <c r="E190" s="74"/>
    </row>
    <row r="191" spans="5:5" ht="12" x14ac:dyDescent="0.2">
      <c r="E191" s="74"/>
    </row>
    <row r="192" spans="5:5" ht="12" x14ac:dyDescent="0.2">
      <c r="E192" s="74"/>
    </row>
    <row r="193" spans="5:5" ht="12" x14ac:dyDescent="0.2">
      <c r="E193" s="74"/>
    </row>
    <row r="194" spans="5:5" ht="12" x14ac:dyDescent="0.2">
      <c r="E194" s="74"/>
    </row>
    <row r="195" spans="5:5" ht="12" x14ac:dyDescent="0.2">
      <c r="E195" s="74"/>
    </row>
    <row r="196" spans="5:5" ht="12" x14ac:dyDescent="0.2">
      <c r="E196" s="74"/>
    </row>
    <row r="197" spans="5:5" ht="12" x14ac:dyDescent="0.2">
      <c r="E197" s="74"/>
    </row>
    <row r="198" spans="5:5" ht="12" x14ac:dyDescent="0.2">
      <c r="E198" s="74"/>
    </row>
    <row r="199" spans="5:5" ht="12" x14ac:dyDescent="0.2">
      <c r="E199" s="74"/>
    </row>
    <row r="200" spans="5:5" ht="12" x14ac:dyDescent="0.2">
      <c r="E200" s="74"/>
    </row>
    <row r="201" spans="5:5" ht="12" x14ac:dyDescent="0.2">
      <c r="E201" s="74"/>
    </row>
    <row r="202" spans="5:5" ht="12" x14ac:dyDescent="0.2">
      <c r="E202" s="74"/>
    </row>
    <row r="203" spans="5:5" ht="12" x14ac:dyDescent="0.2">
      <c r="E203" s="74"/>
    </row>
    <row r="204" spans="5:5" ht="12" x14ac:dyDescent="0.2">
      <c r="E204" s="74"/>
    </row>
    <row r="205" spans="5:5" ht="12" x14ac:dyDescent="0.2">
      <c r="E205" s="74"/>
    </row>
    <row r="206" spans="5:5" ht="12" x14ac:dyDescent="0.2">
      <c r="E206" s="74"/>
    </row>
    <row r="207" spans="5:5" ht="12" x14ac:dyDescent="0.2">
      <c r="E207" s="74"/>
    </row>
    <row r="208" spans="5:5" ht="12" x14ac:dyDescent="0.2">
      <c r="E208" s="74"/>
    </row>
    <row r="209" spans="5:5" ht="12" x14ac:dyDescent="0.2">
      <c r="E209" s="74"/>
    </row>
    <row r="210" spans="5:5" ht="12" x14ac:dyDescent="0.2">
      <c r="E210" s="74"/>
    </row>
    <row r="211" spans="5:5" ht="12" x14ac:dyDescent="0.2">
      <c r="E211" s="74"/>
    </row>
    <row r="212" spans="5:5" ht="12" x14ac:dyDescent="0.2">
      <c r="E212" s="74"/>
    </row>
    <row r="213" spans="5:5" ht="12" x14ac:dyDescent="0.2">
      <c r="E213" s="74"/>
    </row>
    <row r="214" spans="5:5" ht="12" x14ac:dyDescent="0.2">
      <c r="E214" s="74"/>
    </row>
    <row r="215" spans="5:5" ht="12" x14ac:dyDescent="0.2">
      <c r="E215" s="74"/>
    </row>
    <row r="216" spans="5:5" ht="12" x14ac:dyDescent="0.2">
      <c r="E216" s="74"/>
    </row>
    <row r="217" spans="5:5" ht="12" x14ac:dyDescent="0.2">
      <c r="E217" s="74"/>
    </row>
    <row r="218" spans="5:5" ht="12" x14ac:dyDescent="0.2">
      <c r="E218" s="74"/>
    </row>
    <row r="219" spans="5:5" ht="12" x14ac:dyDescent="0.2">
      <c r="E219" s="74"/>
    </row>
    <row r="220" spans="5:5" ht="12" x14ac:dyDescent="0.2">
      <c r="E220" s="74"/>
    </row>
    <row r="221" spans="5:5" ht="12" x14ac:dyDescent="0.2">
      <c r="E221" s="74"/>
    </row>
    <row r="222" spans="5:5" ht="12" x14ac:dyDescent="0.2">
      <c r="E222" s="74"/>
    </row>
    <row r="223" spans="5:5" ht="12" x14ac:dyDescent="0.2">
      <c r="E223" s="74"/>
    </row>
    <row r="224" spans="5:5" ht="12" x14ac:dyDescent="0.2">
      <c r="E224" s="74"/>
    </row>
    <row r="225" spans="5:5" ht="12" x14ac:dyDescent="0.2">
      <c r="E225" s="74"/>
    </row>
    <row r="226" spans="5:5" ht="12" x14ac:dyDescent="0.2">
      <c r="E226" s="74"/>
    </row>
    <row r="227" spans="5:5" ht="12" x14ac:dyDescent="0.2">
      <c r="E227" s="74"/>
    </row>
    <row r="228" spans="5:5" ht="12" x14ac:dyDescent="0.2">
      <c r="E228" s="74"/>
    </row>
    <row r="229" spans="5:5" ht="12" x14ac:dyDescent="0.2">
      <c r="E229" s="74"/>
    </row>
    <row r="230" spans="5:5" ht="12" x14ac:dyDescent="0.2">
      <c r="E230" s="74"/>
    </row>
    <row r="231" spans="5:5" ht="12" x14ac:dyDescent="0.2">
      <c r="E231" s="74"/>
    </row>
    <row r="232" spans="5:5" ht="12" x14ac:dyDescent="0.2">
      <c r="E232" s="74"/>
    </row>
    <row r="233" spans="5:5" ht="12" x14ac:dyDescent="0.2">
      <c r="E233" s="74"/>
    </row>
    <row r="234" spans="5:5" ht="12" x14ac:dyDescent="0.2">
      <c r="E234" s="74"/>
    </row>
    <row r="235" spans="5:5" ht="12" x14ac:dyDescent="0.2">
      <c r="E235" s="74"/>
    </row>
    <row r="236" spans="5:5" ht="12" x14ac:dyDescent="0.2">
      <c r="E236" s="74"/>
    </row>
    <row r="237" spans="5:5" ht="12" x14ac:dyDescent="0.2">
      <c r="E237" s="74"/>
    </row>
    <row r="238" spans="5:5" ht="12" x14ac:dyDescent="0.2">
      <c r="E238" s="74"/>
    </row>
    <row r="239" spans="5:5" ht="12" x14ac:dyDescent="0.2">
      <c r="E239" s="74"/>
    </row>
    <row r="240" spans="5:5" ht="12" x14ac:dyDescent="0.2">
      <c r="E240" s="74"/>
    </row>
    <row r="241" spans="5:5" ht="12" x14ac:dyDescent="0.2">
      <c r="E241" s="74"/>
    </row>
    <row r="242" spans="5:5" ht="12" x14ac:dyDescent="0.2">
      <c r="E242" s="74"/>
    </row>
    <row r="243" spans="5:5" ht="12" x14ac:dyDescent="0.2">
      <c r="E243" s="74"/>
    </row>
    <row r="244" spans="5:5" ht="12" x14ac:dyDescent="0.2">
      <c r="E244" s="74"/>
    </row>
    <row r="245" spans="5:5" ht="12" x14ac:dyDescent="0.2">
      <c r="E245" s="74"/>
    </row>
    <row r="246" spans="5:5" ht="12" x14ac:dyDescent="0.2">
      <c r="E246" s="74"/>
    </row>
    <row r="247" spans="5:5" ht="12" x14ac:dyDescent="0.2">
      <c r="E247" s="74"/>
    </row>
    <row r="248" spans="5:5" ht="12" x14ac:dyDescent="0.2">
      <c r="E248" s="74"/>
    </row>
    <row r="249" spans="5:5" ht="12" x14ac:dyDescent="0.2">
      <c r="E249" s="74"/>
    </row>
    <row r="250" spans="5:5" ht="12" x14ac:dyDescent="0.2">
      <c r="E250" s="74"/>
    </row>
    <row r="251" spans="5:5" ht="12" x14ac:dyDescent="0.2">
      <c r="E251" s="74"/>
    </row>
    <row r="252" spans="5:5" x14ac:dyDescent="0.2"/>
    <row r="253" spans="5:5" x14ac:dyDescent="0.2"/>
    <row r="254" spans="5:5" x14ac:dyDescent="0.2"/>
    <row r="255" spans="5:5" x14ac:dyDescent="0.2"/>
    <row r="256" spans="5:5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23</vt:i4>
      </vt:variant>
    </vt:vector>
  </HeadingPairs>
  <TitlesOfParts>
    <vt:vector size="39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proj</vt:lpstr>
      <vt:lpstr>real_disc</vt:lpstr>
      <vt:lpstr>sheets</vt:lpstr>
      <vt:lpstr>start</vt:lpstr>
      <vt:lpstr>start_year</vt:lpstr>
      <vt:lpstr>thous_conv</vt:lpstr>
      <vt:lpstr>update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2025-11-27T04:09:07Z</dcterms:created>
  <dcterms:modified xsi:type="dcterms:W3CDTF">2025-11-30T23:47:55Z</dcterms:modified>
  <cp:category/>
  <cp:contentStatus/>
</cp:coreProperties>
</file>