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13_ncr:1_{18802FBD-345F-4AC2-97B3-E8E1CCFF8B9F}" xr6:coauthVersionLast="47" xr6:coauthVersionMax="47" xr10:uidLastSave="{00000000-0000-0000-0000-000000000000}"/>
  <bookViews>
    <workbookView xWindow="28680" yWindow="-120" windowWidth="29040" windowHeight="15720" tabRatio="684" xr2:uid="{00000000-000D-0000-FFFF-FFFF00000000}"/>
  </bookViews>
  <sheets>
    <sheet name="Cover" sheetId="86" r:id="rId1"/>
    <sheet name="Summary" sheetId="33" r:id="rId2"/>
    <sheet name="Assumptions" sheetId="43" r:id="rId3"/>
    <sheet name="Option1 (base case)" sheetId="68" r:id="rId4"/>
    <sheet name="Option2" sheetId="81" r:id="rId5"/>
    <sheet name="Option3" sheetId="72" r:id="rId6"/>
    <sheet name="Option4" sheetId="73" r:id="rId7"/>
    <sheet name="Option5" sheetId="82" r:id="rId8"/>
    <sheet name="Consol" sheetId="75" r:id="rId9"/>
    <sheet name="Sensitivity_calcs" sheetId="85" r:id="rId10"/>
    <sheet name="Workings_costs" sheetId="87" r:id="rId11"/>
    <sheet name="Workings_risks" sheetId="88" r:id="rId12"/>
    <sheet name="Tx risks" sheetId="89" r:id="rId13"/>
    <sheet name="Misc_calcs" sheetId="62" r:id="rId14"/>
    <sheet name="Data" sheetId="47" r:id="rId15"/>
    <sheet name="EMCa summary" sheetId="91" r:id="rId16"/>
  </sheets>
  <definedNames>
    <definedName name="bus">Assumptions!$E$6</definedName>
    <definedName name="compliance">Data!$E$16</definedName>
    <definedName name="conv_2026">Misc_calcs!$D$19</definedName>
    <definedName name="custval_date">Assumptions!$G$34</definedName>
    <definedName name="CY_years">Misc_calcs!$H$6:$M$6</definedName>
    <definedName name="first_year">Misc_calcs!$C$38</definedName>
    <definedName name="hy_dates">Misc_calcs!$H$11:$R$11</definedName>
    <definedName name="hy_escalation">Misc_calcs!$H$15:$R$15</definedName>
    <definedName name="input_dollars">Assumptions!$G$27</definedName>
    <definedName name="mill_conv">Data!$C$71</definedName>
    <definedName name="NN_LOAD_TRANSFER">'Tx risks'!$C$33</definedName>
    <definedName name="options">Data!$B$9:$B$13</definedName>
    <definedName name="output_dollars">Assumptions!$G$33</definedName>
    <definedName name="preferred">Summary!$C$18</definedName>
    <definedName name="proj">Assumptions!$E$8</definedName>
    <definedName name="real_disc">Assumptions!$G$28</definedName>
    <definedName name="sheets">Cover!$A$40</definedName>
    <definedName name="start">Assumptions!$E$22</definedName>
    <definedName name="start_year">Misc_calcs!$C$25</definedName>
    <definedName name="thous_conv">Data!$C$70</definedName>
    <definedName name="vcr_date">Assumptions!$G$29</definedName>
    <definedName name="vcr_esc">Misc_calcs!$D$23</definedName>
    <definedName name="years">Assumptions!$G$31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" i="62" l="1"/>
  <c r="C32" i="62"/>
  <c r="D33" i="62"/>
  <c r="C33" i="62"/>
  <c r="C34" i="62"/>
  <c r="C35" i="62"/>
  <c r="D34" i="62"/>
  <c r="D35" i="62"/>
  <c r="C38" i="62" a="1"/>
  <c r="C38" i="62"/>
  <c r="I7" i="75"/>
  <c r="J7" i="75"/>
  <c r="K7" i="75"/>
  <c r="L7" i="75"/>
  <c r="M7" i="75"/>
  <c r="N7" i="75"/>
  <c r="O7" i="75"/>
  <c r="P7" i="75"/>
  <c r="Q7" i="75"/>
  <c r="R7" i="75"/>
  <c r="S7" i="75"/>
  <c r="T7" i="75"/>
  <c r="U7" i="75"/>
  <c r="V7" i="75"/>
  <c r="W7" i="75"/>
  <c r="X7" i="75"/>
  <c r="Y7" i="75"/>
  <c r="Z7" i="75"/>
  <c r="AA7" i="75"/>
  <c r="AB7" i="75"/>
  <c r="AC7" i="75"/>
  <c r="AD7" i="75"/>
  <c r="AE7" i="75"/>
  <c r="AF7" i="75"/>
  <c r="AG7" i="75"/>
  <c r="C17" i="62"/>
  <c r="H11" i="62"/>
  <c r="I11" i="62"/>
  <c r="J11" i="62"/>
  <c r="K11" i="62"/>
  <c r="L11" i="62"/>
  <c r="M11" i="62"/>
  <c r="N11" i="62"/>
  <c r="O11" i="62"/>
  <c r="P11" i="62"/>
  <c r="Q11" i="62"/>
  <c r="R11" i="62"/>
  <c r="I12" i="62"/>
  <c r="I6" i="62"/>
  <c r="I13" i="62"/>
  <c r="I15" i="62"/>
  <c r="J12" i="62"/>
  <c r="J13" i="62"/>
  <c r="J15" i="62"/>
  <c r="K12" i="62"/>
  <c r="J6" i="62"/>
  <c r="K13" i="62"/>
  <c r="K15" i="62"/>
  <c r="L12" i="62"/>
  <c r="L13" i="62"/>
  <c r="L15" i="62"/>
  <c r="M12" i="62"/>
  <c r="K6" i="62"/>
  <c r="M13" i="62"/>
  <c r="M15" i="62"/>
  <c r="N12" i="62"/>
  <c r="N13" i="62"/>
  <c r="N15" i="62"/>
  <c r="O12" i="62"/>
  <c r="L6" i="62"/>
  <c r="O13" i="62"/>
  <c r="O15" i="62"/>
  <c r="P12" i="62"/>
  <c r="P13" i="62"/>
  <c r="P15" i="62"/>
  <c r="Q12" i="62"/>
  <c r="M6" i="62"/>
  <c r="Q13" i="62"/>
  <c r="Q15" i="62"/>
  <c r="R12" i="62"/>
  <c r="R13" i="62"/>
  <c r="R15" i="62"/>
  <c r="D17" i="62"/>
  <c r="C16" i="62"/>
  <c r="D16" i="62"/>
  <c r="D19" i="62"/>
  <c r="E24" i="91" a="1"/>
  <c r="E24" i="91"/>
  <c r="E19" i="91" a="1"/>
  <c r="E19" i="91"/>
  <c r="E20" i="91" a="1"/>
  <c r="E20" i="91"/>
  <c r="E21" i="91" a="1"/>
  <c r="E21" i="91"/>
  <c r="E22" i="91" a="1"/>
  <c r="E22" i="91"/>
  <c r="E23" i="91" a="1"/>
  <c r="E23" i="91"/>
  <c r="E9" i="91" a="1"/>
  <c r="E9" i="91"/>
  <c r="E10" i="91" a="1"/>
  <c r="E10" i="91"/>
  <c r="E11" i="91" a="1"/>
  <c r="E11" i="91"/>
  <c r="E12" i="91" a="1"/>
  <c r="E12" i="91"/>
  <c r="E8" i="91" a="1"/>
  <c r="E8" i="91"/>
  <c r="F23" i="88"/>
  <c r="F24" i="88"/>
  <c r="F25" i="88"/>
  <c r="F26" i="88"/>
  <c r="F27" i="88"/>
  <c r="E24" i="88"/>
  <c r="E25" i="88"/>
  <c r="E26" i="88"/>
  <c r="E27" i="88"/>
  <c r="E23" i="88"/>
  <c r="G35" i="88"/>
  <c r="H35" i="88"/>
  <c r="I35" i="88"/>
  <c r="M28" i="72"/>
  <c r="J35" i="88"/>
  <c r="N28" i="72"/>
  <c r="K35" i="88"/>
  <c r="L35" i="88"/>
  <c r="M35" i="88"/>
  <c r="Q28" i="72"/>
  <c r="N35" i="88"/>
  <c r="R28" i="72"/>
  <c r="O35" i="88"/>
  <c r="S28" i="72"/>
  <c r="P35" i="88"/>
  <c r="Q35" i="88"/>
  <c r="Q40" i="88"/>
  <c r="R35" i="88"/>
  <c r="V28" i="72"/>
  <c r="V36" i="72"/>
  <c r="S35" i="88"/>
  <c r="W28" i="72"/>
  <c r="T35" i="88"/>
  <c r="U35" i="88"/>
  <c r="Y28" i="72"/>
  <c r="V35" i="88"/>
  <c r="W35" i="88"/>
  <c r="X35" i="88"/>
  <c r="AB28" i="72"/>
  <c r="Y35" i="88"/>
  <c r="AC28" i="72"/>
  <c r="Z35" i="88"/>
  <c r="AD28" i="72"/>
  <c r="AA35" i="88"/>
  <c r="AB35" i="88"/>
  <c r="AF28" i="72"/>
  <c r="AC35" i="88"/>
  <c r="AG28" i="72"/>
  <c r="G36" i="88"/>
  <c r="K30" i="72"/>
  <c r="H36" i="88"/>
  <c r="L30" i="72"/>
  <c r="I36" i="88"/>
  <c r="J36" i="88"/>
  <c r="N30" i="72"/>
  <c r="K36" i="88"/>
  <c r="O30" i="72"/>
  <c r="L36" i="88"/>
  <c r="M36" i="88"/>
  <c r="Q30" i="72"/>
  <c r="N36" i="88"/>
  <c r="R30" i="72"/>
  <c r="O36" i="88"/>
  <c r="S30" i="72"/>
  <c r="P36" i="88"/>
  <c r="T30" i="72"/>
  <c r="Q36" i="88"/>
  <c r="U30" i="72"/>
  <c r="R36" i="88"/>
  <c r="V30" i="72"/>
  <c r="S36" i="88"/>
  <c r="W30" i="72"/>
  <c r="T36" i="88"/>
  <c r="X30" i="72"/>
  <c r="U36" i="88"/>
  <c r="Y30" i="72"/>
  <c r="V36" i="88"/>
  <c r="Z30" i="72"/>
  <c r="W36" i="88"/>
  <c r="AA30" i="72"/>
  <c r="X36" i="88"/>
  <c r="AB30" i="72"/>
  <c r="Y36" i="88"/>
  <c r="Z36" i="88"/>
  <c r="AA36" i="88"/>
  <c r="AB36" i="88"/>
  <c r="AF30" i="72"/>
  <c r="AC36" i="88"/>
  <c r="AG30" i="72"/>
  <c r="G37" i="88"/>
  <c r="K31" i="72"/>
  <c r="H37" i="88"/>
  <c r="L31" i="72"/>
  <c r="I37" i="88"/>
  <c r="M31" i="72"/>
  <c r="J37" i="88"/>
  <c r="N31" i="72"/>
  <c r="K37" i="88"/>
  <c r="O31" i="72"/>
  <c r="L37" i="88"/>
  <c r="P31" i="72"/>
  <c r="M37" i="88"/>
  <c r="N37" i="88"/>
  <c r="R31" i="72"/>
  <c r="O37" i="88"/>
  <c r="P37" i="88"/>
  <c r="T31" i="72"/>
  <c r="Q37" i="88"/>
  <c r="U31" i="72"/>
  <c r="R37" i="88"/>
  <c r="V31" i="72"/>
  <c r="S37" i="88"/>
  <c r="W31" i="72"/>
  <c r="T37" i="88"/>
  <c r="X31" i="72"/>
  <c r="U37" i="88"/>
  <c r="Y31" i="72"/>
  <c r="V37" i="88"/>
  <c r="Z31" i="72"/>
  <c r="W37" i="88"/>
  <c r="AA31" i="72"/>
  <c r="X37" i="88"/>
  <c r="AB31" i="72"/>
  <c r="Y37" i="88"/>
  <c r="AC31" i="72"/>
  <c r="Z37" i="88"/>
  <c r="AD31" i="72"/>
  <c r="AA37" i="88"/>
  <c r="AE31" i="72"/>
  <c r="AB37" i="88"/>
  <c r="AF31" i="72"/>
  <c r="AC37" i="88"/>
  <c r="AG31" i="72"/>
  <c r="G38" i="88"/>
  <c r="H38" i="88"/>
  <c r="L32" i="72"/>
  <c r="I38" i="88"/>
  <c r="M32" i="72"/>
  <c r="J38" i="88"/>
  <c r="N32" i="72"/>
  <c r="K38" i="88"/>
  <c r="O32" i="72"/>
  <c r="L38" i="88"/>
  <c r="P32" i="72"/>
  <c r="M38" i="88"/>
  <c r="Q32" i="72"/>
  <c r="N38" i="88"/>
  <c r="R32" i="72"/>
  <c r="O38" i="88"/>
  <c r="S32" i="72"/>
  <c r="P38" i="88"/>
  <c r="T32" i="72"/>
  <c r="Q38" i="88"/>
  <c r="U32" i="72"/>
  <c r="R38" i="88"/>
  <c r="V32" i="72"/>
  <c r="S38" i="88"/>
  <c r="W32" i="72"/>
  <c r="T38" i="88"/>
  <c r="X32" i="72"/>
  <c r="U38" i="88"/>
  <c r="Y32" i="72"/>
  <c r="V38" i="88"/>
  <c r="W38" i="88"/>
  <c r="AA32" i="72"/>
  <c r="X38" i="88"/>
  <c r="AB32" i="72"/>
  <c r="Y38" i="88"/>
  <c r="AC32" i="72"/>
  <c r="Z38" i="88"/>
  <c r="AD32" i="72"/>
  <c r="AA38" i="88"/>
  <c r="AE32" i="72"/>
  <c r="AB38" i="88"/>
  <c r="AF32" i="72"/>
  <c r="AC38" i="88"/>
  <c r="AG32" i="72"/>
  <c r="G39" i="88"/>
  <c r="K33" i="72"/>
  <c r="H39" i="88"/>
  <c r="L33" i="72"/>
  <c r="I39" i="88"/>
  <c r="M33" i="72"/>
  <c r="J39" i="88"/>
  <c r="N33" i="72"/>
  <c r="K39" i="88"/>
  <c r="O33" i="72"/>
  <c r="L39" i="88"/>
  <c r="P33" i="72"/>
  <c r="M39" i="88"/>
  <c r="Q33" i="72"/>
  <c r="N39" i="88"/>
  <c r="R33" i="72"/>
  <c r="O39" i="88"/>
  <c r="S33" i="72"/>
  <c r="P39" i="88"/>
  <c r="T33" i="72"/>
  <c r="Q39" i="88"/>
  <c r="U33" i="72"/>
  <c r="R39" i="88"/>
  <c r="V33" i="72"/>
  <c r="S39" i="88"/>
  <c r="W33" i="72"/>
  <c r="T39" i="88"/>
  <c r="X33" i="72"/>
  <c r="U39" i="88"/>
  <c r="Y33" i="72"/>
  <c r="V39" i="88"/>
  <c r="Z33" i="72"/>
  <c r="W39" i="88"/>
  <c r="AA33" i="72"/>
  <c r="X39" i="88"/>
  <c r="AB33" i="72"/>
  <c r="Y39" i="88"/>
  <c r="AC33" i="72"/>
  <c r="Z39" i="88"/>
  <c r="AD33" i="72"/>
  <c r="AA39" i="88"/>
  <c r="AB39" i="88"/>
  <c r="AF33" i="72"/>
  <c r="AC39" i="88"/>
  <c r="AG33" i="72"/>
  <c r="F36" i="88"/>
  <c r="J30" i="72"/>
  <c r="F37" i="88"/>
  <c r="F38" i="88"/>
  <c r="J32" i="72"/>
  <c r="F39" i="88"/>
  <c r="J33" i="72"/>
  <c r="F35" i="88"/>
  <c r="J28" i="72"/>
  <c r="J28" i="81"/>
  <c r="G23" i="88"/>
  <c r="H23" i="88"/>
  <c r="I23" i="88"/>
  <c r="J23" i="88"/>
  <c r="N28" i="81"/>
  <c r="K23" i="88"/>
  <c r="L23" i="88"/>
  <c r="M23" i="88"/>
  <c r="Q28" i="81"/>
  <c r="N23" i="88"/>
  <c r="O23" i="88"/>
  <c r="S28" i="81"/>
  <c r="P23" i="88"/>
  <c r="Q23" i="88"/>
  <c r="U28" i="81"/>
  <c r="R23" i="88"/>
  <c r="S23" i="88"/>
  <c r="W28" i="81"/>
  <c r="T23" i="88"/>
  <c r="X28" i="81"/>
  <c r="U23" i="88"/>
  <c r="Y28" i="81"/>
  <c r="V23" i="88"/>
  <c r="Z28" i="81"/>
  <c r="W23" i="88"/>
  <c r="AA28" i="81"/>
  <c r="X23" i="88"/>
  <c r="AB28" i="81"/>
  <c r="Y23" i="88"/>
  <c r="AC28" i="81"/>
  <c r="Z23" i="88"/>
  <c r="AA23" i="88"/>
  <c r="AB23" i="88"/>
  <c r="AF28" i="81"/>
  <c r="AC23" i="88"/>
  <c r="AG28" i="81"/>
  <c r="J30" i="81"/>
  <c r="G24" i="88"/>
  <c r="K30" i="81"/>
  <c r="H24" i="88"/>
  <c r="I24" i="88"/>
  <c r="M30" i="81"/>
  <c r="J24" i="88"/>
  <c r="K24" i="88"/>
  <c r="O30" i="81"/>
  <c r="L24" i="88"/>
  <c r="M24" i="88"/>
  <c r="Q30" i="81"/>
  <c r="N24" i="88"/>
  <c r="R30" i="81"/>
  <c r="O24" i="88"/>
  <c r="S30" i="81"/>
  <c r="P24" i="88"/>
  <c r="T30" i="81"/>
  <c r="Q24" i="88"/>
  <c r="U30" i="81"/>
  <c r="R24" i="88"/>
  <c r="V30" i="81"/>
  <c r="S24" i="88"/>
  <c r="W30" i="81"/>
  <c r="T24" i="88"/>
  <c r="X30" i="81"/>
  <c r="U24" i="88"/>
  <c r="V24" i="88"/>
  <c r="Z30" i="81"/>
  <c r="W24" i="88"/>
  <c r="X24" i="88"/>
  <c r="AB30" i="81"/>
  <c r="Y24" i="88"/>
  <c r="AC30" i="81"/>
  <c r="Z24" i="88"/>
  <c r="AD30" i="81"/>
  <c r="AA24" i="88"/>
  <c r="AE30" i="81"/>
  <c r="AB24" i="88"/>
  <c r="AF30" i="81"/>
  <c r="AC24" i="88"/>
  <c r="AG30" i="81"/>
  <c r="J31" i="81"/>
  <c r="G25" i="88"/>
  <c r="H25" i="88"/>
  <c r="I25" i="88"/>
  <c r="M31" i="81"/>
  <c r="J25" i="88"/>
  <c r="N31" i="81"/>
  <c r="K25" i="88"/>
  <c r="O31" i="81"/>
  <c r="L25" i="88"/>
  <c r="P31" i="81"/>
  <c r="M25" i="88"/>
  <c r="N25" i="88"/>
  <c r="R31" i="81"/>
  <c r="O25" i="88"/>
  <c r="S31" i="81"/>
  <c r="P25" i="88"/>
  <c r="T31" i="81"/>
  <c r="Q25" i="88"/>
  <c r="U31" i="81"/>
  <c r="R25" i="88"/>
  <c r="S25" i="88"/>
  <c r="W31" i="81"/>
  <c r="T25" i="88"/>
  <c r="X31" i="81"/>
  <c r="U25" i="88"/>
  <c r="Y31" i="81"/>
  <c r="V25" i="88"/>
  <c r="Z31" i="81"/>
  <c r="W25" i="88"/>
  <c r="AA31" i="81"/>
  <c r="X25" i="88"/>
  <c r="AB31" i="81"/>
  <c r="Y25" i="88"/>
  <c r="AC31" i="81"/>
  <c r="Z25" i="88"/>
  <c r="AD31" i="81"/>
  <c r="AA25" i="88"/>
  <c r="AE31" i="81"/>
  <c r="AB25" i="88"/>
  <c r="AF31" i="81"/>
  <c r="AC25" i="88"/>
  <c r="AG31" i="81"/>
  <c r="G26" i="88"/>
  <c r="H26" i="88"/>
  <c r="L32" i="81"/>
  <c r="I26" i="88"/>
  <c r="M32" i="81"/>
  <c r="J26" i="88"/>
  <c r="N32" i="81"/>
  <c r="K26" i="88"/>
  <c r="O32" i="81"/>
  <c r="L26" i="88"/>
  <c r="P32" i="81"/>
  <c r="M26" i="88"/>
  <c r="Q32" i="81"/>
  <c r="N26" i="88"/>
  <c r="R32" i="81"/>
  <c r="O26" i="88"/>
  <c r="S32" i="81"/>
  <c r="P26" i="88"/>
  <c r="T32" i="81"/>
  <c r="Q26" i="88"/>
  <c r="U32" i="81"/>
  <c r="R26" i="88"/>
  <c r="V32" i="81"/>
  <c r="S26" i="88"/>
  <c r="T26" i="88"/>
  <c r="U26" i="88"/>
  <c r="Y32" i="81"/>
  <c r="V26" i="88"/>
  <c r="Z32" i="81"/>
  <c r="W26" i="88"/>
  <c r="AA32" i="81"/>
  <c r="X26" i="88"/>
  <c r="AB32" i="81"/>
  <c r="Y26" i="88"/>
  <c r="AC32" i="81"/>
  <c r="Z26" i="88"/>
  <c r="AD32" i="81"/>
  <c r="AA26" i="88"/>
  <c r="AE32" i="81"/>
  <c r="AB26" i="88"/>
  <c r="AF32" i="81"/>
  <c r="AC26" i="88"/>
  <c r="AG32" i="81"/>
  <c r="J33" i="81"/>
  <c r="G27" i="88"/>
  <c r="H27" i="88"/>
  <c r="L33" i="81"/>
  <c r="I27" i="88"/>
  <c r="M33" i="81"/>
  <c r="J27" i="88"/>
  <c r="N33" i="81"/>
  <c r="K27" i="88"/>
  <c r="O33" i="81"/>
  <c r="L27" i="88"/>
  <c r="P33" i="81"/>
  <c r="M27" i="88"/>
  <c r="Q33" i="81"/>
  <c r="N27" i="88"/>
  <c r="R33" i="81"/>
  <c r="O27" i="88"/>
  <c r="S33" i="81"/>
  <c r="P27" i="88"/>
  <c r="T33" i="81"/>
  <c r="Q27" i="88"/>
  <c r="U33" i="81"/>
  <c r="R27" i="88"/>
  <c r="V33" i="81"/>
  <c r="S27" i="88"/>
  <c r="W33" i="81"/>
  <c r="T27" i="88"/>
  <c r="X33" i="81"/>
  <c r="U27" i="88"/>
  <c r="Y33" i="81"/>
  <c r="V27" i="88"/>
  <c r="Z33" i="81"/>
  <c r="W27" i="88"/>
  <c r="AA33" i="81"/>
  <c r="X27" i="88"/>
  <c r="AB33" i="81"/>
  <c r="Y27" i="88"/>
  <c r="AC33" i="81"/>
  <c r="Z27" i="88"/>
  <c r="AD33" i="81"/>
  <c r="AA27" i="88"/>
  <c r="AE33" i="81"/>
  <c r="AB27" i="88"/>
  <c r="AF33" i="81"/>
  <c r="AC27" i="88"/>
  <c r="AG33" i="81"/>
  <c r="I32" i="81"/>
  <c r="I33" i="81"/>
  <c r="E28" i="88"/>
  <c r="F11" i="88"/>
  <c r="G11" i="88"/>
  <c r="K28" i="68"/>
  <c r="H11" i="88"/>
  <c r="L28" i="68"/>
  <c r="I11" i="88"/>
  <c r="M28" i="68"/>
  <c r="J11" i="88"/>
  <c r="N28" i="68"/>
  <c r="K11" i="88"/>
  <c r="O28" i="68"/>
  <c r="L11" i="88"/>
  <c r="P28" i="68"/>
  <c r="M11" i="88"/>
  <c r="Q28" i="68"/>
  <c r="N11" i="88"/>
  <c r="R28" i="68"/>
  <c r="O11" i="88"/>
  <c r="P11" i="88"/>
  <c r="T28" i="68"/>
  <c r="T99" i="75"/>
  <c r="Q11" i="88"/>
  <c r="U28" i="68"/>
  <c r="R11" i="88"/>
  <c r="S11" i="88"/>
  <c r="W28" i="68"/>
  <c r="W99" i="75"/>
  <c r="T11" i="88"/>
  <c r="U11" i="88"/>
  <c r="Y28" i="68"/>
  <c r="V11" i="88"/>
  <c r="Z28" i="68"/>
  <c r="W11" i="88"/>
  <c r="AA28" i="68"/>
  <c r="AA99" i="75"/>
  <c r="X11" i="88"/>
  <c r="AB28" i="68"/>
  <c r="Y11" i="88"/>
  <c r="Z11" i="88"/>
  <c r="AA11" i="88"/>
  <c r="AB11" i="88"/>
  <c r="AF28" i="68"/>
  <c r="AC11" i="88"/>
  <c r="AG28" i="68"/>
  <c r="F12" i="88"/>
  <c r="J30" i="68"/>
  <c r="G12" i="88"/>
  <c r="K30" i="68"/>
  <c r="H12" i="88"/>
  <c r="I12" i="88"/>
  <c r="J12" i="88"/>
  <c r="N30" i="68"/>
  <c r="K12" i="88"/>
  <c r="O30" i="68"/>
  <c r="L12" i="88"/>
  <c r="P30" i="68"/>
  <c r="M12" i="88"/>
  <c r="N12" i="88"/>
  <c r="R30" i="68"/>
  <c r="O12" i="88"/>
  <c r="S30" i="68"/>
  <c r="P12" i="88"/>
  <c r="Q12" i="88"/>
  <c r="U30" i="68"/>
  <c r="R12" i="88"/>
  <c r="V30" i="68"/>
  <c r="S12" i="88"/>
  <c r="W30" i="68"/>
  <c r="T12" i="88"/>
  <c r="X30" i="68"/>
  <c r="U12" i="88"/>
  <c r="Y30" i="68"/>
  <c r="V12" i="88"/>
  <c r="Z30" i="68"/>
  <c r="W12" i="88"/>
  <c r="AA30" i="68"/>
  <c r="X12" i="88"/>
  <c r="AB30" i="68"/>
  <c r="Y12" i="88"/>
  <c r="AC30" i="68"/>
  <c r="Z12" i="88"/>
  <c r="AA12" i="88"/>
  <c r="AB12" i="88"/>
  <c r="AF30" i="68"/>
  <c r="AC12" i="88"/>
  <c r="F13" i="88"/>
  <c r="J31" i="68"/>
  <c r="G13" i="88"/>
  <c r="H13" i="88"/>
  <c r="L31" i="68"/>
  <c r="I13" i="88"/>
  <c r="M31" i="68"/>
  <c r="J13" i="88"/>
  <c r="N31" i="68"/>
  <c r="K13" i="88"/>
  <c r="O31" i="68"/>
  <c r="L13" i="88"/>
  <c r="P31" i="68"/>
  <c r="M13" i="88"/>
  <c r="Q31" i="68"/>
  <c r="N13" i="88"/>
  <c r="R31" i="68"/>
  <c r="O13" i="88"/>
  <c r="S31" i="68"/>
  <c r="P13" i="88"/>
  <c r="Q13" i="88"/>
  <c r="U31" i="68"/>
  <c r="R13" i="88"/>
  <c r="V31" i="68"/>
  <c r="S13" i="88"/>
  <c r="W31" i="68"/>
  <c r="T13" i="88"/>
  <c r="X31" i="68"/>
  <c r="U13" i="88"/>
  <c r="Y31" i="68"/>
  <c r="V13" i="88"/>
  <c r="Z31" i="68"/>
  <c r="W13" i="88"/>
  <c r="AA31" i="68"/>
  <c r="X13" i="88"/>
  <c r="AB31" i="68"/>
  <c r="Y13" i="88"/>
  <c r="Z13" i="88"/>
  <c r="AA13" i="88"/>
  <c r="AE31" i="68"/>
  <c r="AB13" i="88"/>
  <c r="AC13" i="88"/>
  <c r="F14" i="88"/>
  <c r="J32" i="68"/>
  <c r="G14" i="88"/>
  <c r="K32" i="68"/>
  <c r="H14" i="88"/>
  <c r="L32" i="68"/>
  <c r="I14" i="88"/>
  <c r="M32" i="68"/>
  <c r="J14" i="88"/>
  <c r="N32" i="68"/>
  <c r="K14" i="88"/>
  <c r="O32" i="68"/>
  <c r="L14" i="88"/>
  <c r="P32" i="68"/>
  <c r="M14" i="88"/>
  <c r="N14" i="88"/>
  <c r="O14" i="88"/>
  <c r="P14" i="88"/>
  <c r="T32" i="68"/>
  <c r="Q14" i="88"/>
  <c r="U32" i="68"/>
  <c r="R14" i="88"/>
  <c r="V32" i="68"/>
  <c r="S14" i="88"/>
  <c r="W32" i="68"/>
  <c r="T14" i="88"/>
  <c r="X32" i="68"/>
  <c r="U14" i="88"/>
  <c r="Y32" i="68"/>
  <c r="V14" i="88"/>
  <c r="Z32" i="68"/>
  <c r="W14" i="88"/>
  <c r="AA32" i="68"/>
  <c r="X14" i="88"/>
  <c r="AB32" i="68"/>
  <c r="Y14" i="88"/>
  <c r="Z14" i="88"/>
  <c r="AA14" i="88"/>
  <c r="AB14" i="88"/>
  <c r="AC14" i="88"/>
  <c r="F15" i="88"/>
  <c r="J33" i="68"/>
  <c r="G15" i="88"/>
  <c r="K33" i="68"/>
  <c r="H15" i="88"/>
  <c r="L33" i="68"/>
  <c r="I15" i="88"/>
  <c r="M33" i="68"/>
  <c r="J15" i="88"/>
  <c r="N33" i="68"/>
  <c r="K15" i="88"/>
  <c r="O33" i="68"/>
  <c r="L15" i="88"/>
  <c r="P33" i="68"/>
  <c r="M15" i="88"/>
  <c r="N15" i="88"/>
  <c r="R33" i="68"/>
  <c r="O15" i="88"/>
  <c r="P15" i="88"/>
  <c r="T33" i="68"/>
  <c r="Q15" i="88"/>
  <c r="U33" i="68"/>
  <c r="R15" i="88"/>
  <c r="V33" i="68"/>
  <c r="S15" i="88"/>
  <c r="W33" i="68"/>
  <c r="T15" i="88"/>
  <c r="X33" i="68"/>
  <c r="U15" i="88"/>
  <c r="Y33" i="68"/>
  <c r="V15" i="88"/>
  <c r="Z33" i="68"/>
  <c r="W15" i="88"/>
  <c r="AA33" i="68"/>
  <c r="X15" i="88"/>
  <c r="AB33" i="68"/>
  <c r="Y15" i="88"/>
  <c r="Z15" i="88"/>
  <c r="AA15" i="88"/>
  <c r="AB15" i="88"/>
  <c r="AF33" i="68"/>
  <c r="AC15" i="88"/>
  <c r="AG33" i="68"/>
  <c r="E12" i="88"/>
  <c r="E36" i="88"/>
  <c r="I30" i="72"/>
  <c r="E13" i="88"/>
  <c r="I31" i="68"/>
  <c r="E14" i="88"/>
  <c r="E38" i="88"/>
  <c r="I32" i="72"/>
  <c r="E15" i="88"/>
  <c r="E11" i="88"/>
  <c r="I28" i="68"/>
  <c r="C29" i="91"/>
  <c r="B5" i="91"/>
  <c r="A2" i="91"/>
  <c r="B31" i="88"/>
  <c r="B19" i="88"/>
  <c r="C32" i="72"/>
  <c r="C31" i="72"/>
  <c r="C30" i="72"/>
  <c r="C31" i="81"/>
  <c r="C32" i="81"/>
  <c r="C30" i="81"/>
  <c r="A2" i="89"/>
  <c r="A1" i="89"/>
  <c r="P30" i="72"/>
  <c r="AD30" i="72"/>
  <c r="AE30" i="72"/>
  <c r="Z32" i="72"/>
  <c r="J14" i="72"/>
  <c r="K14" i="72"/>
  <c r="L14" i="72"/>
  <c r="M14" i="72"/>
  <c r="N14" i="72"/>
  <c r="O14" i="72"/>
  <c r="P14" i="72"/>
  <c r="Q14" i="72"/>
  <c r="R14" i="72"/>
  <c r="S14" i="72"/>
  <c r="T14" i="72"/>
  <c r="U14" i="72"/>
  <c r="V14" i="72"/>
  <c r="W14" i="72"/>
  <c r="X14" i="72"/>
  <c r="Y14" i="72"/>
  <c r="Z14" i="72"/>
  <c r="AA14" i="72"/>
  <c r="AB14" i="72"/>
  <c r="AC14" i="72"/>
  <c r="AD14" i="72"/>
  <c r="AE14" i="72"/>
  <c r="AF14" i="72"/>
  <c r="AG14" i="72"/>
  <c r="I14" i="72"/>
  <c r="K31" i="81"/>
  <c r="V31" i="81"/>
  <c r="J32" i="81"/>
  <c r="K32" i="81"/>
  <c r="W32" i="81"/>
  <c r="I31" i="81"/>
  <c r="K28" i="81"/>
  <c r="V28" i="81"/>
  <c r="AE28" i="81"/>
  <c r="J14" i="81"/>
  <c r="K14" i="81"/>
  <c r="L14" i="81"/>
  <c r="M14" i="81"/>
  <c r="N14" i="81"/>
  <c r="O14" i="81"/>
  <c r="P14" i="81"/>
  <c r="Q14" i="81"/>
  <c r="R14" i="81"/>
  <c r="S14" i="81"/>
  <c r="T14" i="81"/>
  <c r="U14" i="81"/>
  <c r="V14" i="81"/>
  <c r="W14" i="81"/>
  <c r="X14" i="81"/>
  <c r="Y14" i="81"/>
  <c r="Z14" i="81"/>
  <c r="AA14" i="81"/>
  <c r="AB14" i="81"/>
  <c r="AC14" i="81"/>
  <c r="AD14" i="81"/>
  <c r="AE14" i="81"/>
  <c r="AF14" i="81"/>
  <c r="AG14" i="81"/>
  <c r="I14" i="81"/>
  <c r="AE30" i="68"/>
  <c r="AD32" i="68"/>
  <c r="AE32" i="68"/>
  <c r="AF32" i="68"/>
  <c r="AG32" i="68"/>
  <c r="Q33" i="68"/>
  <c r="AC33" i="68"/>
  <c r="AD33" i="68"/>
  <c r="AE33" i="68"/>
  <c r="C31" i="68"/>
  <c r="C32" i="68"/>
  <c r="C33" i="68"/>
  <c r="C30" i="68"/>
  <c r="AC28" i="68"/>
  <c r="AD28" i="68"/>
  <c r="AE28" i="68"/>
  <c r="AE33" i="72"/>
  <c r="L28" i="72"/>
  <c r="K33" i="81"/>
  <c r="X32" i="81"/>
  <c r="L31" i="81"/>
  <c r="X28" i="88"/>
  <c r="P30" i="81"/>
  <c r="I30" i="81"/>
  <c r="S33" i="68"/>
  <c r="AC32" i="68"/>
  <c r="S32" i="68"/>
  <c r="R32" i="68"/>
  <c r="Q32" i="68"/>
  <c r="AD31" i="68"/>
  <c r="AC31" i="68"/>
  <c r="T31" i="68"/>
  <c r="K31" i="68"/>
  <c r="AG30" i="68"/>
  <c r="AD30" i="68"/>
  <c r="A2" i="88"/>
  <c r="A1" i="88"/>
  <c r="AC35" i="87"/>
  <c r="AB35" i="87"/>
  <c r="AA35" i="87"/>
  <c r="Z35" i="87"/>
  <c r="Y35" i="87"/>
  <c r="X35" i="87"/>
  <c r="W35" i="87"/>
  <c r="V35" i="87"/>
  <c r="U35" i="87"/>
  <c r="T35" i="87"/>
  <c r="S35" i="87"/>
  <c r="R35" i="87"/>
  <c r="Q35" i="87"/>
  <c r="P35" i="87"/>
  <c r="O35" i="87"/>
  <c r="N35" i="87"/>
  <c r="M35" i="87"/>
  <c r="L35" i="87"/>
  <c r="K35" i="87"/>
  <c r="J35" i="87"/>
  <c r="I35" i="87"/>
  <c r="H35" i="87"/>
  <c r="G35" i="87"/>
  <c r="E35" i="87"/>
  <c r="F35" i="87"/>
  <c r="AC26" i="87"/>
  <c r="AB26" i="87"/>
  <c r="AA26" i="87"/>
  <c r="Z26" i="87"/>
  <c r="Y26" i="87"/>
  <c r="X26" i="87"/>
  <c r="W26" i="87"/>
  <c r="V26" i="87"/>
  <c r="U26" i="87"/>
  <c r="T26" i="87"/>
  <c r="S26" i="87"/>
  <c r="R26" i="87"/>
  <c r="Q26" i="87"/>
  <c r="P26" i="87"/>
  <c r="O26" i="87"/>
  <c r="N26" i="87"/>
  <c r="M26" i="87"/>
  <c r="L26" i="87"/>
  <c r="K26" i="87"/>
  <c r="J26" i="87"/>
  <c r="I26" i="87"/>
  <c r="H26" i="87"/>
  <c r="G26" i="87"/>
  <c r="F26" i="87"/>
  <c r="E26" i="87"/>
  <c r="AC21" i="87"/>
  <c r="AB21" i="87"/>
  <c r="AA21" i="87"/>
  <c r="Z21" i="87"/>
  <c r="Y21" i="87"/>
  <c r="X21" i="87"/>
  <c r="W21" i="87"/>
  <c r="V21" i="87"/>
  <c r="U21" i="87"/>
  <c r="T21" i="87"/>
  <c r="S21" i="87"/>
  <c r="R21" i="87"/>
  <c r="Q21" i="87"/>
  <c r="P21" i="87"/>
  <c r="O21" i="87"/>
  <c r="N21" i="87"/>
  <c r="M21" i="87"/>
  <c r="L21" i="87"/>
  <c r="K21" i="87"/>
  <c r="J21" i="87"/>
  <c r="I21" i="87"/>
  <c r="H21" i="87"/>
  <c r="E21" i="87"/>
  <c r="G21" i="87"/>
  <c r="F21" i="87"/>
  <c r="AC13" i="87"/>
  <c r="AB13" i="87"/>
  <c r="AA13" i="87"/>
  <c r="Z13" i="87"/>
  <c r="Y13" i="87"/>
  <c r="X13" i="87"/>
  <c r="W13" i="87"/>
  <c r="V13" i="87"/>
  <c r="U13" i="87"/>
  <c r="T13" i="87"/>
  <c r="S13" i="87"/>
  <c r="R13" i="87"/>
  <c r="Q13" i="87"/>
  <c r="P13" i="87"/>
  <c r="O13" i="87"/>
  <c r="N13" i="87"/>
  <c r="M13" i="87"/>
  <c r="L13" i="87"/>
  <c r="K13" i="87"/>
  <c r="J13" i="87"/>
  <c r="I13" i="87"/>
  <c r="H13" i="87"/>
  <c r="G13" i="87"/>
  <c r="F13" i="87"/>
  <c r="E13" i="87"/>
  <c r="A2" i="87"/>
  <c r="A1" i="87"/>
  <c r="A40" i="86"/>
  <c r="C33" i="72"/>
  <c r="C33" i="81"/>
  <c r="S28" i="68"/>
  <c r="Q30" i="68"/>
  <c r="K28" i="72"/>
  <c r="Z28" i="72"/>
  <c r="F28" i="88"/>
  <c r="AA28" i="72"/>
  <c r="L28" i="81"/>
  <c r="N16" i="88"/>
  <c r="Y16" i="88"/>
  <c r="I9" i="68"/>
  <c r="H9" i="68"/>
  <c r="H9" i="75"/>
  <c r="H5" i="75"/>
  <c r="C25" i="62"/>
  <c r="A2" i="43"/>
  <c r="C111" i="43"/>
  <c r="C112" i="43"/>
  <c r="C113" i="43"/>
  <c r="C114" i="43"/>
  <c r="C115" i="43"/>
  <c r="A92" i="85"/>
  <c r="A93" i="85"/>
  <c r="A94" i="85"/>
  <c r="A95" i="85"/>
  <c r="A96" i="85"/>
  <c r="A97" i="85"/>
  <c r="A98" i="85"/>
  <c r="A91" i="85"/>
  <c r="B92" i="85"/>
  <c r="B93" i="85"/>
  <c r="B94" i="85"/>
  <c r="B95" i="85"/>
  <c r="B96" i="85"/>
  <c r="B97" i="85"/>
  <c r="B98" i="85"/>
  <c r="B91" i="85"/>
  <c r="G106" i="82"/>
  <c r="G106" i="73"/>
  <c r="G106" i="72"/>
  <c r="G106" i="81"/>
  <c r="G106" i="68"/>
  <c r="E117" i="82"/>
  <c r="D117" i="82"/>
  <c r="C117" i="82"/>
  <c r="A117" i="82"/>
  <c r="G117" i="82"/>
  <c r="E116" i="82"/>
  <c r="D116" i="82"/>
  <c r="C116" i="82"/>
  <c r="A116" i="82"/>
  <c r="G116" i="82"/>
  <c r="E115" i="82"/>
  <c r="D115" i="82"/>
  <c r="C115" i="82"/>
  <c r="A115" i="82"/>
  <c r="G115" i="82"/>
  <c r="E114" i="82"/>
  <c r="D114" i="82"/>
  <c r="C114" i="82"/>
  <c r="A114" i="82"/>
  <c r="G114" i="82"/>
  <c r="E113" i="82"/>
  <c r="D113" i="82"/>
  <c r="C113" i="82"/>
  <c r="A113" i="82"/>
  <c r="G113" i="82"/>
  <c r="E112" i="82"/>
  <c r="D112" i="82"/>
  <c r="C112" i="82"/>
  <c r="A112" i="82"/>
  <c r="G112" i="82"/>
  <c r="E111" i="82"/>
  <c r="D111" i="82"/>
  <c r="C111" i="82"/>
  <c r="A111" i="82"/>
  <c r="G111" i="82"/>
  <c r="E110" i="82"/>
  <c r="D110" i="82"/>
  <c r="C110" i="82"/>
  <c r="A110" i="82"/>
  <c r="G110" i="82"/>
  <c r="E109" i="82"/>
  <c r="D109" i="82"/>
  <c r="E117" i="73"/>
  <c r="D117" i="73"/>
  <c r="C117" i="73"/>
  <c r="A117" i="73"/>
  <c r="G117" i="73"/>
  <c r="E116" i="73"/>
  <c r="D116" i="73"/>
  <c r="C116" i="73"/>
  <c r="A116" i="73"/>
  <c r="G116" i="73"/>
  <c r="E115" i="73"/>
  <c r="D115" i="73"/>
  <c r="C115" i="73"/>
  <c r="A115" i="73"/>
  <c r="G115" i="73"/>
  <c r="E114" i="73"/>
  <c r="D114" i="73"/>
  <c r="C114" i="73"/>
  <c r="A114" i="73"/>
  <c r="G114" i="73"/>
  <c r="E113" i="73"/>
  <c r="D113" i="73"/>
  <c r="C113" i="73"/>
  <c r="A113" i="73"/>
  <c r="G113" i="73"/>
  <c r="E112" i="73"/>
  <c r="D112" i="73"/>
  <c r="C112" i="73"/>
  <c r="A112" i="73"/>
  <c r="G112" i="73"/>
  <c r="E111" i="73"/>
  <c r="D111" i="73"/>
  <c r="C111" i="73"/>
  <c r="A111" i="73"/>
  <c r="G111" i="73"/>
  <c r="E110" i="73"/>
  <c r="D110" i="73"/>
  <c r="C110" i="73"/>
  <c r="A110" i="73"/>
  <c r="G110" i="73"/>
  <c r="E109" i="73"/>
  <c r="D109" i="73"/>
  <c r="E117" i="72"/>
  <c r="D117" i="72"/>
  <c r="C117" i="72"/>
  <c r="A117" i="72"/>
  <c r="G117" i="72"/>
  <c r="E116" i="72"/>
  <c r="D116" i="72"/>
  <c r="C116" i="72"/>
  <c r="A116" i="72"/>
  <c r="G116" i="72"/>
  <c r="E115" i="72"/>
  <c r="D115" i="72"/>
  <c r="C115" i="72"/>
  <c r="A115" i="72"/>
  <c r="G115" i="72"/>
  <c r="E114" i="72"/>
  <c r="D114" i="72"/>
  <c r="C114" i="72"/>
  <c r="A114" i="72"/>
  <c r="G114" i="72"/>
  <c r="E113" i="72"/>
  <c r="D113" i="72"/>
  <c r="C113" i="72"/>
  <c r="A113" i="72"/>
  <c r="G113" i="72"/>
  <c r="E112" i="72"/>
  <c r="D112" i="72"/>
  <c r="C112" i="72"/>
  <c r="A112" i="72"/>
  <c r="G112" i="72"/>
  <c r="E111" i="72"/>
  <c r="D111" i="72"/>
  <c r="C111" i="72"/>
  <c r="A111" i="72"/>
  <c r="G111" i="72"/>
  <c r="E110" i="72"/>
  <c r="D110" i="72"/>
  <c r="C110" i="72"/>
  <c r="A110" i="72"/>
  <c r="G110" i="72"/>
  <c r="E109" i="72"/>
  <c r="D109" i="72"/>
  <c r="E117" i="68"/>
  <c r="D117" i="68"/>
  <c r="C117" i="68"/>
  <c r="A117" i="68"/>
  <c r="G117" i="68"/>
  <c r="E116" i="68"/>
  <c r="D116" i="68"/>
  <c r="C116" i="68"/>
  <c r="A116" i="68"/>
  <c r="G116" i="68"/>
  <c r="E115" i="68"/>
  <c r="D115" i="68"/>
  <c r="C115" i="68"/>
  <c r="A115" i="68"/>
  <c r="G115" i="68"/>
  <c r="E114" i="68"/>
  <c r="D114" i="68"/>
  <c r="C114" i="68"/>
  <c r="A114" i="68"/>
  <c r="G114" i="68"/>
  <c r="E113" i="68"/>
  <c r="D113" i="68"/>
  <c r="C113" i="68"/>
  <c r="A113" i="68"/>
  <c r="G113" i="68"/>
  <c r="E112" i="68"/>
  <c r="D112" i="68"/>
  <c r="C112" i="68"/>
  <c r="A112" i="68"/>
  <c r="G112" i="68"/>
  <c r="E111" i="68"/>
  <c r="D111" i="68"/>
  <c r="C111" i="68"/>
  <c r="A111" i="68"/>
  <c r="G111" i="68"/>
  <c r="E110" i="68"/>
  <c r="D110" i="68"/>
  <c r="C110" i="68"/>
  <c r="A110" i="68"/>
  <c r="G110" i="68"/>
  <c r="E109" i="68"/>
  <c r="D109" i="68"/>
  <c r="A111" i="81"/>
  <c r="A112" i="81"/>
  <c r="A113" i="81"/>
  <c r="A114" i="81"/>
  <c r="A115" i="81"/>
  <c r="A116" i="81"/>
  <c r="A117" i="81"/>
  <c r="A110" i="81"/>
  <c r="E109" i="81"/>
  <c r="D109" i="81"/>
  <c r="C117" i="81"/>
  <c r="C116" i="81"/>
  <c r="C115" i="81"/>
  <c r="D115" i="81"/>
  <c r="E115" i="81"/>
  <c r="D116" i="81"/>
  <c r="E116" i="81"/>
  <c r="D117" i="81"/>
  <c r="E117" i="81"/>
  <c r="E114" i="81"/>
  <c r="D114" i="81"/>
  <c r="E113" i="81"/>
  <c r="D113" i="81"/>
  <c r="E112" i="81"/>
  <c r="D112" i="81"/>
  <c r="E111" i="81"/>
  <c r="D111" i="81"/>
  <c r="E110" i="81"/>
  <c r="D110" i="81"/>
  <c r="J78" i="68"/>
  <c r="K78" i="68"/>
  <c r="L78" i="68"/>
  <c r="M78" i="68"/>
  <c r="N78" i="68"/>
  <c r="O78" i="68"/>
  <c r="P78" i="68"/>
  <c r="Q78" i="68"/>
  <c r="R78" i="68"/>
  <c r="S78" i="68"/>
  <c r="T78" i="68"/>
  <c r="U78" i="68"/>
  <c r="V78" i="68"/>
  <c r="W78" i="68"/>
  <c r="X78" i="68"/>
  <c r="Y78" i="68"/>
  <c r="Z78" i="68"/>
  <c r="AA78" i="68"/>
  <c r="AB78" i="68"/>
  <c r="AC78" i="68"/>
  <c r="AD78" i="68"/>
  <c r="AE78" i="68"/>
  <c r="AF78" i="68"/>
  <c r="AG78" i="68"/>
  <c r="J79" i="68"/>
  <c r="K79" i="68"/>
  <c r="L79" i="68"/>
  <c r="M79" i="68"/>
  <c r="N79" i="68"/>
  <c r="O79" i="68"/>
  <c r="P79" i="68"/>
  <c r="Q79" i="68"/>
  <c r="R79" i="68"/>
  <c r="S79" i="68"/>
  <c r="T79" i="68"/>
  <c r="U79" i="68"/>
  <c r="V79" i="68"/>
  <c r="W79" i="68"/>
  <c r="X79" i="68"/>
  <c r="Y79" i="68"/>
  <c r="Z79" i="68"/>
  <c r="AA79" i="68"/>
  <c r="AB79" i="68"/>
  <c r="AC79" i="68"/>
  <c r="AD79" i="68"/>
  <c r="AE79" i="68"/>
  <c r="AF79" i="68"/>
  <c r="AG79" i="68"/>
  <c r="I79" i="68"/>
  <c r="I78" i="68"/>
  <c r="I77" i="68"/>
  <c r="J77" i="82"/>
  <c r="K77" i="82"/>
  <c r="L77" i="82"/>
  <c r="M77" i="82"/>
  <c r="N77" i="82"/>
  <c r="O77" i="82"/>
  <c r="P77" i="82"/>
  <c r="Q77" i="82"/>
  <c r="R77" i="82"/>
  <c r="S77" i="82"/>
  <c r="T77" i="82"/>
  <c r="U77" i="82"/>
  <c r="V77" i="82"/>
  <c r="W77" i="82"/>
  <c r="X77" i="82"/>
  <c r="Y77" i="82"/>
  <c r="Z77" i="82"/>
  <c r="AA77" i="82"/>
  <c r="AB77" i="82"/>
  <c r="AC77" i="82"/>
  <c r="AD77" i="82"/>
  <c r="AE77" i="82"/>
  <c r="AF77" i="82"/>
  <c r="AG77" i="82"/>
  <c r="J78" i="82"/>
  <c r="K78" i="82"/>
  <c r="L78" i="82"/>
  <c r="M78" i="82"/>
  <c r="N78" i="82"/>
  <c r="O78" i="82"/>
  <c r="P78" i="82"/>
  <c r="Q78" i="82"/>
  <c r="R78" i="82"/>
  <c r="S78" i="82"/>
  <c r="T78" i="82"/>
  <c r="U78" i="82"/>
  <c r="V78" i="82"/>
  <c r="W78" i="82"/>
  <c r="X78" i="82"/>
  <c r="Y78" i="82"/>
  <c r="Z78" i="82"/>
  <c r="AA78" i="82"/>
  <c r="AB78" i="82"/>
  <c r="AC78" i="82"/>
  <c r="AD78" i="82"/>
  <c r="AE78" i="82"/>
  <c r="AF78" i="82"/>
  <c r="AG78" i="82"/>
  <c r="J79" i="82"/>
  <c r="K79" i="82"/>
  <c r="L79" i="82"/>
  <c r="M79" i="82"/>
  <c r="N79" i="82"/>
  <c r="O79" i="82"/>
  <c r="P79" i="82"/>
  <c r="Q79" i="82"/>
  <c r="R79" i="82"/>
  <c r="S79" i="82"/>
  <c r="T79" i="82"/>
  <c r="U79" i="82"/>
  <c r="V79" i="82"/>
  <c r="W79" i="82"/>
  <c r="X79" i="82"/>
  <c r="Y79" i="82"/>
  <c r="Z79" i="82"/>
  <c r="AA79" i="82"/>
  <c r="AB79" i="82"/>
  <c r="AC79" i="82"/>
  <c r="AD79" i="82"/>
  <c r="AE79" i="82"/>
  <c r="AF79" i="82"/>
  <c r="AG79" i="82"/>
  <c r="I79" i="82"/>
  <c r="I78" i="82"/>
  <c r="I77" i="82"/>
  <c r="J77" i="73"/>
  <c r="K77" i="73"/>
  <c r="L77" i="73"/>
  <c r="M77" i="73"/>
  <c r="N77" i="73"/>
  <c r="O77" i="73"/>
  <c r="P77" i="73"/>
  <c r="Q77" i="73"/>
  <c r="R77" i="73"/>
  <c r="S77" i="73"/>
  <c r="T77" i="73"/>
  <c r="U77" i="73"/>
  <c r="V77" i="73"/>
  <c r="W77" i="73"/>
  <c r="X77" i="73"/>
  <c r="Y77" i="73"/>
  <c r="Z77" i="73"/>
  <c r="AA77" i="73"/>
  <c r="AB77" i="73"/>
  <c r="AC77" i="73"/>
  <c r="AD77" i="73"/>
  <c r="AE77" i="73"/>
  <c r="AF77" i="73"/>
  <c r="AG77" i="73"/>
  <c r="J78" i="73"/>
  <c r="K78" i="73"/>
  <c r="L78" i="73"/>
  <c r="M78" i="73"/>
  <c r="N78" i="73"/>
  <c r="O78" i="73"/>
  <c r="P78" i="73"/>
  <c r="Q78" i="73"/>
  <c r="R78" i="73"/>
  <c r="S78" i="73"/>
  <c r="T78" i="73"/>
  <c r="U78" i="73"/>
  <c r="V78" i="73"/>
  <c r="W78" i="73"/>
  <c r="X78" i="73"/>
  <c r="Y78" i="73"/>
  <c r="Z78" i="73"/>
  <c r="AA78" i="73"/>
  <c r="AB78" i="73"/>
  <c r="AC78" i="73"/>
  <c r="AD78" i="73"/>
  <c r="AE78" i="73"/>
  <c r="AF78" i="73"/>
  <c r="AG78" i="73"/>
  <c r="J79" i="73"/>
  <c r="K79" i="73"/>
  <c r="L79" i="73"/>
  <c r="M79" i="73"/>
  <c r="N79" i="73"/>
  <c r="O79" i="73"/>
  <c r="P79" i="73"/>
  <c r="Q79" i="73"/>
  <c r="R79" i="73"/>
  <c r="S79" i="73"/>
  <c r="T79" i="73"/>
  <c r="U79" i="73"/>
  <c r="V79" i="73"/>
  <c r="W79" i="73"/>
  <c r="X79" i="73"/>
  <c r="Y79" i="73"/>
  <c r="Z79" i="73"/>
  <c r="AA79" i="73"/>
  <c r="AB79" i="73"/>
  <c r="AC79" i="73"/>
  <c r="AD79" i="73"/>
  <c r="AE79" i="73"/>
  <c r="AF79" i="73"/>
  <c r="AG79" i="73"/>
  <c r="I79" i="73"/>
  <c r="I78" i="73"/>
  <c r="I77" i="73"/>
  <c r="J79" i="72"/>
  <c r="K79" i="72"/>
  <c r="L79" i="72"/>
  <c r="M79" i="72"/>
  <c r="N79" i="72"/>
  <c r="O79" i="72"/>
  <c r="P79" i="72"/>
  <c r="Q79" i="72"/>
  <c r="R79" i="72"/>
  <c r="S79" i="72"/>
  <c r="T79" i="72"/>
  <c r="U79" i="72"/>
  <c r="V79" i="72"/>
  <c r="W79" i="72"/>
  <c r="X79" i="72"/>
  <c r="Y79" i="72"/>
  <c r="Z79" i="72"/>
  <c r="AA79" i="72"/>
  <c r="AB79" i="72"/>
  <c r="AC79" i="72"/>
  <c r="AD79" i="72"/>
  <c r="AE79" i="72"/>
  <c r="AF79" i="72"/>
  <c r="AG79" i="72"/>
  <c r="I79" i="72"/>
  <c r="I78" i="72"/>
  <c r="I77" i="72"/>
  <c r="I80" i="72"/>
  <c r="I82" i="72"/>
  <c r="J79" i="81"/>
  <c r="K79" i="81"/>
  <c r="L79" i="81"/>
  <c r="M79" i="81"/>
  <c r="N79" i="81"/>
  <c r="O79" i="81"/>
  <c r="P79" i="81"/>
  <c r="Q79" i="81"/>
  <c r="R79" i="81"/>
  <c r="S79" i="81"/>
  <c r="T79" i="81"/>
  <c r="U79" i="81"/>
  <c r="V79" i="81"/>
  <c r="W79" i="81"/>
  <c r="X79" i="81"/>
  <c r="Y79" i="81"/>
  <c r="Z79" i="81"/>
  <c r="AA79" i="81"/>
  <c r="AB79" i="81"/>
  <c r="AC79" i="81"/>
  <c r="AD79" i="81"/>
  <c r="AE79" i="81"/>
  <c r="AF79" i="81"/>
  <c r="AG79" i="81"/>
  <c r="I79" i="81"/>
  <c r="I78" i="81"/>
  <c r="I77" i="81"/>
  <c r="H9" i="85"/>
  <c r="H98" i="75"/>
  <c r="R108" i="47"/>
  <c r="R109" i="47"/>
  <c r="R110" i="47"/>
  <c r="R111" i="47"/>
  <c r="R112" i="47"/>
  <c r="R113" i="47"/>
  <c r="D66" i="33"/>
  <c r="E16" i="47"/>
  <c r="F9" i="47"/>
  <c r="C22" i="85"/>
  <c r="C20" i="85"/>
  <c r="C18" i="85"/>
  <c r="C16" i="85"/>
  <c r="D76" i="33"/>
  <c r="C67" i="33"/>
  <c r="C89" i="85" a="1"/>
  <c r="C89" i="85"/>
  <c r="F66" i="33"/>
  <c r="C72" i="33"/>
  <c r="C74" i="33"/>
  <c r="H40" i="85"/>
  <c r="G37" i="75"/>
  <c r="D14" i="85"/>
  <c r="D70" i="85"/>
  <c r="D56" i="85"/>
  <c r="C78" i="85"/>
  <c r="C76" i="85"/>
  <c r="C74" i="85"/>
  <c r="C72" i="85"/>
  <c r="C64" i="85"/>
  <c r="C62" i="85"/>
  <c r="C60" i="85"/>
  <c r="C58" i="85"/>
  <c r="C50" i="85"/>
  <c r="C48" i="85"/>
  <c r="C46" i="85"/>
  <c r="C44" i="85"/>
  <c r="D42" i="85"/>
  <c r="B65" i="85"/>
  <c r="D65" i="85"/>
  <c r="B59" i="85"/>
  <c r="D59" i="85"/>
  <c r="B75" i="85"/>
  <c r="D75" i="85"/>
  <c r="B61" i="85"/>
  <c r="D61" i="85"/>
  <c r="B62" i="85"/>
  <c r="D62" i="85"/>
  <c r="K74" i="33"/>
  <c r="D75" i="33"/>
  <c r="H66" i="33"/>
  <c r="I66" i="33"/>
  <c r="J66" i="33"/>
  <c r="G66" i="33"/>
  <c r="B76" i="85"/>
  <c r="D76" i="85"/>
  <c r="B73" i="85"/>
  <c r="D73" i="85"/>
  <c r="B63" i="85"/>
  <c r="D63" i="85"/>
  <c r="B60" i="85"/>
  <c r="D60" i="85"/>
  <c r="B64" i="85"/>
  <c r="D64" i="85"/>
  <c r="B77" i="85"/>
  <c r="D77" i="85"/>
  <c r="B74" i="85"/>
  <c r="D74" i="85"/>
  <c r="B78" i="85"/>
  <c r="D78" i="85"/>
  <c r="B79" i="85"/>
  <c r="D79" i="85"/>
  <c r="B58" i="85"/>
  <c r="D58" i="85"/>
  <c r="B72" i="85"/>
  <c r="D72" i="85"/>
  <c r="C112" i="81"/>
  <c r="C114" i="81"/>
  <c r="C36" i="85"/>
  <c r="C110" i="81"/>
  <c r="C23" i="85"/>
  <c r="C21" i="85"/>
  <c r="C30" i="85"/>
  <c r="C32" i="85"/>
  <c r="C34" i="85"/>
  <c r="C19" i="85"/>
  <c r="C111" i="81"/>
  <c r="C17" i="85"/>
  <c r="C68" i="33"/>
  <c r="C70" i="33"/>
  <c r="C113" i="81"/>
  <c r="C61" i="85"/>
  <c r="C47" i="85"/>
  <c r="C75" i="85"/>
  <c r="C63" i="85"/>
  <c r="C49" i="85"/>
  <c r="C77" i="85"/>
  <c r="C45" i="85"/>
  <c r="C73" i="85"/>
  <c r="C59" i="85"/>
  <c r="C35" i="85"/>
  <c r="C51" i="85"/>
  <c r="C65" i="85"/>
  <c r="C79" i="85"/>
  <c r="C37" i="85"/>
  <c r="G70" i="75"/>
  <c r="G56" i="75"/>
  <c r="G42" i="75"/>
  <c r="G28" i="75"/>
  <c r="G14" i="75"/>
  <c r="C31" i="85"/>
  <c r="C33" i="85"/>
  <c r="C73" i="33"/>
  <c r="A6" i="85"/>
  <c r="A2" i="85"/>
  <c r="A1" i="85"/>
  <c r="C71" i="33"/>
  <c r="C69" i="33"/>
  <c r="C21" i="62"/>
  <c r="A1" i="81"/>
  <c r="A2" i="81"/>
  <c r="A1" i="68"/>
  <c r="A2" i="68"/>
  <c r="A2" i="72"/>
  <c r="A2" i="73"/>
  <c r="A2" i="82"/>
  <c r="A1" i="72"/>
  <c r="A1" i="73"/>
  <c r="A1" i="82"/>
  <c r="A1" i="75"/>
  <c r="A2" i="75"/>
  <c r="E9" i="47"/>
  <c r="I6" i="68"/>
  <c r="C9" i="33" a="1"/>
  <c r="C9" i="33"/>
  <c r="D92" i="75"/>
  <c r="D9" i="47"/>
  <c r="A6" i="75"/>
  <c r="I6" i="75"/>
  <c r="I6" i="85"/>
  <c r="H6" i="75"/>
  <c r="H6" i="85"/>
  <c r="H11" i="85" a="1"/>
  <c r="H11" i="85"/>
  <c r="G17" i="33"/>
  <c r="D29" i="33"/>
  <c r="I8" i="33"/>
  <c r="H8" i="33"/>
  <c r="A15" i="75"/>
  <c r="A29" i="75"/>
  <c r="A43" i="75"/>
  <c r="A57" i="75"/>
  <c r="A71" i="75"/>
  <c r="AG17" i="81"/>
  <c r="AF17" i="81"/>
  <c r="AE17" i="81"/>
  <c r="AD17" i="81"/>
  <c r="AC17" i="81"/>
  <c r="AB17" i="81"/>
  <c r="AA17" i="81"/>
  <c r="Z17" i="81"/>
  <c r="Y17" i="81"/>
  <c r="X17" i="81"/>
  <c r="W17" i="81"/>
  <c r="V17" i="81"/>
  <c r="U17" i="81"/>
  <c r="T17" i="81"/>
  <c r="S17" i="81"/>
  <c r="R17" i="81"/>
  <c r="Q17" i="81"/>
  <c r="P17" i="81"/>
  <c r="O17" i="81"/>
  <c r="N17" i="81"/>
  <c r="M17" i="81"/>
  <c r="L17" i="81"/>
  <c r="K17" i="81"/>
  <c r="J17" i="81"/>
  <c r="I17" i="81"/>
  <c r="AG31" i="82" a="1"/>
  <c r="AG31" i="82"/>
  <c r="AF31" i="82" a="1"/>
  <c r="AF31" i="82"/>
  <c r="AE31" i="82" a="1"/>
  <c r="AE31" i="82"/>
  <c r="AD31" i="82" a="1"/>
  <c r="AD31" i="82"/>
  <c r="AC31" i="82" a="1"/>
  <c r="AC31" i="82"/>
  <c r="AB31" i="82" a="1"/>
  <c r="AB31" i="82"/>
  <c r="AA31" i="82" a="1"/>
  <c r="AA31" i="82"/>
  <c r="Z31" i="82" a="1"/>
  <c r="Z31" i="82"/>
  <c r="Y31" i="82" a="1"/>
  <c r="Y31" i="82"/>
  <c r="X31" i="82" a="1"/>
  <c r="X31" i="82"/>
  <c r="W31" i="82" a="1"/>
  <c r="W31" i="82"/>
  <c r="V31" i="82" a="1"/>
  <c r="V31" i="82"/>
  <c r="U31" i="82" a="1"/>
  <c r="U31" i="82"/>
  <c r="T31" i="82" a="1"/>
  <c r="T31" i="82"/>
  <c r="S31" i="82" a="1"/>
  <c r="S31" i="82"/>
  <c r="R31" i="82" a="1"/>
  <c r="R31" i="82"/>
  <c r="Q31" i="82" a="1"/>
  <c r="Q31" i="82"/>
  <c r="P31" i="82" a="1"/>
  <c r="P31" i="82"/>
  <c r="O31" i="82" a="1"/>
  <c r="O31" i="82"/>
  <c r="N31" i="82" a="1"/>
  <c r="N31" i="82"/>
  <c r="M31" i="82" a="1"/>
  <c r="M31" i="82"/>
  <c r="L31" i="82" a="1"/>
  <c r="L31" i="82"/>
  <c r="K31" i="82" a="1"/>
  <c r="K31" i="82"/>
  <c r="J31" i="82" a="1"/>
  <c r="J31" i="82"/>
  <c r="I31" i="82" a="1"/>
  <c r="I31" i="82"/>
  <c r="AG17" i="82"/>
  <c r="AF17" i="82"/>
  <c r="AE17" i="82"/>
  <c r="AD17" i="82"/>
  <c r="AC17" i="82"/>
  <c r="AB17" i="82"/>
  <c r="AA17" i="82"/>
  <c r="Z17" i="82"/>
  <c r="Y17" i="82"/>
  <c r="X17" i="82"/>
  <c r="W17" i="82"/>
  <c r="V17" i="82"/>
  <c r="U17" i="82"/>
  <c r="T17" i="82"/>
  <c r="S17" i="82"/>
  <c r="R17" i="82"/>
  <c r="Q17" i="82"/>
  <c r="P17" i="82"/>
  <c r="O17" i="82"/>
  <c r="N17" i="82"/>
  <c r="M17" i="82"/>
  <c r="L17" i="82"/>
  <c r="K17" i="82"/>
  <c r="J17" i="82"/>
  <c r="I17" i="82"/>
  <c r="AG31" i="73" a="1"/>
  <c r="AG31" i="73"/>
  <c r="AF31" i="73" a="1"/>
  <c r="AF31" i="73"/>
  <c r="AE31" i="73" a="1"/>
  <c r="AE31" i="73"/>
  <c r="AD31" i="73" a="1"/>
  <c r="AD31" i="73"/>
  <c r="AC31" i="73" a="1"/>
  <c r="AC31" i="73"/>
  <c r="AB31" i="73" a="1"/>
  <c r="AB31" i="73"/>
  <c r="AA31" i="73" a="1"/>
  <c r="AA31" i="73"/>
  <c r="Z31" i="73" a="1"/>
  <c r="Z31" i="73"/>
  <c r="Y31" i="73" a="1"/>
  <c r="Y31" i="73"/>
  <c r="X31" i="73" a="1"/>
  <c r="X31" i="73"/>
  <c r="W31" i="73" a="1"/>
  <c r="W31" i="73"/>
  <c r="V31" i="73" a="1"/>
  <c r="V31" i="73"/>
  <c r="U31" i="73" a="1"/>
  <c r="U31" i="73"/>
  <c r="T31" i="73" a="1"/>
  <c r="T31" i="73"/>
  <c r="S31" i="73" a="1"/>
  <c r="S31" i="73"/>
  <c r="R31" i="73" a="1"/>
  <c r="R31" i="73"/>
  <c r="Q31" i="73" a="1"/>
  <c r="Q31" i="73"/>
  <c r="P31" i="73" a="1"/>
  <c r="P31" i="73"/>
  <c r="O31" i="73" a="1"/>
  <c r="O31" i="73"/>
  <c r="N31" i="73" a="1"/>
  <c r="N31" i="73"/>
  <c r="M31" i="73" a="1"/>
  <c r="M31" i="73"/>
  <c r="L31" i="73" a="1"/>
  <c r="L31" i="73"/>
  <c r="K31" i="73" a="1"/>
  <c r="K31" i="73"/>
  <c r="J31" i="73" a="1"/>
  <c r="J31" i="73"/>
  <c r="I31" i="73" a="1"/>
  <c r="I31" i="73"/>
  <c r="AG17" i="73"/>
  <c r="AF17" i="73"/>
  <c r="AE17" i="73"/>
  <c r="AD17" i="73"/>
  <c r="AC17" i="73"/>
  <c r="AB17" i="73"/>
  <c r="AA17" i="73"/>
  <c r="Z17" i="73"/>
  <c r="Y17" i="73"/>
  <c r="X17" i="73"/>
  <c r="W17" i="73"/>
  <c r="V17" i="73"/>
  <c r="U17" i="73"/>
  <c r="T17" i="73"/>
  <c r="S17" i="73"/>
  <c r="R17" i="73"/>
  <c r="Q17" i="73"/>
  <c r="P17" i="73"/>
  <c r="O17" i="73"/>
  <c r="N17" i="73"/>
  <c r="M17" i="73"/>
  <c r="L17" i="73"/>
  <c r="K17" i="73"/>
  <c r="J17" i="73"/>
  <c r="I17" i="73"/>
  <c r="AG83" i="81"/>
  <c r="AG69" i="81"/>
  <c r="AG68" i="81"/>
  <c r="AG67" i="81"/>
  <c r="AG83" i="72"/>
  <c r="AG69" i="72"/>
  <c r="AG68" i="72"/>
  <c r="AG67" i="72"/>
  <c r="AG17" i="72"/>
  <c r="AG83" i="73"/>
  <c r="AG69" i="73"/>
  <c r="AG68" i="73"/>
  <c r="AG67" i="73"/>
  <c r="AG83" i="82"/>
  <c r="AG69" i="82"/>
  <c r="AG68" i="82"/>
  <c r="AG67" i="82"/>
  <c r="AG84" i="68"/>
  <c r="AG83" i="68"/>
  <c r="AG69" i="68"/>
  <c r="AG68" i="68"/>
  <c r="AG67" i="68"/>
  <c r="AG98" i="75"/>
  <c r="AG17" i="68"/>
  <c r="AF83" i="81"/>
  <c r="AF69" i="81"/>
  <c r="AF68" i="81"/>
  <c r="AF67" i="81"/>
  <c r="AF83" i="72"/>
  <c r="AF69" i="72"/>
  <c r="AF68" i="72"/>
  <c r="AF67" i="72"/>
  <c r="AF17" i="72"/>
  <c r="AF83" i="73"/>
  <c r="AF69" i="73"/>
  <c r="AF68" i="73"/>
  <c r="AF67" i="73"/>
  <c r="AF83" i="82"/>
  <c r="AF69" i="82"/>
  <c r="AF68" i="82"/>
  <c r="AF67" i="82"/>
  <c r="AF84" i="68"/>
  <c r="AF83" i="68"/>
  <c r="AF69" i="68"/>
  <c r="AF68" i="68"/>
  <c r="AF67" i="68"/>
  <c r="AF98" i="75"/>
  <c r="AF17" i="68"/>
  <c r="AE83" i="81"/>
  <c r="AE69" i="81"/>
  <c r="AE68" i="81"/>
  <c r="AE67" i="81"/>
  <c r="AE83" i="72"/>
  <c r="AE69" i="72"/>
  <c r="AE68" i="72"/>
  <c r="AE67" i="72"/>
  <c r="AE17" i="72"/>
  <c r="AE83" i="73"/>
  <c r="AE69" i="73"/>
  <c r="AE68" i="73"/>
  <c r="AE67" i="73"/>
  <c r="AE83" i="82"/>
  <c r="AE69" i="82"/>
  <c r="AE68" i="82"/>
  <c r="AE67" i="82"/>
  <c r="AE84" i="68"/>
  <c r="AE83" i="68"/>
  <c r="AE69" i="68"/>
  <c r="AE68" i="68"/>
  <c r="AE67" i="68"/>
  <c r="AE98" i="75"/>
  <c r="AE17" i="68"/>
  <c r="AD83" i="81"/>
  <c r="AD69" i="81"/>
  <c r="AD68" i="81"/>
  <c r="AD67" i="81"/>
  <c r="AD83" i="72"/>
  <c r="AD69" i="72"/>
  <c r="AD68" i="72"/>
  <c r="AD67" i="72"/>
  <c r="AD17" i="72"/>
  <c r="AD83" i="73"/>
  <c r="AD69" i="73"/>
  <c r="AD68" i="73"/>
  <c r="AD67" i="73"/>
  <c r="AD83" i="82"/>
  <c r="AD69" i="82"/>
  <c r="AD68" i="82"/>
  <c r="AD67" i="82"/>
  <c r="AD84" i="68"/>
  <c r="AD83" i="68"/>
  <c r="AD69" i="68"/>
  <c r="AD68" i="68"/>
  <c r="AD67" i="68"/>
  <c r="AD98" i="75"/>
  <c r="AD17" i="68"/>
  <c r="AC83" i="81"/>
  <c r="AC69" i="81"/>
  <c r="AC68" i="81"/>
  <c r="AC67" i="81"/>
  <c r="AC83" i="72"/>
  <c r="AC69" i="72"/>
  <c r="AC68" i="72"/>
  <c r="AC67" i="72"/>
  <c r="AC17" i="72"/>
  <c r="AC83" i="73"/>
  <c r="AC69" i="73"/>
  <c r="AC68" i="73"/>
  <c r="AC67" i="73"/>
  <c r="AC83" i="82"/>
  <c r="AC69" i="82"/>
  <c r="AC68" i="82"/>
  <c r="AC67" i="82"/>
  <c r="AC84" i="68"/>
  <c r="AC83" i="68"/>
  <c r="AC69" i="68"/>
  <c r="AC68" i="68"/>
  <c r="AC67" i="68"/>
  <c r="AC98" i="75"/>
  <c r="AC17" i="68"/>
  <c r="G81" i="75"/>
  <c r="G80" i="75"/>
  <c r="G79" i="75"/>
  <c r="G67" i="75"/>
  <c r="G66" i="75"/>
  <c r="G65" i="75"/>
  <c r="G53" i="75"/>
  <c r="G52" i="75"/>
  <c r="G51" i="75"/>
  <c r="G39" i="75"/>
  <c r="G38" i="75"/>
  <c r="G23" i="75"/>
  <c r="G24" i="75"/>
  <c r="G25" i="75"/>
  <c r="A30" i="75"/>
  <c r="A31" i="75"/>
  <c r="A32" i="75"/>
  <c r="A33" i="75"/>
  <c r="A34" i="75"/>
  <c r="A35" i="75"/>
  <c r="A36" i="75"/>
  <c r="A37" i="75"/>
  <c r="A38" i="75"/>
  <c r="A39" i="75"/>
  <c r="A28" i="75"/>
  <c r="D28" i="75"/>
  <c r="A16" i="75"/>
  <c r="A92" i="75"/>
  <c r="A14" i="75"/>
  <c r="D14" i="75"/>
  <c r="A72" i="75"/>
  <c r="A73" i="75"/>
  <c r="A74" i="75"/>
  <c r="A75" i="75"/>
  <c r="A76" i="75"/>
  <c r="A77" i="75"/>
  <c r="A78" i="75"/>
  <c r="A79" i="75"/>
  <c r="A80" i="75"/>
  <c r="A81" i="75"/>
  <c r="A70" i="75"/>
  <c r="D70" i="75"/>
  <c r="A58" i="75"/>
  <c r="A59" i="75"/>
  <c r="A60" i="75"/>
  <c r="A61" i="75"/>
  <c r="A62" i="75"/>
  <c r="A63" i="75"/>
  <c r="A64" i="75"/>
  <c r="A65" i="75"/>
  <c r="A66" i="75"/>
  <c r="A67" i="75"/>
  <c r="A56" i="75"/>
  <c r="D56" i="75"/>
  <c r="A44" i="75"/>
  <c r="A45" i="75"/>
  <c r="A46" i="75"/>
  <c r="A47" i="75"/>
  <c r="A48" i="75"/>
  <c r="A49" i="75"/>
  <c r="A50" i="75"/>
  <c r="A51" i="75"/>
  <c r="A52" i="75"/>
  <c r="A53" i="75"/>
  <c r="A42" i="75"/>
  <c r="D42" i="75"/>
  <c r="H5" i="85"/>
  <c r="H11" i="75" a="1"/>
  <c r="H11" i="75"/>
  <c r="G90" i="73" a="1"/>
  <c r="G90" i="73"/>
  <c r="AF15" i="75"/>
  <c r="AG15" i="75"/>
  <c r="AE15" i="75"/>
  <c r="AD15" i="75"/>
  <c r="AC15" i="75"/>
  <c r="AB17" i="72"/>
  <c r="AA17" i="72"/>
  <c r="Z17" i="72"/>
  <c r="Y17" i="72"/>
  <c r="X17" i="72"/>
  <c r="W17" i="72"/>
  <c r="V17" i="72"/>
  <c r="U17" i="72"/>
  <c r="T17" i="72"/>
  <c r="S17" i="72"/>
  <c r="R17" i="72"/>
  <c r="Q17" i="72"/>
  <c r="P17" i="72"/>
  <c r="O17" i="72"/>
  <c r="N17" i="72"/>
  <c r="M17" i="72"/>
  <c r="L17" i="72"/>
  <c r="K17" i="72"/>
  <c r="J17" i="72"/>
  <c r="I17" i="72"/>
  <c r="G90" i="72" a="1"/>
  <c r="G90" i="72"/>
  <c r="G92" i="72"/>
  <c r="A17" i="75"/>
  <c r="A18" i="75"/>
  <c r="A19" i="75"/>
  <c r="A20" i="75"/>
  <c r="A21" i="75"/>
  <c r="A22" i="75"/>
  <c r="A23" i="75"/>
  <c r="C54" i="43"/>
  <c r="G63" i="43"/>
  <c r="G62" i="43"/>
  <c r="G61" i="43"/>
  <c r="G60" i="43"/>
  <c r="G59" i="43"/>
  <c r="G58" i="43"/>
  <c r="G57" i="43"/>
  <c r="G56" i="43"/>
  <c r="G55" i="43"/>
  <c r="C56" i="43"/>
  <c r="C57" i="43"/>
  <c r="C58" i="43"/>
  <c r="C59" i="43"/>
  <c r="C60" i="43"/>
  <c r="C61" i="43"/>
  <c r="C62" i="43"/>
  <c r="C63" i="43"/>
  <c r="C55" i="43"/>
  <c r="A24" i="75"/>
  <c r="A25" i="75"/>
  <c r="A99" i="75"/>
  <c r="H99" i="75"/>
  <c r="D91" i="75"/>
  <c r="N7" i="68"/>
  <c r="O7" i="68"/>
  <c r="P7" i="68"/>
  <c r="Q7" i="68"/>
  <c r="R7" i="68"/>
  <c r="S7" i="68"/>
  <c r="T7" i="68"/>
  <c r="U7" i="68"/>
  <c r="V7" i="68"/>
  <c r="W7" i="68"/>
  <c r="X7" i="68"/>
  <c r="Y7" i="68"/>
  <c r="Z7" i="68"/>
  <c r="AA7" i="68"/>
  <c r="AB7" i="68"/>
  <c r="AC7" i="68"/>
  <c r="M7" i="68"/>
  <c r="L7" i="68"/>
  <c r="K7" i="68"/>
  <c r="J7" i="68"/>
  <c r="I7" i="68"/>
  <c r="AC7" i="81"/>
  <c r="AC42" i="81"/>
  <c r="AC7" i="73"/>
  <c r="AC42" i="73"/>
  <c r="AD7" i="68"/>
  <c r="AC7" i="82"/>
  <c r="AC42" i="68"/>
  <c r="AC7" i="72"/>
  <c r="AC42" i="72"/>
  <c r="AC42" i="82"/>
  <c r="AD7" i="81"/>
  <c r="AD42" i="81"/>
  <c r="AD7" i="73"/>
  <c r="AD42" i="73"/>
  <c r="AD42" i="68"/>
  <c r="AE7" i="68"/>
  <c r="AD7" i="82"/>
  <c r="AD7" i="72"/>
  <c r="AD42" i="72"/>
  <c r="AE7" i="81"/>
  <c r="AE42" i="81"/>
  <c r="AF7" i="68"/>
  <c r="AE7" i="82"/>
  <c r="AE42" i="68"/>
  <c r="AE7" i="73"/>
  <c r="AE7" i="72"/>
  <c r="AE42" i="72"/>
  <c r="AD42" i="82"/>
  <c r="G44" i="75"/>
  <c r="C44" i="75"/>
  <c r="G58" i="75"/>
  <c r="C58" i="75"/>
  <c r="G72" i="75"/>
  <c r="C72" i="75"/>
  <c r="AE42" i="73"/>
  <c r="AE42" i="82"/>
  <c r="AF7" i="81"/>
  <c r="AF42" i="81"/>
  <c r="AG7" i="68"/>
  <c r="AF7" i="73"/>
  <c r="AF42" i="73"/>
  <c r="AF7" i="82"/>
  <c r="AF42" i="68"/>
  <c r="AF7" i="72"/>
  <c r="AF42" i="72"/>
  <c r="G30" i="75"/>
  <c r="C30" i="75"/>
  <c r="C16" i="75"/>
  <c r="G16" i="75"/>
  <c r="AG7" i="81"/>
  <c r="AG42" i="81"/>
  <c r="AG7" i="73"/>
  <c r="AG7" i="82"/>
  <c r="AG42" i="68"/>
  <c r="AG7" i="72"/>
  <c r="AG42" i="72"/>
  <c r="AF42" i="82"/>
  <c r="D17" i="75"/>
  <c r="H92" i="75"/>
  <c r="D16" i="75"/>
  <c r="AG42" i="73"/>
  <c r="AG42" i="82"/>
  <c r="AB84" i="68"/>
  <c r="AA84" i="68"/>
  <c r="Z84" i="68"/>
  <c r="Y84" i="68"/>
  <c r="X84" i="68"/>
  <c r="W84" i="68"/>
  <c r="V84" i="68"/>
  <c r="U84" i="68"/>
  <c r="T84" i="68"/>
  <c r="S84" i="68"/>
  <c r="R84" i="68"/>
  <c r="Q84" i="68"/>
  <c r="P84" i="68"/>
  <c r="O84" i="68"/>
  <c r="N84" i="68"/>
  <c r="M84" i="68"/>
  <c r="L84" i="68"/>
  <c r="K84" i="68"/>
  <c r="J84" i="68"/>
  <c r="I84" i="68"/>
  <c r="AB83" i="68"/>
  <c r="AA83" i="68"/>
  <c r="Z83" i="68"/>
  <c r="Y83" i="68"/>
  <c r="X83" i="68"/>
  <c r="W83" i="68"/>
  <c r="V83" i="68"/>
  <c r="U83" i="68"/>
  <c r="T83" i="68"/>
  <c r="S83" i="68"/>
  <c r="R83" i="68"/>
  <c r="Q83" i="68"/>
  <c r="P83" i="68"/>
  <c r="O83" i="68"/>
  <c r="N83" i="68"/>
  <c r="M83" i="68"/>
  <c r="L83" i="68"/>
  <c r="K83" i="68"/>
  <c r="J83" i="68"/>
  <c r="I83" i="68"/>
  <c r="AB83" i="81"/>
  <c r="AA83" i="81"/>
  <c r="Z83" i="81"/>
  <c r="Y83" i="81"/>
  <c r="X83" i="81"/>
  <c r="W83" i="81"/>
  <c r="V83" i="81"/>
  <c r="U83" i="81"/>
  <c r="T83" i="81"/>
  <c r="S83" i="81"/>
  <c r="R83" i="81"/>
  <c r="Q83" i="81"/>
  <c r="P83" i="81"/>
  <c r="O83" i="81"/>
  <c r="N83" i="81"/>
  <c r="M83" i="81"/>
  <c r="L83" i="81"/>
  <c r="K83" i="81"/>
  <c r="J83" i="81"/>
  <c r="I83" i="81"/>
  <c r="AB83" i="82"/>
  <c r="AA83" i="82"/>
  <c r="Z83" i="82"/>
  <c r="Y83" i="82"/>
  <c r="X83" i="82"/>
  <c r="W83" i="82"/>
  <c r="V83" i="82"/>
  <c r="U83" i="82"/>
  <c r="T83" i="82"/>
  <c r="S83" i="82"/>
  <c r="R83" i="82"/>
  <c r="Q83" i="82"/>
  <c r="P83" i="82"/>
  <c r="O83" i="82"/>
  <c r="N83" i="82"/>
  <c r="M83" i="82"/>
  <c r="L83" i="82"/>
  <c r="K83" i="82"/>
  <c r="J83" i="82"/>
  <c r="I83" i="82"/>
  <c r="J83" i="73"/>
  <c r="K83" i="73"/>
  <c r="L83" i="73"/>
  <c r="M83" i="73"/>
  <c r="N83" i="73"/>
  <c r="O83" i="73"/>
  <c r="P83" i="73"/>
  <c r="Q83" i="73"/>
  <c r="R83" i="73"/>
  <c r="S83" i="73"/>
  <c r="T83" i="73"/>
  <c r="U83" i="73"/>
  <c r="V83" i="73"/>
  <c r="W83" i="73"/>
  <c r="X83" i="73"/>
  <c r="Y83" i="73"/>
  <c r="Z83" i="73"/>
  <c r="AA83" i="73"/>
  <c r="AB83" i="73"/>
  <c r="I83" i="73"/>
  <c r="J83" i="72"/>
  <c r="K83" i="72"/>
  <c r="L83" i="72"/>
  <c r="M83" i="72"/>
  <c r="N83" i="72"/>
  <c r="O83" i="72"/>
  <c r="P83" i="72"/>
  <c r="Q83" i="72"/>
  <c r="R83" i="72"/>
  <c r="S83" i="72"/>
  <c r="T83" i="72"/>
  <c r="U83" i="72"/>
  <c r="V83" i="72"/>
  <c r="W83" i="72"/>
  <c r="X83" i="72"/>
  <c r="Y83" i="72"/>
  <c r="Z83" i="72"/>
  <c r="AA83" i="72"/>
  <c r="AB83" i="72"/>
  <c r="I83" i="72"/>
  <c r="C78" i="75"/>
  <c r="C77" i="75"/>
  <c r="C76" i="75"/>
  <c r="C75" i="75"/>
  <c r="C74" i="75"/>
  <c r="C71" i="75"/>
  <c r="C64" i="75"/>
  <c r="C57" i="75"/>
  <c r="C63" i="75"/>
  <c r="C62" i="75"/>
  <c r="C61" i="75"/>
  <c r="C60" i="75"/>
  <c r="K67" i="82"/>
  <c r="M67" i="81"/>
  <c r="L67" i="81"/>
  <c r="I67" i="81"/>
  <c r="J67" i="81"/>
  <c r="K67" i="81"/>
  <c r="N67" i="81"/>
  <c r="O67" i="81"/>
  <c r="P67" i="81"/>
  <c r="Q67" i="81"/>
  <c r="R67" i="81"/>
  <c r="S67" i="81"/>
  <c r="T67" i="81"/>
  <c r="U67" i="81"/>
  <c r="V67" i="81"/>
  <c r="W67" i="81"/>
  <c r="X67" i="81"/>
  <c r="Y67" i="81"/>
  <c r="Z67" i="81"/>
  <c r="AA67" i="81"/>
  <c r="AB67" i="81"/>
  <c r="J68" i="81"/>
  <c r="K68" i="81"/>
  <c r="L68" i="81"/>
  <c r="M68" i="81"/>
  <c r="N68" i="81"/>
  <c r="O68" i="81"/>
  <c r="P68" i="81"/>
  <c r="Q68" i="81"/>
  <c r="R68" i="81"/>
  <c r="S68" i="81"/>
  <c r="T68" i="81"/>
  <c r="U68" i="81"/>
  <c r="V68" i="81"/>
  <c r="W68" i="81"/>
  <c r="X68" i="81"/>
  <c r="Y68" i="81"/>
  <c r="Z68" i="81"/>
  <c r="AA68" i="81"/>
  <c r="AB68" i="81"/>
  <c r="J69" i="81"/>
  <c r="K69" i="81"/>
  <c r="L69" i="81"/>
  <c r="M69" i="81"/>
  <c r="N69" i="81"/>
  <c r="O69" i="81"/>
  <c r="P69" i="81"/>
  <c r="Q69" i="81"/>
  <c r="R69" i="81"/>
  <c r="S69" i="81"/>
  <c r="T69" i="81"/>
  <c r="U69" i="81"/>
  <c r="V69" i="81"/>
  <c r="W69" i="81"/>
  <c r="X69" i="81"/>
  <c r="Y69" i="81"/>
  <c r="Z69" i="81"/>
  <c r="AA69" i="81"/>
  <c r="AB69" i="81"/>
  <c r="J67" i="72"/>
  <c r="K67" i="72"/>
  <c r="L67" i="72"/>
  <c r="M67" i="72"/>
  <c r="N67" i="72"/>
  <c r="O67" i="72"/>
  <c r="P67" i="72"/>
  <c r="Q67" i="72"/>
  <c r="R67" i="72"/>
  <c r="S67" i="72"/>
  <c r="T67" i="72"/>
  <c r="U67" i="72"/>
  <c r="V67" i="72"/>
  <c r="W67" i="72"/>
  <c r="X67" i="72"/>
  <c r="Y67" i="72"/>
  <c r="Z67" i="72"/>
  <c r="AA67" i="72"/>
  <c r="AB67" i="72"/>
  <c r="J68" i="72"/>
  <c r="K68" i="72"/>
  <c r="L68" i="72"/>
  <c r="M68" i="72"/>
  <c r="N68" i="72"/>
  <c r="O68" i="72"/>
  <c r="P68" i="72"/>
  <c r="Q68" i="72"/>
  <c r="R68" i="72"/>
  <c r="S68" i="72"/>
  <c r="T68" i="72"/>
  <c r="U68" i="72"/>
  <c r="V68" i="72"/>
  <c r="W68" i="72"/>
  <c r="X68" i="72"/>
  <c r="Y68" i="72"/>
  <c r="Z68" i="72"/>
  <c r="AA68" i="72"/>
  <c r="AB68" i="72"/>
  <c r="J69" i="72"/>
  <c r="K69" i="72"/>
  <c r="L69" i="72"/>
  <c r="M69" i="72"/>
  <c r="N69" i="72"/>
  <c r="O69" i="72"/>
  <c r="P69" i="72"/>
  <c r="Q69" i="72"/>
  <c r="R69" i="72"/>
  <c r="S69" i="72"/>
  <c r="T69" i="72"/>
  <c r="U69" i="72"/>
  <c r="V69" i="72"/>
  <c r="W69" i="72"/>
  <c r="X69" i="72"/>
  <c r="Y69" i="72"/>
  <c r="Z69" i="72"/>
  <c r="AA69" i="72"/>
  <c r="AB69" i="72"/>
  <c r="J67" i="73"/>
  <c r="K67" i="73"/>
  <c r="L67" i="73"/>
  <c r="M67" i="73"/>
  <c r="N67" i="73"/>
  <c r="O67" i="73"/>
  <c r="P67" i="73"/>
  <c r="Q67" i="73"/>
  <c r="R67" i="73"/>
  <c r="S67" i="73"/>
  <c r="T67" i="73"/>
  <c r="U67" i="73"/>
  <c r="V67" i="73"/>
  <c r="W67" i="73"/>
  <c r="X67" i="73"/>
  <c r="Y67" i="73"/>
  <c r="Z67" i="73"/>
  <c r="AA67" i="73"/>
  <c r="AB67" i="73"/>
  <c r="J68" i="73"/>
  <c r="K68" i="73"/>
  <c r="L68" i="73"/>
  <c r="M68" i="73"/>
  <c r="N68" i="73"/>
  <c r="O68" i="73"/>
  <c r="P68" i="73"/>
  <c r="Q68" i="73"/>
  <c r="R68" i="73"/>
  <c r="S68" i="73"/>
  <c r="T68" i="73"/>
  <c r="U68" i="73"/>
  <c r="V68" i="73"/>
  <c r="W68" i="73"/>
  <c r="X68" i="73"/>
  <c r="Y68" i="73"/>
  <c r="Z68" i="73"/>
  <c r="AA68" i="73"/>
  <c r="AB68" i="73"/>
  <c r="J69" i="73"/>
  <c r="K69" i="73"/>
  <c r="L69" i="73"/>
  <c r="M69" i="73"/>
  <c r="N69" i="73"/>
  <c r="O69" i="73"/>
  <c r="P69" i="73"/>
  <c r="Q69" i="73"/>
  <c r="R69" i="73"/>
  <c r="S69" i="73"/>
  <c r="T69" i="73"/>
  <c r="U69" i="73"/>
  <c r="V69" i="73"/>
  <c r="W69" i="73"/>
  <c r="X69" i="73"/>
  <c r="Y69" i="73"/>
  <c r="Z69" i="73"/>
  <c r="AA69" i="73"/>
  <c r="AB69" i="73"/>
  <c r="J67" i="82"/>
  <c r="L67" i="82"/>
  <c r="M67" i="82"/>
  <c r="N67" i="82"/>
  <c r="O67" i="82"/>
  <c r="P67" i="82"/>
  <c r="Q67" i="82"/>
  <c r="R67" i="82"/>
  <c r="S67" i="82"/>
  <c r="T67" i="82"/>
  <c r="U67" i="82"/>
  <c r="V67" i="82"/>
  <c r="W67" i="82"/>
  <c r="X67" i="82"/>
  <c r="Y67" i="82"/>
  <c r="Z67" i="82"/>
  <c r="AA67" i="82"/>
  <c r="AB67" i="82"/>
  <c r="J68" i="82"/>
  <c r="K68" i="82"/>
  <c r="L68" i="82"/>
  <c r="M68" i="82"/>
  <c r="N68" i="82"/>
  <c r="O68" i="82"/>
  <c r="P68" i="82"/>
  <c r="Q68" i="82"/>
  <c r="R68" i="82"/>
  <c r="S68" i="82"/>
  <c r="T68" i="82"/>
  <c r="U68" i="82"/>
  <c r="V68" i="82"/>
  <c r="W68" i="82"/>
  <c r="X68" i="82"/>
  <c r="Y68" i="82"/>
  <c r="Z68" i="82"/>
  <c r="AA68" i="82"/>
  <c r="AB68" i="82"/>
  <c r="J69" i="82"/>
  <c r="K69" i="82"/>
  <c r="L69" i="82"/>
  <c r="M69" i="82"/>
  <c r="N69" i="82"/>
  <c r="O69" i="82"/>
  <c r="P69" i="82"/>
  <c r="Q69" i="82"/>
  <c r="R69" i="82"/>
  <c r="S69" i="82"/>
  <c r="T69" i="82"/>
  <c r="U69" i="82"/>
  <c r="V69" i="82"/>
  <c r="W69" i="82"/>
  <c r="X69" i="82"/>
  <c r="Y69" i="82"/>
  <c r="Z69" i="82"/>
  <c r="AA69" i="82"/>
  <c r="AB69" i="82"/>
  <c r="J67" i="68"/>
  <c r="K67" i="68"/>
  <c r="L67" i="68"/>
  <c r="M67" i="68"/>
  <c r="N67" i="68"/>
  <c r="O67" i="68"/>
  <c r="P67" i="68"/>
  <c r="Q67" i="68"/>
  <c r="R67" i="68"/>
  <c r="S67" i="68"/>
  <c r="T67" i="68"/>
  <c r="U67" i="68"/>
  <c r="V67" i="68"/>
  <c r="W67" i="68"/>
  <c r="X67" i="68"/>
  <c r="Y67" i="68"/>
  <c r="Z67" i="68"/>
  <c r="AA67" i="68"/>
  <c r="AB67" i="68"/>
  <c r="J68" i="68"/>
  <c r="K68" i="68"/>
  <c r="L68" i="68"/>
  <c r="M68" i="68"/>
  <c r="N68" i="68"/>
  <c r="O68" i="68"/>
  <c r="P68" i="68"/>
  <c r="Q68" i="68"/>
  <c r="R68" i="68"/>
  <c r="S68" i="68"/>
  <c r="T68" i="68"/>
  <c r="U68" i="68"/>
  <c r="V68" i="68"/>
  <c r="W68" i="68"/>
  <c r="X68" i="68"/>
  <c r="Y68" i="68"/>
  <c r="Z68" i="68"/>
  <c r="AA68" i="68"/>
  <c r="AB68" i="68"/>
  <c r="J69" i="68"/>
  <c r="K69" i="68"/>
  <c r="L69" i="68"/>
  <c r="M69" i="68"/>
  <c r="N69" i="68"/>
  <c r="O69" i="68"/>
  <c r="P69" i="68"/>
  <c r="Q69" i="68"/>
  <c r="R69" i="68"/>
  <c r="S69" i="68"/>
  <c r="T69" i="68"/>
  <c r="U69" i="68"/>
  <c r="V69" i="68"/>
  <c r="W69" i="68"/>
  <c r="X69" i="68"/>
  <c r="Y69" i="68"/>
  <c r="Z69" i="68"/>
  <c r="AA69" i="68"/>
  <c r="AB69" i="68"/>
  <c r="I69" i="81"/>
  <c r="I68" i="81"/>
  <c r="I69" i="72"/>
  <c r="I68" i="72"/>
  <c r="I67" i="72"/>
  <c r="I69" i="73"/>
  <c r="I68" i="73"/>
  <c r="I67" i="73"/>
  <c r="I69" i="82"/>
  <c r="I68" i="82"/>
  <c r="I67" i="82"/>
  <c r="I69" i="68"/>
  <c r="I68" i="68"/>
  <c r="I67" i="68"/>
  <c r="C79" i="81"/>
  <c r="C78" i="81"/>
  <c r="C77" i="81"/>
  <c r="C74" i="81"/>
  <c r="C73" i="81"/>
  <c r="C72" i="81"/>
  <c r="C69" i="81"/>
  <c r="C68" i="81"/>
  <c r="C67" i="81"/>
  <c r="C79" i="72"/>
  <c r="C78" i="72"/>
  <c r="C77" i="72"/>
  <c r="C74" i="72"/>
  <c r="C73" i="72"/>
  <c r="C72" i="72"/>
  <c r="C69" i="72"/>
  <c r="C68" i="72"/>
  <c r="C67" i="72"/>
  <c r="C79" i="73"/>
  <c r="C78" i="73"/>
  <c r="C77" i="73"/>
  <c r="C74" i="73"/>
  <c r="C73" i="73"/>
  <c r="C72" i="73"/>
  <c r="C69" i="73"/>
  <c r="C68" i="73"/>
  <c r="C67" i="73"/>
  <c r="C79" i="82"/>
  <c r="C78" i="82"/>
  <c r="C77" i="82"/>
  <c r="C74" i="82"/>
  <c r="C73" i="82"/>
  <c r="C72" i="82"/>
  <c r="C69" i="82"/>
  <c r="C68" i="82"/>
  <c r="C67" i="82"/>
  <c r="C79" i="68"/>
  <c r="C78" i="68"/>
  <c r="C77" i="68"/>
  <c r="C74" i="68"/>
  <c r="C73" i="68"/>
  <c r="C72" i="68"/>
  <c r="C69" i="68"/>
  <c r="C68" i="68"/>
  <c r="C67" i="68"/>
  <c r="I72" i="68" a="1"/>
  <c r="I72" i="68"/>
  <c r="J77" i="68"/>
  <c r="I73" i="68" a="1"/>
  <c r="I73" i="68"/>
  <c r="I80" i="68"/>
  <c r="I82" i="68"/>
  <c r="I107" i="68"/>
  <c r="I74" i="68" a="1"/>
  <c r="I74" i="68"/>
  <c r="W15" i="75"/>
  <c r="O15" i="75"/>
  <c r="Y15" i="75"/>
  <c r="Q15" i="75"/>
  <c r="X15" i="75"/>
  <c r="P15" i="75"/>
  <c r="V15" i="75"/>
  <c r="N15" i="75"/>
  <c r="U15" i="75"/>
  <c r="M15" i="75"/>
  <c r="AB15" i="75"/>
  <c r="T15" i="75"/>
  <c r="L15" i="75"/>
  <c r="S15" i="75"/>
  <c r="AA15" i="75"/>
  <c r="K15" i="75"/>
  <c r="Z15" i="75"/>
  <c r="R15" i="75"/>
  <c r="J15" i="75"/>
  <c r="C50" i="75"/>
  <c r="C49" i="75"/>
  <c r="C48" i="75"/>
  <c r="C47" i="75"/>
  <c r="C46" i="75"/>
  <c r="C43" i="75"/>
  <c r="G50" i="75"/>
  <c r="G49" i="75"/>
  <c r="G48" i="75"/>
  <c r="G47" i="75"/>
  <c r="G46" i="75"/>
  <c r="G43" i="75"/>
  <c r="D41" i="75"/>
  <c r="C64" i="82"/>
  <c r="A7" i="82"/>
  <c r="I6" i="82"/>
  <c r="A6" i="82"/>
  <c r="D82" i="75"/>
  <c r="C36" i="75"/>
  <c r="C22" i="75"/>
  <c r="I72" i="82" a="1"/>
  <c r="I72" i="82"/>
  <c r="I74" i="82" a="1"/>
  <c r="I74" i="82"/>
  <c r="I73" i="82" a="1"/>
  <c r="I73" i="82"/>
  <c r="C13" i="47"/>
  <c r="D43" i="75"/>
  <c r="C64" i="72"/>
  <c r="F13" i="47"/>
  <c r="D13" i="47"/>
  <c r="A4" i="82"/>
  <c r="I80" i="82"/>
  <c r="I82" i="82"/>
  <c r="I107" i="82"/>
  <c r="D44" i="75"/>
  <c r="C34" i="75"/>
  <c r="G29" i="33"/>
  <c r="H29" i="33"/>
  <c r="I29" i="33"/>
  <c r="J29" i="33"/>
  <c r="F29" i="33"/>
  <c r="A7" i="81"/>
  <c r="I6" i="81"/>
  <c r="A6" i="81"/>
  <c r="I72" i="81" a="1"/>
  <c r="I72" i="81"/>
  <c r="J77" i="81"/>
  <c r="I73" i="81" a="1"/>
  <c r="I73" i="81"/>
  <c r="J78" i="81"/>
  <c r="I74" i="81" a="1"/>
  <c r="I74" i="81"/>
  <c r="D72" i="75"/>
  <c r="D58" i="75"/>
  <c r="D46" i="75"/>
  <c r="D30" i="75"/>
  <c r="C10" i="47"/>
  <c r="F10" i="47"/>
  <c r="D10" i="47"/>
  <c r="A4" i="81"/>
  <c r="I80" i="81"/>
  <c r="D65" i="75"/>
  <c r="D79" i="75"/>
  <c r="D37" i="75"/>
  <c r="D47" i="75"/>
  <c r="I82" i="81"/>
  <c r="I107" i="81"/>
  <c r="D81" i="75"/>
  <c r="D80" i="75"/>
  <c r="D39" i="75"/>
  <c r="D38" i="75"/>
  <c r="D67" i="75"/>
  <c r="D66" i="75"/>
  <c r="D25" i="75"/>
  <c r="D24" i="75"/>
  <c r="D48" i="75"/>
  <c r="D31" i="75"/>
  <c r="A7" i="73"/>
  <c r="I6" i="73"/>
  <c r="A6" i="73"/>
  <c r="A7" i="72"/>
  <c r="I6" i="72"/>
  <c r="A6" i="72"/>
  <c r="I74" i="73" a="1"/>
  <c r="I74" i="73"/>
  <c r="I72" i="73" a="1"/>
  <c r="I72" i="73"/>
  <c r="I73" i="73" a="1"/>
  <c r="I73" i="73"/>
  <c r="I74" i="72" a="1"/>
  <c r="I74" i="72"/>
  <c r="I73" i="72" a="1"/>
  <c r="I73" i="72"/>
  <c r="J78" i="72"/>
  <c r="D49" i="75"/>
  <c r="I80" i="73"/>
  <c r="D51" i="75"/>
  <c r="D50" i="75"/>
  <c r="I82" i="73"/>
  <c r="I107" i="73"/>
  <c r="D53" i="75"/>
  <c r="D52" i="75"/>
  <c r="D76" i="75"/>
  <c r="D62" i="75"/>
  <c r="D34" i="75"/>
  <c r="D26" i="75"/>
  <c r="D27" i="75"/>
  <c r="D59" i="75"/>
  <c r="D69" i="75"/>
  <c r="D73" i="75"/>
  <c r="D23" i="75"/>
  <c r="G78" i="75"/>
  <c r="G77" i="75"/>
  <c r="G76" i="75"/>
  <c r="G75" i="75"/>
  <c r="G74" i="75"/>
  <c r="G71" i="75"/>
  <c r="G64" i="75"/>
  <c r="G63" i="75"/>
  <c r="G62" i="75"/>
  <c r="G61" i="75"/>
  <c r="G60" i="75"/>
  <c r="G57" i="75"/>
  <c r="G36" i="75"/>
  <c r="G35" i="75"/>
  <c r="G34" i="75"/>
  <c r="G33" i="75"/>
  <c r="G32" i="75"/>
  <c r="G29" i="75"/>
  <c r="C20" i="75"/>
  <c r="D20" i="75"/>
  <c r="G22" i="75"/>
  <c r="G21" i="75"/>
  <c r="G20" i="75"/>
  <c r="G19" i="75"/>
  <c r="G18" i="75"/>
  <c r="G15" i="75"/>
  <c r="J98" i="75"/>
  <c r="K98" i="75"/>
  <c r="L98" i="75"/>
  <c r="M98" i="75"/>
  <c r="N98" i="75"/>
  <c r="O98" i="75"/>
  <c r="P98" i="75"/>
  <c r="Q98" i="75"/>
  <c r="R98" i="75"/>
  <c r="S98" i="75"/>
  <c r="T98" i="75"/>
  <c r="U98" i="75"/>
  <c r="V98" i="75"/>
  <c r="W98" i="75"/>
  <c r="X98" i="75"/>
  <c r="Y98" i="75"/>
  <c r="Z98" i="75"/>
  <c r="AA98" i="75"/>
  <c r="AB98" i="75"/>
  <c r="C12" i="47"/>
  <c r="I98" i="75"/>
  <c r="F12" i="47"/>
  <c r="D12" i="47"/>
  <c r="A4" i="73"/>
  <c r="G92" i="73"/>
  <c r="J7" i="82"/>
  <c r="J42" i="82"/>
  <c r="K7" i="82"/>
  <c r="K42" i="82"/>
  <c r="L7" i="82"/>
  <c r="L42" i="82"/>
  <c r="M7" i="82"/>
  <c r="M42" i="82"/>
  <c r="N7" i="82"/>
  <c r="N42" i="82"/>
  <c r="I7" i="82"/>
  <c r="I42" i="82"/>
  <c r="L7" i="81"/>
  <c r="L42" i="81"/>
  <c r="N7" i="81"/>
  <c r="N42" i="81"/>
  <c r="M7" i="81"/>
  <c r="M42" i="81"/>
  <c r="K7" i="81"/>
  <c r="K42" i="81"/>
  <c r="I7" i="81"/>
  <c r="I42" i="81"/>
  <c r="J7" i="81"/>
  <c r="J42" i="81"/>
  <c r="N42" i="68"/>
  <c r="N7" i="73"/>
  <c r="N42" i="73"/>
  <c r="N7" i="72"/>
  <c r="N42" i="72"/>
  <c r="M42" i="68"/>
  <c r="M7" i="72"/>
  <c r="M42" i="72"/>
  <c r="M7" i="73"/>
  <c r="M42" i="73"/>
  <c r="K42" i="68"/>
  <c r="K7" i="73"/>
  <c r="K42" i="73"/>
  <c r="K7" i="72"/>
  <c r="K42" i="72"/>
  <c r="L42" i="68"/>
  <c r="L7" i="73"/>
  <c r="L42" i="73"/>
  <c r="L7" i="72"/>
  <c r="L42" i="72"/>
  <c r="I42" i="68"/>
  <c r="I7" i="73"/>
  <c r="I42" i="73"/>
  <c r="I7" i="72"/>
  <c r="I42" i="72"/>
  <c r="J42" i="68"/>
  <c r="J7" i="73"/>
  <c r="J42" i="73"/>
  <c r="J7" i="72"/>
  <c r="J42" i="72"/>
  <c r="O7" i="82"/>
  <c r="O42" i="82"/>
  <c r="J17" i="68"/>
  <c r="K17" i="68"/>
  <c r="L17" i="68"/>
  <c r="M17" i="68"/>
  <c r="N17" i="68"/>
  <c r="O17" i="68"/>
  <c r="P17" i="68"/>
  <c r="Q17" i="68"/>
  <c r="R17" i="68"/>
  <c r="S17" i="68"/>
  <c r="T17" i="68"/>
  <c r="U17" i="68"/>
  <c r="V17" i="68"/>
  <c r="W17" i="68"/>
  <c r="X17" i="68"/>
  <c r="Y17" i="68"/>
  <c r="Z17" i="68"/>
  <c r="AA17" i="68"/>
  <c r="AB17" i="68"/>
  <c r="I17" i="68"/>
  <c r="J6" i="68"/>
  <c r="J6" i="75"/>
  <c r="J6" i="85"/>
  <c r="J74" i="68" a="1"/>
  <c r="J74" i="68"/>
  <c r="J72" i="68" a="1"/>
  <c r="J72" i="68"/>
  <c r="K77" i="68"/>
  <c r="J73" i="68" a="1"/>
  <c r="J73" i="68"/>
  <c r="J6" i="82"/>
  <c r="K6" i="68"/>
  <c r="K6" i="75"/>
  <c r="K6" i="85"/>
  <c r="J6" i="81"/>
  <c r="J6" i="73"/>
  <c r="J6" i="72"/>
  <c r="O7" i="81"/>
  <c r="O42" i="81"/>
  <c r="O7" i="73"/>
  <c r="O42" i="73"/>
  <c r="O7" i="72"/>
  <c r="O42" i="72"/>
  <c r="P7" i="82"/>
  <c r="P42" i="82"/>
  <c r="O42" i="68"/>
  <c r="K6" i="82"/>
  <c r="K72" i="68" a="1"/>
  <c r="K72" i="68"/>
  <c r="L77" i="68"/>
  <c r="K73" i="68" a="1"/>
  <c r="K73" i="68"/>
  <c r="K74" i="68" a="1"/>
  <c r="K74" i="68"/>
  <c r="J72" i="82" a="1"/>
  <c r="J72" i="82"/>
  <c r="J74" i="82" a="1"/>
  <c r="J74" i="82"/>
  <c r="J73" i="82" a="1"/>
  <c r="J73" i="82"/>
  <c r="J74" i="73" a="1"/>
  <c r="J74" i="73"/>
  <c r="J73" i="73" a="1"/>
  <c r="J73" i="73"/>
  <c r="J72" i="73" a="1"/>
  <c r="J72" i="73"/>
  <c r="J73" i="81" a="1"/>
  <c r="J73" i="81"/>
  <c r="K78" i="81"/>
  <c r="J72" i="81" a="1"/>
  <c r="J72" i="81"/>
  <c r="K77" i="81"/>
  <c r="J74" i="81" a="1"/>
  <c r="J74" i="81"/>
  <c r="J73" i="72" a="1"/>
  <c r="J73" i="72"/>
  <c r="K78" i="72"/>
  <c r="J74" i="72" a="1"/>
  <c r="J74" i="72"/>
  <c r="J80" i="68"/>
  <c r="J82" i="68"/>
  <c r="J107" i="68"/>
  <c r="L6" i="68"/>
  <c r="L6" i="75"/>
  <c r="L6" i="85"/>
  <c r="K6" i="81"/>
  <c r="G90" i="81" a="1"/>
  <c r="G90" i="81"/>
  <c r="G92" i="81"/>
  <c r="K6" i="73"/>
  <c r="K6" i="72"/>
  <c r="P7" i="81"/>
  <c r="P42" i="81"/>
  <c r="P7" i="73"/>
  <c r="P42" i="73"/>
  <c r="P7" i="72"/>
  <c r="P42" i="72"/>
  <c r="Q7" i="82"/>
  <c r="Q42" i="82"/>
  <c r="P42" i="68"/>
  <c r="K73" i="72" a="1"/>
  <c r="K73" i="72"/>
  <c r="L78" i="72"/>
  <c r="K74" i="72" a="1"/>
  <c r="K74" i="72"/>
  <c r="L72" i="68" a="1"/>
  <c r="L72" i="68"/>
  <c r="M77" i="68"/>
  <c r="L73" i="68" a="1"/>
  <c r="L73" i="68"/>
  <c r="L74" i="68" a="1"/>
  <c r="L74" i="68"/>
  <c r="K74" i="73" a="1"/>
  <c r="K74" i="73"/>
  <c r="K72" i="73" a="1"/>
  <c r="K72" i="73"/>
  <c r="K73" i="73" a="1"/>
  <c r="K73" i="73"/>
  <c r="K73" i="81" a="1"/>
  <c r="K73" i="81"/>
  <c r="L78" i="81"/>
  <c r="K72" i="81" a="1"/>
  <c r="K72" i="81"/>
  <c r="L77" i="81"/>
  <c r="K74" i="81" a="1"/>
  <c r="K74" i="81"/>
  <c r="K73" i="82" a="1"/>
  <c r="K73" i="82"/>
  <c r="K72" i="82" a="1"/>
  <c r="K72" i="82"/>
  <c r="K80" i="82"/>
  <c r="K82" i="82"/>
  <c r="K107" i="82"/>
  <c r="K74" i="82" a="1"/>
  <c r="K74" i="82"/>
  <c r="J80" i="81"/>
  <c r="K80" i="68"/>
  <c r="K82" i="68"/>
  <c r="K107" i="68"/>
  <c r="J80" i="82"/>
  <c r="J82" i="82"/>
  <c r="J107" i="82"/>
  <c r="J80" i="73"/>
  <c r="L6" i="82"/>
  <c r="M6" i="68"/>
  <c r="M6" i="75"/>
  <c r="M6" i="85"/>
  <c r="L6" i="81"/>
  <c r="L6" i="72"/>
  <c r="L6" i="73"/>
  <c r="Q7" i="81"/>
  <c r="Q42" i="81"/>
  <c r="Q7" i="73"/>
  <c r="Q42" i="73"/>
  <c r="Q7" i="72"/>
  <c r="Q42" i="72"/>
  <c r="R7" i="82"/>
  <c r="R42" i="82"/>
  <c r="Q42" i="68"/>
  <c r="J82" i="73"/>
  <c r="J107" i="73"/>
  <c r="J82" i="81"/>
  <c r="J107" i="81"/>
  <c r="L74" i="82" a="1"/>
  <c r="L74" i="82"/>
  <c r="L72" i="82" a="1"/>
  <c r="L72" i="82"/>
  <c r="L73" i="82" a="1"/>
  <c r="L73" i="82"/>
  <c r="M72" i="68" a="1"/>
  <c r="M72" i="68"/>
  <c r="N77" i="68"/>
  <c r="M74" i="68" a="1"/>
  <c r="M74" i="68"/>
  <c r="M73" i="68" a="1"/>
  <c r="M73" i="68"/>
  <c r="L72" i="73" a="1"/>
  <c r="L72" i="73"/>
  <c r="L73" i="73" a="1"/>
  <c r="L73" i="73"/>
  <c r="L74" i="73" a="1"/>
  <c r="L74" i="73"/>
  <c r="L73" i="72" a="1"/>
  <c r="L73" i="72"/>
  <c r="M78" i="72"/>
  <c r="L74" i="72" a="1"/>
  <c r="L74" i="72"/>
  <c r="L74" i="81" a="1"/>
  <c r="L74" i="81"/>
  <c r="L72" i="81" a="1"/>
  <c r="L72" i="81"/>
  <c r="M77" i="81"/>
  <c r="L73" i="81" a="1"/>
  <c r="L73" i="81"/>
  <c r="M78" i="81"/>
  <c r="K80" i="81"/>
  <c r="L80" i="68"/>
  <c r="L82" i="68"/>
  <c r="L107" i="68"/>
  <c r="K80" i="73"/>
  <c r="M6" i="82"/>
  <c r="N6" i="68"/>
  <c r="N6" i="75"/>
  <c r="N6" i="85"/>
  <c r="M6" i="81"/>
  <c r="M6" i="72"/>
  <c r="M6" i="73"/>
  <c r="R7" i="81"/>
  <c r="R42" i="81"/>
  <c r="R7" i="73"/>
  <c r="R42" i="73"/>
  <c r="R7" i="72"/>
  <c r="R42" i="72"/>
  <c r="S7" i="82"/>
  <c r="S42" i="82"/>
  <c r="R42" i="68"/>
  <c r="K82" i="73"/>
  <c r="K107" i="73"/>
  <c r="K82" i="81"/>
  <c r="K107" i="81"/>
  <c r="M74" i="82" a="1"/>
  <c r="M74" i="82"/>
  <c r="M72" i="82" a="1"/>
  <c r="M72" i="82"/>
  <c r="M73" i="82" a="1"/>
  <c r="M73" i="82"/>
  <c r="M72" i="73" a="1"/>
  <c r="M72" i="73"/>
  <c r="M73" i="73" a="1"/>
  <c r="M73" i="73"/>
  <c r="M74" i="73" a="1"/>
  <c r="M74" i="73"/>
  <c r="M74" i="81" a="1"/>
  <c r="M74" i="81"/>
  <c r="M73" i="81" a="1"/>
  <c r="M73" i="81"/>
  <c r="N78" i="81"/>
  <c r="M72" i="81" a="1"/>
  <c r="M72" i="81"/>
  <c r="N77" i="81"/>
  <c r="M73" i="72" a="1"/>
  <c r="M73" i="72"/>
  <c r="N78" i="72"/>
  <c r="M74" i="72" a="1"/>
  <c r="M74" i="72"/>
  <c r="N74" i="68" a="1"/>
  <c r="N74" i="68"/>
  <c r="N73" i="68" a="1"/>
  <c r="N73" i="68"/>
  <c r="N72" i="68" a="1"/>
  <c r="N72" i="68"/>
  <c r="O77" i="68"/>
  <c r="L80" i="81"/>
  <c r="M80" i="68"/>
  <c r="M82" i="68"/>
  <c r="M107" i="68"/>
  <c r="L80" i="82"/>
  <c r="L82" i="82"/>
  <c r="L107" i="82"/>
  <c r="L80" i="73"/>
  <c r="N6" i="82"/>
  <c r="O6" i="68"/>
  <c r="O6" i="75"/>
  <c r="O6" i="85"/>
  <c r="N6" i="81"/>
  <c r="N6" i="72"/>
  <c r="N6" i="73"/>
  <c r="S7" i="81"/>
  <c r="S42" i="81"/>
  <c r="S7" i="73"/>
  <c r="S42" i="73"/>
  <c r="S7" i="72"/>
  <c r="S42" i="72"/>
  <c r="T7" i="82"/>
  <c r="T42" i="82"/>
  <c r="S42" i="68"/>
  <c r="L82" i="73"/>
  <c r="L107" i="73"/>
  <c r="L82" i="81"/>
  <c r="L107" i="81"/>
  <c r="N73" i="72" a="1"/>
  <c r="N73" i="72"/>
  <c r="O78" i="72"/>
  <c r="N74" i="72" a="1"/>
  <c r="N74" i="72"/>
  <c r="N74" i="73" a="1"/>
  <c r="N74" i="73"/>
  <c r="N72" i="73" a="1"/>
  <c r="N72" i="73"/>
  <c r="N73" i="73" a="1"/>
  <c r="N73" i="73"/>
  <c r="N73" i="81" a="1"/>
  <c r="N73" i="81"/>
  <c r="O78" i="81"/>
  <c r="N74" i="81" a="1"/>
  <c r="N74" i="81"/>
  <c r="N72" i="81" a="1"/>
  <c r="N72" i="81"/>
  <c r="O77" i="81"/>
  <c r="O72" i="68" a="1"/>
  <c r="O72" i="68"/>
  <c r="P77" i="68"/>
  <c r="O74" i="68" a="1"/>
  <c r="O74" i="68"/>
  <c r="O73" i="68" a="1"/>
  <c r="O73" i="68"/>
  <c r="N73" i="82" a="1"/>
  <c r="N73" i="82"/>
  <c r="N74" i="82" a="1"/>
  <c r="N74" i="82"/>
  <c r="N72" i="82" a="1"/>
  <c r="N72" i="82"/>
  <c r="M80" i="81"/>
  <c r="N80" i="68"/>
  <c r="N82" i="68"/>
  <c r="N107" i="68"/>
  <c r="M80" i="82"/>
  <c r="M82" i="82"/>
  <c r="M107" i="82"/>
  <c r="M80" i="73"/>
  <c r="O6" i="82"/>
  <c r="P6" i="68"/>
  <c r="P6" i="75"/>
  <c r="P6" i="85"/>
  <c r="O6" i="81"/>
  <c r="O6" i="72"/>
  <c r="O6" i="73"/>
  <c r="T7" i="81"/>
  <c r="T42" i="81"/>
  <c r="T7" i="73"/>
  <c r="T42" i="73"/>
  <c r="T7" i="72"/>
  <c r="T42" i="72"/>
  <c r="T42" i="68"/>
  <c r="U7" i="82"/>
  <c r="U42" i="82"/>
  <c r="M82" i="73"/>
  <c r="M107" i="73"/>
  <c r="M82" i="81"/>
  <c r="M107" i="81"/>
  <c r="O74" i="72" a="1"/>
  <c r="O74" i="72"/>
  <c r="O73" i="72" a="1"/>
  <c r="O73" i="72"/>
  <c r="P78" i="72"/>
  <c r="O72" i="81" a="1"/>
  <c r="O72" i="81"/>
  <c r="P77" i="81"/>
  <c r="O74" i="81" a="1"/>
  <c r="O74" i="81"/>
  <c r="O73" i="81" a="1"/>
  <c r="O73" i="81"/>
  <c r="P78" i="81"/>
  <c r="O73" i="73" a="1"/>
  <c r="O73" i="73"/>
  <c r="O72" i="73" a="1"/>
  <c r="O72" i="73"/>
  <c r="O74" i="73" a="1"/>
  <c r="O74" i="73"/>
  <c r="P73" i="68" a="1"/>
  <c r="P73" i="68"/>
  <c r="P74" i="68" a="1"/>
  <c r="P74" i="68"/>
  <c r="P72" i="68" a="1"/>
  <c r="P72" i="68"/>
  <c r="Q77" i="68"/>
  <c r="O72" i="82" a="1"/>
  <c r="O72" i="82"/>
  <c r="O73" i="82" a="1"/>
  <c r="O73" i="82"/>
  <c r="O74" i="82" a="1"/>
  <c r="O74" i="82"/>
  <c r="N80" i="81"/>
  <c r="O80" i="68"/>
  <c r="O82" i="68"/>
  <c r="O107" i="68"/>
  <c r="N80" i="73"/>
  <c r="N80" i="82"/>
  <c r="N82" i="82"/>
  <c r="N107" i="82"/>
  <c r="P6" i="82"/>
  <c r="Q6" i="68"/>
  <c r="Q6" i="75"/>
  <c r="Q6" i="85"/>
  <c r="P6" i="81"/>
  <c r="P6" i="72"/>
  <c r="P6" i="73"/>
  <c r="U7" i="81"/>
  <c r="U42" i="81"/>
  <c r="U7" i="72"/>
  <c r="U42" i="72"/>
  <c r="U7" i="73"/>
  <c r="U42" i="73"/>
  <c r="U42" i="68"/>
  <c r="V7" i="82"/>
  <c r="V42" i="82"/>
  <c r="N82" i="73"/>
  <c r="N107" i="73"/>
  <c r="N82" i="81"/>
  <c r="N107" i="81"/>
  <c r="P73" i="72" a="1"/>
  <c r="P73" i="72"/>
  <c r="Q78" i="72"/>
  <c r="P74" i="72" a="1"/>
  <c r="P74" i="72"/>
  <c r="P72" i="81" a="1"/>
  <c r="P72" i="81"/>
  <c r="Q77" i="81"/>
  <c r="P74" i="81" a="1"/>
  <c r="P74" i="81"/>
  <c r="P73" i="81" a="1"/>
  <c r="P73" i="81"/>
  <c r="Q78" i="81"/>
  <c r="P74" i="73" a="1"/>
  <c r="P74" i="73"/>
  <c r="P73" i="73" a="1"/>
  <c r="P73" i="73"/>
  <c r="P72" i="73" a="1"/>
  <c r="P72" i="73"/>
  <c r="P74" i="82" a="1"/>
  <c r="P74" i="82"/>
  <c r="P73" i="82" a="1"/>
  <c r="P73" i="82"/>
  <c r="P72" i="82" a="1"/>
  <c r="P72" i="82"/>
  <c r="Q72" i="68" a="1"/>
  <c r="Q72" i="68"/>
  <c r="R77" i="68"/>
  <c r="Q74" i="68" a="1"/>
  <c r="Q74" i="68"/>
  <c r="Q73" i="68" a="1"/>
  <c r="Q73" i="68"/>
  <c r="O80" i="81"/>
  <c r="P80" i="68"/>
  <c r="P82" i="68"/>
  <c r="P107" i="68"/>
  <c r="O80" i="82"/>
  <c r="O82" i="82"/>
  <c r="O107" i="82"/>
  <c r="O80" i="73"/>
  <c r="Q6" i="82"/>
  <c r="R6" i="68"/>
  <c r="R6" i="75"/>
  <c r="R6" i="85"/>
  <c r="Q6" i="81"/>
  <c r="Q6" i="73"/>
  <c r="Q6" i="72"/>
  <c r="V7" i="81"/>
  <c r="V42" i="81"/>
  <c r="V7" i="73"/>
  <c r="V42" i="73"/>
  <c r="V7" i="72"/>
  <c r="V42" i="72"/>
  <c r="V42" i="68"/>
  <c r="W7" i="82"/>
  <c r="W42" i="82"/>
  <c r="O82" i="73"/>
  <c r="O107" i="73"/>
  <c r="O82" i="81"/>
  <c r="O107" i="81"/>
  <c r="Q73" i="72" a="1"/>
  <c r="Q73" i="72"/>
  <c r="R78" i="72"/>
  <c r="Q74" i="72" a="1"/>
  <c r="Q74" i="72"/>
  <c r="Q72" i="73" a="1"/>
  <c r="Q72" i="73"/>
  <c r="Q74" i="73" a="1"/>
  <c r="Q74" i="73"/>
  <c r="Q73" i="73" a="1"/>
  <c r="Q73" i="73"/>
  <c r="Q73" i="82" a="1"/>
  <c r="Q73" i="82"/>
  <c r="Q72" i="82" a="1"/>
  <c r="Q72" i="82"/>
  <c r="Q74" i="82" a="1"/>
  <c r="Q74" i="82"/>
  <c r="Q73" i="81" a="1"/>
  <c r="Q73" i="81"/>
  <c r="R78" i="81"/>
  <c r="Q74" i="81" a="1"/>
  <c r="Q74" i="81"/>
  <c r="Q72" i="81" a="1"/>
  <c r="Q72" i="81"/>
  <c r="R77" i="81"/>
  <c r="R74" i="68" a="1"/>
  <c r="R74" i="68"/>
  <c r="R72" i="68" a="1"/>
  <c r="R72" i="68"/>
  <c r="S77" i="68"/>
  <c r="R73" i="68" a="1"/>
  <c r="R73" i="68"/>
  <c r="P80" i="81"/>
  <c r="Q80" i="68"/>
  <c r="Q82" i="68"/>
  <c r="Q107" i="68"/>
  <c r="P80" i="73"/>
  <c r="P80" i="82"/>
  <c r="P82" i="82"/>
  <c r="P107" i="82"/>
  <c r="R6" i="82"/>
  <c r="S6" i="68"/>
  <c r="S6" i="75"/>
  <c r="S6" i="85"/>
  <c r="R6" i="81"/>
  <c r="R6" i="73"/>
  <c r="R6" i="72"/>
  <c r="W7" i="81"/>
  <c r="W42" i="81"/>
  <c r="W7" i="73"/>
  <c r="W42" i="73"/>
  <c r="W7" i="72"/>
  <c r="W42" i="72"/>
  <c r="W42" i="68"/>
  <c r="X7" i="82"/>
  <c r="X42" i="82"/>
  <c r="P82" i="73"/>
  <c r="P107" i="73"/>
  <c r="P82" i="81"/>
  <c r="P107" i="81"/>
  <c r="R72" i="82" a="1"/>
  <c r="R72" i="82"/>
  <c r="R73" i="82" a="1"/>
  <c r="R73" i="82"/>
  <c r="R74" i="82" a="1"/>
  <c r="R74" i="82"/>
  <c r="R72" i="73" a="1"/>
  <c r="R72" i="73"/>
  <c r="R74" i="73" a="1"/>
  <c r="R74" i="73"/>
  <c r="R73" i="73" a="1"/>
  <c r="R73" i="73"/>
  <c r="R72" i="81" a="1"/>
  <c r="R72" i="81"/>
  <c r="S77" i="81"/>
  <c r="R73" i="81" a="1"/>
  <c r="R73" i="81"/>
  <c r="S78" i="81"/>
  <c r="R74" i="81" a="1"/>
  <c r="R74" i="81"/>
  <c r="R73" i="72" a="1"/>
  <c r="R73" i="72"/>
  <c r="S78" i="72"/>
  <c r="R74" i="72" a="1"/>
  <c r="R74" i="72"/>
  <c r="S72" i="68" a="1"/>
  <c r="S72" i="68"/>
  <c r="T77" i="68"/>
  <c r="S74" i="68" a="1"/>
  <c r="S74" i="68"/>
  <c r="S73" i="68" a="1"/>
  <c r="S73" i="68"/>
  <c r="Q80" i="81"/>
  <c r="R80" i="68"/>
  <c r="Q80" i="73"/>
  <c r="Q80" i="82"/>
  <c r="Q82" i="82"/>
  <c r="Q107" i="82"/>
  <c r="S6" i="82"/>
  <c r="T6" i="68"/>
  <c r="T6" i="75"/>
  <c r="T6" i="85"/>
  <c r="S6" i="81"/>
  <c r="S6" i="73"/>
  <c r="S6" i="72"/>
  <c r="X7" i="81"/>
  <c r="X42" i="81"/>
  <c r="X7" i="73"/>
  <c r="X42" i="73"/>
  <c r="X7" i="72"/>
  <c r="X42" i="72"/>
  <c r="X42" i="68"/>
  <c r="Y7" i="82"/>
  <c r="Y42" i="82"/>
  <c r="R82" i="68"/>
  <c r="R107" i="68"/>
  <c r="Q82" i="73"/>
  <c r="Q107" i="73"/>
  <c r="Q82" i="81"/>
  <c r="Q107" i="81"/>
  <c r="S74" i="82" a="1"/>
  <c r="S74" i="82"/>
  <c r="S73" i="82" a="1"/>
  <c r="S73" i="82"/>
  <c r="S72" i="82" a="1"/>
  <c r="S72" i="82"/>
  <c r="S74" i="72" a="1"/>
  <c r="S74" i="72"/>
  <c r="S73" i="72" a="1"/>
  <c r="S73" i="72"/>
  <c r="T78" i="72"/>
  <c r="S72" i="73" a="1"/>
  <c r="S72" i="73"/>
  <c r="S74" i="73" a="1"/>
  <c r="S74" i="73"/>
  <c r="S73" i="73" a="1"/>
  <c r="S73" i="73"/>
  <c r="S73" i="81" a="1"/>
  <c r="S73" i="81"/>
  <c r="T78" i="81"/>
  <c r="S74" i="81" a="1"/>
  <c r="S74" i="81"/>
  <c r="S72" i="81" a="1"/>
  <c r="S72" i="81"/>
  <c r="T77" i="81"/>
  <c r="T73" i="68" a="1"/>
  <c r="T73" i="68"/>
  <c r="T74" i="68" a="1"/>
  <c r="T74" i="68"/>
  <c r="T72" i="68" a="1"/>
  <c r="T72" i="68"/>
  <c r="U77" i="68"/>
  <c r="R80" i="81"/>
  <c r="S80" i="68"/>
  <c r="R80" i="73"/>
  <c r="R80" i="82"/>
  <c r="T6" i="82"/>
  <c r="U6" i="68"/>
  <c r="U6" i="75"/>
  <c r="U6" i="85"/>
  <c r="T6" i="81"/>
  <c r="T6" i="72"/>
  <c r="T6" i="73"/>
  <c r="Y7" i="81"/>
  <c r="Y42" i="81"/>
  <c r="Y7" i="73"/>
  <c r="Y42" i="73"/>
  <c r="Y7" i="72"/>
  <c r="Y42" i="72"/>
  <c r="Y42" i="68"/>
  <c r="Z7" i="82"/>
  <c r="Z42" i="82"/>
  <c r="R82" i="82"/>
  <c r="R107" i="82"/>
  <c r="S82" i="68"/>
  <c r="S107" i="68"/>
  <c r="R82" i="73"/>
  <c r="R107" i="73"/>
  <c r="R82" i="81"/>
  <c r="R107" i="81"/>
  <c r="U72" i="68" a="1"/>
  <c r="U72" i="68"/>
  <c r="V77" i="68"/>
  <c r="U74" i="68" a="1"/>
  <c r="U74" i="68"/>
  <c r="U73" i="68" a="1"/>
  <c r="U73" i="68"/>
  <c r="T74" i="73" a="1"/>
  <c r="T74" i="73"/>
  <c r="T72" i="73" a="1"/>
  <c r="T72" i="73"/>
  <c r="T73" i="73" a="1"/>
  <c r="T73" i="73"/>
  <c r="T73" i="72" a="1"/>
  <c r="T73" i="72"/>
  <c r="U78" i="72"/>
  <c r="T74" i="72" a="1"/>
  <c r="T74" i="72"/>
  <c r="T72" i="81" a="1"/>
  <c r="T72" i="81"/>
  <c r="U77" i="81"/>
  <c r="T73" i="81" a="1"/>
  <c r="T73" i="81"/>
  <c r="U78" i="81"/>
  <c r="T74" i="81" a="1"/>
  <c r="T74" i="81"/>
  <c r="T72" i="82" a="1"/>
  <c r="T72" i="82"/>
  <c r="T73" i="82" a="1"/>
  <c r="T73" i="82"/>
  <c r="T74" i="82" a="1"/>
  <c r="T74" i="82"/>
  <c r="S80" i="81"/>
  <c r="T80" i="68"/>
  <c r="S80" i="82"/>
  <c r="S80" i="73"/>
  <c r="U6" i="82"/>
  <c r="G90" i="82" a="1"/>
  <c r="G90" i="82"/>
  <c r="G92" i="82"/>
  <c r="V6" i="68"/>
  <c r="V6" i="75"/>
  <c r="V6" i="85"/>
  <c r="U6" i="81"/>
  <c r="U6" i="72"/>
  <c r="U6" i="73"/>
  <c r="Z7" i="81"/>
  <c r="Z42" i="81"/>
  <c r="Z7" i="73"/>
  <c r="Z42" i="73"/>
  <c r="Z7" i="72"/>
  <c r="Z42" i="72"/>
  <c r="Z42" i="68"/>
  <c r="AA7" i="82"/>
  <c r="AA42" i="82"/>
  <c r="S82" i="82"/>
  <c r="S107" i="82"/>
  <c r="T82" i="68"/>
  <c r="T107" i="68"/>
  <c r="S82" i="73"/>
  <c r="S107" i="73"/>
  <c r="S82" i="81"/>
  <c r="S107" i="81"/>
  <c r="U74" i="73" a="1"/>
  <c r="U74" i="73"/>
  <c r="U72" i="73" a="1"/>
  <c r="U72" i="73"/>
  <c r="U73" i="73" a="1"/>
  <c r="U73" i="73"/>
  <c r="U74" i="72" a="1"/>
  <c r="U74" i="72"/>
  <c r="U73" i="72" a="1"/>
  <c r="U73" i="72"/>
  <c r="V78" i="72"/>
  <c r="U74" i="82" a="1"/>
  <c r="U74" i="82"/>
  <c r="U73" i="82" a="1"/>
  <c r="U73" i="82"/>
  <c r="U72" i="82" a="1"/>
  <c r="U72" i="82"/>
  <c r="U72" i="81" a="1"/>
  <c r="U72" i="81"/>
  <c r="V77" i="81"/>
  <c r="U73" i="81" a="1"/>
  <c r="U73" i="81"/>
  <c r="V78" i="81"/>
  <c r="U74" i="81" a="1"/>
  <c r="U74" i="81"/>
  <c r="V72" i="68" a="1"/>
  <c r="V72" i="68"/>
  <c r="W77" i="68"/>
  <c r="V73" i="68" a="1"/>
  <c r="V73" i="68"/>
  <c r="V74" i="68" a="1"/>
  <c r="V74" i="68"/>
  <c r="T80" i="81"/>
  <c r="U80" i="68"/>
  <c r="T80" i="73"/>
  <c r="T80" i="82"/>
  <c r="V6" i="82"/>
  <c r="W6" i="68"/>
  <c r="W6" i="75"/>
  <c r="W6" i="85"/>
  <c r="V6" i="81"/>
  <c r="V6" i="72"/>
  <c r="V6" i="73"/>
  <c r="AA7" i="81"/>
  <c r="AA42" i="81"/>
  <c r="AA7" i="73"/>
  <c r="AA42" i="73"/>
  <c r="AA7" i="72"/>
  <c r="AA42" i="72"/>
  <c r="AA42" i="68"/>
  <c r="AB7" i="82"/>
  <c r="AB42" i="82"/>
  <c r="T82" i="82"/>
  <c r="T107" i="82"/>
  <c r="U82" i="68"/>
  <c r="U107" i="68"/>
  <c r="T82" i="73"/>
  <c r="T107" i="73"/>
  <c r="T82" i="81"/>
  <c r="T107" i="81"/>
  <c r="V73" i="72" a="1"/>
  <c r="V73" i="72"/>
  <c r="W78" i="72"/>
  <c r="V74" i="72" a="1"/>
  <c r="V74" i="72"/>
  <c r="V72" i="82" a="1"/>
  <c r="V72" i="82"/>
  <c r="V73" i="82" a="1"/>
  <c r="V73" i="82"/>
  <c r="V74" i="82" a="1"/>
  <c r="V74" i="82"/>
  <c r="V73" i="73" a="1"/>
  <c r="V73" i="73"/>
  <c r="V72" i="73" a="1"/>
  <c r="V72" i="73"/>
  <c r="V74" i="73" a="1"/>
  <c r="V74" i="73"/>
  <c r="V74" i="81" a="1"/>
  <c r="V74" i="81"/>
  <c r="V72" i="81" a="1"/>
  <c r="V72" i="81"/>
  <c r="W77" i="81"/>
  <c r="V73" i="81" a="1"/>
  <c r="V73" i="81"/>
  <c r="W78" i="81"/>
  <c r="W73" i="68" a="1"/>
  <c r="W73" i="68"/>
  <c r="W74" i="68" a="1"/>
  <c r="W74" i="68"/>
  <c r="W72" i="68" a="1"/>
  <c r="W72" i="68"/>
  <c r="X77" i="68"/>
  <c r="U80" i="81"/>
  <c r="V80" i="68"/>
  <c r="V82" i="68"/>
  <c r="V107" i="68"/>
  <c r="U80" i="73"/>
  <c r="U80" i="82"/>
  <c r="W6" i="82"/>
  <c r="X6" i="68"/>
  <c r="X6" i="75"/>
  <c r="W6" i="81"/>
  <c r="W6" i="72"/>
  <c r="W6" i="73"/>
  <c r="AB7" i="81"/>
  <c r="AB42" i="81"/>
  <c r="AB7" i="73"/>
  <c r="AB42" i="73"/>
  <c r="AB7" i="72"/>
  <c r="AB42" i="72"/>
  <c r="AB42" i="68"/>
  <c r="U82" i="82"/>
  <c r="U107" i="82"/>
  <c r="X6" i="85"/>
  <c r="U82" i="73"/>
  <c r="U107" i="73"/>
  <c r="U82" i="81"/>
  <c r="U107" i="81"/>
  <c r="W74" i="82" a="1"/>
  <c r="W74" i="82"/>
  <c r="W73" i="82" a="1"/>
  <c r="W73" i="82"/>
  <c r="W72" i="82" a="1"/>
  <c r="W72" i="82"/>
  <c r="W73" i="72" a="1"/>
  <c r="W73" i="72"/>
  <c r="X78" i="72"/>
  <c r="W74" i="72" a="1"/>
  <c r="W74" i="72"/>
  <c r="W73" i="81" a="1"/>
  <c r="W73" i="81"/>
  <c r="X78" i="81"/>
  <c r="W72" i="81" a="1"/>
  <c r="W72" i="81"/>
  <c r="X77" i="81"/>
  <c r="W74" i="81" a="1"/>
  <c r="W74" i="81"/>
  <c r="X73" i="68" a="1"/>
  <c r="X73" i="68"/>
  <c r="X72" i="68" a="1"/>
  <c r="X72" i="68"/>
  <c r="Y77" i="68"/>
  <c r="X74" i="68" a="1"/>
  <c r="X74" i="68"/>
  <c r="W72" i="73" a="1"/>
  <c r="W72" i="73"/>
  <c r="W74" i="73" a="1"/>
  <c r="W74" i="73"/>
  <c r="W73" i="73" a="1"/>
  <c r="W73" i="73"/>
  <c r="V80" i="81"/>
  <c r="W80" i="68"/>
  <c r="W82" i="68"/>
  <c r="W107" i="68"/>
  <c r="V80" i="82"/>
  <c r="V82" i="82"/>
  <c r="V107" i="82"/>
  <c r="V80" i="73"/>
  <c r="X6" i="82"/>
  <c r="Y6" i="68"/>
  <c r="Y6" i="75"/>
  <c r="X6" i="81"/>
  <c r="X6" i="72"/>
  <c r="X6" i="73"/>
  <c r="Y6" i="85"/>
  <c r="V82" i="73"/>
  <c r="V107" i="73"/>
  <c r="V82" i="81"/>
  <c r="V107" i="81"/>
  <c r="X74" i="82" a="1"/>
  <c r="X74" i="82"/>
  <c r="X72" i="82" a="1"/>
  <c r="X72" i="82"/>
  <c r="X73" i="82" a="1"/>
  <c r="X73" i="82"/>
  <c r="X74" i="73" a="1"/>
  <c r="X74" i="73"/>
  <c r="X73" i="73" a="1"/>
  <c r="X73" i="73"/>
  <c r="X72" i="73" a="1"/>
  <c r="X72" i="73"/>
  <c r="X73" i="72" a="1"/>
  <c r="X73" i="72"/>
  <c r="Y78" i="72"/>
  <c r="X74" i="72" a="1"/>
  <c r="X74" i="72"/>
  <c r="Y74" i="68" a="1"/>
  <c r="Y74" i="68"/>
  <c r="Y73" i="68" a="1"/>
  <c r="Y73" i="68"/>
  <c r="Y72" i="68" a="1"/>
  <c r="Y72" i="68"/>
  <c r="Z77" i="68"/>
  <c r="X72" i="81" a="1"/>
  <c r="X72" i="81"/>
  <c r="Y77" i="81"/>
  <c r="X74" i="81" a="1"/>
  <c r="X74" i="81"/>
  <c r="X73" i="81" a="1"/>
  <c r="X73" i="81"/>
  <c r="Y78" i="81"/>
  <c r="W80" i="81"/>
  <c r="X80" i="68"/>
  <c r="X82" i="68"/>
  <c r="X107" i="68"/>
  <c r="W80" i="73"/>
  <c r="W80" i="82"/>
  <c r="W82" i="82"/>
  <c r="W107" i="82"/>
  <c r="Y6" i="82"/>
  <c r="Z6" i="68"/>
  <c r="Z6" i="75"/>
  <c r="Y6" i="81"/>
  <c r="Y6" i="73"/>
  <c r="Y6" i="72"/>
  <c r="Z6" i="85"/>
  <c r="W82" i="73"/>
  <c r="W107" i="73"/>
  <c r="W82" i="81"/>
  <c r="W107" i="81"/>
  <c r="Y72" i="82" a="1"/>
  <c r="Y72" i="82"/>
  <c r="Y73" i="82" a="1"/>
  <c r="Y73" i="82"/>
  <c r="Y74" i="82" a="1"/>
  <c r="Y74" i="82"/>
  <c r="Y73" i="72" a="1"/>
  <c r="Y73" i="72"/>
  <c r="Z78" i="72"/>
  <c r="Y74" i="72" a="1"/>
  <c r="Y74" i="72"/>
  <c r="Y72" i="73" a="1"/>
  <c r="Y72" i="73"/>
  <c r="Y73" i="73" a="1"/>
  <c r="Y73" i="73"/>
  <c r="Y74" i="73" a="1"/>
  <c r="Y74" i="73"/>
  <c r="Y73" i="81" a="1"/>
  <c r="Y73" i="81"/>
  <c r="Z78" i="81"/>
  <c r="Y72" i="81" a="1"/>
  <c r="Y72" i="81"/>
  <c r="Z77" i="81"/>
  <c r="Y74" i="81" a="1"/>
  <c r="Y74" i="81"/>
  <c r="Z72" i="68" a="1"/>
  <c r="Z72" i="68"/>
  <c r="AA77" i="68"/>
  <c r="Z73" i="68" a="1"/>
  <c r="Z73" i="68"/>
  <c r="Z74" i="68" a="1"/>
  <c r="Z74" i="68"/>
  <c r="X80" i="81"/>
  <c r="Y80" i="68"/>
  <c r="Y82" i="68"/>
  <c r="Y107" i="68"/>
  <c r="X80" i="73"/>
  <c r="X80" i="82"/>
  <c r="X82" i="82"/>
  <c r="X107" i="82"/>
  <c r="Z6" i="82"/>
  <c r="AA6" i="68"/>
  <c r="AA6" i="75"/>
  <c r="Z6" i="81"/>
  <c r="Z6" i="73"/>
  <c r="Z6" i="72"/>
  <c r="AA6" i="85"/>
  <c r="X82" i="73"/>
  <c r="X107" i="73"/>
  <c r="X82" i="81"/>
  <c r="X107" i="81"/>
  <c r="Z74" i="72" a="1"/>
  <c r="Z74" i="72"/>
  <c r="Z73" i="72" a="1"/>
  <c r="Z73" i="72"/>
  <c r="AA78" i="72"/>
  <c r="Z72" i="82" a="1"/>
  <c r="Z72" i="82"/>
  <c r="Z73" i="82" a="1"/>
  <c r="Z73" i="82"/>
  <c r="Z74" i="82" a="1"/>
  <c r="Z74" i="82"/>
  <c r="Z74" i="73" a="1"/>
  <c r="Z74" i="73"/>
  <c r="Z72" i="73" a="1"/>
  <c r="Z72" i="73"/>
  <c r="Z73" i="73" a="1"/>
  <c r="Z73" i="73"/>
  <c r="Z74" i="81" a="1"/>
  <c r="Z74" i="81"/>
  <c r="Z72" i="81" a="1"/>
  <c r="Z72" i="81"/>
  <c r="AA77" i="81"/>
  <c r="Z73" i="81" a="1"/>
  <c r="Z73" i="81"/>
  <c r="AA78" i="81"/>
  <c r="AA72" i="68" a="1"/>
  <c r="AA72" i="68"/>
  <c r="AB77" i="68"/>
  <c r="AA73" i="68" a="1"/>
  <c r="AA73" i="68"/>
  <c r="AA74" i="68" a="1"/>
  <c r="AA74" i="68"/>
  <c r="Y80" i="81"/>
  <c r="Z80" i="68"/>
  <c r="Z82" i="68"/>
  <c r="Z107" i="68"/>
  <c r="Y80" i="73"/>
  <c r="Y80" i="82"/>
  <c r="Y82" i="82"/>
  <c r="Y107" i="82"/>
  <c r="AA6" i="82"/>
  <c r="AB6" i="68"/>
  <c r="AB6" i="75"/>
  <c r="AA6" i="81"/>
  <c r="AA6" i="73"/>
  <c r="AA6" i="72"/>
  <c r="AB6" i="85"/>
  <c r="Y82" i="73"/>
  <c r="Y107" i="73"/>
  <c r="Y82" i="81"/>
  <c r="Y107" i="81"/>
  <c r="AA72" i="73" a="1"/>
  <c r="AA72" i="73"/>
  <c r="AA74" i="73" a="1"/>
  <c r="AA74" i="73"/>
  <c r="AA73" i="73" a="1"/>
  <c r="AA73" i="73"/>
  <c r="AA73" i="81" a="1"/>
  <c r="AA73" i="81"/>
  <c r="AB78" i="81"/>
  <c r="AA74" i="81" a="1"/>
  <c r="AA74" i="81"/>
  <c r="AA72" i="81" a="1"/>
  <c r="AA72" i="81"/>
  <c r="AB77" i="81"/>
  <c r="AC6" i="68"/>
  <c r="AB74" i="68" a="1"/>
  <c r="AB74" i="68"/>
  <c r="AB73" i="68" a="1"/>
  <c r="AB73" i="68"/>
  <c r="AB72" i="68" a="1"/>
  <c r="AB72" i="68"/>
  <c r="AC77" i="68"/>
  <c r="AA74" i="72" a="1"/>
  <c r="AA74" i="72"/>
  <c r="AA73" i="72" a="1"/>
  <c r="AA73" i="72"/>
  <c r="AB78" i="72"/>
  <c r="AA74" i="82" a="1"/>
  <c r="AA74" i="82"/>
  <c r="AA73" i="82" a="1"/>
  <c r="AA73" i="82"/>
  <c r="AA72" i="82" a="1"/>
  <c r="AA72" i="82"/>
  <c r="Z80" i="81"/>
  <c r="AA80" i="68"/>
  <c r="AA82" i="68"/>
  <c r="AA107" i="68"/>
  <c r="Z80" i="82"/>
  <c r="Z82" i="82"/>
  <c r="Z107" i="82"/>
  <c r="Z80" i="73"/>
  <c r="AB6" i="82"/>
  <c r="AB6" i="81"/>
  <c r="AB6" i="72"/>
  <c r="AB6" i="73"/>
  <c r="Z82" i="73"/>
  <c r="Z107" i="73"/>
  <c r="Z82" i="81"/>
  <c r="Z107" i="81"/>
  <c r="AC6" i="73"/>
  <c r="AC6" i="75"/>
  <c r="AC6" i="82"/>
  <c r="AC73" i="82" a="1"/>
  <c r="AC73" i="82"/>
  <c r="AC72" i="73" a="1"/>
  <c r="AC72" i="73"/>
  <c r="AC80" i="73"/>
  <c r="AC74" i="73" a="1"/>
  <c r="AC74" i="73"/>
  <c r="AC73" i="73" a="1"/>
  <c r="AC73" i="73"/>
  <c r="AC6" i="72"/>
  <c r="AB74" i="82" a="1"/>
  <c r="AB74" i="82"/>
  <c r="AB73" i="82" a="1"/>
  <c r="AB73" i="82"/>
  <c r="AB72" i="82" a="1"/>
  <c r="AB72" i="82"/>
  <c r="AC72" i="82" a="1"/>
  <c r="AC72" i="82"/>
  <c r="AC80" i="82"/>
  <c r="AC82" i="82"/>
  <c r="AC107" i="82"/>
  <c r="AC74" i="82" a="1"/>
  <c r="AC74" i="82"/>
  <c r="AC72" i="68" a="1"/>
  <c r="AC72" i="68"/>
  <c r="AD77" i="68"/>
  <c r="AC74" i="68" a="1"/>
  <c r="AC74" i="68"/>
  <c r="AC73" i="68" a="1"/>
  <c r="AC73" i="68"/>
  <c r="AC80" i="68"/>
  <c r="AC82" i="68"/>
  <c r="AC107" i="68"/>
  <c r="AC6" i="81"/>
  <c r="AB74" i="73" a="1"/>
  <c r="AB74" i="73"/>
  <c r="AB73" i="73" a="1"/>
  <c r="AB73" i="73"/>
  <c r="AB72" i="73" a="1"/>
  <c r="AB72" i="73"/>
  <c r="AD6" i="68"/>
  <c r="AB74" i="72" a="1"/>
  <c r="AB74" i="72"/>
  <c r="AB73" i="72" a="1"/>
  <c r="AB73" i="72"/>
  <c r="AC78" i="72"/>
  <c r="AB74" i="81" a="1"/>
  <c r="AB74" i="81"/>
  <c r="AB72" i="81" a="1"/>
  <c r="AB72" i="81"/>
  <c r="AC77" i="81"/>
  <c r="AB73" i="81" a="1"/>
  <c r="AB73" i="81"/>
  <c r="AC78" i="81"/>
  <c r="AA80" i="81"/>
  <c r="AB80" i="68"/>
  <c r="AB82" i="68"/>
  <c r="AB107" i="68"/>
  <c r="AD6" i="73"/>
  <c r="AA80" i="82"/>
  <c r="AA82" i="82"/>
  <c r="AA107" i="82"/>
  <c r="AA80" i="73"/>
  <c r="I9" i="85"/>
  <c r="AC6" i="85"/>
  <c r="AA82" i="73"/>
  <c r="AA107" i="73"/>
  <c r="AC82" i="73"/>
  <c r="AC107" i="73"/>
  <c r="AA82" i="81"/>
  <c r="AA107" i="81"/>
  <c r="AE6" i="68"/>
  <c r="AE6" i="75"/>
  <c r="AD6" i="75"/>
  <c r="AD6" i="81"/>
  <c r="AD73" i="81" a="1"/>
  <c r="AD73" i="81"/>
  <c r="AE78" i="81"/>
  <c r="AD6" i="82"/>
  <c r="AD73" i="82" a="1"/>
  <c r="AD73" i="82"/>
  <c r="AD6" i="72"/>
  <c r="AD74" i="72" a="1"/>
  <c r="AD74" i="72"/>
  <c r="AC73" i="81" a="1"/>
  <c r="AC73" i="81"/>
  <c r="AD78" i="81"/>
  <c r="AC74" i="81" a="1"/>
  <c r="AC74" i="81"/>
  <c r="AC72" i="81" a="1"/>
  <c r="AC72" i="81"/>
  <c r="AD77" i="81"/>
  <c r="AE74" i="68" a="1"/>
  <c r="AE74" i="68"/>
  <c r="AE72" i="68" a="1"/>
  <c r="AE72" i="68"/>
  <c r="AF77" i="68"/>
  <c r="AE73" i="68" a="1"/>
  <c r="AE73" i="68"/>
  <c r="AC73" i="72" a="1"/>
  <c r="AC73" i="72"/>
  <c r="AD78" i="72"/>
  <c r="AC74" i="72" a="1"/>
  <c r="AC74" i="72"/>
  <c r="AD73" i="73" a="1"/>
  <c r="AD73" i="73"/>
  <c r="AD74" i="73" a="1"/>
  <c r="AD74" i="73"/>
  <c r="AD72" i="73" a="1"/>
  <c r="AD72" i="73"/>
  <c r="AD80" i="73"/>
  <c r="AD73" i="68" a="1"/>
  <c r="AD73" i="68"/>
  <c r="AD80" i="68"/>
  <c r="AD82" i="68"/>
  <c r="AD107" i="68"/>
  <c r="AD72" i="68" a="1"/>
  <c r="AD72" i="68"/>
  <c r="AE77" i="68"/>
  <c r="AD74" i="68" a="1"/>
  <c r="AD74" i="68"/>
  <c r="AB80" i="81"/>
  <c r="AE6" i="73"/>
  <c r="AF6" i="68"/>
  <c r="AF6" i="75"/>
  <c r="AE6" i="81"/>
  <c r="AE6" i="72"/>
  <c r="AE6" i="82"/>
  <c r="AB80" i="73"/>
  <c r="AB80" i="82"/>
  <c r="AB82" i="82"/>
  <c r="AB107" i="82"/>
  <c r="I9" i="75"/>
  <c r="I5" i="75"/>
  <c r="I9" i="82"/>
  <c r="I9" i="81"/>
  <c r="I9" i="73"/>
  <c r="I9" i="72"/>
  <c r="J9" i="68"/>
  <c r="AE80" i="68"/>
  <c r="AE82" i="68"/>
  <c r="AE107" i="68"/>
  <c r="J9" i="85"/>
  <c r="AF6" i="85"/>
  <c r="AE6" i="85"/>
  <c r="AD6" i="85"/>
  <c r="AB82" i="73"/>
  <c r="AB107" i="73"/>
  <c r="AD82" i="73"/>
  <c r="AD107" i="73"/>
  <c r="I5" i="85"/>
  <c r="AB82" i="81"/>
  <c r="AB107" i="81"/>
  <c r="AD74" i="82" a="1"/>
  <c r="AD74" i="82"/>
  <c r="AD74" i="81" a="1"/>
  <c r="AD74" i="81"/>
  <c r="AD72" i="81" a="1"/>
  <c r="AD72" i="81"/>
  <c r="AE77" i="81"/>
  <c r="AD73" i="72" a="1"/>
  <c r="AD73" i="72"/>
  <c r="AE78" i="72"/>
  <c r="AC80" i="81"/>
  <c r="AD72" i="82" a="1"/>
  <c r="AD72" i="82"/>
  <c r="AD80" i="82"/>
  <c r="AD82" i="82"/>
  <c r="AD107" i="82"/>
  <c r="AE74" i="82" a="1"/>
  <c r="AE74" i="82"/>
  <c r="AE72" i="82" a="1"/>
  <c r="AE72" i="82"/>
  <c r="AE80" i="82"/>
  <c r="AE82" i="82"/>
  <c r="AE107" i="82"/>
  <c r="AE73" i="82" a="1"/>
  <c r="AE73" i="82"/>
  <c r="AE72" i="81" a="1"/>
  <c r="AE72" i="81"/>
  <c r="AF77" i="81"/>
  <c r="AE74" i="81" a="1"/>
  <c r="AE74" i="81"/>
  <c r="AE73" i="81" a="1"/>
  <c r="AE73" i="81"/>
  <c r="AF78" i="81"/>
  <c r="AF73" i="68" a="1"/>
  <c r="AF73" i="68"/>
  <c r="AF80" i="68"/>
  <c r="AF82" i="68"/>
  <c r="AF107" i="68"/>
  <c r="AF72" i="68" a="1"/>
  <c r="AF72" i="68"/>
  <c r="AG77" i="68"/>
  <c r="AF74" i="68" a="1"/>
  <c r="AF74" i="68"/>
  <c r="AE73" i="73" a="1"/>
  <c r="AE73" i="73"/>
  <c r="AE72" i="73" a="1"/>
  <c r="AE72" i="73"/>
  <c r="AE80" i="73"/>
  <c r="AE74" i="73" a="1"/>
  <c r="AE74" i="73"/>
  <c r="AE74" i="72" a="1"/>
  <c r="AE74" i="72"/>
  <c r="AE73" i="72" a="1"/>
  <c r="AE73" i="72"/>
  <c r="AF78" i="72"/>
  <c r="AF6" i="73"/>
  <c r="AG6" i="68"/>
  <c r="AG6" i="75"/>
  <c r="AF6" i="81"/>
  <c r="AF6" i="72"/>
  <c r="AF6" i="82"/>
  <c r="I88" i="75"/>
  <c r="I97" i="75"/>
  <c r="J9" i="75"/>
  <c r="J5" i="75"/>
  <c r="J9" i="82"/>
  <c r="J9" i="81"/>
  <c r="J9" i="72"/>
  <c r="J9" i="73"/>
  <c r="K9" i="68"/>
  <c r="K9" i="85"/>
  <c r="AG6" i="85"/>
  <c r="AE82" i="73"/>
  <c r="AE107" i="73"/>
  <c r="J5" i="85"/>
  <c r="AC82" i="81"/>
  <c r="AC107" i="81"/>
  <c r="AD80" i="81"/>
  <c r="AF72" i="82" a="1"/>
  <c r="AF72" i="82"/>
  <c r="AF80" i="82"/>
  <c r="AF82" i="82"/>
  <c r="AF107" i="82"/>
  <c r="AF74" i="82" a="1"/>
  <c r="AF74" i="82"/>
  <c r="AF73" i="82" a="1"/>
  <c r="AF73" i="82"/>
  <c r="AF74" i="72" a="1"/>
  <c r="AF74" i="72"/>
  <c r="AF73" i="72" a="1"/>
  <c r="AF73" i="72"/>
  <c r="AG78" i="72"/>
  <c r="AF72" i="81" a="1"/>
  <c r="AF72" i="81"/>
  <c r="AG77" i="81"/>
  <c r="AF73" i="81" a="1"/>
  <c r="AF73" i="81"/>
  <c r="AG78" i="81"/>
  <c r="AF74" i="81" a="1"/>
  <c r="AF74" i="81"/>
  <c r="AG74" i="68" a="1"/>
  <c r="AG74" i="68"/>
  <c r="AG73" i="68" a="1"/>
  <c r="AG73" i="68"/>
  <c r="AG80" i="68"/>
  <c r="AG82" i="68"/>
  <c r="AG107" i="68"/>
  <c r="AG72" i="68" a="1"/>
  <c r="AG72" i="68"/>
  <c r="AF74" i="73" a="1"/>
  <c r="AF74" i="73"/>
  <c r="AF73" i="73" a="1"/>
  <c r="AF73" i="73"/>
  <c r="AF72" i="73" a="1"/>
  <c r="AF72" i="73"/>
  <c r="AF80" i="73"/>
  <c r="AE80" i="81"/>
  <c r="AG6" i="73"/>
  <c r="AG6" i="81"/>
  <c r="AG6" i="72"/>
  <c r="AG6" i="82"/>
  <c r="J88" i="75"/>
  <c r="J97" i="75"/>
  <c r="K9" i="75"/>
  <c r="K5" i="75"/>
  <c r="K9" i="82"/>
  <c r="K9" i="81"/>
  <c r="L9" i="68"/>
  <c r="K9" i="72"/>
  <c r="K9" i="73"/>
  <c r="L9" i="85"/>
  <c r="AF82" i="73"/>
  <c r="AF107" i="73"/>
  <c r="K5" i="85"/>
  <c r="AD82" i="81"/>
  <c r="AD107" i="81"/>
  <c r="AE82" i="81"/>
  <c r="AE107" i="81"/>
  <c r="AG74" i="82" a="1"/>
  <c r="AG74" i="82"/>
  <c r="AG72" i="82" a="1"/>
  <c r="AG72" i="82"/>
  <c r="AG80" i="82"/>
  <c r="AG82" i="82"/>
  <c r="AG107" i="82"/>
  <c r="AG73" i="82" a="1"/>
  <c r="AG73" i="82"/>
  <c r="AG73" i="72" a="1"/>
  <c r="AG73" i="72"/>
  <c r="AG74" i="72" a="1"/>
  <c r="AG74" i="72"/>
  <c r="AG72" i="81" a="1"/>
  <c r="AG72" i="81"/>
  <c r="AG73" i="81" a="1"/>
  <c r="AG73" i="81"/>
  <c r="AG74" i="81" a="1"/>
  <c r="AG74" i="81"/>
  <c r="AG73" i="73" a="1"/>
  <c r="AG73" i="73"/>
  <c r="AG74" i="73" a="1"/>
  <c r="AG74" i="73"/>
  <c r="AG72" i="73" a="1"/>
  <c r="AG72" i="73"/>
  <c r="AG80" i="73"/>
  <c r="AF80" i="81"/>
  <c r="K88" i="75"/>
  <c r="K97" i="75"/>
  <c r="L9" i="75"/>
  <c r="L5" i="75"/>
  <c r="L9" i="82"/>
  <c r="L9" i="81"/>
  <c r="M9" i="68"/>
  <c r="L9" i="73"/>
  <c r="L9" i="72"/>
  <c r="M9" i="85"/>
  <c r="AG82" i="73"/>
  <c r="AG107" i="73"/>
  <c r="L5" i="85"/>
  <c r="AF82" i="81"/>
  <c r="AF107" i="81"/>
  <c r="AG80" i="81"/>
  <c r="L88" i="75"/>
  <c r="L97" i="75"/>
  <c r="M9" i="75"/>
  <c r="M5" i="75"/>
  <c r="M9" i="82"/>
  <c r="M9" i="81"/>
  <c r="N9" i="68"/>
  <c r="M9" i="73"/>
  <c r="M9" i="72"/>
  <c r="N9" i="85"/>
  <c r="M5" i="85"/>
  <c r="AG82" i="81"/>
  <c r="AG107" i="81"/>
  <c r="M88" i="75"/>
  <c r="M97" i="75"/>
  <c r="N9" i="75"/>
  <c r="N5" i="75"/>
  <c r="N9" i="82"/>
  <c r="N9" i="81"/>
  <c r="O9" i="68"/>
  <c r="N9" i="73"/>
  <c r="N9" i="72"/>
  <c r="O9" i="85"/>
  <c r="N5" i="85"/>
  <c r="N88" i="75"/>
  <c r="N97" i="75"/>
  <c r="O9" i="75"/>
  <c r="O5" i="75"/>
  <c r="O9" i="82"/>
  <c r="O9" i="81"/>
  <c r="P9" i="68"/>
  <c r="O9" i="73"/>
  <c r="O9" i="72"/>
  <c r="P9" i="85"/>
  <c r="O5" i="85"/>
  <c r="O88" i="75"/>
  <c r="O97" i="75"/>
  <c r="P9" i="75"/>
  <c r="P5" i="75"/>
  <c r="P9" i="82"/>
  <c r="P9" i="81"/>
  <c r="Q9" i="68"/>
  <c r="P9" i="73"/>
  <c r="P9" i="72"/>
  <c r="Q9" i="85"/>
  <c r="P5" i="85"/>
  <c r="P88" i="75"/>
  <c r="P97" i="75"/>
  <c r="Q9" i="75"/>
  <c r="Q5" i="75"/>
  <c r="Q9" i="82"/>
  <c r="Q9" i="81"/>
  <c r="R9" i="68"/>
  <c r="Q9" i="73"/>
  <c r="Q9" i="72"/>
  <c r="R9" i="85"/>
  <c r="Q5" i="85"/>
  <c r="Q88" i="75"/>
  <c r="Q97" i="75"/>
  <c r="R9" i="75"/>
  <c r="R5" i="75"/>
  <c r="R9" i="82"/>
  <c r="R9" i="81"/>
  <c r="S9" i="68"/>
  <c r="R9" i="72"/>
  <c r="R9" i="73"/>
  <c r="S9" i="85"/>
  <c r="R5" i="85"/>
  <c r="R88" i="75"/>
  <c r="R97" i="75"/>
  <c r="S9" i="75"/>
  <c r="S5" i="75"/>
  <c r="S9" i="82"/>
  <c r="S9" i="81"/>
  <c r="T9" i="68"/>
  <c r="S9" i="72"/>
  <c r="S9" i="73"/>
  <c r="T9" i="85"/>
  <c r="S5" i="85"/>
  <c r="S88" i="75"/>
  <c r="S97" i="75"/>
  <c r="T9" i="75"/>
  <c r="T5" i="75"/>
  <c r="T9" i="82"/>
  <c r="T9" i="81"/>
  <c r="U9" i="68"/>
  <c r="T9" i="73"/>
  <c r="T9" i="72"/>
  <c r="U9" i="85"/>
  <c r="T5" i="85"/>
  <c r="T88" i="75"/>
  <c r="T97" i="75"/>
  <c r="U9" i="75"/>
  <c r="U5" i="75"/>
  <c r="U9" i="82"/>
  <c r="U9" i="81"/>
  <c r="V9" i="68"/>
  <c r="U9" i="72"/>
  <c r="U9" i="73"/>
  <c r="V9" i="85"/>
  <c r="U5" i="85"/>
  <c r="U88" i="75"/>
  <c r="U97" i="75"/>
  <c r="V9" i="75"/>
  <c r="V5" i="75"/>
  <c r="V9" i="82"/>
  <c r="V9" i="81"/>
  <c r="W9" i="68"/>
  <c r="V9" i="73"/>
  <c r="V9" i="72"/>
  <c r="W9" i="85"/>
  <c r="V5" i="85"/>
  <c r="V88" i="75"/>
  <c r="V97" i="75"/>
  <c r="W9" i="75"/>
  <c r="W5" i="75"/>
  <c r="W9" i="82"/>
  <c r="W9" i="81"/>
  <c r="X9" i="68"/>
  <c r="W9" i="73"/>
  <c r="W9" i="72"/>
  <c r="X9" i="85"/>
  <c r="W5" i="85"/>
  <c r="W88" i="75"/>
  <c r="W97" i="75"/>
  <c r="X9" i="75"/>
  <c r="X5" i="75"/>
  <c r="X9" i="82"/>
  <c r="X9" i="81"/>
  <c r="Y9" i="68"/>
  <c r="X9" i="73"/>
  <c r="X9" i="72"/>
  <c r="Y9" i="85"/>
  <c r="X5" i="85"/>
  <c r="X88" i="75"/>
  <c r="X97" i="75"/>
  <c r="Y9" i="75"/>
  <c r="Y5" i="75"/>
  <c r="Y9" i="82"/>
  <c r="Y9" i="81"/>
  <c r="Z9" i="68"/>
  <c r="Y9" i="73"/>
  <c r="Y9" i="72"/>
  <c r="Z9" i="85"/>
  <c r="Y5" i="85"/>
  <c r="Y88" i="75"/>
  <c r="Y97" i="75"/>
  <c r="Z9" i="75"/>
  <c r="Z5" i="75"/>
  <c r="Z9" i="82"/>
  <c r="Z9" i="81"/>
  <c r="AA9" i="68"/>
  <c r="Z9" i="72"/>
  <c r="Z9" i="73"/>
  <c r="AA9" i="85"/>
  <c r="Z5" i="85"/>
  <c r="Z88" i="75"/>
  <c r="Z97" i="75"/>
  <c r="AA9" i="75"/>
  <c r="AA5" i="75"/>
  <c r="AA9" i="82"/>
  <c r="AA9" i="81"/>
  <c r="AB9" i="68"/>
  <c r="AA9" i="72"/>
  <c r="AA9" i="73"/>
  <c r="AB9" i="85"/>
  <c r="AA5" i="85"/>
  <c r="AC9" i="68"/>
  <c r="AA88" i="75"/>
  <c r="AA97" i="75"/>
  <c r="AB9" i="75"/>
  <c r="AB5" i="75"/>
  <c r="AB9" i="82"/>
  <c r="AB9" i="81"/>
  <c r="AB9" i="73"/>
  <c r="AB9" i="72"/>
  <c r="AC9" i="85"/>
  <c r="AC9" i="75"/>
  <c r="AC88" i="75"/>
  <c r="AC97" i="75"/>
  <c r="AC9" i="72"/>
  <c r="AC9" i="73"/>
  <c r="AD9" i="68"/>
  <c r="AC9" i="81"/>
  <c r="AC9" i="82"/>
  <c r="AB88" i="75"/>
  <c r="AB97" i="75"/>
  <c r="AD9" i="85"/>
  <c r="AC5" i="75"/>
  <c r="AC5" i="85"/>
  <c r="AB5" i="85"/>
  <c r="AD9" i="82"/>
  <c r="AD9" i="72"/>
  <c r="AD9" i="75"/>
  <c r="AD9" i="73"/>
  <c r="AD9" i="81"/>
  <c r="AE9" i="68"/>
  <c r="C94" i="43"/>
  <c r="C95" i="43"/>
  <c r="C96" i="43"/>
  <c r="C97" i="43"/>
  <c r="C98" i="43"/>
  <c r="C99" i="43"/>
  <c r="C100" i="43"/>
  <c r="C101" i="43"/>
  <c r="A44" i="47"/>
  <c r="A45" i="47"/>
  <c r="A46" i="47"/>
  <c r="A47" i="47"/>
  <c r="A48" i="47"/>
  <c r="A49" i="47"/>
  <c r="A50" i="47"/>
  <c r="A51" i="47"/>
  <c r="A52" i="47"/>
  <c r="A53" i="47"/>
  <c r="A54" i="47"/>
  <c r="A55" i="47"/>
  <c r="AE9" i="85"/>
  <c r="AD5" i="75"/>
  <c r="AD5" i="85"/>
  <c r="AD88" i="75"/>
  <c r="AD97" i="75"/>
  <c r="AE9" i="81"/>
  <c r="AE9" i="82"/>
  <c r="AE9" i="75"/>
  <c r="AE88" i="75"/>
  <c r="AE97" i="75"/>
  <c r="AE9" i="72"/>
  <c r="AE9" i="73"/>
  <c r="AF9" i="68"/>
  <c r="G8" i="33"/>
  <c r="AF9" i="85"/>
  <c r="AE5" i="75"/>
  <c r="AE5" i="85"/>
  <c r="AF9" i="82"/>
  <c r="AF9" i="81"/>
  <c r="AF9" i="75"/>
  <c r="AF9" i="72"/>
  <c r="AF9" i="73"/>
  <c r="AG9" i="68"/>
  <c r="AG9" i="85"/>
  <c r="AF5" i="75"/>
  <c r="AF5" i="85"/>
  <c r="AF88" i="75"/>
  <c r="AF97" i="75"/>
  <c r="AG9" i="82"/>
  <c r="AG9" i="75"/>
  <c r="AG9" i="81"/>
  <c r="AG9" i="73"/>
  <c r="AG9" i="72"/>
  <c r="AG5" i="75"/>
  <c r="AG88" i="75"/>
  <c r="AG97" i="75"/>
  <c r="AG5" i="85"/>
  <c r="E46" i="81"/>
  <c r="E47" i="81"/>
  <c r="E49" i="81"/>
  <c r="E50" i="73"/>
  <c r="E49" i="72"/>
  <c r="E46" i="68"/>
  <c r="E48" i="72"/>
  <c r="E52" i="73"/>
  <c r="E52" i="68"/>
  <c r="E46" i="82"/>
  <c r="E48" i="81"/>
  <c r="E49" i="73"/>
  <c r="E51" i="72"/>
  <c r="E50" i="81"/>
  <c r="E49" i="82"/>
  <c r="E47" i="72"/>
  <c r="E51" i="68"/>
  <c r="E52" i="72"/>
  <c r="E47" i="68"/>
  <c r="E50" i="72"/>
  <c r="E52" i="82"/>
  <c r="E48" i="73"/>
  <c r="E50" i="68"/>
  <c r="E48" i="68"/>
  <c r="E51" i="73"/>
  <c r="E51" i="82"/>
  <c r="E47" i="73"/>
  <c r="E46" i="72"/>
  <c r="E49" i="68"/>
  <c r="E46" i="73"/>
  <c r="E51" i="81"/>
  <c r="E50" i="82"/>
  <c r="E52" i="81"/>
  <c r="E48" i="82"/>
  <c r="E47" i="82"/>
  <c r="C14" i="43" a="1"/>
  <c r="G27" i="43"/>
  <c r="H90" i="43"/>
  <c r="B16" i="87"/>
  <c r="B30" i="87"/>
  <c r="G34" i="82"/>
  <c r="G33" i="82"/>
  <c r="G14" i="82"/>
  <c r="G31" i="73"/>
  <c r="G55" i="72"/>
  <c r="G19" i="72"/>
  <c r="G33" i="81"/>
  <c r="G15" i="81"/>
  <c r="G17" i="73"/>
  <c r="G55" i="82"/>
  <c r="G55" i="81"/>
  <c r="G33" i="73"/>
  <c r="G54" i="81"/>
  <c r="G32" i="73"/>
  <c r="G34" i="81"/>
  <c r="G32" i="82"/>
  <c r="G28" i="82"/>
  <c r="G30" i="73"/>
  <c r="G54" i="72"/>
  <c r="G17" i="72"/>
  <c r="G32" i="81"/>
  <c r="G14" i="81"/>
  <c r="G54" i="73"/>
  <c r="G14" i="72"/>
  <c r="G34" i="73"/>
  <c r="G19" i="81"/>
  <c r="G15" i="73"/>
  <c r="G15" i="82"/>
  <c r="G16" i="81"/>
  <c r="G31" i="82"/>
  <c r="G57" i="73"/>
  <c r="G28" i="73"/>
  <c r="G28" i="72"/>
  <c r="G16" i="72"/>
  <c r="G31" i="81"/>
  <c r="G55" i="68"/>
  <c r="G33" i="72"/>
  <c r="G17" i="82"/>
  <c r="G32" i="72"/>
  <c r="G16" i="82"/>
  <c r="G17" i="81"/>
  <c r="G30" i="72"/>
  <c r="G30" i="82"/>
  <c r="G55" i="73"/>
  <c r="G19" i="73"/>
  <c r="G34" i="72"/>
  <c r="G15" i="72"/>
  <c r="G30" i="81"/>
  <c r="G54" i="68"/>
  <c r="G19" i="82"/>
  <c r="G28" i="81"/>
  <c r="G16" i="73"/>
  <c r="G54" i="82"/>
  <c r="G31" i="72"/>
  <c r="G14" i="73"/>
  <c r="C22" i="62"/>
  <c r="G34" i="68"/>
  <c r="G16" i="68"/>
  <c r="G33" i="68"/>
  <c r="G17" i="68"/>
  <c r="G14" i="68"/>
  <c r="G32" i="68"/>
  <c r="G31" i="68"/>
  <c r="G30" i="68"/>
  <c r="G28" i="68"/>
  <c r="G15" i="68"/>
  <c r="G19" i="68"/>
  <c r="H12" i="62"/>
  <c r="H13" i="62"/>
  <c r="G57" i="82"/>
  <c r="G57" i="68"/>
  <c r="G57" i="72"/>
  <c r="G57" i="81"/>
  <c r="G78" i="73"/>
  <c r="G77" i="81"/>
  <c r="G78" i="72"/>
  <c r="G77" i="72"/>
  <c r="G79" i="72"/>
  <c r="G77" i="73"/>
  <c r="G80" i="81"/>
  <c r="G79" i="81"/>
  <c r="G79" i="73"/>
  <c r="G78" i="81"/>
  <c r="H52" i="43"/>
  <c r="H78" i="43"/>
  <c r="H79" i="43"/>
  <c r="G80" i="68"/>
  <c r="G74" i="81"/>
  <c r="G73" i="82"/>
  <c r="G69" i="72"/>
  <c r="G68" i="68"/>
  <c r="G74" i="72"/>
  <c r="G69" i="73"/>
  <c r="G78" i="68"/>
  <c r="G72" i="81"/>
  <c r="G79" i="82"/>
  <c r="G74" i="68"/>
  <c r="G72" i="73"/>
  <c r="G68" i="81"/>
  <c r="G67" i="82"/>
  <c r="G80" i="72"/>
  <c r="G79" i="68"/>
  <c r="G73" i="81"/>
  <c r="G72" i="82"/>
  <c r="G68" i="72"/>
  <c r="G67" i="68"/>
  <c r="G80" i="82"/>
  <c r="G77" i="68"/>
  <c r="G73" i="73"/>
  <c r="G69" i="81"/>
  <c r="G68" i="82"/>
  <c r="G78" i="82"/>
  <c r="G73" i="68"/>
  <c r="G67" i="81"/>
  <c r="G74" i="73"/>
  <c r="G69" i="68"/>
  <c r="G68" i="73"/>
  <c r="G77" i="82"/>
  <c r="G74" i="82"/>
  <c r="G67" i="73"/>
  <c r="G72" i="72"/>
  <c r="G80" i="73"/>
  <c r="G73" i="72"/>
  <c r="G69" i="82"/>
  <c r="G67" i="72"/>
  <c r="G72" i="68"/>
  <c r="G85" i="82"/>
  <c r="G83" i="82"/>
  <c r="G82" i="82"/>
  <c r="G64" i="82"/>
  <c r="G84" i="82"/>
  <c r="G87" i="82"/>
  <c r="G83" i="73"/>
  <c r="G82" i="72"/>
  <c r="G82" i="73"/>
  <c r="G87" i="72"/>
  <c r="G87" i="73"/>
  <c r="G85" i="68"/>
  <c r="G85" i="73"/>
  <c r="G83" i="68"/>
  <c r="G85" i="72"/>
  <c r="G84" i="68"/>
  <c r="G84" i="72"/>
  <c r="G64" i="72"/>
  <c r="G84" i="73"/>
  <c r="G83" i="72"/>
  <c r="G82" i="68"/>
  <c r="G87" i="68"/>
  <c r="G64" i="81"/>
  <c r="G83" i="81"/>
  <c r="G87" i="81"/>
  <c r="G85" i="81"/>
  <c r="G82" i="81"/>
  <c r="G84" i="81"/>
  <c r="E45" i="82"/>
  <c r="E45" i="73"/>
  <c r="E45" i="81"/>
  <c r="E45" i="68"/>
  <c r="E45" i="72"/>
  <c r="G64" i="73"/>
  <c r="G64" i="68"/>
  <c r="C14" i="43"/>
  <c r="C3" i="73"/>
  <c r="C3" i="82"/>
  <c r="C3" i="81"/>
  <c r="C3" i="72"/>
  <c r="Z57" i="73" a="1"/>
  <c r="Z57" i="73"/>
  <c r="K57" i="73" a="1"/>
  <c r="K57" i="73"/>
  <c r="Y57" i="73" a="1"/>
  <c r="Y57" i="73"/>
  <c r="W57" i="73" a="1"/>
  <c r="W57" i="73"/>
  <c r="J57" i="73" a="1"/>
  <c r="J57" i="73"/>
  <c r="S57" i="73" a="1"/>
  <c r="S57" i="73"/>
  <c r="I57" i="73" a="1"/>
  <c r="I57" i="73"/>
  <c r="AG57" i="73" a="1"/>
  <c r="AG57" i="73"/>
  <c r="AE57" i="73" a="1"/>
  <c r="AE57" i="73"/>
  <c r="AA57" i="73" a="1"/>
  <c r="AA57" i="73"/>
  <c r="Q57" i="73" a="1"/>
  <c r="Q57" i="73"/>
  <c r="R57" i="73" a="1"/>
  <c r="R57" i="73"/>
  <c r="O57" i="73" a="1"/>
  <c r="O57" i="73"/>
  <c r="AC57" i="73" a="1"/>
  <c r="AC57" i="73"/>
  <c r="AD57" i="73" a="1"/>
  <c r="AD57" i="73"/>
  <c r="AF57" i="73" a="1"/>
  <c r="AF57" i="73"/>
  <c r="L57" i="73" a="1"/>
  <c r="L57" i="73"/>
  <c r="M57" i="73" a="1"/>
  <c r="M57" i="73"/>
  <c r="N57" i="73" a="1"/>
  <c r="N57" i="73"/>
  <c r="P57" i="73" a="1"/>
  <c r="P57" i="73"/>
  <c r="T57" i="73" a="1"/>
  <c r="T57" i="73"/>
  <c r="U57" i="73" a="1"/>
  <c r="U57" i="73"/>
  <c r="V57" i="73" a="1"/>
  <c r="V57" i="73"/>
  <c r="X57" i="73" a="1"/>
  <c r="X57" i="73"/>
  <c r="AB57" i="73" a="1"/>
  <c r="AB57" i="73"/>
  <c r="W57" i="81" a="1"/>
  <c r="W57" i="81"/>
  <c r="S57" i="81" a="1"/>
  <c r="S57" i="81"/>
  <c r="Q57" i="81" a="1"/>
  <c r="Q57" i="81"/>
  <c r="O57" i="81" a="1"/>
  <c r="O57" i="81"/>
  <c r="AG57" i="81" a="1"/>
  <c r="AG57" i="81"/>
  <c r="K57" i="81" a="1"/>
  <c r="K57" i="81"/>
  <c r="AE57" i="81" a="1"/>
  <c r="AE57" i="81"/>
  <c r="I57" i="81" a="1"/>
  <c r="I57" i="81"/>
  <c r="AA57" i="81" a="1"/>
  <c r="AA57" i="81"/>
  <c r="Y57" i="81" a="1"/>
  <c r="Y57" i="81"/>
  <c r="AC57" i="81" a="1"/>
  <c r="AC57" i="81"/>
  <c r="AD57" i="81" a="1"/>
  <c r="AD57" i="81"/>
  <c r="AF57" i="81" a="1"/>
  <c r="AF57" i="81"/>
  <c r="M57" i="81" a="1"/>
  <c r="M57" i="81"/>
  <c r="L57" i="81" a="1"/>
  <c r="L57" i="81"/>
  <c r="N57" i="81" a="1"/>
  <c r="N57" i="81"/>
  <c r="J57" i="81" a="1"/>
  <c r="J57" i="81"/>
  <c r="P57" i="81" a="1"/>
  <c r="P57" i="81"/>
  <c r="R57" i="81" a="1"/>
  <c r="R57" i="81"/>
  <c r="T57" i="81" a="1"/>
  <c r="T57" i="81"/>
  <c r="U57" i="81" a="1"/>
  <c r="U57" i="81"/>
  <c r="V57" i="81" a="1"/>
  <c r="V57" i="81"/>
  <c r="X57" i="81" a="1"/>
  <c r="X57" i="81"/>
  <c r="Z57" i="81" a="1"/>
  <c r="Z57" i="81"/>
  <c r="AB57" i="81" a="1"/>
  <c r="AB57" i="81"/>
  <c r="W57" i="82" a="1"/>
  <c r="W57" i="82"/>
  <c r="Q57" i="82" a="1"/>
  <c r="Q57" i="82"/>
  <c r="O57" i="82" a="1"/>
  <c r="O57" i="82"/>
  <c r="I57" i="82" a="1"/>
  <c r="I57" i="82"/>
  <c r="I85" i="82"/>
  <c r="AG57" i="82" a="1"/>
  <c r="AG57" i="82"/>
  <c r="AG85" i="82"/>
  <c r="AE57" i="82" a="1"/>
  <c r="AE57" i="82"/>
  <c r="AE85" i="82"/>
  <c r="Y57" i="82" a="1"/>
  <c r="Y57" i="82"/>
  <c r="AC57" i="82" a="1"/>
  <c r="AC57" i="82"/>
  <c r="AC85" i="82"/>
  <c r="AD57" i="82" a="1"/>
  <c r="AD57" i="82"/>
  <c r="AD85" i="82"/>
  <c r="AF57" i="82" a="1"/>
  <c r="AF57" i="82"/>
  <c r="AF85" i="82"/>
  <c r="K57" i="82" a="1"/>
  <c r="K57" i="82"/>
  <c r="N57" i="82" a="1"/>
  <c r="N57" i="82"/>
  <c r="L57" i="82" a="1"/>
  <c r="L57" i="82"/>
  <c r="J57" i="82" a="1"/>
  <c r="J57" i="82"/>
  <c r="M57" i="82" a="1"/>
  <c r="M57" i="82"/>
  <c r="P57" i="82" a="1"/>
  <c r="P57" i="82"/>
  <c r="R57" i="82" a="1"/>
  <c r="R57" i="82"/>
  <c r="S57" i="82" a="1"/>
  <c r="S57" i="82"/>
  <c r="T57" i="82" a="1"/>
  <c r="T57" i="82"/>
  <c r="U57" i="82" a="1"/>
  <c r="U57" i="82"/>
  <c r="V57" i="82" a="1"/>
  <c r="V57" i="82"/>
  <c r="X57" i="82" a="1"/>
  <c r="X57" i="82"/>
  <c r="Z57" i="82" a="1"/>
  <c r="Z57" i="82"/>
  <c r="AA57" i="82" a="1"/>
  <c r="AA57" i="82"/>
  <c r="AB57" i="82" a="1"/>
  <c r="AB57" i="82"/>
  <c r="AC57" i="72" a="1"/>
  <c r="AC57" i="72"/>
  <c r="AD57" i="72" a="1"/>
  <c r="AD57" i="72"/>
  <c r="AE57" i="72" a="1"/>
  <c r="AE57" i="72"/>
  <c r="AF57" i="72" a="1"/>
  <c r="AF57" i="72"/>
  <c r="AG57" i="72" a="1"/>
  <c r="AG57" i="72"/>
  <c r="AC57" i="68" a="1"/>
  <c r="AC57" i="68"/>
  <c r="AC85" i="68"/>
  <c r="AC108" i="68"/>
  <c r="AD57" i="68" a="1"/>
  <c r="AD57" i="68"/>
  <c r="AD85" i="68"/>
  <c r="AD108" i="68"/>
  <c r="AE57" i="68" a="1"/>
  <c r="AE57" i="68"/>
  <c r="AE85" i="68"/>
  <c r="AE108" i="68"/>
  <c r="AF57" i="68" a="1"/>
  <c r="AF57" i="68"/>
  <c r="AF85" i="68"/>
  <c r="AF108" i="68"/>
  <c r="AG57" i="68" a="1"/>
  <c r="AG57" i="68"/>
  <c r="AG85" i="68"/>
  <c r="AG108" i="68"/>
  <c r="X57" i="72" a="1"/>
  <c r="X57" i="72"/>
  <c r="S57" i="72" a="1"/>
  <c r="S57" i="72"/>
  <c r="J57" i="72" a="1"/>
  <c r="J57" i="72"/>
  <c r="R57" i="72" a="1"/>
  <c r="R57" i="72"/>
  <c r="P57" i="72" a="1"/>
  <c r="P57" i="72"/>
  <c r="O57" i="72" a="1"/>
  <c r="O57" i="72"/>
  <c r="Z57" i="72" a="1"/>
  <c r="Z57" i="72"/>
  <c r="L57" i="72" a="1"/>
  <c r="L57" i="72"/>
  <c r="K57" i="72" a="1"/>
  <c r="K57" i="72"/>
  <c r="N57" i="72" a="1"/>
  <c r="N57" i="72"/>
  <c r="I57" i="72" a="1"/>
  <c r="I57" i="72"/>
  <c r="M57" i="72" a="1"/>
  <c r="M57" i="72"/>
  <c r="Q57" i="72" a="1"/>
  <c r="Q57" i="72"/>
  <c r="T57" i="72" a="1"/>
  <c r="T57" i="72"/>
  <c r="U57" i="72" a="1"/>
  <c r="U57" i="72"/>
  <c r="V57" i="72" a="1"/>
  <c r="V57" i="72"/>
  <c r="W57" i="72" a="1"/>
  <c r="W57" i="72"/>
  <c r="Y57" i="72" a="1"/>
  <c r="Y57" i="72"/>
  <c r="AA57" i="72" a="1"/>
  <c r="AA57" i="72"/>
  <c r="AB57" i="72" a="1"/>
  <c r="AB57" i="72"/>
  <c r="D13" i="33"/>
  <c r="Q57" i="68" a="1"/>
  <c r="Q57" i="68"/>
  <c r="Q85" i="68"/>
  <c r="Q108" i="68"/>
  <c r="W57" i="68" a="1"/>
  <c r="W57" i="68"/>
  <c r="W85" i="68"/>
  <c r="W108" i="68"/>
  <c r="U57" i="68" a="1"/>
  <c r="U57" i="68"/>
  <c r="U85" i="68"/>
  <c r="U108" i="68"/>
  <c r="P57" i="68" a="1"/>
  <c r="P57" i="68"/>
  <c r="P85" i="68"/>
  <c r="P108" i="68"/>
  <c r="X57" i="68" a="1"/>
  <c r="X57" i="68"/>
  <c r="X85" i="68"/>
  <c r="X108" i="68"/>
  <c r="AB57" i="68" a="1"/>
  <c r="AB57" i="68"/>
  <c r="AB85" i="68"/>
  <c r="AB108" i="68"/>
  <c r="I57" i="68" a="1"/>
  <c r="I57" i="68"/>
  <c r="I85" i="68"/>
  <c r="I108" i="68"/>
  <c r="O57" i="68" a="1"/>
  <c r="O57" i="68"/>
  <c r="O85" i="68"/>
  <c r="O108" i="68"/>
  <c r="Y57" i="68" a="1"/>
  <c r="Y57" i="68"/>
  <c r="Y85" i="68"/>
  <c r="Y108" i="68"/>
  <c r="N57" i="68" a="1"/>
  <c r="N57" i="68"/>
  <c r="N85" i="68"/>
  <c r="N108" i="68"/>
  <c r="T57" i="68" a="1"/>
  <c r="T57" i="68"/>
  <c r="T85" i="68"/>
  <c r="T108" i="68"/>
  <c r="Z57" i="68" a="1"/>
  <c r="Z57" i="68"/>
  <c r="Z85" i="68"/>
  <c r="Z108" i="68"/>
  <c r="M57" i="68" a="1"/>
  <c r="M57" i="68"/>
  <c r="M85" i="68"/>
  <c r="M108" i="68"/>
  <c r="R57" i="68" a="1"/>
  <c r="R57" i="68"/>
  <c r="R85" i="68"/>
  <c r="R108" i="68"/>
  <c r="AA57" i="68" a="1"/>
  <c r="AA57" i="68"/>
  <c r="AA85" i="68"/>
  <c r="AA108" i="68"/>
  <c r="L57" i="68" a="1"/>
  <c r="L57" i="68"/>
  <c r="L85" i="68"/>
  <c r="L108" i="68"/>
  <c r="K57" i="68" a="1"/>
  <c r="K57" i="68"/>
  <c r="K85" i="68"/>
  <c r="K108" i="68"/>
  <c r="S57" i="68" a="1"/>
  <c r="S57" i="68"/>
  <c r="S85" i="68"/>
  <c r="S108" i="68"/>
  <c r="J57" i="68" a="1"/>
  <c r="J57" i="68"/>
  <c r="J85" i="68"/>
  <c r="J108" i="68"/>
  <c r="V57" i="68" a="1"/>
  <c r="V57" i="68"/>
  <c r="V85" i="68"/>
  <c r="V108" i="68"/>
  <c r="D10" i="33"/>
  <c r="D11" i="33"/>
  <c r="D9" i="33"/>
  <c r="D12" i="33"/>
  <c r="H95" i="43"/>
  <c r="H96" i="43"/>
  <c r="H97" i="43"/>
  <c r="H98" i="43"/>
  <c r="H99" i="43"/>
  <c r="H100" i="43"/>
  <c r="H101" i="43"/>
  <c r="H94" i="43"/>
  <c r="U85" i="72"/>
  <c r="Z85" i="72"/>
  <c r="AC85" i="72"/>
  <c r="T85" i="72"/>
  <c r="O85" i="72"/>
  <c r="Q85" i="72"/>
  <c r="P85" i="72"/>
  <c r="AB85" i="72"/>
  <c r="M85" i="72"/>
  <c r="R85" i="72"/>
  <c r="AE85" i="73"/>
  <c r="AA85" i="72"/>
  <c r="I85" i="72"/>
  <c r="J85" i="72"/>
  <c r="AG85" i="72"/>
  <c r="AF85" i="73"/>
  <c r="AG85" i="73"/>
  <c r="Y85" i="72"/>
  <c r="N85" i="72"/>
  <c r="S85" i="72"/>
  <c r="AF85" i="72"/>
  <c r="AD85" i="73"/>
  <c r="I85" i="73"/>
  <c r="W85" i="72"/>
  <c r="K85" i="72"/>
  <c r="X85" i="72"/>
  <c r="AE85" i="72"/>
  <c r="AC85" i="73"/>
  <c r="V85" i="72"/>
  <c r="L85" i="72"/>
  <c r="AD85" i="72"/>
  <c r="AE85" i="81"/>
  <c r="AC85" i="81"/>
  <c r="AF85" i="81"/>
  <c r="AG85" i="81"/>
  <c r="AD85" i="81"/>
  <c r="AG87" i="68"/>
  <c r="AG106" i="68"/>
  <c r="AF87" i="68"/>
  <c r="AF106" i="68"/>
  <c r="AE87" i="68"/>
  <c r="AE106" i="68"/>
  <c r="AD87" i="68"/>
  <c r="AD106" i="68"/>
  <c r="AC87" i="68"/>
  <c r="AC106" i="68"/>
  <c r="AA85" i="81"/>
  <c r="T85" i="73"/>
  <c r="S85" i="81"/>
  <c r="Y85" i="81"/>
  <c r="W85" i="73"/>
  <c r="Q85" i="73"/>
  <c r="O85" i="73"/>
  <c r="O85" i="82"/>
  <c r="O85" i="81"/>
  <c r="R85" i="81"/>
  <c r="V85" i="73"/>
  <c r="X85" i="73"/>
  <c r="T85" i="82"/>
  <c r="V85" i="82"/>
  <c r="M85" i="81"/>
  <c r="J85" i="81"/>
  <c r="T85" i="81"/>
  <c r="AA85" i="73"/>
  <c r="P85" i="73"/>
  <c r="Q85" i="82"/>
  <c r="J85" i="82"/>
  <c r="K85" i="82"/>
  <c r="J85" i="73"/>
  <c r="V85" i="81"/>
  <c r="K85" i="81"/>
  <c r="I85" i="81"/>
  <c r="U85" i="73"/>
  <c r="U85" i="82"/>
  <c r="AA85" i="82"/>
  <c r="R85" i="82"/>
  <c r="AB85" i="81"/>
  <c r="Z85" i="81"/>
  <c r="W85" i="81"/>
  <c r="N85" i="73"/>
  <c r="Z85" i="73"/>
  <c r="AB85" i="82"/>
  <c r="W85" i="82"/>
  <c r="P85" i="82"/>
  <c r="N85" i="81"/>
  <c r="Q85" i="81"/>
  <c r="L85" i="81"/>
  <c r="X85" i="81"/>
  <c r="M85" i="73"/>
  <c r="K85" i="73"/>
  <c r="Y85" i="82"/>
  <c r="Z85" i="82"/>
  <c r="M85" i="82"/>
  <c r="N85" i="82"/>
  <c r="S85" i="73"/>
  <c r="R85" i="73"/>
  <c r="S85" i="82"/>
  <c r="U85" i="81"/>
  <c r="P85" i="81"/>
  <c r="AB85" i="73"/>
  <c r="L85" i="73"/>
  <c r="Y85" i="73"/>
  <c r="X85" i="82"/>
  <c r="L85" i="82"/>
  <c r="AG117" i="68" a="1"/>
  <c r="AG117" i="68"/>
  <c r="AG116" i="68" a="1"/>
  <c r="AG116" i="68"/>
  <c r="AG115" i="68" a="1"/>
  <c r="AG115" i="68"/>
  <c r="AG113" i="68" a="1"/>
  <c r="AG113" i="68"/>
  <c r="AG110" i="68" a="1"/>
  <c r="AG110" i="68"/>
  <c r="AG111" i="68" a="1"/>
  <c r="AG111" i="68"/>
  <c r="AG112" i="68" a="1"/>
  <c r="AG112" i="68"/>
  <c r="AG114" i="68" a="1"/>
  <c r="AG114" i="68"/>
  <c r="AF117" i="68" a="1"/>
  <c r="AF117" i="68"/>
  <c r="AF113" i="68" a="1"/>
  <c r="AF113" i="68"/>
  <c r="AF116" i="68" a="1"/>
  <c r="AF116" i="68"/>
  <c r="AF115" i="68" a="1"/>
  <c r="AF115" i="68"/>
  <c r="AF114" i="68" a="1"/>
  <c r="AF114" i="68"/>
  <c r="AF112" i="68" a="1"/>
  <c r="AF112" i="68"/>
  <c r="AF111" i="68" a="1"/>
  <c r="AF111" i="68"/>
  <c r="AF110" i="68" a="1"/>
  <c r="AF110" i="68"/>
  <c r="AE113" i="68" a="1"/>
  <c r="AE113" i="68"/>
  <c r="AE117" i="68" a="1"/>
  <c r="AE117" i="68"/>
  <c r="AE116" i="68" a="1"/>
  <c r="AE116" i="68"/>
  <c r="AE115" i="68" a="1"/>
  <c r="AE115" i="68"/>
  <c r="AE114" i="68" a="1"/>
  <c r="AE114" i="68"/>
  <c r="AE111" i="68" a="1"/>
  <c r="AE111" i="68"/>
  <c r="AE112" i="68" a="1"/>
  <c r="AE112" i="68"/>
  <c r="AE110" i="68" a="1"/>
  <c r="AE110" i="68"/>
  <c r="AC112" i="68" a="1"/>
  <c r="AC112" i="68"/>
  <c r="AC115" i="68" a="1"/>
  <c r="AC115" i="68"/>
  <c r="AC116" i="68" a="1"/>
  <c r="AC116" i="68"/>
  <c r="AC113" i="68" a="1"/>
  <c r="AC113" i="68"/>
  <c r="AC117" i="68" a="1"/>
  <c r="AC117" i="68"/>
  <c r="AC111" i="68" a="1"/>
  <c r="AC111" i="68"/>
  <c r="AC114" i="68" a="1"/>
  <c r="AC114" i="68"/>
  <c r="AC110" i="68" a="1"/>
  <c r="AC110" i="68"/>
  <c r="AD112" i="68" a="1"/>
  <c r="AD112" i="68"/>
  <c r="AD115" i="68" a="1"/>
  <c r="AD115" i="68"/>
  <c r="AD110" i="68" a="1"/>
  <c r="AD110" i="68"/>
  <c r="AD113" i="68" a="1"/>
  <c r="AD113" i="68"/>
  <c r="AD116" i="68" a="1"/>
  <c r="AD116" i="68"/>
  <c r="AD117" i="68" a="1"/>
  <c r="AD117" i="68"/>
  <c r="AD114" i="68" a="1"/>
  <c r="AD114" i="68"/>
  <c r="AD111" i="68" a="1"/>
  <c r="AD111" i="68"/>
  <c r="X87" i="68"/>
  <c r="X106" i="68"/>
  <c r="M87" i="68"/>
  <c r="M106" i="68"/>
  <c r="K87" i="68"/>
  <c r="K106" i="68"/>
  <c r="U87" i="68"/>
  <c r="U106" i="68"/>
  <c r="Q87" i="68"/>
  <c r="Q106" i="68"/>
  <c r="Z87" i="68"/>
  <c r="Z106" i="68"/>
  <c r="Y87" i="68"/>
  <c r="Y106" i="68"/>
  <c r="N87" i="68"/>
  <c r="N106" i="68"/>
  <c r="AA87" i="68"/>
  <c r="AA106" i="68"/>
  <c r="V87" i="68"/>
  <c r="V106" i="68"/>
  <c r="P87" i="68"/>
  <c r="P106" i="68"/>
  <c r="L87" i="68"/>
  <c r="L106" i="68"/>
  <c r="O87" i="68"/>
  <c r="O106" i="68"/>
  <c r="R87" i="68"/>
  <c r="R106" i="68"/>
  <c r="S87" i="68"/>
  <c r="S106" i="68"/>
  <c r="T87" i="68"/>
  <c r="T106" i="68"/>
  <c r="W87" i="68"/>
  <c r="W106" i="68"/>
  <c r="AB87" i="68"/>
  <c r="AB106" i="68"/>
  <c r="P117" i="68" a="1"/>
  <c r="P117" i="68"/>
  <c r="P111" i="68" a="1"/>
  <c r="P111" i="68"/>
  <c r="P112" i="68" a="1"/>
  <c r="P112" i="68"/>
  <c r="P114" i="68" a="1"/>
  <c r="P114" i="68"/>
  <c r="P116" i="68" a="1"/>
  <c r="P116" i="68"/>
  <c r="P110" i="68" a="1"/>
  <c r="P110" i="68"/>
  <c r="P113" i="68" a="1"/>
  <c r="P113" i="68"/>
  <c r="P115" i="68" a="1"/>
  <c r="P115" i="68"/>
  <c r="AA112" i="68" a="1"/>
  <c r="AA112" i="68"/>
  <c r="AA114" i="68" a="1"/>
  <c r="AA114" i="68"/>
  <c r="AA110" i="68" a="1"/>
  <c r="AA110" i="68"/>
  <c r="AA113" i="68" a="1"/>
  <c r="AA113" i="68"/>
  <c r="AA111" i="68" a="1"/>
  <c r="AA111" i="68"/>
  <c r="AA115" i="68" a="1"/>
  <c r="AA115" i="68"/>
  <c r="AA117" i="68" a="1"/>
  <c r="AA117" i="68"/>
  <c r="AA116" i="68" a="1"/>
  <c r="AA116" i="68"/>
  <c r="W116" i="68" a="1"/>
  <c r="W116" i="68"/>
  <c r="W113" i="68" a="1"/>
  <c r="W113" i="68"/>
  <c r="W110" i="68" a="1"/>
  <c r="W110" i="68"/>
  <c r="W117" i="68" a="1"/>
  <c r="W117" i="68"/>
  <c r="W111" i="68" a="1"/>
  <c r="W111" i="68"/>
  <c r="W112" i="68" a="1"/>
  <c r="W112" i="68"/>
  <c r="W115" i="68" a="1"/>
  <c r="W115" i="68"/>
  <c r="W114" i="68" a="1"/>
  <c r="W114" i="68"/>
  <c r="S117" i="68" a="1"/>
  <c r="S117" i="68"/>
  <c r="S111" i="68" a="1"/>
  <c r="S111" i="68"/>
  <c r="S114" i="68" a="1"/>
  <c r="S114" i="68"/>
  <c r="S112" i="68" a="1"/>
  <c r="S112" i="68"/>
  <c r="S115" i="68" a="1"/>
  <c r="S115" i="68"/>
  <c r="S116" i="68" a="1"/>
  <c r="S116" i="68"/>
  <c r="S113" i="68" a="1"/>
  <c r="S113" i="68"/>
  <c r="S110" i="68" a="1"/>
  <c r="S110" i="68"/>
  <c r="R117" i="68" a="1"/>
  <c r="R117" i="68"/>
  <c r="R111" i="68" a="1"/>
  <c r="R111" i="68"/>
  <c r="R114" i="68" a="1"/>
  <c r="R114" i="68"/>
  <c r="R112" i="68" a="1"/>
  <c r="R112" i="68"/>
  <c r="R115" i="68" a="1"/>
  <c r="R115" i="68"/>
  <c r="R116" i="68" a="1"/>
  <c r="R116" i="68"/>
  <c r="R110" i="68" a="1"/>
  <c r="R110" i="68"/>
  <c r="R113" i="68" a="1"/>
  <c r="R113" i="68"/>
  <c r="O117" i="68" a="1"/>
  <c r="O117" i="68"/>
  <c r="O111" i="68" a="1"/>
  <c r="O111" i="68"/>
  <c r="O115" i="68" a="1"/>
  <c r="O115" i="68"/>
  <c r="O112" i="68" a="1"/>
  <c r="O112" i="68"/>
  <c r="O113" i="68" a="1"/>
  <c r="O113" i="68"/>
  <c r="O114" i="68" a="1"/>
  <c r="O114" i="68"/>
  <c r="O116" i="68" a="1"/>
  <c r="O116" i="68"/>
  <c r="O110" i="68" a="1"/>
  <c r="O110" i="68"/>
  <c r="L115" i="68" a="1"/>
  <c r="L115" i="68"/>
  <c r="L112" i="68" a="1"/>
  <c r="L112" i="68"/>
  <c r="L116" i="68" a="1"/>
  <c r="L116" i="68"/>
  <c r="L113" i="68" a="1"/>
  <c r="L113" i="68"/>
  <c r="L111" i="68" a="1"/>
  <c r="L111" i="68"/>
  <c r="L117" i="68" a="1"/>
  <c r="L117" i="68"/>
  <c r="L114" i="68" a="1"/>
  <c r="L114" i="68"/>
  <c r="L110" i="68" a="1"/>
  <c r="L110" i="68"/>
  <c r="N115" i="68" a="1"/>
  <c r="N115" i="68"/>
  <c r="N112" i="68" a="1"/>
  <c r="N112" i="68"/>
  <c r="N117" i="68" a="1"/>
  <c r="N117" i="68"/>
  <c r="N111" i="68" a="1"/>
  <c r="N111" i="68"/>
  <c r="N110" i="68" a="1"/>
  <c r="N110" i="68"/>
  <c r="N116" i="68" a="1"/>
  <c r="N116" i="68"/>
  <c r="N114" i="68" a="1"/>
  <c r="N114" i="68"/>
  <c r="N113" i="68" a="1"/>
  <c r="N113" i="68"/>
  <c r="Y116" i="68" a="1"/>
  <c r="Y116" i="68"/>
  <c r="Y113" i="68" a="1"/>
  <c r="Y113" i="68"/>
  <c r="Y110" i="68" a="1"/>
  <c r="Y110" i="68"/>
  <c r="Y117" i="68" a="1"/>
  <c r="Y117" i="68"/>
  <c r="Y111" i="68" a="1"/>
  <c r="Y111" i="68"/>
  <c r="Y112" i="68" a="1"/>
  <c r="Y112" i="68"/>
  <c r="Y115" i="68" a="1"/>
  <c r="Y115" i="68"/>
  <c r="Y114" i="68" a="1"/>
  <c r="Y114" i="68"/>
  <c r="Q117" i="68" a="1"/>
  <c r="Q117" i="68"/>
  <c r="Q111" i="68" a="1"/>
  <c r="Q111" i="68"/>
  <c r="Q115" i="68" a="1"/>
  <c r="Q115" i="68"/>
  <c r="Q112" i="68" a="1"/>
  <c r="Q112" i="68"/>
  <c r="Q114" i="68" a="1"/>
  <c r="Q114" i="68"/>
  <c r="Q116" i="68" a="1"/>
  <c r="Q116" i="68"/>
  <c r="Q110" i="68" a="1"/>
  <c r="Q110" i="68"/>
  <c r="Q113" i="68" a="1"/>
  <c r="Q113" i="68"/>
  <c r="K115" i="68" a="1"/>
  <c r="K115" i="68"/>
  <c r="K112" i="68" a="1"/>
  <c r="K112" i="68"/>
  <c r="K116" i="68" a="1"/>
  <c r="K116" i="68"/>
  <c r="K110" i="68" a="1"/>
  <c r="K110" i="68"/>
  <c r="K113" i="68" a="1"/>
  <c r="K113" i="68"/>
  <c r="K111" i="68" a="1"/>
  <c r="K111" i="68"/>
  <c r="K117" i="68" a="1"/>
  <c r="K117" i="68"/>
  <c r="K114" i="68" a="1"/>
  <c r="K114" i="68"/>
  <c r="M115" i="68" a="1"/>
  <c r="M115" i="68"/>
  <c r="M112" i="68" a="1"/>
  <c r="M112" i="68"/>
  <c r="M116" i="68" a="1"/>
  <c r="M116" i="68"/>
  <c r="M113" i="68" a="1"/>
  <c r="M113" i="68"/>
  <c r="M111" i="68" a="1"/>
  <c r="M111" i="68"/>
  <c r="M117" i="68" a="1"/>
  <c r="M117" i="68"/>
  <c r="M114" i="68" a="1"/>
  <c r="M114" i="68"/>
  <c r="M110" i="68" a="1"/>
  <c r="M110" i="68"/>
  <c r="U113" i="68" a="1"/>
  <c r="U113" i="68"/>
  <c r="U110" i="68" a="1"/>
  <c r="U110" i="68"/>
  <c r="U115" i="68" a="1"/>
  <c r="U115" i="68"/>
  <c r="U111" i="68" a="1"/>
  <c r="U111" i="68"/>
  <c r="U116" i="68" a="1"/>
  <c r="U116" i="68"/>
  <c r="U112" i="68" a="1"/>
  <c r="U112" i="68"/>
  <c r="U117" i="68" a="1"/>
  <c r="U117" i="68"/>
  <c r="U114" i="68" a="1"/>
  <c r="U114" i="68"/>
  <c r="X116" i="68" a="1"/>
  <c r="X116" i="68"/>
  <c r="X113" i="68" a="1"/>
  <c r="X113" i="68"/>
  <c r="X110" i="68" a="1"/>
  <c r="X110" i="68"/>
  <c r="X114" i="68" a="1"/>
  <c r="X114" i="68"/>
  <c r="X111" i="68" a="1"/>
  <c r="X111" i="68"/>
  <c r="X112" i="68" a="1"/>
  <c r="X112" i="68"/>
  <c r="X115" i="68" a="1"/>
  <c r="X115" i="68"/>
  <c r="X117" i="68" a="1"/>
  <c r="X117" i="68"/>
  <c r="AB112" i="68" a="1"/>
  <c r="AB112" i="68"/>
  <c r="AB115" i="68" a="1"/>
  <c r="AB115" i="68"/>
  <c r="AB116" i="68" a="1"/>
  <c r="AB116" i="68"/>
  <c r="AB110" i="68" a="1"/>
  <c r="AB110" i="68"/>
  <c r="AB113" i="68" a="1"/>
  <c r="AB113" i="68"/>
  <c r="AB117" i="68" a="1"/>
  <c r="AB117" i="68"/>
  <c r="AB111" i="68" a="1"/>
  <c r="AB111" i="68"/>
  <c r="AB114" i="68" a="1"/>
  <c r="AB114" i="68"/>
  <c r="T114" i="68" a="1"/>
  <c r="T114" i="68"/>
  <c r="T112" i="68" a="1"/>
  <c r="T112" i="68"/>
  <c r="T117" i="68" a="1"/>
  <c r="T117" i="68"/>
  <c r="T115" i="68" a="1"/>
  <c r="T115" i="68"/>
  <c r="T113" i="68" a="1"/>
  <c r="T113" i="68"/>
  <c r="T116" i="68" a="1"/>
  <c r="T116" i="68"/>
  <c r="T110" i="68" a="1"/>
  <c r="T110" i="68"/>
  <c r="T111" i="68" a="1"/>
  <c r="T111" i="68"/>
  <c r="V116" i="68" a="1"/>
  <c r="V116" i="68"/>
  <c r="V113" i="68" a="1"/>
  <c r="V113" i="68"/>
  <c r="V110" i="68" a="1"/>
  <c r="V110" i="68"/>
  <c r="V115" i="68" a="1"/>
  <c r="V115" i="68"/>
  <c r="V114" i="68" a="1"/>
  <c r="V114" i="68"/>
  <c r="V111" i="68" a="1"/>
  <c r="V111" i="68"/>
  <c r="V117" i="68" a="1"/>
  <c r="V117" i="68"/>
  <c r="V112" i="68" a="1"/>
  <c r="V112" i="68"/>
  <c r="Z116" i="68" a="1"/>
  <c r="Z116" i="68"/>
  <c r="Z113" i="68" a="1"/>
  <c r="Z113" i="68"/>
  <c r="Z112" i="68" a="1"/>
  <c r="Z112" i="68"/>
  <c r="Z117" i="68" a="1"/>
  <c r="Z117" i="68"/>
  <c r="Z111" i="68" a="1"/>
  <c r="Z111" i="68"/>
  <c r="Z110" i="68" a="1"/>
  <c r="Z110" i="68"/>
  <c r="Z115" i="68" a="1"/>
  <c r="Z115" i="68"/>
  <c r="Z114" i="68" a="1"/>
  <c r="Z114" i="68"/>
  <c r="J87" i="68"/>
  <c r="J106" i="68"/>
  <c r="I87" i="68"/>
  <c r="I106" i="68"/>
  <c r="A1" i="43"/>
  <c r="A1" i="33"/>
  <c r="J115" i="68" a="1"/>
  <c r="J115" i="68"/>
  <c r="J112" i="68" a="1"/>
  <c r="J112" i="68"/>
  <c r="J113" i="68" a="1"/>
  <c r="J113" i="68"/>
  <c r="J116" i="68" a="1"/>
  <c r="J116" i="68"/>
  <c r="J110" i="68" a="1"/>
  <c r="J110" i="68"/>
  <c r="J111" i="68" a="1"/>
  <c r="J111" i="68"/>
  <c r="J117" i="68" a="1"/>
  <c r="J117" i="68"/>
  <c r="J114" i="68" a="1"/>
  <c r="J114" i="68"/>
  <c r="I115" i="68" a="1"/>
  <c r="I115" i="68"/>
  <c r="I112" i="68" a="1"/>
  <c r="I112" i="68"/>
  <c r="I114" i="68" a="1"/>
  <c r="I114" i="68"/>
  <c r="I116" i="68" a="1"/>
  <c r="I116" i="68"/>
  <c r="I110" i="68" a="1"/>
  <c r="I110" i="68"/>
  <c r="I117" i="68" a="1"/>
  <c r="I117" i="68"/>
  <c r="I111" i="68" a="1"/>
  <c r="I111" i="68"/>
  <c r="I113" i="68" a="1"/>
  <c r="I113" i="68"/>
  <c r="A2" i="47"/>
  <c r="A1" i="47"/>
  <c r="A2" i="62"/>
  <c r="A1" i="62"/>
  <c r="A2" i="33"/>
  <c r="AC99" i="75"/>
  <c r="AD99" i="75"/>
  <c r="Q99" i="75"/>
  <c r="C64" i="81"/>
  <c r="C64" i="73"/>
  <c r="C15" i="75"/>
  <c r="D15" i="75"/>
  <c r="D57" i="75"/>
  <c r="D60" i="75"/>
  <c r="C18" i="75"/>
  <c r="D18" i="75"/>
  <c r="D74" i="75"/>
  <c r="D63" i="75"/>
  <c r="D61" i="75"/>
  <c r="D64" i="75"/>
  <c r="D36" i="75"/>
  <c r="D78" i="75"/>
  <c r="D22" i="75"/>
  <c r="D71" i="75"/>
  <c r="C29" i="75"/>
  <c r="D29" i="75"/>
  <c r="C35" i="75"/>
  <c r="D35" i="75"/>
  <c r="D77" i="75"/>
  <c r="C21" i="75"/>
  <c r="D21" i="75"/>
  <c r="C33" i="75"/>
  <c r="D33" i="75"/>
  <c r="C19" i="75"/>
  <c r="D19" i="75"/>
  <c r="D75" i="75"/>
  <c r="C32" i="75"/>
  <c r="D32" i="75"/>
  <c r="H13" i="33"/>
  <c r="H12" i="33"/>
  <c r="G12" i="33"/>
  <c r="I12" i="33"/>
  <c r="I13" i="33"/>
  <c r="G13" i="33"/>
  <c r="D28" i="85"/>
  <c r="B22" i="85"/>
  <c r="D22" i="85"/>
  <c r="B21" i="85"/>
  <c r="D21" i="85"/>
  <c r="G115" i="81"/>
  <c r="B46" i="85"/>
  <c r="D46" i="85"/>
  <c r="G116" i="81"/>
  <c r="B17" i="85"/>
  <c r="D17" i="85"/>
  <c r="B36" i="85"/>
  <c r="B19" i="85"/>
  <c r="D19" i="85"/>
  <c r="B20" i="85"/>
  <c r="D20" i="85"/>
  <c r="G113" i="81"/>
  <c r="B23" i="85"/>
  <c r="D23" i="85"/>
  <c r="B18" i="85"/>
  <c r="D18" i="85"/>
  <c r="B33" i="85"/>
  <c r="B49" i="85"/>
  <c r="D49" i="85"/>
  <c r="G114" i="81"/>
  <c r="B34" i="85"/>
  <c r="B35" i="85"/>
  <c r="D35" i="85"/>
  <c r="B51" i="85"/>
  <c r="D51" i="85"/>
  <c r="G112" i="81"/>
  <c r="G117" i="81"/>
  <c r="B47" i="85"/>
  <c r="D47" i="85"/>
  <c r="B37" i="85"/>
  <c r="D37" i="85"/>
  <c r="G111" i="81"/>
  <c r="B31" i="85"/>
  <c r="B32" i="85"/>
  <c r="B16" i="85"/>
  <c r="D16" i="85"/>
  <c r="B45" i="85"/>
  <c r="D45" i="85"/>
  <c r="B50" i="85"/>
  <c r="D50" i="85"/>
  <c r="D33" i="85"/>
  <c r="G110" i="81"/>
  <c r="B30" i="85"/>
  <c r="B48" i="85"/>
  <c r="D48" i="85"/>
  <c r="B44" i="85"/>
  <c r="D44" i="85"/>
  <c r="D31" i="85"/>
  <c r="D32" i="85"/>
  <c r="D34" i="85"/>
  <c r="D36" i="85"/>
  <c r="D30" i="85"/>
  <c r="G70" i="43"/>
  <c r="G71" i="43"/>
  <c r="D22" i="62"/>
  <c r="T28" i="88"/>
  <c r="AD36" i="68"/>
  <c r="R99" i="75"/>
  <c r="P28" i="88"/>
  <c r="I32" i="68"/>
  <c r="O99" i="75"/>
  <c r="N99" i="75"/>
  <c r="T28" i="81"/>
  <c r="S36" i="81"/>
  <c r="AB40" i="88"/>
  <c r="I28" i="88"/>
  <c r="M28" i="81"/>
  <c r="L99" i="75"/>
  <c r="AB99" i="75"/>
  <c r="I33" i="68"/>
  <c r="E39" i="88"/>
  <c r="I33" i="72"/>
  <c r="I16" i="88"/>
  <c r="Z28" i="88"/>
  <c r="R28" i="81"/>
  <c r="N28" i="88"/>
  <c r="H40" i="88"/>
  <c r="AF99" i="75"/>
  <c r="M36" i="81"/>
  <c r="D98" i="75"/>
  <c r="AE36" i="68"/>
  <c r="R36" i="68"/>
  <c r="Z16" i="88"/>
  <c r="M40" i="88"/>
  <c r="AB36" i="68"/>
  <c r="H16" i="88"/>
  <c r="T16" i="88"/>
  <c r="M28" i="88"/>
  <c r="L28" i="88"/>
  <c r="G40" i="88"/>
  <c r="K36" i="81"/>
  <c r="R16" i="88"/>
  <c r="F16" i="88"/>
  <c r="W28" i="88"/>
  <c r="K28" i="88"/>
  <c r="AC16" i="88"/>
  <c r="J28" i="88"/>
  <c r="AB16" i="88"/>
  <c r="P16" i="88"/>
  <c r="U28" i="88"/>
  <c r="O40" i="88"/>
  <c r="I30" i="68"/>
  <c r="X28" i="68"/>
  <c r="X99" i="75"/>
  <c r="AA16" i="88"/>
  <c r="H28" i="88"/>
  <c r="Y40" i="88"/>
  <c r="O28" i="81"/>
  <c r="AF31" i="68"/>
  <c r="AF36" i="68"/>
  <c r="AC36" i="68"/>
  <c r="R28" i="88"/>
  <c r="AA36" i="72"/>
  <c r="AA64" i="72"/>
  <c r="AA84" i="72"/>
  <c r="U36" i="81"/>
  <c r="Q28" i="88"/>
  <c r="Y28" i="88"/>
  <c r="AA36" i="68"/>
  <c r="W16" i="88"/>
  <c r="O36" i="68"/>
  <c r="AB28" i="88"/>
  <c r="I40" i="88"/>
  <c r="T40" i="88"/>
  <c r="X16" i="88"/>
  <c r="AG36" i="81"/>
  <c r="AF36" i="81"/>
  <c r="E16" i="88"/>
  <c r="N36" i="68"/>
  <c r="E37" i="88"/>
  <c r="I31" i="72"/>
  <c r="AA40" i="88"/>
  <c r="Z40" i="88"/>
  <c r="AE28" i="72"/>
  <c r="R40" i="88"/>
  <c r="P40" i="88"/>
  <c r="J40" i="88"/>
  <c r="U28" i="72"/>
  <c r="AC40" i="88"/>
  <c r="T28" i="72"/>
  <c r="AF36" i="72"/>
  <c r="L40" i="88"/>
  <c r="F40" i="88"/>
  <c r="K40" i="88"/>
  <c r="AC30" i="72"/>
  <c r="AC36" i="72"/>
  <c r="N40" i="88"/>
  <c r="R36" i="72"/>
  <c r="U40" i="88"/>
  <c r="J31" i="72"/>
  <c r="J36" i="72"/>
  <c r="P72" i="72" a="1"/>
  <c r="P72" i="72"/>
  <c r="Q77" i="72"/>
  <c r="Q80" i="72"/>
  <c r="Q82" i="72"/>
  <c r="U72" i="72" a="1"/>
  <c r="U72" i="72"/>
  <c r="V77" i="72"/>
  <c r="V80" i="72"/>
  <c r="V82" i="72"/>
  <c r="AB72" i="72" a="1"/>
  <c r="AB72" i="72"/>
  <c r="AC77" i="72"/>
  <c r="AC80" i="72"/>
  <c r="AC82" i="72"/>
  <c r="AC107" i="72"/>
  <c r="W72" i="72" a="1"/>
  <c r="W72" i="72"/>
  <c r="X77" i="72"/>
  <c r="X80" i="72"/>
  <c r="X82" i="72"/>
  <c r="N72" i="72" a="1"/>
  <c r="N72" i="72"/>
  <c r="O77" i="72"/>
  <c r="O80" i="72"/>
  <c r="O82" i="72"/>
  <c r="R72" i="72" a="1"/>
  <c r="R72" i="72"/>
  <c r="S77" i="72"/>
  <c r="S80" i="72"/>
  <c r="S82" i="72"/>
  <c r="V72" i="72" a="1"/>
  <c r="V72" i="72"/>
  <c r="W77" i="72"/>
  <c r="W80" i="72"/>
  <c r="W82" i="72"/>
  <c r="AC72" i="72" a="1"/>
  <c r="AC72" i="72"/>
  <c r="AD77" i="72"/>
  <c r="AD80" i="72"/>
  <c r="AD82" i="72"/>
  <c r="J72" i="72" a="1"/>
  <c r="J72" i="72"/>
  <c r="K77" i="72"/>
  <c r="K80" i="72"/>
  <c r="K82" i="72"/>
  <c r="X72" i="72" a="1"/>
  <c r="X72" i="72"/>
  <c r="Y77" i="72"/>
  <c r="Y80" i="72"/>
  <c r="Y82" i="72"/>
  <c r="Z72" i="72" a="1"/>
  <c r="Z72" i="72"/>
  <c r="AA77" i="72"/>
  <c r="AA80" i="72"/>
  <c r="AA82" i="72"/>
  <c r="K72" i="72" a="1"/>
  <c r="K72" i="72"/>
  <c r="L77" i="72"/>
  <c r="L80" i="72"/>
  <c r="L82" i="72"/>
  <c r="O72" i="72" a="1"/>
  <c r="O72" i="72"/>
  <c r="P77" i="72"/>
  <c r="P80" i="72"/>
  <c r="P82" i="72"/>
  <c r="Y72" i="72" a="1"/>
  <c r="Y72" i="72"/>
  <c r="Z77" i="72"/>
  <c r="Z80" i="72"/>
  <c r="Z82" i="72"/>
  <c r="AE72" i="72" a="1"/>
  <c r="AE72" i="72"/>
  <c r="AF77" i="72"/>
  <c r="AF80" i="72"/>
  <c r="AF82" i="72"/>
  <c r="L72" i="72" a="1"/>
  <c r="L72" i="72"/>
  <c r="M77" i="72"/>
  <c r="M80" i="72"/>
  <c r="M82" i="72"/>
  <c r="AD72" i="72" a="1"/>
  <c r="AD72" i="72"/>
  <c r="AE77" i="72"/>
  <c r="AE80" i="72"/>
  <c r="AE82" i="72"/>
  <c r="AE107" i="72"/>
  <c r="AF72" i="72" a="1"/>
  <c r="AF72" i="72"/>
  <c r="AG77" i="72"/>
  <c r="AG80" i="72"/>
  <c r="AG82" i="72"/>
  <c r="AG107" i="72"/>
  <c r="M72" i="72" a="1"/>
  <c r="M72" i="72"/>
  <c r="N77" i="72"/>
  <c r="N80" i="72"/>
  <c r="N82" i="72"/>
  <c r="I72" i="72" a="1"/>
  <c r="I72" i="72"/>
  <c r="J77" i="72"/>
  <c r="J80" i="72"/>
  <c r="J82" i="72"/>
  <c r="J107" i="72"/>
  <c r="T72" i="72" a="1"/>
  <c r="T72" i="72"/>
  <c r="U77" i="72"/>
  <c r="U80" i="72"/>
  <c r="U82" i="72"/>
  <c r="S72" i="72" a="1"/>
  <c r="S72" i="72"/>
  <c r="T77" i="72"/>
  <c r="T80" i="72"/>
  <c r="T82" i="72"/>
  <c r="AG72" i="72" a="1"/>
  <c r="AG72" i="72"/>
  <c r="Q72" i="72" a="1"/>
  <c r="Q72" i="72"/>
  <c r="R77" i="72"/>
  <c r="R80" i="72"/>
  <c r="R82" i="72"/>
  <c r="AA72" i="72" a="1"/>
  <c r="AA72" i="72"/>
  <c r="AB77" i="72"/>
  <c r="AB80" i="72"/>
  <c r="AB82" i="72"/>
  <c r="C11" i="47"/>
  <c r="N107" i="72"/>
  <c r="I107" i="72"/>
  <c r="AB107" i="72"/>
  <c r="M107" i="72"/>
  <c r="U107" i="72"/>
  <c r="T107" i="72"/>
  <c r="AF107" i="72"/>
  <c r="R107" i="72"/>
  <c r="Y107" i="72"/>
  <c r="K107" i="72"/>
  <c r="O107" i="72"/>
  <c r="W107" i="72"/>
  <c r="L107" i="72"/>
  <c r="AD107" i="72"/>
  <c r="X107" i="72"/>
  <c r="V107" i="72"/>
  <c r="Q107" i="72"/>
  <c r="Z36" i="81"/>
  <c r="Z36" i="72"/>
  <c r="S99" i="75"/>
  <c r="S36" i="68"/>
  <c r="M99" i="75"/>
  <c r="N36" i="72"/>
  <c r="N64" i="72"/>
  <c r="N84" i="72"/>
  <c r="W36" i="72"/>
  <c r="Y99" i="75"/>
  <c r="Y36" i="68"/>
  <c r="K36" i="68"/>
  <c r="K99" i="75"/>
  <c r="X36" i="81"/>
  <c r="J36" i="81"/>
  <c r="W36" i="81"/>
  <c r="L36" i="72"/>
  <c r="W36" i="68"/>
  <c r="AB36" i="81"/>
  <c r="U36" i="68"/>
  <c r="U99" i="75"/>
  <c r="Z99" i="75"/>
  <c r="Z36" i="68"/>
  <c r="V36" i="81"/>
  <c r="AG99" i="75"/>
  <c r="AD36" i="72"/>
  <c r="AB36" i="72"/>
  <c r="AE36" i="81"/>
  <c r="Q36" i="68"/>
  <c r="AG36" i="72"/>
  <c r="P36" i="68"/>
  <c r="P99" i="75"/>
  <c r="AC36" i="81"/>
  <c r="Y36" i="72"/>
  <c r="AE36" i="72"/>
  <c r="AE64" i="72"/>
  <c r="AE84" i="72"/>
  <c r="O16" i="88"/>
  <c r="AG31" i="68"/>
  <c r="AG36" i="68"/>
  <c r="E35" i="88"/>
  <c r="K32" i="72"/>
  <c r="K36" i="72"/>
  <c r="I99" i="75"/>
  <c r="S16" i="88"/>
  <c r="X40" i="88"/>
  <c r="V40" i="88"/>
  <c r="U16" i="88"/>
  <c r="M30" i="68"/>
  <c r="M36" i="68"/>
  <c r="AC28" i="88"/>
  <c r="Q31" i="72"/>
  <c r="Q36" i="72"/>
  <c r="V28" i="88"/>
  <c r="I28" i="81"/>
  <c r="P28" i="81"/>
  <c r="O28" i="88"/>
  <c r="J16" i="88"/>
  <c r="M30" i="72"/>
  <c r="M36" i="72"/>
  <c r="L30" i="68"/>
  <c r="L36" i="68"/>
  <c r="O28" i="72"/>
  <c r="AA28" i="88"/>
  <c r="X28" i="72"/>
  <c r="K16" i="88"/>
  <c r="S31" i="72"/>
  <c r="S36" i="72"/>
  <c r="AD28" i="81"/>
  <c r="S28" i="88"/>
  <c r="G28" i="88"/>
  <c r="L16" i="88"/>
  <c r="Q31" i="81"/>
  <c r="Q36" i="81"/>
  <c r="AA30" i="81"/>
  <c r="AA36" i="81"/>
  <c r="Q16" i="88"/>
  <c r="M16" i="88"/>
  <c r="L30" i="81"/>
  <c r="L36" i="81"/>
  <c r="AE99" i="75"/>
  <c r="J28" i="68"/>
  <c r="S40" i="88"/>
  <c r="V28" i="68"/>
  <c r="N30" i="81"/>
  <c r="N36" i="81"/>
  <c r="Y30" i="81"/>
  <c r="Y36" i="81"/>
  <c r="T30" i="68"/>
  <c r="T36" i="68"/>
  <c r="W40" i="88"/>
  <c r="G16" i="88"/>
  <c r="V16" i="88"/>
  <c r="P28" i="72"/>
  <c r="D21" i="62"/>
  <c r="D23" i="62"/>
  <c r="N16" i="75"/>
  <c r="N92" i="75"/>
  <c r="T42" i="75"/>
  <c r="S30" i="73" a="1"/>
  <c r="S30" i="73"/>
  <c r="Y30" i="73" a="1"/>
  <c r="Y30" i="73"/>
  <c r="P30" i="73" a="1"/>
  <c r="P30" i="73"/>
  <c r="V30" i="73" a="1"/>
  <c r="V30" i="73"/>
  <c r="AC30" i="82" a="1"/>
  <c r="AC30" i="82"/>
  <c r="AB30" i="73" a="1"/>
  <c r="AB30" i="73"/>
  <c r="I30" i="73" a="1"/>
  <c r="I30" i="73"/>
  <c r="AG30" i="73" a="1"/>
  <c r="AG30" i="73"/>
  <c r="M30" i="82" a="1"/>
  <c r="M30" i="82"/>
  <c r="N30" i="73" a="1"/>
  <c r="N30" i="73"/>
  <c r="O30" i="82" a="1"/>
  <c r="O30" i="82"/>
  <c r="U30" i="82" a="1"/>
  <c r="U30" i="82"/>
  <c r="AC30" i="73" a="1"/>
  <c r="AC30" i="73"/>
  <c r="L30" i="82" a="1"/>
  <c r="L30" i="82"/>
  <c r="Z30" i="73" a="1"/>
  <c r="Z30" i="73"/>
  <c r="AD30" i="82" a="1"/>
  <c r="AD30" i="82"/>
  <c r="K30" i="73" a="1"/>
  <c r="K30" i="73"/>
  <c r="I30" i="82" a="1"/>
  <c r="I30" i="82"/>
  <c r="W30" i="73" a="1"/>
  <c r="W30" i="73"/>
  <c r="L30" i="73" a="1"/>
  <c r="L30" i="73"/>
  <c r="R30" i="73" a="1"/>
  <c r="R30" i="73"/>
  <c r="M30" i="73" a="1"/>
  <c r="M30" i="73"/>
  <c r="K30" i="82" a="1"/>
  <c r="K30" i="82"/>
  <c r="Q30" i="82" a="1"/>
  <c r="Q30" i="82"/>
  <c r="U30" i="73" a="1"/>
  <c r="U30" i="73"/>
  <c r="T30" i="82" a="1"/>
  <c r="T30" i="82"/>
  <c r="V30" i="82" a="1"/>
  <c r="V30" i="82"/>
  <c r="AG30" i="82" a="1"/>
  <c r="AG30" i="82"/>
  <c r="AB30" i="82" a="1"/>
  <c r="AB30" i="82"/>
  <c r="AF30" i="82" a="1"/>
  <c r="AF30" i="82"/>
  <c r="J30" i="73" a="1"/>
  <c r="J30" i="73"/>
  <c r="O30" i="73" a="1"/>
  <c r="O30" i="73"/>
  <c r="Y30" i="82" a="1"/>
  <c r="Y30" i="82"/>
  <c r="J30" i="82" a="1"/>
  <c r="J30" i="82"/>
  <c r="X30" i="73" a="1"/>
  <c r="X30" i="73"/>
  <c r="S30" i="82" a="1"/>
  <c r="S30" i="82"/>
  <c r="AA30" i="73" a="1"/>
  <c r="AA30" i="73"/>
  <c r="AF30" i="73" a="1"/>
  <c r="AF30" i="73"/>
  <c r="AA30" i="82" a="1"/>
  <c r="AA30" i="82"/>
  <c r="Z30" i="82" a="1"/>
  <c r="Z30" i="82"/>
  <c r="T30" i="73" a="1"/>
  <c r="T30" i="73"/>
  <c r="AD30" i="73" a="1"/>
  <c r="AD30" i="73"/>
  <c r="Q30" i="73" a="1"/>
  <c r="Q30" i="73"/>
  <c r="X30" i="82" a="1"/>
  <c r="X30" i="82"/>
  <c r="N30" i="82" a="1"/>
  <c r="N30" i="82"/>
  <c r="AE30" i="82" a="1"/>
  <c r="AE30" i="82"/>
  <c r="P30" i="82" a="1"/>
  <c r="P30" i="82"/>
  <c r="AE30" i="73" a="1"/>
  <c r="AE30" i="73"/>
  <c r="W30" i="82" a="1"/>
  <c r="W30" i="82"/>
  <c r="R30" i="82" a="1"/>
  <c r="R30" i="82"/>
  <c r="T36" i="81"/>
  <c r="O36" i="81"/>
  <c r="X36" i="68"/>
  <c r="X64" i="81"/>
  <c r="X84" i="81"/>
  <c r="I36" i="68"/>
  <c r="AF16" i="75"/>
  <c r="AF92" i="75"/>
  <c r="AF64" i="81"/>
  <c r="AF84" i="81"/>
  <c r="AF108" i="81"/>
  <c r="R36" i="81"/>
  <c r="R64" i="81"/>
  <c r="R84" i="81"/>
  <c r="R108" i="81"/>
  <c r="R64" i="72"/>
  <c r="R84" i="72"/>
  <c r="O64" i="81"/>
  <c r="O84" i="81"/>
  <c r="O87" i="81"/>
  <c r="O106" i="81"/>
  <c r="AF64" i="72"/>
  <c r="AF84" i="72"/>
  <c r="AF87" i="72"/>
  <c r="AF106" i="72"/>
  <c r="T36" i="72"/>
  <c r="T64" i="72"/>
  <c r="T84" i="72"/>
  <c r="U36" i="72"/>
  <c r="U64" i="72"/>
  <c r="U84" i="72"/>
  <c r="S107" i="72"/>
  <c r="D11" i="47"/>
  <c r="A4" i="72"/>
  <c r="F11" i="47"/>
  <c r="C88" i="85" a="1"/>
  <c r="Z107" i="72"/>
  <c r="P107" i="72"/>
  <c r="AA107" i="72"/>
  <c r="M64" i="72"/>
  <c r="M84" i="72"/>
  <c r="M64" i="81"/>
  <c r="M84" i="81"/>
  <c r="U64" i="81"/>
  <c r="U84" i="81"/>
  <c r="Y64" i="72"/>
  <c r="Y84" i="72"/>
  <c r="Y64" i="81"/>
  <c r="Y84" i="81"/>
  <c r="AA64" i="81"/>
  <c r="AA84" i="81"/>
  <c r="L64" i="81"/>
  <c r="L84" i="81"/>
  <c r="L64" i="72"/>
  <c r="L84" i="72"/>
  <c r="AD64" i="72"/>
  <c r="AD84" i="72"/>
  <c r="N64" i="81"/>
  <c r="N84" i="81"/>
  <c r="J99" i="75"/>
  <c r="D99" i="75"/>
  <c r="J36" i="68"/>
  <c r="AA108" i="72"/>
  <c r="AA87" i="72"/>
  <c r="AA106" i="72"/>
  <c r="P42" i="75"/>
  <c r="P36" i="72"/>
  <c r="AG64" i="81"/>
  <c r="AG84" i="81"/>
  <c r="AG64" i="72"/>
  <c r="AG84" i="72"/>
  <c r="R108" i="72"/>
  <c r="R87" i="72"/>
  <c r="R106" i="72"/>
  <c r="T64" i="81"/>
  <c r="T84" i="81"/>
  <c r="AB64" i="72"/>
  <c r="AB84" i="72"/>
  <c r="S64" i="72"/>
  <c r="S84" i="72"/>
  <c r="S64" i="81"/>
  <c r="S84" i="81"/>
  <c r="O36" i="72"/>
  <c r="Q64" i="81"/>
  <c r="Q84" i="81"/>
  <c r="Q64" i="72"/>
  <c r="Q84" i="72"/>
  <c r="I36" i="81"/>
  <c r="I28" i="75"/>
  <c r="AB64" i="81"/>
  <c r="AB84" i="81"/>
  <c r="AD36" i="81"/>
  <c r="AC64" i="81"/>
  <c r="AC84" i="81"/>
  <c r="K64" i="72"/>
  <c r="K84" i="72"/>
  <c r="K64" i="81"/>
  <c r="K84" i="81"/>
  <c r="AE108" i="72"/>
  <c r="AE87" i="72"/>
  <c r="AE106" i="72"/>
  <c r="Z64" i="72"/>
  <c r="Z84" i="72"/>
  <c r="Z64" i="81"/>
  <c r="Z84" i="81"/>
  <c r="V99" i="75"/>
  <c r="V36" i="68"/>
  <c r="AE64" i="81"/>
  <c r="AE84" i="81"/>
  <c r="N108" i="72"/>
  <c r="N87" i="72"/>
  <c r="N106" i="72"/>
  <c r="P36" i="81"/>
  <c r="P64" i="81"/>
  <c r="P84" i="81"/>
  <c r="P28" i="75"/>
  <c r="I28" i="72"/>
  <c r="E40" i="88"/>
  <c r="X36" i="72"/>
  <c r="X64" i="72"/>
  <c r="X84" i="72"/>
  <c r="W64" i="81"/>
  <c r="W84" i="81"/>
  <c r="W64" i="72"/>
  <c r="W84" i="72"/>
  <c r="AC64" i="72"/>
  <c r="AC84" i="72"/>
  <c r="E28" i="68"/>
  <c r="F28" i="68"/>
  <c r="E28" i="73"/>
  <c r="E28" i="81"/>
  <c r="F28" i="81"/>
  <c r="E28" i="72"/>
  <c r="F28" i="72"/>
  <c r="E28" i="82"/>
  <c r="I16" i="75"/>
  <c r="I92" i="75"/>
  <c r="Y16" i="75"/>
  <c r="Y92" i="75"/>
  <c r="X16" i="75"/>
  <c r="X92" i="75"/>
  <c r="J14" i="75"/>
  <c r="K16" i="75"/>
  <c r="K92" i="75"/>
  <c r="V14" i="85"/>
  <c r="K20" i="75"/>
  <c r="Y19" i="75"/>
  <c r="AA18" i="75"/>
  <c r="U20" i="75"/>
  <c r="W20" i="75"/>
  <c r="T18" i="75"/>
  <c r="T19" i="75"/>
  <c r="T20" i="75"/>
  <c r="T21" i="75"/>
  <c r="T22" i="75"/>
  <c r="M14" i="85"/>
  <c r="Q21" i="75"/>
  <c r="P18" i="75"/>
  <c r="P19" i="75"/>
  <c r="P20" i="75"/>
  <c r="P21" i="75"/>
  <c r="P22" i="75"/>
  <c r="O14" i="85"/>
  <c r="O20" i="75"/>
  <c r="M18" i="75"/>
  <c r="AA14" i="85"/>
  <c r="X21" i="75"/>
  <c r="K14" i="85"/>
  <c r="AB20" i="75"/>
  <c r="J19" i="75"/>
  <c r="V18" i="75"/>
  <c r="I15" i="75"/>
  <c r="F15" i="75"/>
  <c r="U19" i="75"/>
  <c r="L21" i="75"/>
  <c r="N20" i="75"/>
  <c r="M20" i="75"/>
  <c r="O19" i="75"/>
  <c r="Y21" i="75"/>
  <c r="H14" i="85"/>
  <c r="X20" i="75"/>
  <c r="O21" i="75"/>
  <c r="J18" i="75"/>
  <c r="Z18" i="75"/>
  <c r="AF20" i="75"/>
  <c r="N18" i="75"/>
  <c r="AF21" i="75"/>
  <c r="I14" i="85"/>
  <c r="S20" i="75"/>
  <c r="N21" i="75"/>
  <c r="K18" i="75"/>
  <c r="I19" i="75"/>
  <c r="J14" i="85"/>
  <c r="I21" i="75"/>
  <c r="V20" i="75"/>
  <c r="M21" i="75"/>
  <c r="X19" i="75"/>
  <c r="P14" i="85"/>
  <c r="T14" i="75"/>
  <c r="AC20" i="75"/>
  <c r="Z20" i="75"/>
  <c r="AC14" i="85"/>
  <c r="Q20" i="75"/>
  <c r="Y18" i="75"/>
  <c r="AF19" i="75"/>
  <c r="J20" i="75"/>
  <c r="Z21" i="75"/>
  <c r="K21" i="75"/>
  <c r="AA21" i="75"/>
  <c r="AC19" i="75"/>
  <c r="K19" i="75"/>
  <c r="J21" i="75"/>
  <c r="AG19" i="75"/>
  <c r="Y20" i="75"/>
  <c r="AE19" i="75"/>
  <c r="N19" i="75"/>
  <c r="V21" i="75"/>
  <c r="AA20" i="75"/>
  <c r="I20" i="75"/>
  <c r="AG18" i="75"/>
  <c r="AG20" i="75"/>
  <c r="AG21" i="75"/>
  <c r="AG22" i="75"/>
  <c r="L19" i="75"/>
  <c r="R19" i="75"/>
  <c r="AA19" i="75"/>
  <c r="R20" i="75"/>
  <c r="AB19" i="75"/>
  <c r="R21" i="75"/>
  <c r="AD18" i="75"/>
  <c r="AD19" i="75"/>
  <c r="AE18" i="75"/>
  <c r="L18" i="75"/>
  <c r="AF18" i="75"/>
  <c r="AF22" i="75"/>
  <c r="Q18" i="75"/>
  <c r="W18" i="75"/>
  <c r="AB18" i="75"/>
  <c r="AB21" i="75"/>
  <c r="AB22" i="75"/>
  <c r="L20" i="75"/>
  <c r="AC18" i="75"/>
  <c r="M19" i="75"/>
  <c r="AG14" i="85"/>
  <c r="W19" i="75"/>
  <c r="W14" i="85"/>
  <c r="S21" i="75"/>
  <c r="AE14" i="85"/>
  <c r="I18" i="75"/>
  <c r="Z14" i="85"/>
  <c r="AD14" i="85"/>
  <c r="V19" i="75"/>
  <c r="R14" i="85"/>
  <c r="N14" i="85"/>
  <c r="Y14" i="85"/>
  <c r="S19" i="75"/>
  <c r="W21" i="75"/>
  <c r="AD20" i="75"/>
  <c r="O18" i="75"/>
  <c r="U21" i="75"/>
  <c r="X14" i="85"/>
  <c r="AE20" i="75"/>
  <c r="AE21" i="75"/>
  <c r="Z19" i="75"/>
  <c r="AF14" i="85"/>
  <c r="Q19" i="75"/>
  <c r="Q14" i="85"/>
  <c r="AB14" i="85"/>
  <c r="T14" i="85"/>
  <c r="S14" i="85"/>
  <c r="L14" i="85"/>
  <c r="U18" i="75"/>
  <c r="R18" i="75"/>
  <c r="R22" i="75"/>
  <c r="X18" i="75"/>
  <c r="AC21" i="75"/>
  <c r="S18" i="75"/>
  <c r="S22" i="75"/>
  <c r="AD21" i="75"/>
  <c r="U14" i="85"/>
  <c r="AG42" i="75"/>
  <c r="R16" i="75"/>
  <c r="R92" i="75"/>
  <c r="AE16" i="75"/>
  <c r="AE92" i="75"/>
  <c r="AA42" i="75"/>
  <c r="M14" i="75"/>
  <c r="AC42" i="75"/>
  <c r="AF14" i="75"/>
  <c r="AA16" i="75"/>
  <c r="AA92" i="75"/>
  <c r="W14" i="75"/>
  <c r="Y28" i="75"/>
  <c r="S28" i="75"/>
  <c r="S42" i="75"/>
  <c r="K14" i="75"/>
  <c r="Z28" i="75"/>
  <c r="Z42" i="75"/>
  <c r="J28" i="75"/>
  <c r="K28" i="75"/>
  <c r="L28" i="75"/>
  <c r="M28" i="75"/>
  <c r="N28" i="75"/>
  <c r="O28" i="75"/>
  <c r="Q28" i="75"/>
  <c r="R28" i="75"/>
  <c r="T28" i="75"/>
  <c r="U28" i="75"/>
  <c r="V28" i="75"/>
  <c r="W28" i="75"/>
  <c r="X28" i="75"/>
  <c r="AA28" i="75"/>
  <c r="AB28" i="75"/>
  <c r="AC28" i="75"/>
  <c r="AD28" i="75"/>
  <c r="AE28" i="75"/>
  <c r="AF28" i="75"/>
  <c r="AG28" i="75"/>
  <c r="F28" i="75"/>
  <c r="AC14" i="75"/>
  <c r="R14" i="75"/>
  <c r="Q42" i="75"/>
  <c r="L14" i="75"/>
  <c r="J42" i="75"/>
  <c r="O14" i="75"/>
  <c r="AD42" i="75"/>
  <c r="AD16" i="75"/>
  <c r="AD92" i="75"/>
  <c r="I14" i="75"/>
  <c r="N14" i="75"/>
  <c r="P14" i="75"/>
  <c r="Q14" i="75"/>
  <c r="S14" i="75"/>
  <c r="U14" i="75"/>
  <c r="V14" i="75"/>
  <c r="X14" i="75"/>
  <c r="Y14" i="75"/>
  <c r="Z14" i="75"/>
  <c r="AA14" i="75"/>
  <c r="AB14" i="75"/>
  <c r="AD14" i="75"/>
  <c r="AE14" i="75"/>
  <c r="AG14" i="75"/>
  <c r="F14" i="75"/>
  <c r="Y42" i="75"/>
  <c r="V42" i="75"/>
  <c r="W42" i="75"/>
  <c r="L42" i="75"/>
  <c r="K42" i="75"/>
  <c r="AB42" i="75"/>
  <c r="M42" i="75"/>
  <c r="AF42" i="75"/>
  <c r="R42" i="75"/>
  <c r="N42" i="75"/>
  <c r="Q16" i="75"/>
  <c r="Q92" i="75"/>
  <c r="Z16" i="75"/>
  <c r="Z92" i="75"/>
  <c r="AB16" i="75"/>
  <c r="AB92" i="75"/>
  <c r="O42" i="75"/>
  <c r="U16" i="75"/>
  <c r="U92" i="75"/>
  <c r="W16" i="75"/>
  <c r="W92" i="75"/>
  <c r="S16" i="75"/>
  <c r="S92" i="75"/>
  <c r="M16" i="75"/>
  <c r="M92" i="75"/>
  <c r="X42" i="75"/>
  <c r="L16" i="75"/>
  <c r="L92" i="75"/>
  <c r="O16" i="75"/>
  <c r="O92" i="75"/>
  <c r="AC16" i="75"/>
  <c r="AC92" i="75"/>
  <c r="AE42" i="75"/>
  <c r="P16" i="75"/>
  <c r="P92" i="75"/>
  <c r="AG16" i="75"/>
  <c r="AG92" i="75"/>
  <c r="T16" i="75"/>
  <c r="T92" i="75"/>
  <c r="U42" i="75"/>
  <c r="AF87" i="81"/>
  <c r="AF106" i="81"/>
  <c r="AF115" i="81" a="1"/>
  <c r="AF115" i="81"/>
  <c r="O108" i="81"/>
  <c r="O112" i="81" a="1"/>
  <c r="O112" i="81"/>
  <c r="AF108" i="72"/>
  <c r="AF112" i="72" a="1"/>
  <c r="AF112" i="72"/>
  <c r="R87" i="81"/>
  <c r="R106" i="81"/>
  <c r="R116" i="81" a="1"/>
  <c r="R116" i="81"/>
  <c r="K34" i="75"/>
  <c r="Y48" i="75"/>
  <c r="X34" i="75"/>
  <c r="L34" i="75"/>
  <c r="AC48" i="75"/>
  <c r="H7" i="75"/>
  <c r="X44" i="75"/>
  <c r="F98" i="85"/>
  <c r="I75" i="33"/>
  <c r="C88" i="85"/>
  <c r="F95" i="85"/>
  <c r="I72" i="33"/>
  <c r="F92" i="85"/>
  <c r="I69" i="33"/>
  <c r="D97" i="85"/>
  <c r="G74" i="33"/>
  <c r="E98" i="85"/>
  <c r="H75" i="33"/>
  <c r="F97" i="85"/>
  <c r="I74" i="33"/>
  <c r="D96" i="85"/>
  <c r="G73" i="33"/>
  <c r="F96" i="85"/>
  <c r="I73" i="33"/>
  <c r="F94" i="85"/>
  <c r="I71" i="33"/>
  <c r="F93" i="85"/>
  <c r="I70" i="33"/>
  <c r="E97" i="85"/>
  <c r="H74" i="33"/>
  <c r="F90" i="85"/>
  <c r="I67" i="33"/>
  <c r="G93" i="85"/>
  <c r="J70" i="33"/>
  <c r="G94" i="85"/>
  <c r="J71" i="33"/>
  <c r="G92" i="85"/>
  <c r="J69" i="33"/>
  <c r="D98" i="85"/>
  <c r="G75" i="33"/>
  <c r="G90" i="85"/>
  <c r="J67" i="33"/>
  <c r="G98" i="85"/>
  <c r="J75" i="33"/>
  <c r="G96" i="85"/>
  <c r="J73" i="33"/>
  <c r="E96" i="85"/>
  <c r="H73" i="33"/>
  <c r="G91" i="85"/>
  <c r="J68" i="33"/>
  <c r="G97" i="85"/>
  <c r="J74" i="33"/>
  <c r="F91" i="85"/>
  <c r="I68" i="33"/>
  <c r="G95" i="85"/>
  <c r="J72" i="33"/>
  <c r="AC108" i="72"/>
  <c r="AC87" i="72"/>
  <c r="AC106" i="72"/>
  <c r="R110" i="72" a="1"/>
  <c r="R110" i="72"/>
  <c r="R117" i="72" a="1"/>
  <c r="R117" i="72"/>
  <c r="R113" i="72" a="1"/>
  <c r="R113" i="72"/>
  <c r="R111" i="72" a="1"/>
  <c r="R111" i="72"/>
  <c r="R115" i="72" a="1"/>
  <c r="R115" i="72"/>
  <c r="R116" i="72" a="1"/>
  <c r="R116" i="72"/>
  <c r="R112" i="72" a="1"/>
  <c r="R112" i="72"/>
  <c r="R114" i="72" a="1"/>
  <c r="R114" i="72"/>
  <c r="U87" i="72"/>
  <c r="U106" i="72"/>
  <c r="U108" i="72"/>
  <c r="W87" i="72"/>
  <c r="W106" i="72"/>
  <c r="W108" i="72"/>
  <c r="W48" i="75"/>
  <c r="I36" i="72"/>
  <c r="I42" i="75"/>
  <c r="L108" i="81"/>
  <c r="L87" i="81"/>
  <c r="L106" i="81"/>
  <c r="U108" i="81"/>
  <c r="U87" i="81"/>
  <c r="U106" i="81"/>
  <c r="J64" i="72"/>
  <c r="J84" i="72"/>
  <c r="J16" i="75"/>
  <c r="J64" i="81"/>
  <c r="J84" i="81"/>
  <c r="W87" i="81"/>
  <c r="W106" i="81"/>
  <c r="W108" i="81"/>
  <c r="W34" i="75"/>
  <c r="AE115" i="72" a="1"/>
  <c r="AE115" i="72"/>
  <c r="AE116" i="72" a="1"/>
  <c r="AE116" i="72"/>
  <c r="AE114" i="72" a="1"/>
  <c r="AE114" i="72"/>
  <c r="AE117" i="72" a="1"/>
  <c r="AE117" i="72"/>
  <c r="AE113" i="72" a="1"/>
  <c r="AE113" i="72"/>
  <c r="AE111" i="72" a="1"/>
  <c r="AE111" i="72"/>
  <c r="AE112" i="72" a="1"/>
  <c r="AE112" i="72"/>
  <c r="AE110" i="72" a="1"/>
  <c r="AE110" i="72"/>
  <c r="T108" i="81"/>
  <c r="T87" i="81"/>
  <c r="T106" i="81"/>
  <c r="AG108" i="72"/>
  <c r="AG87" i="72"/>
  <c r="AG106" i="72"/>
  <c r="AG48" i="75"/>
  <c r="O115" i="81" a="1"/>
  <c r="O115" i="81"/>
  <c r="O116" i="81" a="1"/>
  <c r="O116" i="81"/>
  <c r="O117" i="81" a="1"/>
  <c r="O117" i="81"/>
  <c r="L87" i="72"/>
  <c r="L106" i="72"/>
  <c r="L108" i="72"/>
  <c r="L48" i="75"/>
  <c r="Q108" i="72"/>
  <c r="Q48" i="75"/>
  <c r="Q87" i="72"/>
  <c r="Q106" i="72"/>
  <c r="Q108" i="81"/>
  <c r="Q34" i="75"/>
  <c r="Q87" i="81"/>
  <c r="Q106" i="81"/>
  <c r="P64" i="72"/>
  <c r="P84" i="72"/>
  <c r="I30" i="75"/>
  <c r="I64" i="81"/>
  <c r="I84" i="81"/>
  <c r="X108" i="81"/>
  <c r="X87" i="81"/>
  <c r="X106" i="81"/>
  <c r="AA108" i="81"/>
  <c r="AA87" i="81"/>
  <c r="AA106" i="81"/>
  <c r="AA34" i="75"/>
  <c r="O44" i="75"/>
  <c r="O64" i="72"/>
  <c r="O84" i="72"/>
  <c r="AG108" i="81"/>
  <c r="AG34" i="75"/>
  <c r="AG87" i="81"/>
  <c r="AG106" i="81"/>
  <c r="X87" i="72"/>
  <c r="X106" i="72"/>
  <c r="X108" i="72"/>
  <c r="X48" i="75"/>
  <c r="S87" i="81"/>
  <c r="S106" i="81"/>
  <c r="S34" i="75"/>
  <c r="S108" i="81"/>
  <c r="K108" i="81"/>
  <c r="K87" i="81"/>
  <c r="K106" i="81"/>
  <c r="S48" i="75"/>
  <c r="S108" i="72"/>
  <c r="S87" i="72"/>
  <c r="S106" i="72"/>
  <c r="N87" i="81"/>
  <c r="N106" i="81"/>
  <c r="N34" i="75"/>
  <c r="N108" i="81"/>
  <c r="Z87" i="72"/>
  <c r="Z106" i="72"/>
  <c r="Z108" i="72"/>
  <c r="Z87" i="81"/>
  <c r="Z106" i="81"/>
  <c r="Z108" i="81"/>
  <c r="T108" i="72"/>
  <c r="T87" i="72"/>
  <c r="T106" i="72"/>
  <c r="T48" i="75"/>
  <c r="Y87" i="81"/>
  <c r="Y106" i="81"/>
  <c r="Y108" i="81"/>
  <c r="Y34" i="75"/>
  <c r="AE34" i="75"/>
  <c r="AE108" i="81"/>
  <c r="AE87" i="81"/>
  <c r="AE106" i="81"/>
  <c r="K108" i="72"/>
  <c r="K87" i="72"/>
  <c r="K106" i="72"/>
  <c r="K48" i="75"/>
  <c r="AD30" i="75"/>
  <c r="AD64" i="81"/>
  <c r="AD84" i="81"/>
  <c r="AD108" i="72"/>
  <c r="AD87" i="72"/>
  <c r="AD106" i="72"/>
  <c r="AD48" i="75"/>
  <c r="AB108" i="81"/>
  <c r="AB87" i="81"/>
  <c r="AB106" i="81"/>
  <c r="AB34" i="75"/>
  <c r="AF116" i="81" a="1"/>
  <c r="AF116" i="81"/>
  <c r="AA116" i="72" a="1"/>
  <c r="AA116" i="72"/>
  <c r="AA112" i="72" a="1"/>
  <c r="AA112" i="72"/>
  <c r="AA115" i="72" a="1"/>
  <c r="AA115" i="72"/>
  <c r="AA114" i="72" a="1"/>
  <c r="AA114" i="72"/>
  <c r="AA111" i="72" a="1"/>
  <c r="AA111" i="72"/>
  <c r="AA110" i="72" a="1"/>
  <c r="AA110" i="72"/>
  <c r="AA117" i="72" a="1"/>
  <c r="AA117" i="72"/>
  <c r="AA113" i="72" a="1"/>
  <c r="AA113" i="72"/>
  <c r="Y108" i="72"/>
  <c r="Y87" i="72"/>
  <c r="Y106" i="72"/>
  <c r="M108" i="81"/>
  <c r="M87" i="81"/>
  <c r="M106" i="81"/>
  <c r="M34" i="75"/>
  <c r="P108" i="81"/>
  <c r="P87" i="81"/>
  <c r="P106" i="81"/>
  <c r="N110" i="72" a="1"/>
  <c r="N110" i="72"/>
  <c r="N113" i="72" a="1"/>
  <c r="N113" i="72"/>
  <c r="N111" i="72" a="1"/>
  <c r="N111" i="72"/>
  <c r="N117" i="72" a="1"/>
  <c r="N117" i="72"/>
  <c r="N112" i="72" a="1"/>
  <c r="N112" i="72"/>
  <c r="N116" i="72" a="1"/>
  <c r="N116" i="72"/>
  <c r="N114" i="72" a="1"/>
  <c r="N114" i="72"/>
  <c r="N115" i="72" a="1"/>
  <c r="N115" i="72"/>
  <c r="V64" i="72"/>
  <c r="V84" i="72"/>
  <c r="V16" i="75"/>
  <c r="V92" i="75"/>
  <c r="V64" i="81"/>
  <c r="V84" i="81"/>
  <c r="AC108" i="81"/>
  <c r="AC34" i="75"/>
  <c r="AC87" i="81"/>
  <c r="AC106" i="81"/>
  <c r="AF116" i="72" a="1"/>
  <c r="AF116" i="72"/>
  <c r="AF115" i="72" a="1"/>
  <c r="AF115" i="72"/>
  <c r="AF117" i="72" a="1"/>
  <c r="AF117" i="72"/>
  <c r="M108" i="72"/>
  <c r="M48" i="75"/>
  <c r="M87" i="72"/>
  <c r="M106" i="72"/>
  <c r="AB87" i="72"/>
  <c r="AB106" i="72"/>
  <c r="AB108" i="72"/>
  <c r="AB48" i="75"/>
  <c r="W22" i="75"/>
  <c r="U22" i="75"/>
  <c r="F19" i="75"/>
  <c r="F18" i="75"/>
  <c r="F24" i="75"/>
  <c r="G9" i="33"/>
  <c r="I22" i="75"/>
  <c r="F20" i="75"/>
  <c r="F21" i="75"/>
  <c r="F25" i="75"/>
  <c r="H9" i="33"/>
  <c r="X22" i="75"/>
  <c r="K22" i="75"/>
  <c r="Y28" i="82"/>
  <c r="V28" i="82"/>
  <c r="X28" i="82"/>
  <c r="W28" i="82"/>
  <c r="U28" i="82"/>
  <c r="T28" i="82"/>
  <c r="N28" i="82"/>
  <c r="S28" i="82"/>
  <c r="F28" i="82"/>
  <c r="AG28" i="82"/>
  <c r="R28" i="82"/>
  <c r="M28" i="82"/>
  <c r="Q28" i="82"/>
  <c r="AF28" i="82"/>
  <c r="P28" i="82"/>
  <c r="L28" i="82"/>
  <c r="O28" i="82"/>
  <c r="I28" i="82"/>
  <c r="AE28" i="82"/>
  <c r="AC28" i="82"/>
  <c r="AB28" i="82"/>
  <c r="AA28" i="82"/>
  <c r="Z28" i="82"/>
  <c r="AD28" i="82"/>
  <c r="K28" i="82"/>
  <c r="J28" i="82"/>
  <c r="AC22" i="75"/>
  <c r="V22" i="75"/>
  <c r="Y22" i="75"/>
  <c r="M22" i="75"/>
  <c r="F14" i="85"/>
  <c r="C90" i="85"/>
  <c r="F67" i="33"/>
  <c r="L22" i="75"/>
  <c r="AE22" i="75"/>
  <c r="F42" i="75"/>
  <c r="Z22" i="75"/>
  <c r="O28" i="73"/>
  <c r="AF28" i="73"/>
  <c r="AB28" i="73"/>
  <c r="N28" i="73"/>
  <c r="L28" i="73"/>
  <c r="AD28" i="73"/>
  <c r="AE28" i="73"/>
  <c r="K28" i="73"/>
  <c r="F28" i="73"/>
  <c r="J28" i="73"/>
  <c r="AC28" i="73"/>
  <c r="I28" i="73"/>
  <c r="T28" i="73"/>
  <c r="AG28" i="73"/>
  <c r="Q28" i="73"/>
  <c r="Z28" i="73"/>
  <c r="W28" i="73"/>
  <c r="P28" i="73"/>
  <c r="V28" i="73"/>
  <c r="S28" i="73"/>
  <c r="R28" i="73"/>
  <c r="M28" i="73"/>
  <c r="AA28" i="73"/>
  <c r="Y28" i="73"/>
  <c r="X28" i="73"/>
  <c r="U28" i="73"/>
  <c r="O22" i="75"/>
  <c r="AA22" i="75"/>
  <c r="Q22" i="75"/>
  <c r="AD22" i="75"/>
  <c r="N22" i="75"/>
  <c r="J22" i="75"/>
  <c r="AF114" i="81" a="1"/>
  <c r="AF114" i="81"/>
  <c r="AF111" i="81" a="1"/>
  <c r="AF111" i="81"/>
  <c r="AF112" i="81" a="1"/>
  <c r="AF112" i="81"/>
  <c r="O111" i="81" a="1"/>
  <c r="O111" i="81"/>
  <c r="AF117" i="81" a="1"/>
  <c r="AF117" i="81"/>
  <c r="O110" i="81" a="1"/>
  <c r="O110" i="81"/>
  <c r="AF113" i="81" a="1"/>
  <c r="AF113" i="81"/>
  <c r="AF7" i="85"/>
  <c r="AF33" i="85"/>
  <c r="O114" i="81" a="1"/>
  <c r="O114" i="81"/>
  <c r="O7" i="85"/>
  <c r="O34" i="85"/>
  <c r="R114" i="81" a="1"/>
  <c r="R114" i="81"/>
  <c r="R7" i="85"/>
  <c r="R34" i="85"/>
  <c r="R113" i="81" a="1"/>
  <c r="R113" i="81"/>
  <c r="O113" i="81" a="1"/>
  <c r="O113" i="81"/>
  <c r="R112" i="81" a="1"/>
  <c r="R112" i="81"/>
  <c r="AF110" i="72" a="1"/>
  <c r="AF110" i="72"/>
  <c r="AF114" i="72" a="1"/>
  <c r="AF114" i="72"/>
  <c r="AF111" i="72" a="1"/>
  <c r="AF111" i="72"/>
  <c r="AF45" i="85"/>
  <c r="AF110" i="81" a="1"/>
  <c r="AF110" i="81"/>
  <c r="AF113" i="72" a="1"/>
  <c r="AF113" i="72"/>
  <c r="R110" i="81" a="1"/>
  <c r="R110" i="81"/>
  <c r="R115" i="81" a="1"/>
  <c r="R115" i="81"/>
  <c r="R117" i="81" a="1"/>
  <c r="R117" i="81"/>
  <c r="R111" i="81" a="1"/>
  <c r="R111" i="81"/>
  <c r="V43" i="75"/>
  <c r="V35" i="75"/>
  <c r="V71" i="75"/>
  <c r="V49" i="75"/>
  <c r="V61" i="75"/>
  <c r="V33" i="75"/>
  <c r="V57" i="75"/>
  <c r="V75" i="75"/>
  <c r="V32" i="75"/>
  <c r="V63" i="75"/>
  <c r="V7" i="85"/>
  <c r="V77" i="75"/>
  <c r="V29" i="75"/>
  <c r="V47" i="75"/>
  <c r="V74" i="75"/>
  <c r="V60" i="75"/>
  <c r="V44" i="75"/>
  <c r="V46" i="75"/>
  <c r="V30" i="75"/>
  <c r="U71" i="75"/>
  <c r="U32" i="75"/>
  <c r="U57" i="75"/>
  <c r="U75" i="75"/>
  <c r="U63" i="75"/>
  <c r="U47" i="75"/>
  <c r="U35" i="75"/>
  <c r="U49" i="75"/>
  <c r="U77" i="75"/>
  <c r="U74" i="75"/>
  <c r="U60" i="75"/>
  <c r="U61" i="75"/>
  <c r="U7" i="85"/>
  <c r="U43" i="75"/>
  <c r="U33" i="75"/>
  <c r="U29" i="75"/>
  <c r="U30" i="75"/>
  <c r="U46" i="75"/>
  <c r="U44" i="75"/>
  <c r="AE7" i="85"/>
  <c r="AE47" i="85"/>
  <c r="AA32" i="75"/>
  <c r="AA49" i="75"/>
  <c r="AA60" i="75"/>
  <c r="AA63" i="75"/>
  <c r="AA29" i="75"/>
  <c r="AA71" i="75"/>
  <c r="AA35" i="75"/>
  <c r="AA43" i="75"/>
  <c r="AA75" i="75"/>
  <c r="AA61" i="75"/>
  <c r="AA74" i="75"/>
  <c r="AA33" i="75"/>
  <c r="AA47" i="75"/>
  <c r="AA7" i="85"/>
  <c r="AA57" i="75"/>
  <c r="AA77" i="75"/>
  <c r="AA44" i="75"/>
  <c r="AA48" i="75"/>
  <c r="AA46" i="75"/>
  <c r="AA30" i="75"/>
  <c r="P60" i="75"/>
  <c r="P29" i="75"/>
  <c r="P75" i="75"/>
  <c r="P71" i="75"/>
  <c r="P43" i="75"/>
  <c r="P77" i="75"/>
  <c r="P35" i="75"/>
  <c r="P7" i="85"/>
  <c r="P61" i="75"/>
  <c r="P74" i="75"/>
  <c r="P57" i="75"/>
  <c r="P49" i="75"/>
  <c r="P63" i="75"/>
  <c r="P33" i="75"/>
  <c r="P32" i="75"/>
  <c r="P47" i="75"/>
  <c r="P46" i="75"/>
  <c r="P34" i="75"/>
  <c r="P36" i="75"/>
  <c r="AB32" i="75"/>
  <c r="AB33" i="75"/>
  <c r="AB35" i="75"/>
  <c r="AB36" i="75"/>
  <c r="AA12" i="85"/>
  <c r="AB29" i="75"/>
  <c r="AB71" i="75"/>
  <c r="AB74" i="75"/>
  <c r="AB43" i="75"/>
  <c r="AB49" i="75"/>
  <c r="AB7" i="85"/>
  <c r="AB57" i="75"/>
  <c r="AB75" i="75"/>
  <c r="AB47" i="75"/>
  <c r="AB60" i="75"/>
  <c r="AB63" i="75"/>
  <c r="AB61" i="75"/>
  <c r="AB77" i="75"/>
  <c r="AB44" i="75"/>
  <c r="AB46" i="75"/>
  <c r="AB30" i="75"/>
  <c r="R77" i="75"/>
  <c r="R43" i="75"/>
  <c r="R75" i="75"/>
  <c r="R71" i="75"/>
  <c r="R61" i="75"/>
  <c r="R50" i="85"/>
  <c r="R74" i="75"/>
  <c r="R33" i="75"/>
  <c r="R57" i="75"/>
  <c r="R32" i="75"/>
  <c r="R63" i="75"/>
  <c r="R29" i="75"/>
  <c r="R49" i="75"/>
  <c r="R35" i="75"/>
  <c r="R47" i="75"/>
  <c r="R60" i="75"/>
  <c r="R44" i="75"/>
  <c r="R34" i="75"/>
  <c r="R36" i="75"/>
  <c r="R30" i="75"/>
  <c r="R46" i="75"/>
  <c r="R48" i="75"/>
  <c r="AE48" i="85"/>
  <c r="W32" i="75"/>
  <c r="W35" i="75"/>
  <c r="W57" i="75"/>
  <c r="W77" i="75"/>
  <c r="W47" i="75"/>
  <c r="W46" i="75"/>
  <c r="W49" i="75"/>
  <c r="W50" i="75"/>
  <c r="W40" i="85"/>
  <c r="W33" i="75"/>
  <c r="W75" i="75"/>
  <c r="W43" i="75"/>
  <c r="W74" i="75"/>
  <c r="W61" i="75"/>
  <c r="W63" i="75"/>
  <c r="W60" i="75"/>
  <c r="W29" i="75"/>
  <c r="W71" i="75"/>
  <c r="W7" i="85"/>
  <c r="W44" i="75"/>
  <c r="W30" i="75"/>
  <c r="M60" i="75"/>
  <c r="M32" i="75"/>
  <c r="M47" i="75"/>
  <c r="M33" i="75"/>
  <c r="M35" i="75"/>
  <c r="M36" i="75"/>
  <c r="M7" i="85"/>
  <c r="M77" i="75"/>
  <c r="M57" i="75"/>
  <c r="M71" i="75"/>
  <c r="M43" i="75"/>
  <c r="M29" i="75"/>
  <c r="M75" i="75"/>
  <c r="M49" i="75"/>
  <c r="M74" i="75"/>
  <c r="M30" i="75"/>
  <c r="M63" i="75"/>
  <c r="M61" i="75"/>
  <c r="M46" i="75"/>
  <c r="M44" i="75"/>
  <c r="I74" i="75"/>
  <c r="I77" i="75"/>
  <c r="I47" i="75"/>
  <c r="I63" i="75"/>
  <c r="I57" i="75"/>
  <c r="I35" i="75"/>
  <c r="I7" i="85"/>
  <c r="I29" i="75"/>
  <c r="E29" i="91" a="1"/>
  <c r="E29" i="91"/>
  <c r="E30" i="91"/>
  <c r="I71" i="75"/>
  <c r="I75" i="75"/>
  <c r="I61" i="75"/>
  <c r="I33" i="75"/>
  <c r="I43" i="75"/>
  <c r="I49" i="75"/>
  <c r="I32" i="75"/>
  <c r="I60" i="75"/>
  <c r="I46" i="75"/>
  <c r="E13" i="91" a="1"/>
  <c r="E13" i="91"/>
  <c r="AG75" i="75"/>
  <c r="AG7" i="85"/>
  <c r="AG33" i="75"/>
  <c r="AG43" i="75"/>
  <c r="AG77" i="75"/>
  <c r="AG61" i="75"/>
  <c r="AG71" i="75"/>
  <c r="AG63" i="75"/>
  <c r="AG60" i="75"/>
  <c r="AG30" i="75"/>
  <c r="AG32" i="75"/>
  <c r="AG49" i="75"/>
  <c r="AG29" i="75"/>
  <c r="AG47" i="75"/>
  <c r="AG57" i="75"/>
  <c r="AG74" i="75"/>
  <c r="AG35" i="75"/>
  <c r="AG46" i="75"/>
  <c r="AG44" i="75"/>
  <c r="AE44" i="85"/>
  <c r="H7" i="85"/>
  <c r="U34" i="75"/>
  <c r="T61" i="75"/>
  <c r="T47" i="75"/>
  <c r="T29" i="75"/>
  <c r="T32" i="75"/>
  <c r="T43" i="75"/>
  <c r="T77" i="75"/>
  <c r="T49" i="75"/>
  <c r="T7" i="85"/>
  <c r="T60" i="75"/>
  <c r="T63" i="75"/>
  <c r="T35" i="75"/>
  <c r="T33" i="75"/>
  <c r="T57" i="75"/>
  <c r="T74" i="75"/>
  <c r="T75" i="75"/>
  <c r="T71" i="75"/>
  <c r="T46" i="75"/>
  <c r="T50" i="75"/>
  <c r="T40" i="85"/>
  <c r="T30" i="75"/>
  <c r="T44" i="75"/>
  <c r="Z34" i="75"/>
  <c r="Z48" i="75"/>
  <c r="Z46" i="75"/>
  <c r="Z47" i="75"/>
  <c r="Z49" i="75"/>
  <c r="Z50" i="75"/>
  <c r="Z40" i="85"/>
  <c r="T34" i="75"/>
  <c r="P30" i="75"/>
  <c r="L7" i="85"/>
  <c r="L75" i="75"/>
  <c r="L60" i="75"/>
  <c r="L47" i="75"/>
  <c r="L57" i="75"/>
  <c r="L74" i="75"/>
  <c r="L77" i="75"/>
  <c r="L33" i="75"/>
  <c r="L35" i="75"/>
  <c r="L61" i="75"/>
  <c r="L49" i="75"/>
  <c r="L29" i="75"/>
  <c r="L32" i="75"/>
  <c r="L36" i="75"/>
  <c r="L63" i="75"/>
  <c r="L71" i="75"/>
  <c r="L43" i="75"/>
  <c r="L46" i="75"/>
  <c r="L50" i="75"/>
  <c r="L40" i="85"/>
  <c r="L30" i="75"/>
  <c r="L44" i="75"/>
  <c r="O63" i="75"/>
  <c r="O43" i="75"/>
  <c r="O35" i="75"/>
  <c r="O29" i="75"/>
  <c r="O32" i="75"/>
  <c r="O33" i="75"/>
  <c r="O57" i="75"/>
  <c r="O61" i="75"/>
  <c r="O49" i="75"/>
  <c r="O77" i="75"/>
  <c r="O60" i="75"/>
  <c r="O71" i="75"/>
  <c r="O74" i="75"/>
  <c r="O47" i="75"/>
  <c r="O75" i="75"/>
  <c r="O30" i="75"/>
  <c r="O46" i="75"/>
  <c r="O34" i="75"/>
  <c r="C96" i="85"/>
  <c r="F73" i="33"/>
  <c r="K88" i="85"/>
  <c r="C98" i="85"/>
  <c r="F75" i="33"/>
  <c r="C97" i="85"/>
  <c r="P44" i="75"/>
  <c r="AE32" i="75"/>
  <c r="AE33" i="75"/>
  <c r="AE35" i="75"/>
  <c r="AE36" i="75"/>
  <c r="AD12" i="85"/>
  <c r="AE74" i="75"/>
  <c r="AE77" i="75"/>
  <c r="AE49" i="75"/>
  <c r="AE43" i="75"/>
  <c r="AE61" i="75"/>
  <c r="AE47" i="75"/>
  <c r="AE75" i="75"/>
  <c r="AE57" i="75"/>
  <c r="AE63" i="75"/>
  <c r="AE29" i="75"/>
  <c r="AE71" i="75"/>
  <c r="AE60" i="75"/>
  <c r="AE46" i="75"/>
  <c r="AE30" i="75"/>
  <c r="AE48" i="75"/>
  <c r="AE50" i="75"/>
  <c r="AE40" i="85"/>
  <c r="AE44" i="75"/>
  <c r="AD49" i="75"/>
  <c r="AD43" i="75"/>
  <c r="AD7" i="85"/>
  <c r="AD47" i="75"/>
  <c r="AD57" i="75"/>
  <c r="AD61" i="75"/>
  <c r="AD35" i="75"/>
  <c r="AD60" i="75"/>
  <c r="AD33" i="75"/>
  <c r="AD74" i="75"/>
  <c r="AD77" i="75"/>
  <c r="AD71" i="75"/>
  <c r="AD75" i="75"/>
  <c r="AD63" i="75"/>
  <c r="AD29" i="75"/>
  <c r="AD32" i="75"/>
  <c r="AD46" i="75"/>
  <c r="AD50" i="75"/>
  <c r="AD40" i="85"/>
  <c r="AD44" i="75"/>
  <c r="U48" i="75"/>
  <c r="AC75" i="75"/>
  <c r="AC71" i="75"/>
  <c r="AC47" i="75"/>
  <c r="AC7" i="85"/>
  <c r="AC35" i="75"/>
  <c r="AC77" i="75"/>
  <c r="AC63" i="75"/>
  <c r="AC29" i="75"/>
  <c r="AC60" i="75"/>
  <c r="AC74" i="75"/>
  <c r="AC57" i="75"/>
  <c r="AC49" i="75"/>
  <c r="AC61" i="75"/>
  <c r="AC33" i="75"/>
  <c r="AC32" i="75"/>
  <c r="AC43" i="75"/>
  <c r="AC46" i="75"/>
  <c r="AC44" i="75"/>
  <c r="AC30" i="75"/>
  <c r="X7" i="85"/>
  <c r="X47" i="75"/>
  <c r="X60" i="75"/>
  <c r="X43" i="75"/>
  <c r="X74" i="75"/>
  <c r="X29" i="75"/>
  <c r="X61" i="75"/>
  <c r="X75" i="75"/>
  <c r="X35" i="75"/>
  <c r="X57" i="75"/>
  <c r="X63" i="75"/>
  <c r="X32" i="75"/>
  <c r="X77" i="75"/>
  <c r="X49" i="75"/>
  <c r="X71" i="75"/>
  <c r="X33" i="75"/>
  <c r="X30" i="75"/>
  <c r="X46" i="75"/>
  <c r="X50" i="75"/>
  <c r="X40" i="85"/>
  <c r="J77" i="75"/>
  <c r="J7" i="85"/>
  <c r="J47" i="75"/>
  <c r="J49" i="75"/>
  <c r="J61" i="75"/>
  <c r="J75" i="75"/>
  <c r="J43" i="75"/>
  <c r="J35" i="75"/>
  <c r="J74" i="75"/>
  <c r="J57" i="75"/>
  <c r="J60" i="75"/>
  <c r="J71" i="75"/>
  <c r="J63" i="75"/>
  <c r="J32" i="75"/>
  <c r="J33" i="75"/>
  <c r="J29" i="75"/>
  <c r="J46" i="75"/>
  <c r="J44" i="75"/>
  <c r="J30" i="75"/>
  <c r="Y63" i="75"/>
  <c r="Y35" i="75"/>
  <c r="Y61" i="75"/>
  <c r="Y60" i="75"/>
  <c r="Y71" i="75"/>
  <c r="Y57" i="75"/>
  <c r="Y29" i="75"/>
  <c r="Y77" i="75"/>
  <c r="Y75" i="75"/>
  <c r="Y47" i="75"/>
  <c r="Y43" i="75"/>
  <c r="Y49" i="75"/>
  <c r="Y33" i="75"/>
  <c r="Y7" i="85"/>
  <c r="Y32" i="75"/>
  <c r="Y74" i="75"/>
  <c r="Y46" i="75"/>
  <c r="Y50" i="75"/>
  <c r="Y40" i="85"/>
  <c r="Y30" i="75"/>
  <c r="Y44" i="75"/>
  <c r="Z32" i="75"/>
  <c r="Z63" i="75"/>
  <c r="Z43" i="75"/>
  <c r="Z61" i="75"/>
  <c r="Z71" i="75"/>
  <c r="Z75" i="75"/>
  <c r="Z74" i="75"/>
  <c r="Z77" i="75"/>
  <c r="Z60" i="75"/>
  <c r="Z57" i="75"/>
  <c r="Z35" i="75"/>
  <c r="Z7" i="85"/>
  <c r="Z33" i="75"/>
  <c r="Z29" i="75"/>
  <c r="Z30" i="75"/>
  <c r="Z44" i="75"/>
  <c r="N7" i="85"/>
  <c r="N44" i="85"/>
  <c r="K61" i="75"/>
  <c r="K43" i="75"/>
  <c r="K29" i="75"/>
  <c r="K32" i="75"/>
  <c r="K71" i="75"/>
  <c r="K35" i="75"/>
  <c r="K7" i="85"/>
  <c r="K63" i="75"/>
  <c r="K47" i="75"/>
  <c r="K60" i="75"/>
  <c r="K33" i="75"/>
  <c r="K74" i="75"/>
  <c r="K57" i="75"/>
  <c r="K77" i="75"/>
  <c r="K49" i="75"/>
  <c r="K75" i="75"/>
  <c r="K46" i="75"/>
  <c r="K30" i="75"/>
  <c r="K44" i="75"/>
  <c r="Q32" i="75"/>
  <c r="Q33" i="75"/>
  <c r="Q35" i="75"/>
  <c r="Q36" i="75"/>
  <c r="Q47" i="75"/>
  <c r="Q63" i="75"/>
  <c r="Q75" i="75"/>
  <c r="Q77" i="75"/>
  <c r="Q29" i="75"/>
  <c r="Q57" i="75"/>
  <c r="Q49" i="75"/>
  <c r="Q60" i="75"/>
  <c r="Q71" i="75"/>
  <c r="Q43" i="75"/>
  <c r="Q7" i="85"/>
  <c r="Q74" i="75"/>
  <c r="Q61" i="75"/>
  <c r="Q46" i="75"/>
  <c r="Q44" i="75"/>
  <c r="Q30" i="75"/>
  <c r="S71" i="75"/>
  <c r="S7" i="85"/>
  <c r="S75" i="75"/>
  <c r="S49" i="75"/>
  <c r="S77" i="75"/>
  <c r="S29" i="75"/>
  <c r="S33" i="75"/>
  <c r="S47" i="75"/>
  <c r="S35" i="75"/>
  <c r="S63" i="75"/>
  <c r="S32" i="75"/>
  <c r="S74" i="75"/>
  <c r="S43" i="75"/>
  <c r="S60" i="75"/>
  <c r="S61" i="75"/>
  <c r="S57" i="75"/>
  <c r="S30" i="75"/>
  <c r="S46" i="75"/>
  <c r="S50" i="75"/>
  <c r="S40" i="85"/>
  <c r="S44" i="75"/>
  <c r="AF74" i="75"/>
  <c r="AF47" i="75"/>
  <c r="AF60" i="75"/>
  <c r="AF32" i="75"/>
  <c r="AF63" i="75"/>
  <c r="AF77" i="75"/>
  <c r="AF43" i="75"/>
  <c r="AF29" i="75"/>
  <c r="AF35" i="75"/>
  <c r="AF61" i="75"/>
  <c r="AF33" i="75"/>
  <c r="AF57" i="75"/>
  <c r="AF71" i="75"/>
  <c r="AF49" i="75"/>
  <c r="AF75" i="75"/>
  <c r="AF44" i="75"/>
  <c r="AF30" i="75"/>
  <c r="AF46" i="75"/>
  <c r="AF34" i="75"/>
  <c r="AF48" i="75"/>
  <c r="AF50" i="75"/>
  <c r="AF40" i="85"/>
  <c r="N60" i="75"/>
  <c r="N74" i="75"/>
  <c r="N29" i="75"/>
  <c r="N49" i="75"/>
  <c r="N33" i="75"/>
  <c r="N35" i="75"/>
  <c r="N71" i="75"/>
  <c r="N61" i="75"/>
  <c r="N43" i="75"/>
  <c r="N57" i="75"/>
  <c r="N77" i="75"/>
  <c r="N75" i="75"/>
  <c r="N32" i="75"/>
  <c r="N63" i="75"/>
  <c r="N47" i="75"/>
  <c r="N46" i="75"/>
  <c r="N44" i="75"/>
  <c r="N48" i="75"/>
  <c r="N30" i="75"/>
  <c r="J108" i="72"/>
  <c r="J87" i="72"/>
  <c r="J106" i="72"/>
  <c r="J48" i="75"/>
  <c r="J50" i="75"/>
  <c r="J40" i="85"/>
  <c r="AB116" i="72" a="1"/>
  <c r="AB116" i="72"/>
  <c r="AB112" i="72" a="1"/>
  <c r="AB112" i="72"/>
  <c r="AB46" i="85"/>
  <c r="AB114" i="72" a="1"/>
  <c r="AB114" i="72"/>
  <c r="AB48" i="85"/>
  <c r="AB113" i="72" a="1"/>
  <c r="AB113" i="72"/>
  <c r="AB47" i="85"/>
  <c r="AB111" i="72" a="1"/>
  <c r="AB111" i="72"/>
  <c r="AB45" i="85"/>
  <c r="AB110" i="72" a="1"/>
  <c r="AB110" i="72"/>
  <c r="AB44" i="85"/>
  <c r="AB117" i="72" a="1"/>
  <c r="AB117" i="72"/>
  <c r="AB115" i="72" a="1"/>
  <c r="AB115" i="72"/>
  <c r="AB42" i="85"/>
  <c r="T113" i="81" a="1"/>
  <c r="T113" i="81"/>
  <c r="T111" i="81" a="1"/>
  <c r="T111" i="81"/>
  <c r="T112" i="81" a="1"/>
  <c r="T112" i="81"/>
  <c r="T32" i="85"/>
  <c r="T116" i="81" a="1"/>
  <c r="T116" i="81"/>
  <c r="T117" i="81" a="1"/>
  <c r="T117" i="81"/>
  <c r="T110" i="81" a="1"/>
  <c r="T110" i="81"/>
  <c r="T30" i="85"/>
  <c r="T28" i="85"/>
  <c r="T114" i="81" a="1"/>
  <c r="T114" i="81"/>
  <c r="T34" i="85"/>
  <c r="T115" i="81" a="1"/>
  <c r="T115" i="81"/>
  <c r="AG114" i="81" a="1"/>
  <c r="AG114" i="81"/>
  <c r="AG34" i="85"/>
  <c r="AG115" i="81" a="1"/>
  <c r="AG115" i="81"/>
  <c r="AG113" i="81" a="1"/>
  <c r="AG113" i="81"/>
  <c r="AG33" i="85"/>
  <c r="AG111" i="81" a="1"/>
  <c r="AG111" i="81"/>
  <c r="AG31" i="85"/>
  <c r="AG116" i="81" a="1"/>
  <c r="AG116" i="81"/>
  <c r="AG112" i="81" a="1"/>
  <c r="AG112" i="81"/>
  <c r="AG32" i="85"/>
  <c r="AG110" i="81" a="1"/>
  <c r="AG110" i="81"/>
  <c r="AG30" i="85"/>
  <c r="AG117" i="81" a="1"/>
  <c r="AG117" i="81"/>
  <c r="K114" i="72" a="1"/>
  <c r="K114" i="72"/>
  <c r="K115" i="72" a="1"/>
  <c r="K115" i="72"/>
  <c r="K117" i="72" a="1"/>
  <c r="K117" i="72"/>
  <c r="K110" i="72" a="1"/>
  <c r="K110" i="72"/>
  <c r="K113" i="72" a="1"/>
  <c r="K113" i="72"/>
  <c r="K47" i="85"/>
  <c r="K111" i="72" a="1"/>
  <c r="K111" i="72"/>
  <c r="K45" i="85"/>
  <c r="K116" i="72" a="1"/>
  <c r="K116" i="72"/>
  <c r="K112" i="72" a="1"/>
  <c r="K112" i="72"/>
  <c r="K46" i="85"/>
  <c r="AG115" i="72" a="1"/>
  <c r="AG115" i="72"/>
  <c r="AG110" i="72" a="1"/>
  <c r="AG110" i="72"/>
  <c r="AG44" i="85"/>
  <c r="AG113" i="72" a="1"/>
  <c r="AG113" i="72"/>
  <c r="AG47" i="85"/>
  <c r="AG112" i="72" a="1"/>
  <c r="AG112" i="72"/>
  <c r="AG111" i="72" a="1"/>
  <c r="AG111" i="72"/>
  <c r="AG45" i="85"/>
  <c r="AG117" i="72" a="1"/>
  <c r="AG117" i="72"/>
  <c r="AG114" i="72" a="1"/>
  <c r="AG114" i="72"/>
  <c r="AG48" i="85"/>
  <c r="AG116" i="72" a="1"/>
  <c r="AG116" i="72"/>
  <c r="AG42" i="85"/>
  <c r="AD115" i="72" a="1"/>
  <c r="AD115" i="72"/>
  <c r="AD110" i="72" a="1"/>
  <c r="AD110" i="72"/>
  <c r="AD44" i="85"/>
  <c r="AD111" i="72" a="1"/>
  <c r="AD111" i="72"/>
  <c r="AD45" i="85"/>
  <c r="AD42" i="85"/>
  <c r="AD116" i="72" a="1"/>
  <c r="AD116" i="72"/>
  <c r="AD113" i="72" a="1"/>
  <c r="AD113" i="72"/>
  <c r="AD47" i="85"/>
  <c r="AD114" i="72" a="1"/>
  <c r="AD114" i="72"/>
  <c r="AD48" i="85"/>
  <c r="AD112" i="72" a="1"/>
  <c r="AD112" i="72"/>
  <c r="AD46" i="85"/>
  <c r="AD117" i="72" a="1"/>
  <c r="AD117" i="72"/>
  <c r="Q115" i="81" a="1"/>
  <c r="Q115" i="81"/>
  <c r="Q117" i="81" a="1"/>
  <c r="Q117" i="81"/>
  <c r="Q111" i="81" a="1"/>
  <c r="Q111" i="81"/>
  <c r="Q110" i="81" a="1"/>
  <c r="Q110" i="81"/>
  <c r="Q116" i="81" a="1"/>
  <c r="Q116" i="81"/>
  <c r="Q112" i="81" a="1"/>
  <c r="Q112" i="81"/>
  <c r="Q114" i="81" a="1"/>
  <c r="Q114" i="81"/>
  <c r="Q113" i="81" a="1"/>
  <c r="Q113" i="81"/>
  <c r="L111" i="72" a="1"/>
  <c r="L111" i="72"/>
  <c r="L114" i="72" a="1"/>
  <c r="L114" i="72"/>
  <c r="L117" i="72" a="1"/>
  <c r="L117" i="72"/>
  <c r="L112" i="72" a="1"/>
  <c r="L112" i="72"/>
  <c r="L46" i="85"/>
  <c r="L110" i="72" a="1"/>
  <c r="L110" i="72"/>
  <c r="L44" i="85"/>
  <c r="L115" i="72" a="1"/>
  <c r="L115" i="72"/>
  <c r="L116" i="72" a="1"/>
  <c r="L116" i="72"/>
  <c r="L113" i="72" a="1"/>
  <c r="L113" i="72"/>
  <c r="L47" i="85"/>
  <c r="V108" i="72"/>
  <c r="V87" i="72"/>
  <c r="V106" i="72"/>
  <c r="V48" i="75"/>
  <c r="M114" i="81" a="1"/>
  <c r="M114" i="81"/>
  <c r="M34" i="85"/>
  <c r="M113" i="81" a="1"/>
  <c r="M113" i="81"/>
  <c r="M33" i="85"/>
  <c r="M110" i="81" a="1"/>
  <c r="M110" i="81"/>
  <c r="M111" i="81" a="1"/>
  <c r="M111" i="81"/>
  <c r="M116" i="81" a="1"/>
  <c r="M116" i="81"/>
  <c r="M117" i="81" a="1"/>
  <c r="M117" i="81"/>
  <c r="M115" i="81" a="1"/>
  <c r="M115" i="81"/>
  <c r="M112" i="81" a="1"/>
  <c r="M112" i="81"/>
  <c r="I44" i="75"/>
  <c r="I64" i="72"/>
  <c r="I84" i="72"/>
  <c r="Y112" i="81" a="1"/>
  <c r="Y112" i="81"/>
  <c r="Y32" i="85"/>
  <c r="Y115" i="81" a="1"/>
  <c r="Y115" i="81"/>
  <c r="Y116" i="81" a="1"/>
  <c r="Y116" i="81"/>
  <c r="Y110" i="81" a="1"/>
  <c r="Y110" i="81"/>
  <c r="Y30" i="85"/>
  <c r="Y114" i="81" a="1"/>
  <c r="Y114" i="81"/>
  <c r="Y34" i="85"/>
  <c r="Y111" i="81" a="1"/>
  <c r="Y111" i="81"/>
  <c r="Y113" i="81" a="1"/>
  <c r="Y113" i="81"/>
  <c r="Y117" i="81" a="1"/>
  <c r="Y117" i="81"/>
  <c r="O108" i="72"/>
  <c r="O87" i="72"/>
  <c r="O106" i="72"/>
  <c r="O48" i="75"/>
  <c r="T117" i="72" a="1"/>
  <c r="T117" i="72"/>
  <c r="T115" i="72" a="1"/>
  <c r="T115" i="72"/>
  <c r="T113" i="72" a="1"/>
  <c r="T113" i="72"/>
  <c r="T110" i="72" a="1"/>
  <c r="T110" i="72"/>
  <c r="T116" i="72" a="1"/>
  <c r="T116" i="72"/>
  <c r="T112" i="72" a="1"/>
  <c r="T112" i="72"/>
  <c r="T111" i="72" a="1"/>
  <c r="T111" i="72"/>
  <c r="T114" i="72" a="1"/>
  <c r="T114" i="72"/>
  <c r="T48" i="85"/>
  <c r="S116" i="81" a="1"/>
  <c r="S116" i="81"/>
  <c r="S117" i="81" a="1"/>
  <c r="S117" i="81"/>
  <c r="S114" i="81" a="1"/>
  <c r="S114" i="81"/>
  <c r="S34" i="85"/>
  <c r="S113" i="81" a="1"/>
  <c r="S113" i="81"/>
  <c r="S33" i="85"/>
  <c r="S111" i="81" a="1"/>
  <c r="S111" i="81"/>
  <c r="S31" i="85"/>
  <c r="S110" i="81" a="1"/>
  <c r="S110" i="81"/>
  <c r="S30" i="85"/>
  <c r="S112" i="81" a="1"/>
  <c r="S112" i="81"/>
  <c r="S28" i="85"/>
  <c r="S115" i="81" a="1"/>
  <c r="S115" i="81"/>
  <c r="P108" i="72"/>
  <c r="P48" i="75"/>
  <c r="P87" i="72"/>
  <c r="P106" i="72"/>
  <c r="W117" i="81" a="1"/>
  <c r="W117" i="81"/>
  <c r="W110" i="81" a="1"/>
  <c r="W110" i="81"/>
  <c r="W30" i="85"/>
  <c r="W115" i="81" a="1"/>
  <c r="W115" i="81"/>
  <c r="W116" i="81" a="1"/>
  <c r="W116" i="81"/>
  <c r="W113" i="81" a="1"/>
  <c r="W113" i="81"/>
  <c r="W33" i="85"/>
  <c r="W111" i="81" a="1"/>
  <c r="W111" i="81"/>
  <c r="W31" i="85"/>
  <c r="W28" i="85"/>
  <c r="W112" i="81" a="1"/>
  <c r="W112" i="81"/>
  <c r="W114" i="81" a="1"/>
  <c r="W114" i="81"/>
  <c r="W34" i="85"/>
  <c r="U112" i="81" a="1"/>
  <c r="U112" i="81"/>
  <c r="U32" i="85"/>
  <c r="U113" i="81" a="1"/>
  <c r="U113" i="81"/>
  <c r="U33" i="85"/>
  <c r="U117" i="81" a="1"/>
  <c r="U117" i="81"/>
  <c r="U114" i="81" a="1"/>
  <c r="U114" i="81"/>
  <c r="U34" i="85"/>
  <c r="U116" i="81" a="1"/>
  <c r="U116" i="81"/>
  <c r="U110" i="81" a="1"/>
  <c r="U110" i="81"/>
  <c r="U30" i="85"/>
  <c r="U111" i="81" a="1"/>
  <c r="U111" i="81"/>
  <c r="U31" i="85"/>
  <c r="U28" i="85"/>
  <c r="U115" i="81" a="1"/>
  <c r="U115" i="81"/>
  <c r="W113" i="72" a="1"/>
  <c r="W113" i="72"/>
  <c r="W47" i="85"/>
  <c r="W110" i="72" a="1"/>
  <c r="W110" i="72"/>
  <c r="W44" i="85"/>
  <c r="W116" i="72" a="1"/>
  <c r="W116" i="72"/>
  <c r="W111" i="72" a="1"/>
  <c r="W111" i="72"/>
  <c r="W42" i="85"/>
  <c r="W112" i="72" a="1"/>
  <c r="W112" i="72"/>
  <c r="W46" i="85"/>
  <c r="W115" i="72" a="1"/>
  <c r="W115" i="72"/>
  <c r="W114" i="72" a="1"/>
  <c r="W114" i="72"/>
  <c r="W48" i="85"/>
  <c r="W117" i="72" a="1"/>
  <c r="W117" i="72"/>
  <c r="AE51" i="85"/>
  <c r="AE49" i="85"/>
  <c r="AE50" i="85"/>
  <c r="AA111" i="81" a="1"/>
  <c r="AA111" i="81"/>
  <c r="AA115" i="81" a="1"/>
  <c r="AA115" i="81"/>
  <c r="AA114" i="81" a="1"/>
  <c r="AA114" i="81"/>
  <c r="AA113" i="81" a="1"/>
  <c r="AA113" i="81"/>
  <c r="AA110" i="81" a="1"/>
  <c r="AA110" i="81"/>
  <c r="AA116" i="81" a="1"/>
  <c r="AA116" i="81"/>
  <c r="AA117" i="81" a="1"/>
  <c r="AA117" i="81"/>
  <c r="AA112" i="81" a="1"/>
  <c r="AA112" i="81"/>
  <c r="V87" i="81"/>
  <c r="V106" i="81"/>
  <c r="V34" i="75"/>
  <c r="V36" i="75"/>
  <c r="V108" i="81"/>
  <c r="P111" i="81" a="1"/>
  <c r="P111" i="81"/>
  <c r="P31" i="85"/>
  <c r="P116" i="81" a="1"/>
  <c r="P116" i="81"/>
  <c r="P115" i="81" a="1"/>
  <c r="P115" i="81"/>
  <c r="P110" i="81" a="1"/>
  <c r="P110" i="81"/>
  <c r="P30" i="85"/>
  <c r="P113" i="81" a="1"/>
  <c r="P113" i="81"/>
  <c r="P33" i="85"/>
  <c r="P114" i="81" a="1"/>
  <c r="P114" i="81"/>
  <c r="P34" i="85"/>
  <c r="P28" i="85"/>
  <c r="P112" i="81" a="1"/>
  <c r="P112" i="81"/>
  <c r="P32" i="85"/>
  <c r="P117" i="81" a="1"/>
  <c r="P117" i="81"/>
  <c r="AD87" i="81"/>
  <c r="AD106" i="81"/>
  <c r="AD34" i="75"/>
  <c r="AD108" i="81"/>
  <c r="N112" i="81" a="1"/>
  <c r="N112" i="81"/>
  <c r="N115" i="81" a="1"/>
  <c r="N115" i="81"/>
  <c r="N113" i="81" a="1"/>
  <c r="N113" i="81"/>
  <c r="N116" i="81" a="1"/>
  <c r="N116" i="81"/>
  <c r="N111" i="81" a="1"/>
  <c r="N111" i="81"/>
  <c r="N114" i="81" a="1"/>
  <c r="N114" i="81"/>
  <c r="N117" i="81" a="1"/>
  <c r="N117" i="81"/>
  <c r="N110" i="81" a="1"/>
  <c r="N110" i="81"/>
  <c r="J34" i="75"/>
  <c r="J87" i="81"/>
  <c r="J106" i="81"/>
  <c r="J108" i="81"/>
  <c r="AC114" i="72" a="1"/>
  <c r="AC114" i="72"/>
  <c r="AC48" i="85"/>
  <c r="AC112" i="72" a="1"/>
  <c r="AC112" i="72"/>
  <c r="AC113" i="72" a="1"/>
  <c r="AC113" i="72"/>
  <c r="AC47" i="85"/>
  <c r="AC110" i="72" a="1"/>
  <c r="AC110" i="72"/>
  <c r="AC117" i="72" a="1"/>
  <c r="AC117" i="72"/>
  <c r="AC115" i="72" a="1"/>
  <c r="AC115" i="72"/>
  <c r="AC111" i="72" a="1"/>
  <c r="AC111" i="72"/>
  <c r="AC116" i="72" a="1"/>
  <c r="AC116" i="72"/>
  <c r="AE113" i="81" a="1"/>
  <c r="AE113" i="81"/>
  <c r="AE33" i="85"/>
  <c r="AE117" i="81" a="1"/>
  <c r="AE117" i="81"/>
  <c r="AE116" i="81" a="1"/>
  <c r="AE116" i="81"/>
  <c r="AE112" i="81" a="1"/>
  <c r="AE112" i="81"/>
  <c r="AE32" i="85"/>
  <c r="AE110" i="81" a="1"/>
  <c r="AE110" i="81"/>
  <c r="AE115" i="81" a="1"/>
  <c r="AE115" i="81"/>
  <c r="AE28" i="85"/>
  <c r="AE111" i="81" a="1"/>
  <c r="AE111" i="81"/>
  <c r="AE31" i="85"/>
  <c r="AE114" i="81" a="1"/>
  <c r="AE114" i="81"/>
  <c r="AE34" i="85"/>
  <c r="Y112" i="72" a="1"/>
  <c r="Y112" i="72"/>
  <c r="Y114" i="72" a="1"/>
  <c r="Y114" i="72"/>
  <c r="Y110" i="72" a="1"/>
  <c r="Y110" i="72"/>
  <c r="Y117" i="72" a="1"/>
  <c r="Y117" i="72"/>
  <c r="Y115" i="72" a="1"/>
  <c r="Y115" i="72"/>
  <c r="Y111" i="72" a="1"/>
  <c r="Y111" i="72"/>
  <c r="Y45" i="85"/>
  <c r="Y42" i="85"/>
  <c r="Y113" i="72" a="1"/>
  <c r="Y113" i="72"/>
  <c r="Y47" i="85"/>
  <c r="Y116" i="72" a="1"/>
  <c r="Y116" i="72"/>
  <c r="X116" i="72" a="1"/>
  <c r="X116" i="72"/>
  <c r="X111" i="72" a="1"/>
  <c r="X111" i="72"/>
  <c r="X112" i="72" a="1"/>
  <c r="X112" i="72"/>
  <c r="X115" i="72" a="1"/>
  <c r="X115" i="72"/>
  <c r="X117" i="72" a="1"/>
  <c r="X117" i="72"/>
  <c r="X114" i="72" a="1"/>
  <c r="X114" i="72"/>
  <c r="X113" i="72" a="1"/>
  <c r="X113" i="72"/>
  <c r="X110" i="72" a="1"/>
  <c r="X110" i="72"/>
  <c r="X44" i="85"/>
  <c r="X42" i="85"/>
  <c r="Z114" i="81" a="1"/>
  <c r="Z114" i="81"/>
  <c r="Z34" i="85"/>
  <c r="Z115" i="81" a="1"/>
  <c r="Z115" i="81"/>
  <c r="Z112" i="81" a="1"/>
  <c r="Z112" i="81"/>
  <c r="Z32" i="85"/>
  <c r="Z116" i="81" a="1"/>
  <c r="Z116" i="81"/>
  <c r="Z110" i="81" a="1"/>
  <c r="Z110" i="81"/>
  <c r="Z30" i="85"/>
  <c r="Z113" i="81" a="1"/>
  <c r="Z113" i="81"/>
  <c r="Z33" i="85"/>
  <c r="Z111" i="81" a="1"/>
  <c r="Z111" i="81"/>
  <c r="Z31" i="85"/>
  <c r="Z117" i="81" a="1"/>
  <c r="Z117" i="81"/>
  <c r="Z28" i="85"/>
  <c r="S113" i="72" a="1"/>
  <c r="S113" i="72"/>
  <c r="S47" i="85"/>
  <c r="S115" i="72" a="1"/>
  <c r="S115" i="72"/>
  <c r="S114" i="72" a="1"/>
  <c r="S114" i="72"/>
  <c r="S48" i="85"/>
  <c r="S110" i="72" a="1"/>
  <c r="S110" i="72"/>
  <c r="S44" i="85"/>
  <c r="S111" i="72" a="1"/>
  <c r="S111" i="72"/>
  <c r="S45" i="85"/>
  <c r="S117" i="72" a="1"/>
  <c r="S117" i="72"/>
  <c r="S116" i="72" a="1"/>
  <c r="S116" i="72"/>
  <c r="S112" i="72" a="1"/>
  <c r="S112" i="72"/>
  <c r="S46" i="85"/>
  <c r="S42" i="85"/>
  <c r="X111" i="81" a="1"/>
  <c r="X111" i="81"/>
  <c r="X110" i="81" a="1"/>
  <c r="X110" i="81"/>
  <c r="X116" i="81" a="1"/>
  <c r="X116" i="81"/>
  <c r="X114" i="81" a="1"/>
  <c r="X114" i="81"/>
  <c r="X112" i="81" a="1"/>
  <c r="X112" i="81"/>
  <c r="X113" i="81" a="1"/>
  <c r="X113" i="81"/>
  <c r="X115" i="81" a="1"/>
  <c r="X115" i="81"/>
  <c r="X117" i="81" a="1"/>
  <c r="X117" i="81"/>
  <c r="X28" i="85"/>
  <c r="I34" i="75"/>
  <c r="I108" i="81"/>
  <c r="I87" i="81"/>
  <c r="I106" i="81"/>
  <c r="L113" i="81" a="1"/>
  <c r="L113" i="81"/>
  <c r="L33" i="85"/>
  <c r="L114" i="81" a="1"/>
  <c r="L114" i="81"/>
  <c r="L110" i="81" a="1"/>
  <c r="L110" i="81"/>
  <c r="L112" i="81" a="1"/>
  <c r="L112" i="81"/>
  <c r="L117" i="81" a="1"/>
  <c r="L117" i="81"/>
  <c r="L115" i="81" a="1"/>
  <c r="L115" i="81"/>
  <c r="L111" i="81" a="1"/>
  <c r="L111" i="81"/>
  <c r="L31" i="85"/>
  <c r="L116" i="81" a="1"/>
  <c r="L116" i="81"/>
  <c r="L28" i="85"/>
  <c r="U113" i="72" a="1"/>
  <c r="U113" i="72"/>
  <c r="U47" i="85"/>
  <c r="U115" i="72" a="1"/>
  <c r="U115" i="72"/>
  <c r="U110" i="72" a="1"/>
  <c r="U110" i="72"/>
  <c r="U44" i="85"/>
  <c r="U42" i="85"/>
  <c r="U116" i="72" a="1"/>
  <c r="U116" i="72"/>
  <c r="U112" i="72" a="1"/>
  <c r="U112" i="72"/>
  <c r="U46" i="85"/>
  <c r="U117" i="72" a="1"/>
  <c r="U117" i="72"/>
  <c r="U114" i="72" a="1"/>
  <c r="U114" i="72"/>
  <c r="U48" i="85"/>
  <c r="U111" i="72" a="1"/>
  <c r="U111" i="72"/>
  <c r="U45" i="85"/>
  <c r="M115" i="72" a="1"/>
  <c r="M115" i="72"/>
  <c r="M112" i="72" a="1"/>
  <c r="M112" i="72"/>
  <c r="M46" i="85"/>
  <c r="M42" i="85"/>
  <c r="M110" i="72" a="1"/>
  <c r="M110" i="72"/>
  <c r="M44" i="85"/>
  <c r="M113" i="72" a="1"/>
  <c r="M113" i="72"/>
  <c r="M47" i="85"/>
  <c r="M111" i="72" a="1"/>
  <c r="M111" i="72"/>
  <c r="M116" i="72" a="1"/>
  <c r="M116" i="72"/>
  <c r="M117" i="72" a="1"/>
  <c r="M117" i="72"/>
  <c r="M114" i="72" a="1"/>
  <c r="M114" i="72"/>
  <c r="AB116" i="81" a="1"/>
  <c r="AB116" i="81"/>
  <c r="AB113" i="81" a="1"/>
  <c r="AB113" i="81"/>
  <c r="AB33" i="85"/>
  <c r="AB111" i="81" a="1"/>
  <c r="AB111" i="81"/>
  <c r="AB31" i="85"/>
  <c r="AB110" i="81" a="1"/>
  <c r="AB110" i="81"/>
  <c r="AB30" i="85"/>
  <c r="AB115" i="81" a="1"/>
  <c r="AB115" i="81"/>
  <c r="AB112" i="81" a="1"/>
  <c r="AB112" i="81"/>
  <c r="AB32" i="85"/>
  <c r="AB114" i="81" a="1"/>
  <c r="AB114" i="81"/>
  <c r="AB34" i="85"/>
  <c r="AB117" i="81" a="1"/>
  <c r="AB117" i="81"/>
  <c r="AB28" i="85"/>
  <c r="Z111" i="72" a="1"/>
  <c r="Z111" i="72"/>
  <c r="Z45" i="85"/>
  <c r="Z117" i="72" a="1"/>
  <c r="Z117" i="72"/>
  <c r="Z110" i="72" a="1"/>
  <c r="Z110" i="72"/>
  <c r="Z44" i="85"/>
  <c r="Z116" i="72" a="1"/>
  <c r="Z116" i="72"/>
  <c r="Z112" i="72" a="1"/>
  <c r="Z112" i="72"/>
  <c r="Z46" i="85"/>
  <c r="Z114" i="72" a="1"/>
  <c r="Z114" i="72"/>
  <c r="Z48" i="85"/>
  <c r="Z115" i="72" a="1"/>
  <c r="Z115" i="72"/>
  <c r="Z113" i="72" a="1"/>
  <c r="Z113" i="72"/>
  <c r="Z47" i="85"/>
  <c r="Z42" i="85"/>
  <c r="K117" i="81" a="1"/>
  <c r="K117" i="81"/>
  <c r="K111" i="81" a="1"/>
  <c r="K111" i="81"/>
  <c r="K31" i="85"/>
  <c r="K114" i="81" a="1"/>
  <c r="K114" i="81"/>
  <c r="K34" i="85"/>
  <c r="K112" i="81" a="1"/>
  <c r="K112" i="81"/>
  <c r="K116" i="81" a="1"/>
  <c r="K116" i="81"/>
  <c r="K110" i="81" a="1"/>
  <c r="K110" i="81"/>
  <c r="K115" i="81" a="1"/>
  <c r="K115" i="81"/>
  <c r="K113" i="81" a="1"/>
  <c r="K113" i="81"/>
  <c r="K28" i="85"/>
  <c r="AC114" i="81" a="1"/>
  <c r="AC114" i="81"/>
  <c r="AC115" i="81" a="1"/>
  <c r="AC115" i="81"/>
  <c r="AC116" i="81" a="1"/>
  <c r="AC116" i="81"/>
  <c r="AC113" i="81" a="1"/>
  <c r="AC113" i="81"/>
  <c r="AC117" i="81" a="1"/>
  <c r="AC117" i="81"/>
  <c r="AC111" i="81" a="1"/>
  <c r="AC111" i="81"/>
  <c r="AC112" i="81" a="1"/>
  <c r="AC112" i="81"/>
  <c r="AC110" i="81" a="1"/>
  <c r="AC110" i="81"/>
  <c r="AC30" i="85"/>
  <c r="AC28" i="85"/>
  <c r="AF50" i="85"/>
  <c r="AF51" i="85"/>
  <c r="Q117" i="72" a="1"/>
  <c r="Q117" i="72"/>
  <c r="Q112" i="72" a="1"/>
  <c r="Q112" i="72"/>
  <c r="Q114" i="72" a="1"/>
  <c r="Q114" i="72"/>
  <c r="Q113" i="72" a="1"/>
  <c r="Q113" i="72"/>
  <c r="Q116" i="72" a="1"/>
  <c r="Q116" i="72"/>
  <c r="Q115" i="72" a="1"/>
  <c r="Q115" i="72"/>
  <c r="Q111" i="72" a="1"/>
  <c r="Q111" i="72"/>
  <c r="Q110" i="72" a="1"/>
  <c r="Q110" i="72"/>
  <c r="J92" i="75"/>
  <c r="F16" i="75" a="1"/>
  <c r="F16" i="75"/>
  <c r="Q36" i="73"/>
  <c r="Q56" i="75"/>
  <c r="AG36" i="82"/>
  <c r="AG70" i="75"/>
  <c r="F23" i="75" a="1"/>
  <c r="F23" i="75"/>
  <c r="I9" i="33"/>
  <c r="F32" i="75" a="1"/>
  <c r="F32" i="75"/>
  <c r="R36" i="82"/>
  <c r="R70" i="75"/>
  <c r="T56" i="75"/>
  <c r="T36" i="73"/>
  <c r="Q50" i="75"/>
  <c r="Q40" i="85"/>
  <c r="AG36" i="73"/>
  <c r="AG56" i="75"/>
  <c r="AC36" i="73"/>
  <c r="AC56" i="75"/>
  <c r="T36" i="82"/>
  <c r="T70" i="75"/>
  <c r="N50" i="75"/>
  <c r="N40" i="85"/>
  <c r="AE56" i="75"/>
  <c r="AE36" i="73"/>
  <c r="U36" i="73"/>
  <c r="U56" i="75"/>
  <c r="L36" i="73"/>
  <c r="L56" i="75"/>
  <c r="AB36" i="82"/>
  <c r="AB70" i="75"/>
  <c r="Y36" i="82"/>
  <c r="Y70" i="75"/>
  <c r="J36" i="75"/>
  <c r="Y56" i="75"/>
  <c r="Y36" i="73"/>
  <c r="N36" i="73"/>
  <c r="N56" i="75"/>
  <c r="AC70" i="75"/>
  <c r="AC36" i="82"/>
  <c r="AA36" i="73"/>
  <c r="AA56" i="75"/>
  <c r="AB56" i="75"/>
  <c r="AB36" i="73"/>
  <c r="AE36" i="82"/>
  <c r="AE70" i="75"/>
  <c r="J36" i="82"/>
  <c r="J70" i="75"/>
  <c r="I36" i="73"/>
  <c r="I56" i="75"/>
  <c r="N36" i="82"/>
  <c r="N70" i="75"/>
  <c r="K56" i="75"/>
  <c r="K36" i="73"/>
  <c r="V70" i="75"/>
  <c r="V36" i="82"/>
  <c r="M36" i="73"/>
  <c r="M56" i="75"/>
  <c r="O36" i="82"/>
  <c r="O70" i="75"/>
  <c r="V36" i="73"/>
  <c r="V56" i="75"/>
  <c r="P36" i="82"/>
  <c r="P70" i="75"/>
  <c r="S36" i="82"/>
  <c r="S70" i="75"/>
  <c r="AD36" i="82"/>
  <c r="AD70" i="75"/>
  <c r="Z36" i="82"/>
  <c r="Z70" i="75"/>
  <c r="Y36" i="75"/>
  <c r="I36" i="82"/>
  <c r="I70" i="75"/>
  <c r="N36" i="75"/>
  <c r="M50" i="75"/>
  <c r="M40" i="85"/>
  <c r="R36" i="73"/>
  <c r="R56" i="75"/>
  <c r="AG50" i="75"/>
  <c r="AG40" i="85"/>
  <c r="P36" i="73"/>
  <c r="P56" i="75"/>
  <c r="AF36" i="82"/>
  <c r="AF70" i="75"/>
  <c r="J36" i="73"/>
  <c r="J56" i="75"/>
  <c r="U36" i="82"/>
  <c r="U70" i="75"/>
  <c r="AD36" i="73"/>
  <c r="AD56" i="75"/>
  <c r="X36" i="73"/>
  <c r="X56" i="75"/>
  <c r="AF36" i="73"/>
  <c r="AF56" i="75"/>
  <c r="AB50" i="75"/>
  <c r="AB40" i="85"/>
  <c r="O56" i="75"/>
  <c r="O36" i="73"/>
  <c r="AC50" i="75"/>
  <c r="AC40" i="85"/>
  <c r="S36" i="73"/>
  <c r="S56" i="75"/>
  <c r="AG36" i="75"/>
  <c r="AF12" i="85"/>
  <c r="F29" i="75" a="1"/>
  <c r="F29" i="75"/>
  <c r="W56" i="75"/>
  <c r="W36" i="73"/>
  <c r="Q36" i="82"/>
  <c r="Q70" i="75"/>
  <c r="K36" i="82"/>
  <c r="K70" i="75"/>
  <c r="W36" i="82"/>
  <c r="W70" i="75"/>
  <c r="X36" i="82"/>
  <c r="X70" i="75"/>
  <c r="AA36" i="82"/>
  <c r="AA70" i="75"/>
  <c r="X36" i="75"/>
  <c r="U50" i="75"/>
  <c r="U40" i="85"/>
  <c r="L36" i="82"/>
  <c r="L70" i="75"/>
  <c r="Z36" i="73"/>
  <c r="Z56" i="75"/>
  <c r="M36" i="82"/>
  <c r="M70" i="75"/>
  <c r="I98" i="85"/>
  <c r="E26" i="91"/>
  <c r="E27" i="91"/>
  <c r="E31" i="91"/>
  <c r="Q44" i="85"/>
  <c r="N18" i="85"/>
  <c r="N21" i="85"/>
  <c r="N22" i="85"/>
  <c r="N19" i="85"/>
  <c r="N17" i="85"/>
  <c r="N20" i="85"/>
  <c r="N16" i="85"/>
  <c r="N23" i="85"/>
  <c r="N42" i="85"/>
  <c r="N46" i="85"/>
  <c r="N45" i="85"/>
  <c r="N28" i="85"/>
  <c r="N49" i="85"/>
  <c r="N48" i="85"/>
  <c r="R31" i="85"/>
  <c r="F30" i="75" a="1"/>
  <c r="F30" i="75"/>
  <c r="W36" i="75"/>
  <c r="AA16" i="85"/>
  <c r="AA17" i="85"/>
  <c r="AA21" i="85"/>
  <c r="AA23" i="85"/>
  <c r="AA22" i="85"/>
  <c r="AA18" i="85"/>
  <c r="AA19" i="85"/>
  <c r="AA20" i="85"/>
  <c r="AA42" i="85"/>
  <c r="AA50" i="85"/>
  <c r="AA44" i="85"/>
  <c r="AA47" i="85"/>
  <c r="AA48" i="85"/>
  <c r="AA45" i="85"/>
  <c r="AA49" i="85"/>
  <c r="AA51" i="85"/>
  <c r="AA36" i="75"/>
  <c r="Z12" i="85"/>
  <c r="F44" i="75"/>
  <c r="AF21" i="85"/>
  <c r="AF16" i="85"/>
  <c r="AF20" i="85"/>
  <c r="AF23" i="85"/>
  <c r="AF18" i="85"/>
  <c r="AF19" i="85"/>
  <c r="AF17" i="85"/>
  <c r="AF22" i="85"/>
  <c r="AF42" i="85"/>
  <c r="AF28" i="85"/>
  <c r="AF30" i="85"/>
  <c r="AF47" i="85"/>
  <c r="AF32" i="85"/>
  <c r="AF49" i="85"/>
  <c r="AF46" i="85"/>
  <c r="AF44" i="85"/>
  <c r="AF37" i="85"/>
  <c r="AF36" i="85"/>
  <c r="AF31" i="85"/>
  <c r="AF35" i="85"/>
  <c r="AF34" i="85"/>
  <c r="AF48" i="85"/>
  <c r="AA46" i="85"/>
  <c r="F75" i="75" a="1"/>
  <c r="F75" i="75"/>
  <c r="F74" i="33"/>
  <c r="I97" i="85"/>
  <c r="R46" i="85"/>
  <c r="O23" i="85"/>
  <c r="O21" i="85"/>
  <c r="O19" i="85"/>
  <c r="O17" i="85"/>
  <c r="O20" i="85"/>
  <c r="O22" i="85"/>
  <c r="O16" i="85"/>
  <c r="O18" i="85"/>
  <c r="O28" i="85"/>
  <c r="O31" i="85"/>
  <c r="O30" i="85"/>
  <c r="R51" i="85"/>
  <c r="K98" i="85"/>
  <c r="L75" i="33"/>
  <c r="K96" i="85"/>
  <c r="L73" i="33"/>
  <c r="K97" i="85"/>
  <c r="L74" i="33"/>
  <c r="M18" i="85"/>
  <c r="M17" i="85"/>
  <c r="M16" i="85"/>
  <c r="M19" i="85"/>
  <c r="M23" i="85"/>
  <c r="M22" i="85"/>
  <c r="M21" i="85"/>
  <c r="M20" i="85"/>
  <c r="M28" i="85"/>
  <c r="O37" i="85"/>
  <c r="S36" i="75"/>
  <c r="N51" i="85"/>
  <c r="O35" i="85"/>
  <c r="O33" i="85"/>
  <c r="O32" i="85"/>
  <c r="AF36" i="75"/>
  <c r="AE12" i="85"/>
  <c r="N33" i="85"/>
  <c r="Q21" i="85"/>
  <c r="Q23" i="85"/>
  <c r="Q18" i="85"/>
  <c r="Q17" i="85"/>
  <c r="Q19" i="85"/>
  <c r="Q20" i="85"/>
  <c r="Q22" i="85"/>
  <c r="Q16" i="85"/>
  <c r="Q28" i="85"/>
  <c r="Q42" i="85"/>
  <c r="F49" i="75"/>
  <c r="R19" i="85"/>
  <c r="R21" i="85"/>
  <c r="R18" i="85"/>
  <c r="R17" i="85"/>
  <c r="R23" i="85"/>
  <c r="R22" i="85"/>
  <c r="R20" i="85"/>
  <c r="R16" i="85"/>
  <c r="R42" i="85"/>
  <c r="R28" i="85"/>
  <c r="R33" i="85"/>
  <c r="R36" i="85"/>
  <c r="R35" i="85"/>
  <c r="R47" i="85"/>
  <c r="R45" i="85"/>
  <c r="R30" i="85"/>
  <c r="R32" i="85"/>
  <c r="R37" i="85"/>
  <c r="O36" i="85"/>
  <c r="F43" i="75"/>
  <c r="R48" i="85"/>
  <c r="R49" i="85"/>
  <c r="F33" i="75" a="1"/>
  <c r="F33" i="75"/>
  <c r="I18" i="85"/>
  <c r="I22" i="85"/>
  <c r="I23" i="85"/>
  <c r="I21" i="85"/>
  <c r="I20" i="85"/>
  <c r="I16" i="85"/>
  <c r="I19" i="85"/>
  <c r="I17" i="85"/>
  <c r="R44" i="85"/>
  <c r="F35" i="75" a="1"/>
  <c r="F35" i="75"/>
  <c r="Q47" i="85"/>
  <c r="U36" i="75"/>
  <c r="N31" i="85"/>
  <c r="N50" i="85"/>
  <c r="AC17" i="85"/>
  <c r="AC19" i="85"/>
  <c r="AC16" i="85"/>
  <c r="AC21" i="85"/>
  <c r="AC18" i="85"/>
  <c r="AC22" i="85"/>
  <c r="AC23" i="85"/>
  <c r="AC20" i="85"/>
  <c r="AC42" i="85"/>
  <c r="F74" i="75" a="1"/>
  <c r="F74" i="75"/>
  <c r="AC46" i="85"/>
  <c r="AA28" i="85"/>
  <c r="N47" i="85"/>
  <c r="K36" i="75"/>
  <c r="V17" i="85"/>
  <c r="V18" i="85"/>
  <c r="V23" i="85"/>
  <c r="V21" i="85"/>
  <c r="V19" i="85"/>
  <c r="V16" i="85"/>
  <c r="V22" i="85"/>
  <c r="V20" i="85"/>
  <c r="Q45" i="85"/>
  <c r="N32" i="85"/>
  <c r="K50" i="75"/>
  <c r="K40" i="85"/>
  <c r="AC36" i="75"/>
  <c r="AB12" i="85"/>
  <c r="H63" i="85"/>
  <c r="H47" i="85"/>
  <c r="H21" i="85"/>
  <c r="H70" i="85"/>
  <c r="H46" i="85"/>
  <c r="H77" i="85"/>
  <c r="H23" i="85"/>
  <c r="H20" i="85"/>
  <c r="H50" i="85"/>
  <c r="H48" i="85"/>
  <c r="H75" i="85"/>
  <c r="H33" i="85"/>
  <c r="H62" i="85"/>
  <c r="H18" i="85"/>
  <c r="H44" i="85"/>
  <c r="H28" i="85"/>
  <c r="H78" i="85"/>
  <c r="H45" i="85"/>
  <c r="H79" i="85"/>
  <c r="H76" i="85"/>
  <c r="H30" i="85"/>
  <c r="H56" i="85"/>
  <c r="H32" i="85"/>
  <c r="H64" i="85"/>
  <c r="H58" i="85"/>
  <c r="H72" i="85"/>
  <c r="H42" i="85"/>
  <c r="H65" i="85"/>
  <c r="H60" i="85"/>
  <c r="H16" i="85"/>
  <c r="H19" i="85"/>
  <c r="H51" i="85"/>
  <c r="H49" i="85"/>
  <c r="H31" i="85"/>
  <c r="H74" i="85"/>
  <c r="H61" i="85"/>
  <c r="H17" i="85"/>
  <c r="H22" i="85"/>
  <c r="H34" i="85"/>
  <c r="H73" i="85"/>
  <c r="H59" i="85"/>
  <c r="H35" i="85"/>
  <c r="H37" i="85"/>
  <c r="H36" i="85"/>
  <c r="Y44" i="85"/>
  <c r="X20" i="85"/>
  <c r="X23" i="85"/>
  <c r="X17" i="85"/>
  <c r="X16" i="85"/>
  <c r="X22" i="85"/>
  <c r="X19" i="85"/>
  <c r="X18" i="85"/>
  <c r="X21" i="85"/>
  <c r="L22" i="85"/>
  <c r="L20" i="85"/>
  <c r="L23" i="85"/>
  <c r="L17" i="85"/>
  <c r="L18" i="85"/>
  <c r="L21" i="85"/>
  <c r="L19" i="85"/>
  <c r="L16" i="85"/>
  <c r="T17" i="85"/>
  <c r="T18" i="85"/>
  <c r="T20" i="85"/>
  <c r="T23" i="85"/>
  <c r="T19" i="85"/>
  <c r="T16" i="85"/>
  <c r="T21" i="85"/>
  <c r="T22" i="85"/>
  <c r="F57" i="75"/>
  <c r="Q48" i="85"/>
  <c r="AC31" i="85"/>
  <c r="X47" i="85"/>
  <c r="Y48" i="85"/>
  <c r="T45" i="85"/>
  <c r="O50" i="75"/>
  <c r="O40" i="85"/>
  <c r="Q33" i="85"/>
  <c r="K44" i="85"/>
  <c r="T31" i="85"/>
  <c r="O36" i="75"/>
  <c r="Z36" i="75"/>
  <c r="AG19" i="85"/>
  <c r="AG16" i="85"/>
  <c r="AG21" i="85"/>
  <c r="AG23" i="85"/>
  <c r="AG20" i="85"/>
  <c r="AG18" i="85"/>
  <c r="AG17" i="85"/>
  <c r="AG22" i="85"/>
  <c r="U17" i="85"/>
  <c r="U22" i="85"/>
  <c r="U19" i="85"/>
  <c r="U21" i="85"/>
  <c r="U16" i="85"/>
  <c r="U18" i="85"/>
  <c r="U20" i="85"/>
  <c r="U23" i="85"/>
  <c r="Y22" i="85"/>
  <c r="Y16" i="85"/>
  <c r="Y19" i="85"/>
  <c r="Y17" i="85"/>
  <c r="Y18" i="85"/>
  <c r="Y23" i="85"/>
  <c r="Y20" i="85"/>
  <c r="Y21" i="85"/>
  <c r="Y46" i="85"/>
  <c r="F61" i="75"/>
  <c r="AC33" i="85"/>
  <c r="K33" i="85"/>
  <c r="X32" i="85"/>
  <c r="AA33" i="85"/>
  <c r="L42" i="85"/>
  <c r="Q32" i="85"/>
  <c r="S22" i="85"/>
  <c r="S19" i="85"/>
  <c r="S20" i="85"/>
  <c r="S23" i="85"/>
  <c r="S17" i="85"/>
  <c r="S18" i="85"/>
  <c r="S21" i="85"/>
  <c r="S16" i="85"/>
  <c r="Z16" i="85"/>
  <c r="Z22" i="85"/>
  <c r="Z19" i="85"/>
  <c r="Z20" i="85"/>
  <c r="Z17" i="85"/>
  <c r="Z23" i="85"/>
  <c r="Z21" i="85"/>
  <c r="Z18" i="85"/>
  <c r="F47" i="75"/>
  <c r="AB16" i="85"/>
  <c r="AB22" i="85"/>
  <c r="AB17" i="85"/>
  <c r="AB21" i="85"/>
  <c r="AB20" i="85"/>
  <c r="AB19" i="85"/>
  <c r="AB23" i="85"/>
  <c r="AB18" i="85"/>
  <c r="T33" i="85"/>
  <c r="K22" i="85"/>
  <c r="K21" i="85"/>
  <c r="K20" i="85"/>
  <c r="K16" i="85"/>
  <c r="K19" i="85"/>
  <c r="K18" i="85"/>
  <c r="K23" i="85"/>
  <c r="K17" i="85"/>
  <c r="M48" i="85"/>
  <c r="X34" i="85"/>
  <c r="AC45" i="85"/>
  <c r="AA34" i="85"/>
  <c r="T44" i="85"/>
  <c r="L45" i="85"/>
  <c r="K42" i="85"/>
  <c r="AD17" i="85"/>
  <c r="AD19" i="85"/>
  <c r="AD16" i="85"/>
  <c r="AD21" i="85"/>
  <c r="AD22" i="85"/>
  <c r="AD23" i="85"/>
  <c r="AD20" i="85"/>
  <c r="AD18" i="85"/>
  <c r="F77" i="75"/>
  <c r="AC32" i="85"/>
  <c r="AD36" i="75"/>
  <c r="AC12" i="85"/>
  <c r="Q46" i="85"/>
  <c r="L48" i="85"/>
  <c r="L32" i="85"/>
  <c r="X46" i="85"/>
  <c r="N30" i="85"/>
  <c r="P50" i="75"/>
  <c r="P40" i="85"/>
  <c r="T42" i="85"/>
  <c r="Y28" i="85"/>
  <c r="Q30" i="85"/>
  <c r="K48" i="85"/>
  <c r="F46" i="75"/>
  <c r="F52" i="75"/>
  <c r="G11" i="33"/>
  <c r="AA50" i="75"/>
  <c r="AA40" i="85"/>
  <c r="AA32" i="85"/>
  <c r="T46" i="85"/>
  <c r="Q34" i="85"/>
  <c r="K30" i="85"/>
  <c r="L30" i="85"/>
  <c r="X30" i="85"/>
  <c r="Y33" i="85"/>
  <c r="M31" i="85"/>
  <c r="Q31" i="85"/>
  <c r="AE16" i="85"/>
  <c r="AE21" i="85"/>
  <c r="AE23" i="85"/>
  <c r="AE20" i="85"/>
  <c r="AE18" i="85"/>
  <c r="AE19" i="85"/>
  <c r="AE17" i="85"/>
  <c r="AE22" i="85"/>
  <c r="AE42" i="85"/>
  <c r="AE45" i="85"/>
  <c r="F71" i="75"/>
  <c r="W19" i="85"/>
  <c r="W17" i="85"/>
  <c r="W23" i="85"/>
  <c r="W16" i="85"/>
  <c r="W20" i="85"/>
  <c r="W21" i="85"/>
  <c r="W22" i="85"/>
  <c r="W18" i="85"/>
  <c r="R50" i="75"/>
  <c r="R40" i="85"/>
  <c r="P19" i="85"/>
  <c r="P16" i="85"/>
  <c r="P17" i="85"/>
  <c r="P21" i="85"/>
  <c r="P20" i="85"/>
  <c r="P22" i="85"/>
  <c r="P18" i="85"/>
  <c r="P23" i="85"/>
  <c r="V50" i="75"/>
  <c r="V40" i="85"/>
  <c r="X33" i="85"/>
  <c r="X48" i="85"/>
  <c r="AA30" i="85"/>
  <c r="M32" i="85"/>
  <c r="F63" i="75"/>
  <c r="AC34" i="85"/>
  <c r="X45" i="85"/>
  <c r="AA31" i="85"/>
  <c r="T47" i="85"/>
  <c r="K32" i="85"/>
  <c r="M45" i="85"/>
  <c r="L34" i="85"/>
  <c r="X31" i="85"/>
  <c r="AE30" i="85"/>
  <c r="AC44" i="85"/>
  <c r="N34" i="85"/>
  <c r="W45" i="85"/>
  <c r="W32" i="85"/>
  <c r="S32" i="85"/>
  <c r="Y31" i="85"/>
  <c r="M30" i="85"/>
  <c r="AG46" i="85"/>
  <c r="AG28" i="85"/>
  <c r="J18" i="85"/>
  <c r="J22" i="85"/>
  <c r="J23" i="85"/>
  <c r="J20" i="85"/>
  <c r="J21" i="85"/>
  <c r="J16" i="85"/>
  <c r="J19" i="85"/>
  <c r="J17" i="85"/>
  <c r="I96" i="85"/>
  <c r="T36" i="75"/>
  <c r="AE46" i="85"/>
  <c r="F60" i="75"/>
  <c r="X35" i="85"/>
  <c r="X37" i="85"/>
  <c r="X36" i="85"/>
  <c r="S50" i="85"/>
  <c r="S51" i="85"/>
  <c r="S49" i="85"/>
  <c r="AD112" i="81" a="1"/>
  <c r="AD112" i="81"/>
  <c r="AD32" i="85"/>
  <c r="AD113" i="81" a="1"/>
  <c r="AD113" i="81"/>
  <c r="AD33" i="85"/>
  <c r="AD116" i="81" a="1"/>
  <c r="AD116" i="81"/>
  <c r="AD117" i="81" a="1"/>
  <c r="AD117" i="81"/>
  <c r="AD114" i="81" a="1"/>
  <c r="AD114" i="81"/>
  <c r="AD34" i="85"/>
  <c r="AD111" i="81" a="1"/>
  <c r="AD111" i="81"/>
  <c r="AD31" i="85"/>
  <c r="AD28" i="85"/>
  <c r="AD115" i="81" a="1"/>
  <c r="AD115" i="81"/>
  <c r="AD110" i="81" a="1"/>
  <c r="AD110" i="81"/>
  <c r="AD30" i="85"/>
  <c r="O112" i="72" a="1"/>
  <c r="O112" i="72"/>
  <c r="O46" i="85"/>
  <c r="O111" i="72" a="1"/>
  <c r="O111" i="72"/>
  <c r="O45" i="85"/>
  <c r="O116" i="72" a="1"/>
  <c r="O116" i="72"/>
  <c r="O117" i="72" a="1"/>
  <c r="O117" i="72"/>
  <c r="O115" i="72" a="1"/>
  <c r="O115" i="72"/>
  <c r="O42" i="85"/>
  <c r="O114" i="72" a="1"/>
  <c r="O114" i="72"/>
  <c r="O48" i="85"/>
  <c r="O113" i="72" a="1"/>
  <c r="O113" i="72"/>
  <c r="O47" i="85"/>
  <c r="O110" i="72" a="1"/>
  <c r="O110" i="72"/>
  <c r="O44" i="85"/>
  <c r="L36" i="85"/>
  <c r="L37" i="85"/>
  <c r="L35" i="85"/>
  <c r="M35" i="85"/>
  <c r="M36" i="85"/>
  <c r="M37" i="85"/>
  <c r="AD51" i="85"/>
  <c r="AD49" i="85"/>
  <c r="AD50" i="85"/>
  <c r="K50" i="85"/>
  <c r="K51" i="85"/>
  <c r="K49" i="85"/>
  <c r="AC50" i="85"/>
  <c r="AC49" i="85"/>
  <c r="AC51" i="85"/>
  <c r="AA36" i="85"/>
  <c r="AA35" i="85"/>
  <c r="AA37" i="85"/>
  <c r="S37" i="85"/>
  <c r="S35" i="85"/>
  <c r="S36" i="85"/>
  <c r="AE35" i="85"/>
  <c r="AE36" i="85"/>
  <c r="AE37" i="85"/>
  <c r="J110" i="81" a="1"/>
  <c r="J110" i="81"/>
  <c r="J30" i="85"/>
  <c r="J114" i="81" a="1"/>
  <c r="J114" i="81"/>
  <c r="J34" i="85"/>
  <c r="J112" i="81" a="1"/>
  <c r="J112" i="81"/>
  <c r="J32" i="85"/>
  <c r="J111" i="81" a="1"/>
  <c r="J111" i="81"/>
  <c r="J31" i="85"/>
  <c r="J115" i="81" a="1"/>
  <c r="J115" i="81"/>
  <c r="J113" i="81" a="1"/>
  <c r="J113" i="81"/>
  <c r="J33" i="85"/>
  <c r="J117" i="81" a="1"/>
  <c r="J117" i="81"/>
  <c r="J116" i="81" a="1"/>
  <c r="J116" i="81"/>
  <c r="J28" i="85"/>
  <c r="T51" i="85"/>
  <c r="T49" i="85"/>
  <c r="T50" i="85"/>
  <c r="X50" i="85"/>
  <c r="X49" i="85"/>
  <c r="X51" i="85"/>
  <c r="P37" i="85"/>
  <c r="P36" i="85"/>
  <c r="P35" i="85"/>
  <c r="AC37" i="85"/>
  <c r="AC36" i="85"/>
  <c r="AC35" i="85"/>
  <c r="AB37" i="85"/>
  <c r="AB35" i="85"/>
  <c r="AB36" i="85"/>
  <c r="I112" i="81" a="1"/>
  <c r="I112" i="81"/>
  <c r="I32" i="85"/>
  <c r="I115" i="81" a="1"/>
  <c r="I115" i="81"/>
  <c r="I114" i="81" a="1"/>
  <c r="I114" i="81"/>
  <c r="I34" i="85"/>
  <c r="I111" i="81" a="1"/>
  <c r="I111" i="81"/>
  <c r="I31" i="85"/>
  <c r="I117" i="81" a="1"/>
  <c r="I117" i="81"/>
  <c r="I28" i="85"/>
  <c r="I110" i="81" a="1"/>
  <c r="I110" i="81"/>
  <c r="I30" i="85"/>
  <c r="I116" i="81" a="1"/>
  <c r="I116" i="81"/>
  <c r="I113" i="81" a="1"/>
  <c r="I113" i="81"/>
  <c r="I33" i="85"/>
  <c r="Z36" i="85"/>
  <c r="Z37" i="85"/>
  <c r="Z35" i="85"/>
  <c r="AG50" i="85"/>
  <c r="AG49" i="85"/>
  <c r="AG51" i="85"/>
  <c r="W50" i="85"/>
  <c r="W49" i="85"/>
  <c r="W51" i="85"/>
  <c r="P112" i="72" a="1"/>
  <c r="P112" i="72"/>
  <c r="P46" i="85"/>
  <c r="P42" i="85"/>
  <c r="P110" i="72" a="1"/>
  <c r="P110" i="72"/>
  <c r="P44" i="85"/>
  <c r="P113" i="72" a="1"/>
  <c r="P113" i="72"/>
  <c r="P47" i="85"/>
  <c r="P111" i="72" a="1"/>
  <c r="P111" i="72"/>
  <c r="P45" i="85"/>
  <c r="P115" i="72" a="1"/>
  <c r="P115" i="72"/>
  <c r="P117" i="72" a="1"/>
  <c r="P117" i="72"/>
  <c r="P116" i="72" a="1"/>
  <c r="P116" i="72"/>
  <c r="P114" i="72" a="1"/>
  <c r="P114" i="72"/>
  <c r="P48" i="85"/>
  <c r="AB49" i="85"/>
  <c r="AB50" i="85"/>
  <c r="AB51" i="85"/>
  <c r="Q37" i="85"/>
  <c r="Q35" i="85"/>
  <c r="Q36" i="85"/>
  <c r="N37" i="85"/>
  <c r="N36" i="85"/>
  <c r="N35" i="85"/>
  <c r="U37" i="85"/>
  <c r="U36" i="85"/>
  <c r="U35" i="85"/>
  <c r="Y36" i="85"/>
  <c r="Y35" i="85"/>
  <c r="Y37" i="85"/>
  <c r="I108" i="72"/>
  <c r="I48" i="75"/>
  <c r="I87" i="72"/>
  <c r="I106" i="72"/>
  <c r="Y49" i="85"/>
  <c r="Y51" i="85"/>
  <c r="Y50" i="85"/>
  <c r="W36" i="85"/>
  <c r="W37" i="85"/>
  <c r="W35" i="85"/>
  <c r="L49" i="85"/>
  <c r="L50" i="85"/>
  <c r="L51" i="85"/>
  <c r="K35" i="85"/>
  <c r="K36" i="85"/>
  <c r="K37" i="85"/>
  <c r="U51" i="85"/>
  <c r="U49" i="85"/>
  <c r="U50" i="85"/>
  <c r="I36" i="75"/>
  <c r="F34" i="75" a="1"/>
  <c r="F34" i="75"/>
  <c r="Z49" i="85"/>
  <c r="Z51" i="85"/>
  <c r="Z50" i="85"/>
  <c r="V111" i="81" a="1"/>
  <c r="V111" i="81"/>
  <c r="V31" i="85"/>
  <c r="V110" i="81" a="1"/>
  <c r="V110" i="81"/>
  <c r="V30" i="85"/>
  <c r="V115" i="81" a="1"/>
  <c r="V115" i="81"/>
  <c r="V112" i="81" a="1"/>
  <c r="V112" i="81"/>
  <c r="V32" i="85"/>
  <c r="V113" i="81" a="1"/>
  <c r="V113" i="81"/>
  <c r="V33" i="85"/>
  <c r="V117" i="81" a="1"/>
  <c r="V117" i="81"/>
  <c r="V114" i="81" a="1"/>
  <c r="V114" i="81"/>
  <c r="V34" i="85"/>
  <c r="V116" i="81" a="1"/>
  <c r="V116" i="81"/>
  <c r="V28" i="85"/>
  <c r="AG37" i="85"/>
  <c r="AG36" i="85"/>
  <c r="AG35" i="85"/>
  <c r="J115" i="72" a="1"/>
  <c r="J115" i="72"/>
  <c r="J42" i="85"/>
  <c r="J117" i="72" a="1"/>
  <c r="J117" i="72"/>
  <c r="J114" i="72" a="1"/>
  <c r="J114" i="72"/>
  <c r="J48" i="85"/>
  <c r="J113" i="72" a="1"/>
  <c r="J113" i="72"/>
  <c r="J47" i="85"/>
  <c r="J110" i="72" a="1"/>
  <c r="J110" i="72"/>
  <c r="J44" i="85"/>
  <c r="J112" i="72" a="1"/>
  <c r="J112" i="72"/>
  <c r="J46" i="85"/>
  <c r="J116" i="72" a="1"/>
  <c r="J116" i="72"/>
  <c r="J111" i="72" a="1"/>
  <c r="J111" i="72"/>
  <c r="J45" i="85"/>
  <c r="T37" i="85"/>
  <c r="T35" i="85"/>
  <c r="T36" i="85"/>
  <c r="Q51" i="85"/>
  <c r="Q50" i="85"/>
  <c r="Q49" i="85"/>
  <c r="M51" i="85"/>
  <c r="M49" i="85"/>
  <c r="M50" i="85"/>
  <c r="V113" i="72" a="1"/>
  <c r="V113" i="72"/>
  <c r="V47" i="85"/>
  <c r="V111" i="72" a="1"/>
  <c r="V111" i="72"/>
  <c r="V45" i="85"/>
  <c r="V110" i="72" a="1"/>
  <c r="V110" i="72"/>
  <c r="V44" i="85"/>
  <c r="V42" i="85"/>
  <c r="V112" i="72" a="1"/>
  <c r="V112" i="72"/>
  <c r="V46" i="85"/>
  <c r="V115" i="72" a="1"/>
  <c r="V115" i="72"/>
  <c r="V116" i="72" a="1"/>
  <c r="V116" i="72"/>
  <c r="V117" i="72" a="1"/>
  <c r="V117" i="72"/>
  <c r="V114" i="72" a="1"/>
  <c r="V114" i="72"/>
  <c r="V48" i="85"/>
  <c r="V64" i="82"/>
  <c r="V84" i="82"/>
  <c r="V72" i="75"/>
  <c r="N64" i="73"/>
  <c r="N84" i="73"/>
  <c r="N58" i="75"/>
  <c r="AD64" i="73"/>
  <c r="AD84" i="73"/>
  <c r="AD58" i="75"/>
  <c r="Z64" i="82"/>
  <c r="Z84" i="82"/>
  <c r="Z72" i="75"/>
  <c r="Z64" i="73"/>
  <c r="Z84" i="73"/>
  <c r="Z58" i="75"/>
  <c r="J64" i="73"/>
  <c r="J84" i="73"/>
  <c r="J58" i="75"/>
  <c r="F56" i="75"/>
  <c r="F38" i="75"/>
  <c r="G10" i="33"/>
  <c r="I64" i="73"/>
  <c r="I84" i="73"/>
  <c r="I58" i="75"/>
  <c r="AB64" i="82"/>
  <c r="AB84" i="82"/>
  <c r="AB72" i="75"/>
  <c r="AC64" i="82"/>
  <c r="AC84" i="82"/>
  <c r="AC72" i="75"/>
  <c r="K64" i="82"/>
  <c r="K84" i="82"/>
  <c r="K72" i="75"/>
  <c r="F66" i="75"/>
  <c r="K64" i="73"/>
  <c r="K84" i="73"/>
  <c r="K58" i="75"/>
  <c r="Q64" i="82"/>
  <c r="Q84" i="82"/>
  <c r="Q72" i="75"/>
  <c r="M64" i="82"/>
  <c r="M84" i="82"/>
  <c r="M72" i="75"/>
  <c r="Y64" i="82"/>
  <c r="Y84" i="82"/>
  <c r="Y72" i="75"/>
  <c r="L64" i="82"/>
  <c r="L84" i="82"/>
  <c r="L72" i="75"/>
  <c r="AF64" i="82"/>
  <c r="AF84" i="82"/>
  <c r="AF72" i="75"/>
  <c r="J64" i="82"/>
  <c r="J84" i="82"/>
  <c r="J72" i="75"/>
  <c r="L64" i="73"/>
  <c r="L84" i="73"/>
  <c r="L58" i="75"/>
  <c r="F39" i="75"/>
  <c r="H10" i="33"/>
  <c r="S64" i="73"/>
  <c r="S84" i="73"/>
  <c r="S58" i="75"/>
  <c r="P64" i="82"/>
  <c r="P84" i="82"/>
  <c r="P72" i="75"/>
  <c r="AA64" i="73"/>
  <c r="AA84" i="73"/>
  <c r="AA58" i="75"/>
  <c r="F70" i="75"/>
  <c r="AG64" i="73"/>
  <c r="AG84" i="73"/>
  <c r="AG58" i="75"/>
  <c r="Y64" i="73"/>
  <c r="Y84" i="73"/>
  <c r="Y58" i="75"/>
  <c r="U64" i="82"/>
  <c r="U84" i="82"/>
  <c r="U72" i="75"/>
  <c r="T64" i="82"/>
  <c r="T84" i="82"/>
  <c r="T72" i="75"/>
  <c r="N64" i="82"/>
  <c r="N84" i="82"/>
  <c r="N72" i="75"/>
  <c r="V64" i="73"/>
  <c r="V84" i="73"/>
  <c r="V58" i="75"/>
  <c r="AB64" i="73"/>
  <c r="AB84" i="73"/>
  <c r="AB58" i="75"/>
  <c r="AE64" i="73"/>
  <c r="AE84" i="73"/>
  <c r="AE58" i="75"/>
  <c r="AG64" i="82"/>
  <c r="AG84" i="82"/>
  <c r="AG72" i="75"/>
  <c r="O64" i="82"/>
  <c r="O84" i="82"/>
  <c r="O72" i="75"/>
  <c r="M64" i="73"/>
  <c r="M84" i="73"/>
  <c r="M58" i="75"/>
  <c r="AC64" i="73"/>
  <c r="AC84" i="73"/>
  <c r="AC58" i="75"/>
  <c r="I64" i="82"/>
  <c r="I84" i="82"/>
  <c r="I72" i="75"/>
  <c r="W64" i="73"/>
  <c r="W84" i="73"/>
  <c r="W58" i="75"/>
  <c r="R64" i="82"/>
  <c r="R84" i="82"/>
  <c r="R72" i="75"/>
  <c r="S64" i="82"/>
  <c r="S84" i="82"/>
  <c r="S72" i="75"/>
  <c r="U64" i="73"/>
  <c r="U84" i="73"/>
  <c r="U58" i="75"/>
  <c r="AA64" i="82"/>
  <c r="AA84" i="82"/>
  <c r="AA72" i="75"/>
  <c r="O64" i="73"/>
  <c r="O84" i="73"/>
  <c r="O58" i="75"/>
  <c r="X64" i="82"/>
  <c r="X84" i="82"/>
  <c r="X72" i="75"/>
  <c r="AF64" i="73"/>
  <c r="AF84" i="73"/>
  <c r="AF58" i="75"/>
  <c r="W64" i="82"/>
  <c r="W84" i="82"/>
  <c r="W72" i="75"/>
  <c r="X64" i="73"/>
  <c r="X84" i="73"/>
  <c r="X58" i="75"/>
  <c r="T64" i="73"/>
  <c r="T84" i="73"/>
  <c r="T58" i="75"/>
  <c r="AD64" i="82"/>
  <c r="AD84" i="82"/>
  <c r="AD72" i="75"/>
  <c r="F80" i="75"/>
  <c r="P64" i="73"/>
  <c r="P84" i="73"/>
  <c r="P58" i="75"/>
  <c r="AE64" i="82"/>
  <c r="AE84" i="82"/>
  <c r="AE72" i="75"/>
  <c r="R64" i="73"/>
  <c r="R84" i="73"/>
  <c r="R58" i="75"/>
  <c r="Q64" i="73"/>
  <c r="Q84" i="73"/>
  <c r="Q58" i="75"/>
  <c r="F19" i="85"/>
  <c r="C94" i="85"/>
  <c r="F71" i="33"/>
  <c r="F23" i="85"/>
  <c r="F21" i="85"/>
  <c r="F18" i="85"/>
  <c r="C93" i="85"/>
  <c r="F70" i="33"/>
  <c r="F22" i="85"/>
  <c r="F20" i="85"/>
  <c r="C95" i="85"/>
  <c r="F72" i="33"/>
  <c r="F31" i="85"/>
  <c r="D92" i="85"/>
  <c r="G69" i="33"/>
  <c r="F34" i="85"/>
  <c r="D95" i="85"/>
  <c r="G72" i="33"/>
  <c r="F16" i="85"/>
  <c r="C91" i="85"/>
  <c r="F68" i="33"/>
  <c r="F37" i="75" a="1"/>
  <c r="F37" i="75"/>
  <c r="I10" i="33"/>
  <c r="F30" i="85"/>
  <c r="D91" i="85"/>
  <c r="G68" i="33"/>
  <c r="F17" i="85"/>
  <c r="C92" i="85"/>
  <c r="F69" i="33"/>
  <c r="I36" i="85"/>
  <c r="I35" i="85"/>
  <c r="I37" i="85"/>
  <c r="F32" i="85"/>
  <c r="D93" i="85"/>
  <c r="O51" i="85"/>
  <c r="O49" i="85"/>
  <c r="O50" i="85"/>
  <c r="AD36" i="85"/>
  <c r="AD37" i="85"/>
  <c r="AD35" i="85"/>
  <c r="J37" i="85"/>
  <c r="J35" i="85"/>
  <c r="J36" i="85"/>
  <c r="J49" i="85"/>
  <c r="J51" i="85"/>
  <c r="J50" i="85"/>
  <c r="V37" i="85"/>
  <c r="V36" i="85"/>
  <c r="V35" i="85"/>
  <c r="V49" i="85"/>
  <c r="V51" i="85"/>
  <c r="V50" i="85"/>
  <c r="F33" i="85"/>
  <c r="D94" i="85"/>
  <c r="I111" i="72" a="1"/>
  <c r="I111" i="72"/>
  <c r="I45" i="85"/>
  <c r="F45" i="85"/>
  <c r="E92" i="85"/>
  <c r="H69" i="33"/>
  <c r="I114" i="72" a="1"/>
  <c r="I114" i="72"/>
  <c r="I48" i="85"/>
  <c r="F48" i="85"/>
  <c r="E95" i="85"/>
  <c r="H72" i="33"/>
  <c r="I116" i="72" a="1"/>
  <c r="I116" i="72"/>
  <c r="I113" i="72" a="1"/>
  <c r="I113" i="72"/>
  <c r="I47" i="85"/>
  <c r="F47" i="85"/>
  <c r="E94" i="85"/>
  <c r="H71" i="33"/>
  <c r="I42" i="85"/>
  <c r="F42" i="85"/>
  <c r="E90" i="85"/>
  <c r="H67" i="33"/>
  <c r="I115" i="72" a="1"/>
  <c r="I115" i="72"/>
  <c r="I112" i="72" a="1"/>
  <c r="I112" i="72"/>
  <c r="I46" i="85"/>
  <c r="F46" i="85"/>
  <c r="E93" i="85"/>
  <c r="H70" i="33"/>
  <c r="I117" i="72" a="1"/>
  <c r="I117" i="72"/>
  <c r="I110" i="72" a="1"/>
  <c r="I110" i="72"/>
  <c r="I44" i="85"/>
  <c r="F44" i="85"/>
  <c r="E91" i="85"/>
  <c r="H68" i="33"/>
  <c r="F48" i="75"/>
  <c r="F53" i="75"/>
  <c r="H11" i="33"/>
  <c r="I50" i="75"/>
  <c r="F28" i="85"/>
  <c r="D90" i="85"/>
  <c r="P49" i="85"/>
  <c r="P51" i="85"/>
  <c r="P50" i="85"/>
  <c r="V108" i="73"/>
  <c r="V87" i="73"/>
  <c r="V106" i="73"/>
  <c r="V62" i="75"/>
  <c r="V64" i="75"/>
  <c r="J108" i="82"/>
  <c r="J87" i="82"/>
  <c r="J106" i="82"/>
  <c r="J76" i="75"/>
  <c r="J78" i="75"/>
  <c r="I108" i="73"/>
  <c r="I87" i="73"/>
  <c r="I106" i="73"/>
  <c r="I62" i="75"/>
  <c r="W87" i="73"/>
  <c r="W106" i="73"/>
  <c r="W62" i="75"/>
  <c r="W64" i="75"/>
  <c r="W108" i="73"/>
  <c r="I87" i="82"/>
  <c r="I106" i="82"/>
  <c r="I108" i="82"/>
  <c r="I76" i="75"/>
  <c r="W108" i="82"/>
  <c r="W87" i="82"/>
  <c r="W106" i="82"/>
  <c r="W76" i="75"/>
  <c r="W78" i="75"/>
  <c r="Z87" i="73"/>
  <c r="Z106" i="73"/>
  <c r="Z62" i="75"/>
  <c r="Z64" i="75"/>
  <c r="Z108" i="73"/>
  <c r="AF108" i="73"/>
  <c r="AF87" i="73"/>
  <c r="AF106" i="73"/>
  <c r="AF62" i="75"/>
  <c r="AF64" i="75"/>
  <c r="M108" i="73"/>
  <c r="M62" i="75"/>
  <c r="M64" i="75"/>
  <c r="M87" i="73"/>
  <c r="M106" i="73"/>
  <c r="AG108" i="73"/>
  <c r="AG62" i="75"/>
  <c r="AG64" i="75"/>
  <c r="AG87" i="73"/>
  <c r="AG106" i="73"/>
  <c r="M108" i="82"/>
  <c r="M76" i="75"/>
  <c r="M78" i="75"/>
  <c r="M87" i="82"/>
  <c r="M106" i="82"/>
  <c r="U108" i="73"/>
  <c r="U87" i="73"/>
  <c r="U106" i="73"/>
  <c r="U62" i="75"/>
  <c r="U64" i="75"/>
  <c r="P62" i="75"/>
  <c r="P64" i="75"/>
  <c r="P87" i="73"/>
  <c r="P106" i="73"/>
  <c r="P108" i="73"/>
  <c r="S108" i="82"/>
  <c r="S76" i="75"/>
  <c r="S78" i="75"/>
  <c r="S87" i="82"/>
  <c r="S106" i="82"/>
  <c r="F58" i="75"/>
  <c r="L76" i="75"/>
  <c r="L78" i="75"/>
  <c r="L108" i="82"/>
  <c r="L87" i="82"/>
  <c r="L106" i="82"/>
  <c r="J62" i="75"/>
  <c r="J64" i="75"/>
  <c r="J87" i="73"/>
  <c r="J106" i="73"/>
  <c r="J108" i="73"/>
  <c r="Y87" i="82"/>
  <c r="Y106" i="82"/>
  <c r="Y108" i="82"/>
  <c r="Y76" i="75"/>
  <c r="Y78" i="75"/>
  <c r="AA108" i="73"/>
  <c r="AA87" i="73"/>
  <c r="AA106" i="73"/>
  <c r="AA62" i="75"/>
  <c r="AA64" i="75"/>
  <c r="AD108" i="73"/>
  <c r="AD87" i="73"/>
  <c r="AD106" i="73"/>
  <c r="AD62" i="75"/>
  <c r="AD64" i="75"/>
  <c r="O108" i="73"/>
  <c r="O87" i="73"/>
  <c r="O106" i="73"/>
  <c r="O62" i="75"/>
  <c r="O64" i="75"/>
  <c r="AG87" i="82"/>
  <c r="AG106" i="82"/>
  <c r="AG76" i="75"/>
  <c r="AG78" i="75"/>
  <c r="AG108" i="82"/>
  <c r="K87" i="73"/>
  <c r="K106" i="73"/>
  <c r="K108" i="73"/>
  <c r="K62" i="75"/>
  <c r="K64" i="75"/>
  <c r="AB108" i="73"/>
  <c r="AB87" i="73"/>
  <c r="AB106" i="73"/>
  <c r="AB62" i="75"/>
  <c r="AB64" i="75"/>
  <c r="AB108" i="82"/>
  <c r="AB87" i="82"/>
  <c r="AB106" i="82"/>
  <c r="AB76" i="75"/>
  <c r="AB78" i="75"/>
  <c r="AD87" i="82"/>
  <c r="AD106" i="82"/>
  <c r="AD108" i="82"/>
  <c r="AD76" i="75"/>
  <c r="AD78" i="75"/>
  <c r="T87" i="73"/>
  <c r="T106" i="73"/>
  <c r="T62" i="75"/>
  <c r="T64" i="75"/>
  <c r="T108" i="73"/>
  <c r="AF87" i="82"/>
  <c r="AF106" i="82"/>
  <c r="AF108" i="82"/>
  <c r="AF76" i="75"/>
  <c r="AF78" i="75"/>
  <c r="F72" i="75"/>
  <c r="U108" i="82"/>
  <c r="U87" i="82"/>
  <c r="U106" i="82"/>
  <c r="U76" i="75"/>
  <c r="U78" i="75"/>
  <c r="AC87" i="73"/>
  <c r="AC106" i="73"/>
  <c r="AC108" i="73"/>
  <c r="AC62" i="75"/>
  <c r="AC64" i="75"/>
  <c r="Y108" i="73"/>
  <c r="Y62" i="75"/>
  <c r="Y64" i="75"/>
  <c r="Y87" i="73"/>
  <c r="Y106" i="73"/>
  <c r="X76" i="75"/>
  <c r="X78" i="75"/>
  <c r="X87" i="82"/>
  <c r="X106" i="82"/>
  <c r="X108" i="82"/>
  <c r="Q76" i="75"/>
  <c r="Q78" i="75"/>
  <c r="Q108" i="82"/>
  <c r="Q87" i="82"/>
  <c r="Q106" i="82"/>
  <c r="R108" i="73"/>
  <c r="R87" i="73"/>
  <c r="R106" i="73"/>
  <c r="R62" i="75"/>
  <c r="R64" i="75"/>
  <c r="P87" i="82"/>
  <c r="P106" i="82"/>
  <c r="P108" i="82"/>
  <c r="P76" i="75"/>
  <c r="P78" i="75"/>
  <c r="N108" i="73"/>
  <c r="N87" i="73"/>
  <c r="N106" i="73"/>
  <c r="N62" i="75"/>
  <c r="N64" i="75"/>
  <c r="AC87" i="82"/>
  <c r="AC106" i="82"/>
  <c r="AC108" i="82"/>
  <c r="AC76" i="75"/>
  <c r="AC78" i="75"/>
  <c r="L108" i="73"/>
  <c r="L62" i="75"/>
  <c r="L64" i="75"/>
  <c r="L87" i="73"/>
  <c r="L106" i="73"/>
  <c r="R108" i="82"/>
  <c r="R87" i="82"/>
  <c r="R106" i="82"/>
  <c r="R76" i="75"/>
  <c r="R78" i="75"/>
  <c r="N87" i="82"/>
  <c r="N106" i="82"/>
  <c r="N108" i="82"/>
  <c r="N76" i="75"/>
  <c r="N78" i="75"/>
  <c r="T108" i="82"/>
  <c r="T87" i="82"/>
  <c r="T106" i="82"/>
  <c r="T76" i="75"/>
  <c r="T78" i="75"/>
  <c r="X108" i="73"/>
  <c r="X62" i="75"/>
  <c r="X64" i="75"/>
  <c r="X87" i="73"/>
  <c r="X106" i="73"/>
  <c r="Z87" i="82"/>
  <c r="Z106" i="82"/>
  <c r="Z108" i="82"/>
  <c r="Z76" i="75"/>
  <c r="Z78" i="75"/>
  <c r="O108" i="82"/>
  <c r="O87" i="82"/>
  <c r="O106" i="82"/>
  <c r="O76" i="75"/>
  <c r="O78" i="75"/>
  <c r="Q108" i="73"/>
  <c r="Q62" i="75"/>
  <c r="Q64" i="75"/>
  <c r="Q87" i="73"/>
  <c r="Q106" i="73"/>
  <c r="AA108" i="82"/>
  <c r="AA87" i="82"/>
  <c r="AA106" i="82"/>
  <c r="AA76" i="75"/>
  <c r="AA78" i="75"/>
  <c r="AE108" i="73"/>
  <c r="AE87" i="73"/>
  <c r="AE106" i="73"/>
  <c r="AE62" i="75"/>
  <c r="AE64" i="75"/>
  <c r="AE108" i="82"/>
  <c r="AE87" i="82"/>
  <c r="AE106" i="82"/>
  <c r="AE76" i="75"/>
  <c r="AE78" i="75"/>
  <c r="S62" i="75"/>
  <c r="S64" i="75"/>
  <c r="S108" i="73"/>
  <c r="S87" i="73"/>
  <c r="S106" i="73"/>
  <c r="K108" i="82"/>
  <c r="K87" i="82"/>
  <c r="K106" i="82"/>
  <c r="K76" i="75"/>
  <c r="K78" i="75"/>
  <c r="V87" i="82"/>
  <c r="V106" i="82"/>
  <c r="V76" i="75"/>
  <c r="V78" i="75"/>
  <c r="V108" i="82"/>
  <c r="I92" i="85"/>
  <c r="K92" i="85"/>
  <c r="L69" i="33"/>
  <c r="I95" i="85"/>
  <c r="K95" i="85"/>
  <c r="L72" i="33"/>
  <c r="I91" i="85"/>
  <c r="K91" i="85"/>
  <c r="L68" i="33"/>
  <c r="G71" i="33"/>
  <c r="I94" i="85"/>
  <c r="K94" i="85"/>
  <c r="L71" i="33"/>
  <c r="I93" i="85"/>
  <c r="K93" i="85"/>
  <c r="L70" i="33"/>
  <c r="G70" i="33"/>
  <c r="I51" i="85"/>
  <c r="F51" i="85"/>
  <c r="I49" i="85"/>
  <c r="F49" i="85"/>
  <c r="I50" i="85"/>
  <c r="F50" i="85"/>
  <c r="G67" i="33"/>
  <c r="I90" i="85"/>
  <c r="K90" i="85"/>
  <c r="L67" i="33"/>
  <c r="F37" i="85"/>
  <c r="F51" i="75" a="1"/>
  <c r="F51" i="75"/>
  <c r="I11" i="33"/>
  <c r="G18" i="33"/>
  <c r="I40" i="85"/>
  <c r="F35" i="85"/>
  <c r="F36" i="85"/>
  <c r="R113" i="73" a="1"/>
  <c r="R113" i="73"/>
  <c r="R61" i="85"/>
  <c r="R114" i="73" a="1"/>
  <c r="R114" i="73"/>
  <c r="R62" i="85"/>
  <c r="R115" i="73" a="1"/>
  <c r="R115" i="73"/>
  <c r="R112" i="73" a="1"/>
  <c r="R112" i="73"/>
  <c r="R60" i="85"/>
  <c r="R110" i="73" a="1"/>
  <c r="R110" i="73"/>
  <c r="R58" i="85"/>
  <c r="R117" i="73" a="1"/>
  <c r="R117" i="73"/>
  <c r="R116" i="73" a="1"/>
  <c r="R116" i="73"/>
  <c r="R111" i="73" a="1"/>
  <c r="R111" i="73"/>
  <c r="R59" i="85"/>
  <c r="R56" i="85"/>
  <c r="Q111" i="82" a="1"/>
  <c r="Q111" i="82"/>
  <c r="Q73" i="85"/>
  <c r="Q110" i="82" a="1"/>
  <c r="Q110" i="82"/>
  <c r="Q72" i="85"/>
  <c r="Q116" i="82" a="1"/>
  <c r="Q116" i="82"/>
  <c r="Q117" i="82" a="1"/>
  <c r="Q117" i="82"/>
  <c r="Q112" i="82" a="1"/>
  <c r="Q112" i="82"/>
  <c r="Q74" i="85"/>
  <c r="Q113" i="82" a="1"/>
  <c r="Q113" i="82"/>
  <c r="Q75" i="85"/>
  <c r="Q114" i="82" a="1"/>
  <c r="Q114" i="82"/>
  <c r="Q76" i="85"/>
  <c r="Q115" i="82" a="1"/>
  <c r="Q115" i="82"/>
  <c r="Q70" i="85"/>
  <c r="P113" i="73" a="1"/>
  <c r="P113" i="73"/>
  <c r="P61" i="85"/>
  <c r="P114" i="73" a="1"/>
  <c r="P114" i="73"/>
  <c r="P62" i="85"/>
  <c r="P111" i="73" a="1"/>
  <c r="P111" i="73"/>
  <c r="P59" i="85"/>
  <c r="P116" i="73" a="1"/>
  <c r="P116" i="73"/>
  <c r="P112" i="73" a="1"/>
  <c r="P112" i="73"/>
  <c r="P60" i="85"/>
  <c r="P117" i="73" a="1"/>
  <c r="P117" i="73"/>
  <c r="P110" i="73" a="1"/>
  <c r="P110" i="73"/>
  <c r="P58" i="85"/>
  <c r="P56" i="85"/>
  <c r="P115" i="73" a="1"/>
  <c r="P115" i="73"/>
  <c r="R110" i="82" a="1"/>
  <c r="R110" i="82"/>
  <c r="R72" i="85"/>
  <c r="R114" i="82" a="1"/>
  <c r="R114" i="82"/>
  <c r="R76" i="85"/>
  <c r="R115" i="82" a="1"/>
  <c r="R115" i="82"/>
  <c r="R117" i="82" a="1"/>
  <c r="R117" i="82"/>
  <c r="R111" i="82" a="1"/>
  <c r="R111" i="82"/>
  <c r="R73" i="85"/>
  <c r="R112" i="82" a="1"/>
  <c r="R112" i="82"/>
  <c r="R74" i="85"/>
  <c r="R113" i="82" a="1"/>
  <c r="R113" i="82"/>
  <c r="R75" i="85"/>
  <c r="R116" i="82" a="1"/>
  <c r="R116" i="82"/>
  <c r="R70" i="85"/>
  <c r="F76" i="75"/>
  <c r="F81" i="75"/>
  <c r="I78" i="75"/>
  <c r="F79" i="75" a="1"/>
  <c r="F79" i="75"/>
  <c r="AD114" i="82" a="1"/>
  <c r="AD114" i="82"/>
  <c r="AD76" i="85"/>
  <c r="AD113" i="82" a="1"/>
  <c r="AD113" i="82"/>
  <c r="AD75" i="85"/>
  <c r="AD116" i="82" a="1"/>
  <c r="AD116" i="82"/>
  <c r="AD111" i="82" a="1"/>
  <c r="AD111" i="82"/>
  <c r="AD73" i="85"/>
  <c r="AD117" i="82" a="1"/>
  <c r="AD117" i="82"/>
  <c r="AD115" i="82" a="1"/>
  <c r="AD115" i="82"/>
  <c r="AD110" i="82" a="1"/>
  <c r="AD110" i="82"/>
  <c r="AD72" i="85"/>
  <c r="AD112" i="82" a="1"/>
  <c r="AD112" i="82"/>
  <c r="AD74" i="85"/>
  <c r="AD70" i="85"/>
  <c r="L110" i="73" a="1"/>
  <c r="L110" i="73"/>
  <c r="L58" i="85"/>
  <c r="L117" i="73" a="1"/>
  <c r="L117" i="73"/>
  <c r="L112" i="73" a="1"/>
  <c r="L112" i="73"/>
  <c r="L60" i="85"/>
  <c r="L111" i="73" a="1"/>
  <c r="L111" i="73"/>
  <c r="L59" i="85"/>
  <c r="L114" i="73" a="1"/>
  <c r="L114" i="73"/>
  <c r="L62" i="85"/>
  <c r="L115" i="73" a="1"/>
  <c r="L115" i="73"/>
  <c r="L113" i="73" a="1"/>
  <c r="L113" i="73"/>
  <c r="L61" i="85"/>
  <c r="L116" i="73" a="1"/>
  <c r="L116" i="73"/>
  <c r="L56" i="85"/>
  <c r="I113" i="82" a="1"/>
  <c r="I113" i="82"/>
  <c r="I75" i="85"/>
  <c r="I117" i="82" a="1"/>
  <c r="I117" i="82"/>
  <c r="I114" i="82" a="1"/>
  <c r="I114" i="82"/>
  <c r="I76" i="85"/>
  <c r="I115" i="82" a="1"/>
  <c r="I115" i="82"/>
  <c r="I112" i="82" a="1"/>
  <c r="I112" i="82"/>
  <c r="I74" i="85"/>
  <c r="I111" i="82" a="1"/>
  <c r="I111" i="82"/>
  <c r="I73" i="85"/>
  <c r="I116" i="82" a="1"/>
  <c r="I116" i="82"/>
  <c r="I110" i="82" a="1"/>
  <c r="I110" i="82"/>
  <c r="I72" i="85"/>
  <c r="I70" i="85"/>
  <c r="AB111" i="82" a="1"/>
  <c r="AB111" i="82"/>
  <c r="AB73" i="85"/>
  <c r="AB116" i="82" a="1"/>
  <c r="AB116" i="82"/>
  <c r="AB114" i="82" a="1"/>
  <c r="AB114" i="82"/>
  <c r="AB76" i="85"/>
  <c r="AB112" i="82" a="1"/>
  <c r="AB112" i="82"/>
  <c r="AB74" i="85"/>
  <c r="AB113" i="82" a="1"/>
  <c r="AB113" i="82"/>
  <c r="AB75" i="85"/>
  <c r="AB110" i="82" a="1"/>
  <c r="AB110" i="82"/>
  <c r="AB72" i="85"/>
  <c r="AB115" i="82" a="1"/>
  <c r="AB115" i="82"/>
  <c r="AB117" i="82" a="1"/>
  <c r="AB117" i="82"/>
  <c r="AB70" i="85"/>
  <c r="AG117" i="73" a="1"/>
  <c r="AG117" i="73"/>
  <c r="AG114" i="73" a="1"/>
  <c r="AG114" i="73"/>
  <c r="AG62" i="85"/>
  <c r="AG115" i="73" a="1"/>
  <c r="AG115" i="73"/>
  <c r="AG113" i="73" a="1"/>
  <c r="AG113" i="73"/>
  <c r="AG61" i="85"/>
  <c r="AG116" i="73" a="1"/>
  <c r="AG116" i="73"/>
  <c r="AG112" i="73" a="1"/>
  <c r="AG112" i="73"/>
  <c r="AG60" i="85"/>
  <c r="AG110" i="73" a="1"/>
  <c r="AG110" i="73"/>
  <c r="AG58" i="85"/>
  <c r="AG111" i="73" a="1"/>
  <c r="AG111" i="73"/>
  <c r="AG59" i="85"/>
  <c r="AG56" i="85"/>
  <c r="AC112" i="82" a="1"/>
  <c r="AC112" i="82"/>
  <c r="AC74" i="85"/>
  <c r="AC116" i="82" a="1"/>
  <c r="AC116" i="82"/>
  <c r="AC117" i="82" a="1"/>
  <c r="AC117" i="82"/>
  <c r="AC110" i="82" a="1"/>
  <c r="AC110" i="82"/>
  <c r="AC72" i="85"/>
  <c r="AC111" i="82" a="1"/>
  <c r="AC111" i="82"/>
  <c r="AC73" i="85"/>
  <c r="AC115" i="82" a="1"/>
  <c r="AC115" i="82"/>
  <c r="AC114" i="82" a="1"/>
  <c r="AC114" i="82"/>
  <c r="AC76" i="85"/>
  <c r="AC113" i="82" a="1"/>
  <c r="AC113" i="82"/>
  <c r="AC75" i="85"/>
  <c r="AC70" i="85"/>
  <c r="I112" i="73" a="1"/>
  <c r="I112" i="73"/>
  <c r="I60" i="85"/>
  <c r="I117" i="73" a="1"/>
  <c r="I117" i="73"/>
  <c r="I115" i="73" a="1"/>
  <c r="I115" i="73"/>
  <c r="I110" i="73" a="1"/>
  <c r="I110" i="73"/>
  <c r="I58" i="85"/>
  <c r="I111" i="73" a="1"/>
  <c r="I111" i="73"/>
  <c r="I59" i="85"/>
  <c r="I114" i="73" a="1"/>
  <c r="I114" i="73"/>
  <c r="I62" i="85"/>
  <c r="I116" i="73" a="1"/>
  <c r="I116" i="73"/>
  <c r="I113" i="73" a="1"/>
  <c r="I113" i="73"/>
  <c r="I61" i="85"/>
  <c r="I56" i="85"/>
  <c r="S110" i="73" a="1"/>
  <c r="S110" i="73"/>
  <c r="S58" i="85"/>
  <c r="S116" i="73" a="1"/>
  <c r="S116" i="73"/>
  <c r="S113" i="73" a="1"/>
  <c r="S113" i="73"/>
  <c r="S61" i="85"/>
  <c r="S56" i="85"/>
  <c r="S112" i="73" a="1"/>
  <c r="S112" i="73"/>
  <c r="S60" i="85"/>
  <c r="S117" i="73" a="1"/>
  <c r="S117" i="73"/>
  <c r="S111" i="73" a="1"/>
  <c r="S111" i="73"/>
  <c r="S59" i="85"/>
  <c r="S115" i="73" a="1"/>
  <c r="S115" i="73"/>
  <c r="S114" i="73" a="1"/>
  <c r="S114" i="73"/>
  <c r="S62" i="85"/>
  <c r="Z110" i="82" a="1"/>
  <c r="Z110" i="82"/>
  <c r="Z72" i="85"/>
  <c r="Z115" i="82" a="1"/>
  <c r="Z115" i="82"/>
  <c r="Z113" i="82" a="1"/>
  <c r="Z113" i="82"/>
  <c r="Z75" i="85"/>
  <c r="Z114" i="82" a="1"/>
  <c r="Z114" i="82"/>
  <c r="Z76" i="85"/>
  <c r="Z116" i="82" a="1"/>
  <c r="Z116" i="82"/>
  <c r="Z111" i="82" a="1"/>
  <c r="Z111" i="82"/>
  <c r="Z73" i="85"/>
  <c r="Z117" i="82" a="1"/>
  <c r="Z117" i="82"/>
  <c r="Z112" i="82" a="1"/>
  <c r="Z112" i="82"/>
  <c r="Z74" i="85"/>
  <c r="Z70" i="85"/>
  <c r="N117" i="73" a="1"/>
  <c r="N117" i="73"/>
  <c r="N111" i="73" a="1"/>
  <c r="N111" i="73"/>
  <c r="N59" i="85"/>
  <c r="N116" i="73" a="1"/>
  <c r="N116" i="73"/>
  <c r="N110" i="73" a="1"/>
  <c r="N110" i="73"/>
  <c r="N58" i="85"/>
  <c r="N115" i="73" a="1"/>
  <c r="N115" i="73"/>
  <c r="N112" i="73" a="1"/>
  <c r="N112" i="73"/>
  <c r="N60" i="85"/>
  <c r="N113" i="73" a="1"/>
  <c r="N113" i="73"/>
  <c r="N61" i="85"/>
  <c r="N114" i="73" a="1"/>
  <c r="N114" i="73"/>
  <c r="N62" i="85"/>
  <c r="N56" i="85"/>
  <c r="L117" i="82" a="1"/>
  <c r="L117" i="82"/>
  <c r="L112" i="82" a="1"/>
  <c r="L112" i="82"/>
  <c r="L74" i="85"/>
  <c r="L116" i="82" a="1"/>
  <c r="L116" i="82"/>
  <c r="L113" i="82" a="1"/>
  <c r="L113" i="82"/>
  <c r="L75" i="85"/>
  <c r="L110" i="82" a="1"/>
  <c r="L110" i="82"/>
  <c r="L72" i="85"/>
  <c r="L111" i="82" a="1"/>
  <c r="L111" i="82"/>
  <c r="L73" i="85"/>
  <c r="L115" i="82" a="1"/>
  <c r="L115" i="82"/>
  <c r="L114" i="82" a="1"/>
  <c r="L114" i="82"/>
  <c r="L76" i="85"/>
  <c r="L70" i="85"/>
  <c r="X111" i="73" a="1"/>
  <c r="X111" i="73"/>
  <c r="X59" i="85"/>
  <c r="X110" i="73" a="1"/>
  <c r="X110" i="73"/>
  <c r="X58" i="85"/>
  <c r="X113" i="73" a="1"/>
  <c r="X113" i="73"/>
  <c r="X61" i="85"/>
  <c r="X112" i="73" a="1"/>
  <c r="X112" i="73"/>
  <c r="X60" i="85"/>
  <c r="X114" i="73" a="1"/>
  <c r="X114" i="73"/>
  <c r="X62" i="85"/>
  <c r="X116" i="73" a="1"/>
  <c r="X116" i="73"/>
  <c r="X115" i="73" a="1"/>
  <c r="X115" i="73"/>
  <c r="X117" i="73" a="1"/>
  <c r="X117" i="73"/>
  <c r="X56" i="85"/>
  <c r="U113" i="82" a="1"/>
  <c r="U113" i="82"/>
  <c r="U75" i="85"/>
  <c r="U115" i="82" a="1"/>
  <c r="U115" i="82"/>
  <c r="U116" i="82" a="1"/>
  <c r="U116" i="82"/>
  <c r="U110" i="82" a="1"/>
  <c r="U110" i="82"/>
  <c r="U72" i="85"/>
  <c r="U114" i="82" a="1"/>
  <c r="U114" i="82"/>
  <c r="U76" i="85"/>
  <c r="U111" i="82" a="1"/>
  <c r="U111" i="82"/>
  <c r="U73" i="85"/>
  <c r="U112" i="82" a="1"/>
  <c r="U112" i="82"/>
  <c r="U74" i="85"/>
  <c r="U70" i="85"/>
  <c r="U117" i="82" a="1"/>
  <c r="U117" i="82"/>
  <c r="K112" i="73" a="1"/>
  <c r="K112" i="73"/>
  <c r="K60" i="85"/>
  <c r="K115" i="73" a="1"/>
  <c r="K115" i="73"/>
  <c r="K117" i="73" a="1"/>
  <c r="K117" i="73"/>
  <c r="K116" i="73" a="1"/>
  <c r="K116" i="73"/>
  <c r="K56" i="85"/>
  <c r="K113" i="73" a="1"/>
  <c r="K113" i="73"/>
  <c r="K61" i="85"/>
  <c r="K111" i="73" a="1"/>
  <c r="K111" i="73"/>
  <c r="K59" i="85"/>
  <c r="K114" i="73" a="1"/>
  <c r="K114" i="73"/>
  <c r="K62" i="85"/>
  <c r="K110" i="73" a="1"/>
  <c r="K110" i="73"/>
  <c r="K58" i="85"/>
  <c r="J112" i="82" a="1"/>
  <c r="J112" i="82"/>
  <c r="J74" i="85"/>
  <c r="J116" i="82" a="1"/>
  <c r="J116" i="82"/>
  <c r="J113" i="82" a="1"/>
  <c r="J113" i="82"/>
  <c r="J75" i="85"/>
  <c r="J117" i="82" a="1"/>
  <c r="J117" i="82"/>
  <c r="J111" i="82" a="1"/>
  <c r="J111" i="82"/>
  <c r="J73" i="85"/>
  <c r="J70" i="85"/>
  <c r="J110" i="82" a="1"/>
  <c r="J110" i="82"/>
  <c r="J72" i="85"/>
  <c r="J114" i="82" a="1"/>
  <c r="J114" i="82"/>
  <c r="J76" i="85"/>
  <c r="J115" i="82" a="1"/>
  <c r="J115" i="82"/>
  <c r="AF117" i="82" a="1"/>
  <c r="AF117" i="82"/>
  <c r="AF116" i="82" a="1"/>
  <c r="AF116" i="82"/>
  <c r="AF113" i="82" a="1"/>
  <c r="AF113" i="82"/>
  <c r="AF75" i="85"/>
  <c r="AF112" i="82" a="1"/>
  <c r="AF112" i="82"/>
  <c r="AF74" i="85"/>
  <c r="AF115" i="82" a="1"/>
  <c r="AF115" i="82"/>
  <c r="AF110" i="82" a="1"/>
  <c r="AF110" i="82"/>
  <c r="AF72" i="85"/>
  <c r="AF111" i="82" a="1"/>
  <c r="AF111" i="82"/>
  <c r="AF73" i="85"/>
  <c r="AF114" i="82" a="1"/>
  <c r="AF114" i="82"/>
  <c r="AF76" i="85"/>
  <c r="AF70" i="85"/>
  <c r="O113" i="73" a="1"/>
  <c r="O113" i="73"/>
  <c r="O61" i="85"/>
  <c r="O110" i="73" a="1"/>
  <c r="O110" i="73"/>
  <c r="O58" i="85"/>
  <c r="O116" i="73" a="1"/>
  <c r="O116" i="73"/>
  <c r="O117" i="73" a="1"/>
  <c r="O117" i="73"/>
  <c r="O114" i="73" a="1"/>
  <c r="O114" i="73"/>
  <c r="O62" i="85"/>
  <c r="O112" i="73" a="1"/>
  <c r="O112" i="73"/>
  <c r="O60" i="85"/>
  <c r="O115" i="73" a="1"/>
  <c r="O115" i="73"/>
  <c r="O111" i="73" a="1"/>
  <c r="O111" i="73"/>
  <c r="O59" i="85"/>
  <c r="O56" i="85"/>
  <c r="Z117" i="73" a="1"/>
  <c r="Z117" i="73"/>
  <c r="Z114" i="73" a="1"/>
  <c r="Z114" i="73"/>
  <c r="Z62" i="85"/>
  <c r="Z56" i="85"/>
  <c r="Z115" i="73" a="1"/>
  <c r="Z115" i="73"/>
  <c r="Z110" i="73" a="1"/>
  <c r="Z110" i="73"/>
  <c r="Z58" i="85"/>
  <c r="Z116" i="73" a="1"/>
  <c r="Z116" i="73"/>
  <c r="Z111" i="73" a="1"/>
  <c r="Z111" i="73"/>
  <c r="Z59" i="85"/>
  <c r="Z113" i="73" a="1"/>
  <c r="Z113" i="73"/>
  <c r="Z61" i="85"/>
  <c r="Z112" i="73" a="1"/>
  <c r="Z112" i="73"/>
  <c r="Z60" i="85"/>
  <c r="X110" i="82" a="1"/>
  <c r="X110" i="82"/>
  <c r="X72" i="85"/>
  <c r="X113" i="82" a="1"/>
  <c r="X113" i="82"/>
  <c r="X75" i="85"/>
  <c r="X111" i="82" a="1"/>
  <c r="X111" i="82"/>
  <c r="X73" i="85"/>
  <c r="X117" i="82" a="1"/>
  <c r="X117" i="82"/>
  <c r="X116" i="82" a="1"/>
  <c r="X116" i="82"/>
  <c r="X114" i="82" a="1"/>
  <c r="X114" i="82"/>
  <c r="X76" i="85"/>
  <c r="X112" i="82" a="1"/>
  <c r="X112" i="82"/>
  <c r="X74" i="85"/>
  <c r="X115" i="82" a="1"/>
  <c r="X115" i="82"/>
  <c r="X70" i="85"/>
  <c r="AA113" i="73" a="1"/>
  <c r="AA113" i="73"/>
  <c r="AA61" i="85"/>
  <c r="AA116" i="73" a="1"/>
  <c r="AA116" i="73"/>
  <c r="AA115" i="73" a="1"/>
  <c r="AA115" i="73"/>
  <c r="AA117" i="73" a="1"/>
  <c r="AA117" i="73"/>
  <c r="AA112" i="73" a="1"/>
  <c r="AA112" i="73"/>
  <c r="AA60" i="85"/>
  <c r="AA110" i="73" a="1"/>
  <c r="AA110" i="73"/>
  <c r="AA58" i="85"/>
  <c r="AA111" i="73" a="1"/>
  <c r="AA111" i="73"/>
  <c r="AA59" i="85"/>
  <c r="AA114" i="73" a="1"/>
  <c r="AA114" i="73"/>
  <c r="AA62" i="85"/>
  <c r="AA56" i="85"/>
  <c r="O115" i="82" a="1"/>
  <c r="O115" i="82"/>
  <c r="O114" i="82" a="1"/>
  <c r="O114" i="82"/>
  <c r="O76" i="85"/>
  <c r="O116" i="82" a="1"/>
  <c r="O116" i="82"/>
  <c r="O112" i="82" a="1"/>
  <c r="O112" i="82"/>
  <c r="O74" i="85"/>
  <c r="O113" i="82" a="1"/>
  <c r="O113" i="82"/>
  <c r="O75" i="85"/>
  <c r="O117" i="82" a="1"/>
  <c r="O117" i="82"/>
  <c r="O111" i="82" a="1"/>
  <c r="O111" i="82"/>
  <c r="O73" i="85"/>
  <c r="O110" i="82" a="1"/>
  <c r="O110" i="82"/>
  <c r="O72" i="85"/>
  <c r="O70" i="85"/>
  <c r="W110" i="73" a="1"/>
  <c r="W110" i="73"/>
  <c r="W58" i="85"/>
  <c r="W112" i="73" a="1"/>
  <c r="W112" i="73"/>
  <c r="W60" i="85"/>
  <c r="W56" i="85"/>
  <c r="W116" i="73" a="1"/>
  <c r="W116" i="73"/>
  <c r="W114" i="73" a="1"/>
  <c r="W114" i="73"/>
  <c r="W62" i="85"/>
  <c r="W113" i="73" a="1"/>
  <c r="W113" i="73"/>
  <c r="W61" i="85"/>
  <c r="W117" i="73" a="1"/>
  <c r="W117" i="73"/>
  <c r="W111" i="73" a="1"/>
  <c r="W111" i="73"/>
  <c r="W59" i="85"/>
  <c r="W115" i="73" a="1"/>
  <c r="W115" i="73"/>
  <c r="K116" i="82" a="1"/>
  <c r="K116" i="82"/>
  <c r="K111" i="82" a="1"/>
  <c r="K111" i="82"/>
  <c r="K73" i="85"/>
  <c r="K117" i="82" a="1"/>
  <c r="K117" i="82"/>
  <c r="K113" i="82" a="1"/>
  <c r="K113" i="82"/>
  <c r="K75" i="85"/>
  <c r="K114" i="82" a="1"/>
  <c r="K114" i="82"/>
  <c r="K76" i="85"/>
  <c r="K112" i="82" a="1"/>
  <c r="K112" i="82"/>
  <c r="K74" i="85"/>
  <c r="K115" i="82" a="1"/>
  <c r="K115" i="82"/>
  <c r="K110" i="82" a="1"/>
  <c r="K110" i="82"/>
  <c r="K72" i="85"/>
  <c r="K70" i="85"/>
  <c r="J116" i="73" a="1"/>
  <c r="J116" i="73"/>
  <c r="J112" i="73" a="1"/>
  <c r="J112" i="73"/>
  <c r="J60" i="85"/>
  <c r="J111" i="73" a="1"/>
  <c r="J111" i="73"/>
  <c r="J59" i="85"/>
  <c r="J110" i="73" a="1"/>
  <c r="J110" i="73"/>
  <c r="J58" i="85"/>
  <c r="J115" i="73" a="1"/>
  <c r="J115" i="73"/>
  <c r="J113" i="73" a="1"/>
  <c r="J113" i="73"/>
  <c r="J61" i="85"/>
  <c r="J117" i="73" a="1"/>
  <c r="J117" i="73"/>
  <c r="J114" i="73" a="1"/>
  <c r="J114" i="73"/>
  <c r="J62" i="85"/>
  <c r="J56" i="85"/>
  <c r="AF112" i="73" a="1"/>
  <c r="AF112" i="73"/>
  <c r="AF60" i="85"/>
  <c r="AF114" i="73" a="1"/>
  <c r="AF114" i="73"/>
  <c r="AF62" i="85"/>
  <c r="AF116" i="73" a="1"/>
  <c r="AF116" i="73"/>
  <c r="AF115" i="73" a="1"/>
  <c r="AF115" i="73"/>
  <c r="AF113" i="73" a="1"/>
  <c r="AF113" i="73"/>
  <c r="AF61" i="85"/>
  <c r="AF110" i="73" a="1"/>
  <c r="AF110" i="73"/>
  <c r="AF58" i="85"/>
  <c r="AF117" i="73" a="1"/>
  <c r="AF117" i="73"/>
  <c r="AF111" i="73" a="1"/>
  <c r="AF111" i="73"/>
  <c r="AF59" i="85"/>
  <c r="AF56" i="85"/>
  <c r="N115" i="82" a="1"/>
  <c r="N115" i="82"/>
  <c r="N110" i="82" a="1"/>
  <c r="N110" i="82"/>
  <c r="N72" i="85"/>
  <c r="N113" i="82" a="1"/>
  <c r="N113" i="82"/>
  <c r="N75" i="85"/>
  <c r="N111" i="82" a="1"/>
  <c r="N111" i="82"/>
  <c r="N73" i="85"/>
  <c r="N114" i="82" a="1"/>
  <c r="N114" i="82"/>
  <c r="N76" i="85"/>
  <c r="N117" i="82" a="1"/>
  <c r="N117" i="82"/>
  <c r="N116" i="82" a="1"/>
  <c r="N116" i="82"/>
  <c r="N112" i="82" a="1"/>
  <c r="N112" i="82"/>
  <c r="N74" i="85"/>
  <c r="N70" i="85"/>
  <c r="T112" i="73" a="1"/>
  <c r="T112" i="73"/>
  <c r="T60" i="85"/>
  <c r="T110" i="73" a="1"/>
  <c r="T110" i="73"/>
  <c r="T58" i="85"/>
  <c r="T116" i="73" a="1"/>
  <c r="T116" i="73"/>
  <c r="T111" i="73" a="1"/>
  <c r="T111" i="73"/>
  <c r="T59" i="85"/>
  <c r="T113" i="73" a="1"/>
  <c r="T113" i="73"/>
  <c r="T61" i="85"/>
  <c r="T115" i="73" a="1"/>
  <c r="T115" i="73"/>
  <c r="T117" i="73" a="1"/>
  <c r="T117" i="73"/>
  <c r="T114" i="73" a="1"/>
  <c r="T114" i="73"/>
  <c r="T62" i="85"/>
  <c r="T56" i="85"/>
  <c r="AA110" i="82" a="1"/>
  <c r="AA110" i="82"/>
  <c r="AA72" i="85"/>
  <c r="AA114" i="82" a="1"/>
  <c r="AA114" i="82"/>
  <c r="AA76" i="85"/>
  <c r="AA116" i="82" a="1"/>
  <c r="AA116" i="82"/>
  <c r="AA111" i="82" a="1"/>
  <c r="AA111" i="82"/>
  <c r="AA73" i="85"/>
  <c r="AA113" i="82" a="1"/>
  <c r="AA113" i="82"/>
  <c r="AA75" i="85"/>
  <c r="AA117" i="82" a="1"/>
  <c r="AA117" i="82"/>
  <c r="AA112" i="82" a="1"/>
  <c r="AA112" i="82"/>
  <c r="AA74" i="85"/>
  <c r="AA115" i="82" a="1"/>
  <c r="AA115" i="82"/>
  <c r="AA70" i="85"/>
  <c r="U116" i="73" a="1"/>
  <c r="U116" i="73"/>
  <c r="U112" i="73" a="1"/>
  <c r="U112" i="73"/>
  <c r="U60" i="85"/>
  <c r="U56" i="85"/>
  <c r="U111" i="73" a="1"/>
  <c r="U111" i="73"/>
  <c r="U59" i="85"/>
  <c r="U113" i="73" a="1"/>
  <c r="U113" i="73"/>
  <c r="U61" i="85"/>
  <c r="U117" i="73" a="1"/>
  <c r="U117" i="73"/>
  <c r="U110" i="73" a="1"/>
  <c r="U110" i="73"/>
  <c r="U58" i="85"/>
  <c r="U114" i="73" a="1"/>
  <c r="U114" i="73"/>
  <c r="U62" i="85"/>
  <c r="U115" i="73" a="1"/>
  <c r="U115" i="73"/>
  <c r="Y110" i="82" a="1"/>
  <c r="Y110" i="82"/>
  <c r="Y72" i="85"/>
  <c r="Y112" i="82" a="1"/>
  <c r="Y112" i="82"/>
  <c r="Y74" i="85"/>
  <c r="Y114" i="82" a="1"/>
  <c r="Y114" i="82"/>
  <c r="Y76" i="85"/>
  <c r="Y116" i="82" a="1"/>
  <c r="Y116" i="82"/>
  <c r="Y113" i="82" a="1"/>
  <c r="Y113" i="82"/>
  <c r="Y75" i="85"/>
  <c r="Y70" i="85"/>
  <c r="Y111" i="82" a="1"/>
  <c r="Y111" i="82"/>
  <c r="Y73" i="85"/>
  <c r="Y115" i="82" a="1"/>
  <c r="Y115" i="82"/>
  <c r="Y117" i="82" a="1"/>
  <c r="Y117" i="82"/>
  <c r="AB113" i="73" a="1"/>
  <c r="AB113" i="73"/>
  <c r="AB61" i="85"/>
  <c r="AB115" i="73" a="1"/>
  <c r="AB115" i="73"/>
  <c r="AB117" i="73" a="1"/>
  <c r="AB117" i="73"/>
  <c r="AB110" i="73" a="1"/>
  <c r="AB110" i="73"/>
  <c r="AB58" i="85"/>
  <c r="AB114" i="73" a="1"/>
  <c r="AB114" i="73"/>
  <c r="AB62" i="85"/>
  <c r="AB116" i="73" a="1"/>
  <c r="AB116" i="73"/>
  <c r="AB112" i="73" a="1"/>
  <c r="AB112" i="73"/>
  <c r="AB60" i="85"/>
  <c r="AB111" i="73" a="1"/>
  <c r="AB111" i="73"/>
  <c r="AB59" i="85"/>
  <c r="AB56" i="85"/>
  <c r="M110" i="73" a="1"/>
  <c r="M110" i="73"/>
  <c r="M58" i="85"/>
  <c r="M117" i="73" a="1"/>
  <c r="M117" i="73"/>
  <c r="M112" i="73" a="1"/>
  <c r="M112" i="73"/>
  <c r="M60" i="85"/>
  <c r="M111" i="73" a="1"/>
  <c r="M111" i="73"/>
  <c r="M59" i="85"/>
  <c r="M114" i="73" a="1"/>
  <c r="M114" i="73"/>
  <c r="M62" i="85"/>
  <c r="M115" i="73" a="1"/>
  <c r="M115" i="73"/>
  <c r="M113" i="73" a="1"/>
  <c r="M113" i="73"/>
  <c r="M61" i="85"/>
  <c r="M116" i="73" a="1"/>
  <c r="M116" i="73"/>
  <c r="M56" i="85"/>
  <c r="AE112" i="82" a="1"/>
  <c r="AE112" i="82"/>
  <c r="AE74" i="85"/>
  <c r="AE110" i="82" a="1"/>
  <c r="AE110" i="82"/>
  <c r="AE72" i="85"/>
  <c r="AE116" i="82" a="1"/>
  <c r="AE116" i="82"/>
  <c r="AE115" i="82" a="1"/>
  <c r="AE115" i="82"/>
  <c r="AE113" i="82" a="1"/>
  <c r="AE113" i="82"/>
  <c r="AE75" i="85"/>
  <c r="AE111" i="82" a="1"/>
  <c r="AE111" i="82"/>
  <c r="AE73" i="85"/>
  <c r="AE114" i="82" a="1"/>
  <c r="AE114" i="82"/>
  <c r="AE76" i="85"/>
  <c r="AE117" i="82" a="1"/>
  <c r="AE117" i="82"/>
  <c r="AE70" i="85"/>
  <c r="P115" i="82" a="1"/>
  <c r="P115" i="82"/>
  <c r="P113" i="82" a="1"/>
  <c r="P113" i="82"/>
  <c r="P75" i="85"/>
  <c r="P112" i="82" a="1"/>
  <c r="P112" i="82"/>
  <c r="P74" i="85"/>
  <c r="P70" i="85"/>
  <c r="P111" i="82" a="1"/>
  <c r="P111" i="82"/>
  <c r="P73" i="85"/>
  <c r="P117" i="82" a="1"/>
  <c r="P117" i="82"/>
  <c r="P114" i="82" a="1"/>
  <c r="P114" i="82"/>
  <c r="P76" i="85"/>
  <c r="P110" i="82" a="1"/>
  <c r="P110" i="82"/>
  <c r="P72" i="85"/>
  <c r="P116" i="82" a="1"/>
  <c r="P116" i="82"/>
  <c r="AG113" i="82" a="1"/>
  <c r="AG113" i="82"/>
  <c r="AG75" i="85"/>
  <c r="AG115" i="82" a="1"/>
  <c r="AG115" i="82"/>
  <c r="AG117" i="82" a="1"/>
  <c r="AG117" i="82"/>
  <c r="AG111" i="82" a="1"/>
  <c r="AG111" i="82"/>
  <c r="AG73" i="85"/>
  <c r="AG116" i="82" a="1"/>
  <c r="AG116" i="82"/>
  <c r="AG114" i="82" a="1"/>
  <c r="AG114" i="82"/>
  <c r="AG76" i="85"/>
  <c r="AG70" i="85"/>
  <c r="AG110" i="82" a="1"/>
  <c r="AG110" i="82"/>
  <c r="AG72" i="85"/>
  <c r="AG112" i="82" a="1"/>
  <c r="AG112" i="82"/>
  <c r="AG74" i="85"/>
  <c r="S115" i="82" a="1"/>
  <c r="S115" i="82"/>
  <c r="S114" i="82" a="1"/>
  <c r="S114" i="82"/>
  <c r="S76" i="85"/>
  <c r="S116" i="82" a="1"/>
  <c r="S116" i="82"/>
  <c r="S70" i="85"/>
  <c r="S117" i="82" a="1"/>
  <c r="S117" i="82"/>
  <c r="S110" i="82" a="1"/>
  <c r="S110" i="82"/>
  <c r="S72" i="85"/>
  <c r="S111" i="82" a="1"/>
  <c r="S111" i="82"/>
  <c r="S73" i="85"/>
  <c r="S113" i="82" a="1"/>
  <c r="S113" i="82"/>
  <c r="S75" i="85"/>
  <c r="S112" i="82" a="1"/>
  <c r="S112" i="82"/>
  <c r="S74" i="85"/>
  <c r="V115" i="73" a="1"/>
  <c r="V115" i="73"/>
  <c r="V117" i="73" a="1"/>
  <c r="V117" i="73"/>
  <c r="V111" i="73" a="1"/>
  <c r="V111" i="73"/>
  <c r="V59" i="85"/>
  <c r="V112" i="73" a="1"/>
  <c r="V112" i="73"/>
  <c r="V60" i="85"/>
  <c r="V116" i="73" a="1"/>
  <c r="V116" i="73"/>
  <c r="V56" i="85"/>
  <c r="V113" i="73" a="1"/>
  <c r="V113" i="73"/>
  <c r="V61" i="85"/>
  <c r="V110" i="73" a="1"/>
  <c r="V110" i="73"/>
  <c r="V58" i="85"/>
  <c r="V114" i="73" a="1"/>
  <c r="V114" i="73"/>
  <c r="V62" i="85"/>
  <c r="AE115" i="73" a="1"/>
  <c r="AE115" i="73"/>
  <c r="AE110" i="73" a="1"/>
  <c r="AE110" i="73"/>
  <c r="AE58" i="85"/>
  <c r="AE112" i="73" a="1"/>
  <c r="AE112" i="73"/>
  <c r="AE60" i="85"/>
  <c r="AE117" i="73" a="1"/>
  <c r="AE117" i="73"/>
  <c r="AE116" i="73" a="1"/>
  <c r="AE116" i="73"/>
  <c r="AE114" i="73" a="1"/>
  <c r="AE114" i="73"/>
  <c r="AE62" i="85"/>
  <c r="AE113" i="73" a="1"/>
  <c r="AE113" i="73"/>
  <c r="AE61" i="85"/>
  <c r="AE111" i="73" a="1"/>
  <c r="AE111" i="73"/>
  <c r="AE59" i="85"/>
  <c r="AE56" i="85"/>
  <c r="AD117" i="73" a="1"/>
  <c r="AD117" i="73"/>
  <c r="AD114" i="73" a="1"/>
  <c r="AD114" i="73"/>
  <c r="AD62" i="85"/>
  <c r="AD116" i="73" a="1"/>
  <c r="AD116" i="73"/>
  <c r="AD112" i="73" a="1"/>
  <c r="AD112" i="73"/>
  <c r="AD60" i="85"/>
  <c r="AD111" i="73" a="1"/>
  <c r="AD111" i="73"/>
  <c r="AD59" i="85"/>
  <c r="AD113" i="73" a="1"/>
  <c r="AD113" i="73"/>
  <c r="AD61" i="85"/>
  <c r="AD115" i="73" a="1"/>
  <c r="AD115" i="73"/>
  <c r="AD110" i="73" a="1"/>
  <c r="AD110" i="73"/>
  <c r="AD58" i="85"/>
  <c r="AD56" i="85"/>
  <c r="W117" i="82" a="1"/>
  <c r="W117" i="82"/>
  <c r="W113" i="82" a="1"/>
  <c r="W113" i="82"/>
  <c r="W75" i="85"/>
  <c r="W70" i="85"/>
  <c r="W110" i="82" a="1"/>
  <c r="W110" i="82"/>
  <c r="W72" i="85"/>
  <c r="W114" i="82" a="1"/>
  <c r="W114" i="82"/>
  <c r="W76" i="85"/>
  <c r="W115" i="82" a="1"/>
  <c r="W115" i="82"/>
  <c r="W111" i="82" a="1"/>
  <c r="W111" i="82"/>
  <c r="W73" i="85"/>
  <c r="W112" i="82" a="1"/>
  <c r="W112" i="82"/>
  <c r="W74" i="85"/>
  <c r="W116" i="82" a="1"/>
  <c r="W116" i="82"/>
  <c r="Q110" i="73" a="1"/>
  <c r="Q110" i="73"/>
  <c r="Q58" i="85"/>
  <c r="Q117" i="73" a="1"/>
  <c r="Q117" i="73"/>
  <c r="Q115" i="73" a="1"/>
  <c r="Q115" i="73"/>
  <c r="Q113" i="73" a="1"/>
  <c r="Q113" i="73"/>
  <c r="Q61" i="85"/>
  <c r="Q114" i="73" a="1"/>
  <c r="Q114" i="73"/>
  <c r="Q62" i="85"/>
  <c r="Q116" i="73" a="1"/>
  <c r="Q116" i="73"/>
  <c r="Q112" i="73" a="1"/>
  <c r="Q112" i="73"/>
  <c r="Q60" i="85"/>
  <c r="Q111" i="73" a="1"/>
  <c r="Q111" i="73"/>
  <c r="Q59" i="85"/>
  <c r="Q56" i="85"/>
  <c r="M116" i="82" a="1"/>
  <c r="M116" i="82"/>
  <c r="M110" i="82" a="1"/>
  <c r="M110" i="82"/>
  <c r="M72" i="85"/>
  <c r="M114" i="82" a="1"/>
  <c r="M114" i="82"/>
  <c r="M76" i="85"/>
  <c r="M115" i="82" a="1"/>
  <c r="M115" i="82"/>
  <c r="M112" i="82" a="1"/>
  <c r="M112" i="82"/>
  <c r="M74" i="85"/>
  <c r="M117" i="82" a="1"/>
  <c r="M117" i="82"/>
  <c r="M113" i="82" a="1"/>
  <c r="M113" i="82"/>
  <c r="M75" i="85"/>
  <c r="M111" i="82" a="1"/>
  <c r="M111" i="82"/>
  <c r="M73" i="85"/>
  <c r="M70" i="85"/>
  <c r="Y115" i="73" a="1"/>
  <c r="Y115" i="73"/>
  <c r="Y110" i="73" a="1"/>
  <c r="Y110" i="73"/>
  <c r="Y58" i="85"/>
  <c r="Y113" i="73" a="1"/>
  <c r="Y113" i="73"/>
  <c r="Y61" i="85"/>
  <c r="Y114" i="73" a="1"/>
  <c r="Y114" i="73"/>
  <c r="Y62" i="85"/>
  <c r="Y56" i="85"/>
  <c r="Y117" i="73" a="1"/>
  <c r="Y117" i="73"/>
  <c r="Y111" i="73" a="1"/>
  <c r="Y111" i="73"/>
  <c r="Y59" i="85"/>
  <c r="Y116" i="73" a="1"/>
  <c r="Y116" i="73"/>
  <c r="Y112" i="73" a="1"/>
  <c r="Y112" i="73"/>
  <c r="Y60" i="85"/>
  <c r="V113" i="82" a="1"/>
  <c r="V113" i="82"/>
  <c r="V75" i="85"/>
  <c r="V114" i="82" a="1"/>
  <c r="V114" i="82"/>
  <c r="V76" i="85"/>
  <c r="V110" i="82" a="1"/>
  <c r="V110" i="82"/>
  <c r="V72" i="85"/>
  <c r="V116" i="82" a="1"/>
  <c r="V116" i="82"/>
  <c r="V70" i="85"/>
  <c r="V112" i="82" a="1"/>
  <c r="V112" i="82"/>
  <c r="V74" i="85"/>
  <c r="V117" i="82" a="1"/>
  <c r="V117" i="82"/>
  <c r="V115" i="82" a="1"/>
  <c r="V115" i="82"/>
  <c r="V111" i="82" a="1"/>
  <c r="V111" i="82"/>
  <c r="V73" i="85"/>
  <c r="I64" i="75"/>
  <c r="F65" i="75" a="1"/>
  <c r="F65" i="75"/>
  <c r="F62" i="75"/>
  <c r="F67" i="75"/>
  <c r="AC113" i="73" a="1"/>
  <c r="AC113" i="73"/>
  <c r="AC61" i="85"/>
  <c r="AC117" i="73" a="1"/>
  <c r="AC117" i="73"/>
  <c r="AC111" i="73" a="1"/>
  <c r="AC111" i="73"/>
  <c r="AC59" i="85"/>
  <c r="AC115" i="73" a="1"/>
  <c r="AC115" i="73"/>
  <c r="AC110" i="73" a="1"/>
  <c r="AC110" i="73"/>
  <c r="AC58" i="85"/>
  <c r="AC112" i="73" a="1"/>
  <c r="AC112" i="73"/>
  <c r="AC60" i="85"/>
  <c r="AC116" i="73" a="1"/>
  <c r="AC116" i="73"/>
  <c r="AC114" i="73" a="1"/>
  <c r="AC114" i="73"/>
  <c r="AC62" i="85"/>
  <c r="AC56" i="85"/>
  <c r="T114" i="82" a="1"/>
  <c r="T114" i="82"/>
  <c r="T76" i="85"/>
  <c r="T70" i="85"/>
  <c r="T116" i="82" a="1"/>
  <c r="T116" i="82"/>
  <c r="T110" i="82" a="1"/>
  <c r="T110" i="82"/>
  <c r="T72" i="85"/>
  <c r="T113" i="82" a="1"/>
  <c r="T113" i="82"/>
  <c r="T75" i="85"/>
  <c r="T111" i="82" a="1"/>
  <c r="T111" i="82"/>
  <c r="T73" i="85"/>
  <c r="T115" i="82" a="1"/>
  <c r="T115" i="82"/>
  <c r="T117" i="82" a="1"/>
  <c r="T117" i="82"/>
  <c r="T112" i="82" a="1"/>
  <c r="T112" i="82"/>
  <c r="T74" i="85"/>
  <c r="C18" i="33"/>
  <c r="D18" i="33"/>
  <c r="C16" i="91"/>
  <c r="I79" i="85"/>
  <c r="I77" i="85"/>
  <c r="I78" i="85"/>
  <c r="O77" i="85"/>
  <c r="O78" i="85"/>
  <c r="O79" i="85"/>
  <c r="T63" i="85"/>
  <c r="T65" i="85"/>
  <c r="T64" i="85"/>
  <c r="AF77" i="85"/>
  <c r="AF79" i="85"/>
  <c r="AF78" i="85"/>
  <c r="Y64" i="85"/>
  <c r="Y65" i="85"/>
  <c r="Y63" i="85"/>
  <c r="F59" i="85"/>
  <c r="Q77" i="85"/>
  <c r="Q79" i="85"/>
  <c r="Q78" i="85"/>
  <c r="W79" i="85"/>
  <c r="W77" i="85"/>
  <c r="W78" i="85"/>
  <c r="I63" i="85"/>
  <c r="I65" i="85"/>
  <c r="I64" i="85"/>
  <c r="L65" i="85"/>
  <c r="L64" i="85"/>
  <c r="L63" i="85"/>
  <c r="Z64" i="85"/>
  <c r="Z63" i="85"/>
  <c r="Z65" i="85"/>
  <c r="V77" i="85"/>
  <c r="V78" i="85"/>
  <c r="V79" i="85"/>
  <c r="AE65" i="85"/>
  <c r="AE63" i="85"/>
  <c r="AE64" i="85"/>
  <c r="AA65" i="85"/>
  <c r="AA64" i="85"/>
  <c r="AA63" i="85"/>
  <c r="AA79" i="85"/>
  <c r="AA77" i="85"/>
  <c r="AA78" i="85"/>
  <c r="O65" i="85"/>
  <c r="O63" i="85"/>
  <c r="O64" i="85"/>
  <c r="S63" i="85"/>
  <c r="S65" i="85"/>
  <c r="S64" i="85"/>
  <c r="X77" i="85"/>
  <c r="X79" i="85"/>
  <c r="X78" i="85"/>
  <c r="AC63" i="85"/>
  <c r="AC64" i="85"/>
  <c r="AC65" i="85"/>
  <c r="U63" i="85"/>
  <c r="U65" i="85"/>
  <c r="U64" i="85"/>
  <c r="AF65" i="85"/>
  <c r="AF64" i="85"/>
  <c r="AF63" i="85"/>
  <c r="K63" i="85"/>
  <c r="K65" i="85"/>
  <c r="K64" i="85"/>
  <c r="F75" i="85"/>
  <c r="P78" i="85"/>
  <c r="P79" i="85"/>
  <c r="P77" i="85"/>
  <c r="W64" i="85"/>
  <c r="W65" i="85"/>
  <c r="W63" i="85"/>
  <c r="S77" i="85"/>
  <c r="S79" i="85"/>
  <c r="S78" i="85"/>
  <c r="J78" i="85"/>
  <c r="J79" i="85"/>
  <c r="J77" i="85"/>
  <c r="T79" i="85"/>
  <c r="T78" i="85"/>
  <c r="T77" i="85"/>
  <c r="Z79" i="85"/>
  <c r="Z77" i="85"/>
  <c r="Z78" i="85"/>
  <c r="AB77" i="85"/>
  <c r="AB79" i="85"/>
  <c r="AB78" i="85"/>
  <c r="AE78" i="85"/>
  <c r="AE79" i="85"/>
  <c r="AE77" i="85"/>
  <c r="J64" i="85"/>
  <c r="J63" i="85"/>
  <c r="J65" i="85"/>
  <c r="R78" i="85"/>
  <c r="R79" i="85"/>
  <c r="R77" i="85"/>
  <c r="AC79" i="85"/>
  <c r="AC78" i="85"/>
  <c r="AC77" i="85"/>
  <c r="U77" i="85"/>
  <c r="U79" i="85"/>
  <c r="U78" i="85"/>
  <c r="AD65" i="85"/>
  <c r="AD63" i="85"/>
  <c r="AD64" i="85"/>
  <c r="AG77" i="85"/>
  <c r="AG79" i="85"/>
  <c r="AG78" i="85"/>
  <c r="F61" i="85"/>
  <c r="F62" i="85"/>
  <c r="AG65" i="85"/>
  <c r="AG63" i="85"/>
  <c r="AG64" i="85"/>
  <c r="F58" i="85"/>
  <c r="L78" i="85"/>
  <c r="L77" i="85"/>
  <c r="L79" i="85"/>
  <c r="F60" i="85"/>
  <c r="M78" i="85"/>
  <c r="M77" i="85"/>
  <c r="M79" i="85"/>
  <c r="AB63" i="85"/>
  <c r="AB64" i="85"/>
  <c r="AB65" i="85"/>
  <c r="Y77" i="85"/>
  <c r="Y79" i="85"/>
  <c r="Y78" i="85"/>
  <c r="P63" i="85"/>
  <c r="P65" i="85"/>
  <c r="P64" i="85"/>
  <c r="F70" i="85"/>
  <c r="F76" i="85"/>
  <c r="N77" i="85"/>
  <c r="N79" i="85"/>
  <c r="N78" i="85"/>
  <c r="X65" i="85"/>
  <c r="X64" i="85"/>
  <c r="X63" i="85"/>
  <c r="N65" i="85"/>
  <c r="N64" i="85"/>
  <c r="N63" i="85"/>
  <c r="F72" i="85"/>
  <c r="AD79" i="85"/>
  <c r="AD78" i="85"/>
  <c r="AD77" i="85"/>
  <c r="V65" i="85"/>
  <c r="V63" i="85"/>
  <c r="V64" i="85"/>
  <c r="M65" i="85"/>
  <c r="M64" i="85"/>
  <c r="M63" i="85"/>
  <c r="K79" i="85"/>
  <c r="K78" i="85"/>
  <c r="K77" i="85"/>
  <c r="R65" i="85"/>
  <c r="R63" i="85"/>
  <c r="R64" i="85"/>
  <c r="F73" i="85"/>
  <c r="Q64" i="85"/>
  <c r="Q63" i="85"/>
  <c r="Q65" i="85"/>
  <c r="F56" i="85"/>
  <c r="F74" i="85"/>
  <c r="B16" i="91"/>
  <c r="C26" i="33"/>
  <c r="F65" i="85"/>
  <c r="F64" i="85"/>
  <c r="F63" i="85"/>
  <c r="F78" i="85"/>
  <c r="F77" i="85"/>
  <c r="F79" i="85"/>
  <c r="H31" i="33"/>
  <c r="I31" i="33"/>
  <c r="J31" i="33"/>
  <c r="A91" i="75"/>
  <c r="G30" i="33"/>
  <c r="I30" i="33"/>
  <c r="G31" i="33"/>
  <c r="F31" i="33"/>
  <c r="F30" i="33"/>
  <c r="H30" i="33"/>
  <c r="J30" i="33"/>
  <c r="L31" i="33"/>
  <c r="AA91" i="75" a="1"/>
  <c r="AA91" i="75"/>
  <c r="U91" i="75" a="1"/>
  <c r="U91" i="75"/>
  <c r="S91" i="75" a="1"/>
  <c r="S91" i="75"/>
  <c r="Q91" i="75" a="1"/>
  <c r="Q91" i="75"/>
  <c r="J91" i="75" a="1"/>
  <c r="J91" i="75"/>
  <c r="AD91" i="75" a="1"/>
  <c r="AD91" i="75"/>
  <c r="N91" i="75" a="1"/>
  <c r="N91" i="75"/>
  <c r="AB91" i="75" a="1"/>
  <c r="AB91" i="75"/>
  <c r="V91" i="75" a="1"/>
  <c r="V91" i="75"/>
  <c r="AF91" i="75" a="1"/>
  <c r="AF91" i="75"/>
  <c r="Y91" i="75" a="1"/>
  <c r="Y91" i="75"/>
  <c r="R91" i="75" a="1"/>
  <c r="R91" i="75"/>
  <c r="W91" i="75" a="1"/>
  <c r="W91" i="75"/>
  <c r="K91" i="75" a="1"/>
  <c r="K91" i="75"/>
  <c r="Z91" i="75" a="1"/>
  <c r="Z91" i="75"/>
  <c r="AG91" i="75" a="1"/>
  <c r="AG91" i="75"/>
  <c r="AC91" i="75" a="1"/>
  <c r="AC91" i="75"/>
  <c r="P91" i="75" a="1"/>
  <c r="P91" i="75"/>
  <c r="L91" i="75" a="1"/>
  <c r="L91" i="75"/>
  <c r="H91" i="75"/>
  <c r="O91" i="75" a="1"/>
  <c r="O91" i="75"/>
  <c r="T91" i="75" a="1"/>
  <c r="T91" i="75"/>
  <c r="AE91" i="75" a="1"/>
  <c r="AE91" i="75"/>
  <c r="I91" i="75" a="1"/>
  <c r="I91" i="75"/>
  <c r="M91" i="75" a="1"/>
  <c r="M91" i="75"/>
  <c r="X91" i="75" a="1"/>
  <c r="X91" i="75"/>
  <c r="L30" i="3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<sst xmlns="http://schemas.openxmlformats.org/spreadsheetml/2006/main" count="1160" uniqueCount="359">
  <si>
    <t>CitiPower</t>
  </si>
  <si>
    <t>NC transformer</t>
  </si>
  <si>
    <t>Model number:</t>
  </si>
  <si>
    <t>Counterfactual</t>
  </si>
  <si>
    <t>PV</t>
  </si>
  <si>
    <t>source</t>
  </si>
  <si>
    <t>Risks ($2023)</t>
  </si>
  <si>
    <t>Listed as [business acronym, model number, sheet name]</t>
  </si>
  <si>
    <t>Energy at risk</t>
  </si>
  <si>
    <t>Total risk cost ($2026)</t>
  </si>
  <si>
    <t>Sum of risk costs, applied at the discount rate for the analysis period FY27-FY46.</t>
  </si>
  <si>
    <t>Preferred Option</t>
  </si>
  <si>
    <t>Benefits ($2026)</t>
  </si>
  <si>
    <t>Risk cost mitigated</t>
  </si>
  <si>
    <t>Total risk cost ($2026) Option 1 - Total risk cost ($2026) of the preferred option.</t>
  </si>
  <si>
    <t>Total benefits ($2026)</t>
  </si>
  <si>
    <t>PV benefits</t>
  </si>
  <si>
    <t>Annualised Costs (capex) ($2023)</t>
  </si>
  <si>
    <t>Annualised capex to replace one transformer, applied at the discount rate for the analysis period FY27-FY46.</t>
  </si>
  <si>
    <t>Subotal capex ($2026)</t>
  </si>
  <si>
    <t>PV costs</t>
  </si>
  <si>
    <t>Net benefit ($2026)</t>
  </si>
  <si>
    <t>NPV</t>
  </si>
  <si>
    <t>SUMMARY</t>
  </si>
  <si>
    <t>RESULTS</t>
  </si>
  <si>
    <t>PV of costs</t>
  </si>
  <si>
    <t>PV of benefits</t>
  </si>
  <si>
    <t>Option</t>
  </si>
  <si>
    <t>Preferred option:</t>
  </si>
  <si>
    <t>PREFERRED OPTION</t>
  </si>
  <si>
    <t>Expenditure forecast</t>
  </si>
  <si>
    <t>Total</t>
  </si>
  <si>
    <t>Capital expenditure</t>
  </si>
  <si>
    <t>Operating expenditure</t>
  </si>
  <si>
    <t>CHART</t>
  </si>
  <si>
    <t>Capex and risk ($M, 2026)</t>
  </si>
  <si>
    <t>SENSITIVITIES</t>
  </si>
  <si>
    <t>Sensitivity</t>
  </si>
  <si>
    <t>Preferred option</t>
  </si>
  <si>
    <t>Project</t>
  </si>
  <si>
    <t>Business:</t>
  </si>
  <si>
    <t xml:space="preserve">Descripton: </t>
  </si>
  <si>
    <t>NC transformer replacement</t>
  </si>
  <si>
    <t xml:space="preserve">Date of cost inputs: </t>
  </si>
  <si>
    <t>December</t>
  </si>
  <si>
    <t>Description</t>
  </si>
  <si>
    <t>No change to existing practices</t>
  </si>
  <si>
    <t>Replace #1 transformer completed in 2027-2028</t>
  </si>
  <si>
    <t>Refurbish #1 transformer completed in 2026-2027</t>
  </si>
  <si>
    <t>Compliance project</t>
  </si>
  <si>
    <t>No</t>
  </si>
  <si>
    <t>Expenditure starts</t>
  </si>
  <si>
    <t>2026-27</t>
  </si>
  <si>
    <t>[start]</t>
  </si>
  <si>
    <t>Timing &amp; WACC</t>
  </si>
  <si>
    <t>Input dollars</t>
  </si>
  <si>
    <t>[input_dollars]</t>
  </si>
  <si>
    <t>Pre-tax real WACC</t>
  </si>
  <si>
    <t>[real_disc]</t>
  </si>
  <si>
    <t>VCR date</t>
  </si>
  <si>
    <t>[vcr_date]</t>
  </si>
  <si>
    <t>Analysis period (years)</t>
  </si>
  <si>
    <t>[years]\</t>
  </si>
  <si>
    <t>Output dollars</t>
  </si>
  <si>
    <t>[output_dollars]</t>
  </si>
  <si>
    <t>Other benefits date</t>
  </si>
  <si>
    <t>[custval_date]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</si>
  <si>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 input date</t>
    </r>
  </si>
  <si>
    <t>VCR</t>
  </si>
  <si>
    <t>Enter ZSS code &gt;&gt;</t>
  </si>
  <si>
    <t>eg. AR</t>
  </si>
  <si>
    <t>NC</t>
  </si>
  <si>
    <t>Northcote</t>
  </si>
  <si>
    <t>Risks</t>
  </si>
  <si>
    <t>SAFETY</t>
  </si>
  <si>
    <t>Value of statistical life</t>
  </si>
  <si>
    <t>Value of injury</t>
  </si>
  <si>
    <t>^ Public or employee</t>
  </si>
  <si>
    <t>Incident type</t>
  </si>
  <si>
    <t>Value</t>
  </si>
  <si>
    <t>Probability</t>
  </si>
  <si>
    <t>DF selected</t>
  </si>
  <si>
    <t>Description/comment</t>
  </si>
  <si>
    <t>Safety (fatality)</t>
  </si>
  <si>
    <t>Safety (injury)</t>
  </si>
  <si>
    <t>UNPLANNED REPLACEMENT/REPAIR</t>
  </si>
  <si>
    <t>Major failure (replace)</t>
  </si>
  <si>
    <t>Minor failure (repair)</t>
  </si>
  <si>
    <t>Premium for failure</t>
  </si>
  <si>
    <t>Other benefits</t>
  </si>
  <si>
    <t>ENVIRONMENTAL</t>
  </si>
  <si>
    <t>2027-28</t>
  </si>
  <si>
    <t>2028-29</t>
  </si>
  <si>
    <t>2029-30</t>
  </si>
  <si>
    <t>2030-31</t>
  </si>
  <si>
    <t>2031-32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</si>
  <si>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</t>
    </r>
  </si>
  <si>
    <t>$/kWh</t>
  </si>
  <si>
    <t>CUSTOMER VALUE</t>
  </si>
  <si>
    <t>per MWh</t>
  </si>
  <si>
    <t>per customer</t>
  </si>
  <si>
    <t>per customer minute</t>
  </si>
  <si>
    <t>Sensitivities</t>
  </si>
  <si>
    <t>Capex</t>
  </si>
  <si>
    <t>Total benefits</t>
  </si>
  <si>
    <t>OPTION 1 (base case)</t>
  </si>
  <si>
    <t>Count</t>
  </si>
  <si>
    <r>
      <t>Value of CO</t>
    </r>
    <r>
      <rPr>
        <i/>
        <vertAlign val="subscript"/>
        <sz val="7.65"/>
        <color theme="1" tint="0.499984740745262"/>
        <rFont val="Calibri"/>
        <family val="2"/>
      </rPr>
      <t>2</t>
    </r>
    <r>
      <rPr>
        <i/>
        <sz val="9"/>
        <color theme="1" tint="0.499984740745262"/>
        <rFont val="Calibri"/>
        <family val="2"/>
        <scheme val="minor"/>
      </rPr>
      <t xml:space="preserve"> reductions</t>
    </r>
  </si>
  <si>
    <t>$/MWh</t>
  </si>
  <si>
    <t>Units</t>
  </si>
  <si>
    <t>INVESTMENT &amp; OPERATING COST</t>
  </si>
  <si>
    <t>Asset life (yrs)</t>
  </si>
  <si>
    <t>&lt; Enter description &gt;</t>
  </si>
  <si>
    <t>RISK ASSUMPTIONS</t>
  </si>
  <si>
    <t>PoF (major)</t>
  </si>
  <si>
    <t>PoF (reparable)</t>
  </si>
  <si>
    <t>Energy at risk (weighted)</t>
  </si>
  <si>
    <t>MWh</t>
  </si>
  <si>
    <t>Energy at risk value</t>
  </si>
  <si>
    <t>(after DF)</t>
  </si>
  <si>
    <t>&lt; Other risk - enter description &gt;</t>
  </si>
  <si>
    <t>Total risk cost</t>
  </si>
  <si>
    <t>OTHER BENEFITS</t>
  </si>
  <si>
    <r>
      <t>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</si>
  <si>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r>
      <t>Value of 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</si>
  <si>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t>$</t>
  </si>
  <si>
    <t>Reliability in worst-served areas</t>
  </si>
  <si>
    <t>Network resilience</t>
  </si>
  <si>
    <t>Enabling solar exports</t>
  </si>
  <si>
    <t>Aesthetics</t>
  </si>
  <si>
    <t>$/customer</t>
  </si>
  <si>
    <t>customers</t>
  </si>
  <si>
    <t>Customer value of time (res)</t>
  </si>
  <si>
    <t>$/customer min</t>
  </si>
  <si>
    <t>mins</t>
  </si>
  <si>
    <t>Customer value of time (bus)</t>
  </si>
  <si>
    <t>Communication</t>
  </si>
  <si>
    <t>Information accessibility</t>
  </si>
  <si>
    <t>Other benefits 1</t>
  </si>
  <si>
    <t>Other benefits 2</t>
  </si>
  <si>
    <t>Total other benefits</t>
  </si>
  <si>
    <t>Risks mitigated vs base case</t>
  </si>
  <si>
    <t>Cumulative capex</t>
  </si>
  <si>
    <t>Annualised capex</t>
  </si>
  <si>
    <t>Total annualised capex</t>
  </si>
  <si>
    <t>Risk mitigated</t>
  </si>
  <si>
    <t>Other benefits value</t>
  </si>
  <si>
    <t>Net benefits</t>
  </si>
  <si>
    <t>OPTION 2</t>
  </si>
  <si>
    <t>Replace 1 transformer</t>
  </si>
  <si>
    <t>Customer value of time - residential</t>
  </si>
  <si>
    <t>Customer value of time - business</t>
  </si>
  <si>
    <t>First capex year</t>
  </si>
  <si>
    <t>First year</t>
  </si>
  <si>
    <t>OPTION 3</t>
  </si>
  <si>
    <t>Refurbish 1 transformer</t>
  </si>
  <si>
    <t>OPTION 4</t>
  </si>
  <si>
    <t>Safety consequence</t>
  </si>
  <si>
    <t>Unplanned replacements</t>
  </si>
  <si>
    <t>Environmental consequence</t>
  </si>
  <si>
    <t>OPTION 5</t>
  </si>
  <si>
    <t>CONSOLIDATED</t>
  </si>
  <si>
    <t>Discount factor</t>
  </si>
  <si>
    <t>Analysis period</t>
  </si>
  <si>
    <t>COSTS</t>
  </si>
  <si>
    <t>CHART DATA</t>
  </si>
  <si>
    <t>SENSITIVITY CALCULATIONS</t>
  </si>
  <si>
    <t>Option 2</t>
  </si>
  <si>
    <t>Option 3</t>
  </si>
  <si>
    <t>Option 4</t>
  </si>
  <si>
    <t>Option 5</t>
  </si>
  <si>
    <t>Max</t>
  </si>
  <si>
    <t>Preferred</t>
  </si>
  <si>
    <t>None</t>
  </si>
  <si>
    <t>WORKINGS - COSTS</t>
  </si>
  <si>
    <t>Option 1 - continue existing maintenance with no proactive replacement cost</t>
  </si>
  <si>
    <t>2032-33</t>
  </si>
  <si>
    <t>2033-34</t>
  </si>
  <si>
    <t>2034-35</t>
  </si>
  <si>
    <t>2035-36</t>
  </si>
  <si>
    <t>2036-37</t>
  </si>
  <si>
    <t>2037-38</t>
  </si>
  <si>
    <t>2038-39</t>
  </si>
  <si>
    <t>2039-40</t>
  </si>
  <si>
    <t>2040-41</t>
  </si>
  <si>
    <t>2041-42</t>
  </si>
  <si>
    <t>2042-43</t>
  </si>
  <si>
    <t>2043-44</t>
  </si>
  <si>
    <t>2044-45</t>
  </si>
  <si>
    <t>2045-46</t>
  </si>
  <si>
    <t>2046-47</t>
  </si>
  <si>
    <t>2047-48</t>
  </si>
  <si>
    <t>2048-49</t>
  </si>
  <si>
    <t>2049-50</t>
  </si>
  <si>
    <t>2050-51</t>
  </si>
  <si>
    <t>Opex</t>
  </si>
  <si>
    <t>Relay annual maintenance cost ($)</t>
  </si>
  <si>
    <t>Total opex cost ($)</t>
  </si>
  <si>
    <t>Tx capex profile ($)</t>
  </si>
  <si>
    <t>Total capex ($)</t>
  </si>
  <si>
    <t>SWBD online monitoring annual cost ($)</t>
  </si>
  <si>
    <t>WORKINGS - RISKS</t>
  </si>
  <si>
    <t>Transformer risks</t>
  </si>
  <si>
    <t>Energy at Risk ($, Weighted)</t>
  </si>
  <si>
    <t>Safety risk</t>
  </si>
  <si>
    <t>Unplanned replacement risk</t>
  </si>
  <si>
    <t>Unplanned fault risk</t>
  </si>
  <si>
    <t>Total transformer risks</t>
  </si>
  <si>
    <t>Input Data - Station Configuration</t>
  </si>
  <si>
    <t>Constants</t>
  </si>
  <si>
    <t>POF METHOD</t>
  </si>
  <si>
    <t>WEIBULL</t>
  </si>
  <si>
    <t>Modifier (x)</t>
  </si>
  <si>
    <t>Comment</t>
  </si>
  <si>
    <t>Substation:</t>
  </si>
  <si>
    <t>Major Failure CoC</t>
  </si>
  <si>
    <t>PoF (#1)</t>
  </si>
  <si>
    <t>Asset Type</t>
  </si>
  <si>
    <t>Transformer</t>
  </si>
  <si>
    <t>Minor Failure CoC</t>
  </si>
  <si>
    <t>PoF (#2)</t>
  </si>
  <si>
    <t>Major Failure CoC - used</t>
  </si>
  <si>
    <t>PoF (#3)</t>
  </si>
  <si>
    <t>Load Profile (PoE)</t>
  </si>
  <si>
    <t>Minor Failure CoC - used</t>
  </si>
  <si>
    <t>PoF (#4)</t>
  </si>
  <si>
    <t>Scenario #1: NC - Transformer</t>
  </si>
  <si>
    <t>Setting</t>
  </si>
  <si>
    <t>Unit Price</t>
  </si>
  <si>
    <t>Model Output</t>
  </si>
  <si>
    <t>Spare Available</t>
  </si>
  <si>
    <t>Energy</t>
  </si>
  <si>
    <t>Online Monitoring</t>
  </si>
  <si>
    <t>Physical Separation</t>
  </si>
  <si>
    <t>More Frequent Maintenance</t>
  </si>
  <si>
    <t>Pr (Terminal Failure)</t>
  </si>
  <si>
    <t>Staggered Maintenance</t>
  </si>
  <si>
    <t>Pr (Repairable Failure)</t>
  </si>
  <si>
    <t>Bunded</t>
  </si>
  <si>
    <t>Refurbish Assets</t>
  </si>
  <si>
    <t>Replace 1 Asset</t>
  </si>
  <si>
    <t>Safety Risk</t>
  </si>
  <si>
    <t>Replace 2 Assets</t>
  </si>
  <si>
    <t>Unplanned Replacement Risk</t>
  </si>
  <si>
    <t>Replace 3 Assets</t>
  </si>
  <si>
    <t>Unplanned Fault Risk</t>
  </si>
  <si>
    <t>Addiitonal Asset</t>
  </si>
  <si>
    <t>N/A</t>
  </si>
  <si>
    <t>Unplanned Enviromental Risk</t>
  </si>
  <si>
    <t>Load Transfers</t>
  </si>
  <si>
    <t>Unplanned Fire Risk</t>
  </si>
  <si>
    <t>Non-Network MW</t>
  </si>
  <si>
    <t>Other</t>
  </si>
  <si>
    <t>Option Capital Cost</t>
  </si>
  <si>
    <t>Total Life Cycle Cost</t>
  </si>
  <si>
    <t>Scenario #2: NC - Transformer</t>
  </si>
  <si>
    <t>Scenario #3: NC - Transformer</t>
  </si>
  <si>
    <t>ESCALATION &amp; OTHER</t>
  </si>
  <si>
    <t>Year end</t>
  </si>
  <si>
    <t>Actual/forecast CPI (June to June)</t>
  </si>
  <si>
    <t>HY ending</t>
  </si>
  <si>
    <t>FY ending</t>
  </si>
  <si>
    <t>Actual cumulative HY escalation</t>
  </si>
  <si>
    <t>Convert from input dollars</t>
  </si>
  <si>
    <t>To output dollars</t>
  </si>
  <si>
    <t>Conversion from input dollars to output dollars</t>
  </si>
  <si>
    <t>Convert from VCR date</t>
  </si>
  <si>
    <t>To input dollars</t>
  </si>
  <si>
    <t>VCR escalation</t>
  </si>
  <si>
    <t>Start_year</t>
  </si>
  <si>
    <t>FIRST YEAR</t>
  </si>
  <si>
    <t>Option included</t>
  </si>
  <si>
    <t>Option 1 (base case)</t>
  </si>
  <si>
    <t>Message</t>
  </si>
  <si>
    <t>DATA</t>
  </si>
  <si>
    <t>Options</t>
  </si>
  <si>
    <t>Not used</t>
  </si>
  <si>
    <t>Text</t>
  </si>
  <si>
    <t>Flags for compliance project</t>
  </si>
  <si>
    <t>Option1</t>
  </si>
  <si>
    <t>Option2</t>
  </si>
  <si>
    <t>Option3</t>
  </si>
  <si>
    <t>Option4</t>
  </si>
  <si>
    <t>Option5</t>
  </si>
  <si>
    <t>Yes</t>
  </si>
  <si>
    <t>Not applicable (compliance)</t>
  </si>
  <si>
    <t xml:space="preserve"> </t>
  </si>
  <si>
    <t>For conditional formatting of preferred option on Summary :</t>
  </si>
  <si>
    <t>Categories</t>
  </si>
  <si>
    <t>Short categ</t>
  </si>
  <si>
    <t>Benefits</t>
  </si>
  <si>
    <t>Flag to include</t>
  </si>
  <si>
    <t>Defined value</t>
  </si>
  <si>
    <t>Unserved energy</t>
  </si>
  <si>
    <t>Safety</t>
  </si>
  <si>
    <t>Unplanned replacement</t>
  </si>
  <si>
    <t>UnRepl</t>
  </si>
  <si>
    <t>Bushfire</t>
  </si>
  <si>
    <t>Fire</t>
  </si>
  <si>
    <t>Carbon</t>
  </si>
  <si>
    <t>Customers impacted</t>
  </si>
  <si>
    <t>Customer minutes</t>
  </si>
  <si>
    <t>Value of benefits</t>
  </si>
  <si>
    <t>per customer impacted</t>
  </si>
  <si>
    <t>per minute customer time</t>
  </si>
  <si>
    <t>Conversions</t>
  </si>
  <si>
    <t>thous_conv</t>
  </si>
  <si>
    <t>mill_conv</t>
  </si>
  <si>
    <t>Enter asset life</t>
  </si>
  <si>
    <t>Error message</t>
  </si>
  <si>
    <t>Remove inputs prior to start year</t>
  </si>
  <si>
    <t>Disproportionate factors applied to various bushfire and other risk valuations</t>
  </si>
  <si>
    <t>- Select -</t>
  </si>
  <si>
    <t>Harm to property from network</t>
  </si>
  <si>
    <t>Harm to property from bushfire</t>
  </si>
  <si>
    <t>Harm to environment</t>
  </si>
  <si>
    <t>Safety - Public trespass</t>
  </si>
  <si>
    <t>Safety - Single fatality or serious injury ^</t>
  </si>
  <si>
    <r>
      <t xml:space="preserve">Safety from bushfire in </t>
    </r>
    <r>
      <rPr>
        <sz val="8"/>
        <color theme="1"/>
        <rFont val="Calibri"/>
        <family val="2"/>
      </rPr>
      <t>HBRA</t>
    </r>
  </si>
  <si>
    <t>Safety - Multiple fatality or serious injury ^</t>
  </si>
  <si>
    <t>Safety from bushfire (REFCL declared areas)</t>
  </si>
  <si>
    <t>Safety from bushfire (electric line construction areas)</t>
  </si>
  <si>
    <t>DROPDOWN LISTS</t>
  </si>
  <si>
    <t>Business</t>
  </si>
  <si>
    <t>Type</t>
  </si>
  <si>
    <t>Include</t>
  </si>
  <si>
    <t>Dollar inputs - month</t>
  </si>
  <si>
    <t>Not used options</t>
  </si>
  <si>
    <t>Dollar inputs - year</t>
  </si>
  <si>
    <t>Compliance</t>
  </si>
  <si>
    <t>Capex first year</t>
  </si>
  <si>
    <t>CP</t>
  </si>
  <si>
    <t>CP:</t>
  </si>
  <si>
    <t>June</t>
  </si>
  <si>
    <t>CY</t>
  </si>
  <si>
    <t>Powercor</t>
  </si>
  <si>
    <t>PA</t>
  </si>
  <si>
    <t>PAL:</t>
  </si>
  <si>
    <t>FY</t>
  </si>
  <si>
    <t>2025-26</t>
  </si>
  <si>
    <t>United Energy</t>
  </si>
  <si>
    <t>UE</t>
  </si>
  <si>
    <t>UE:</t>
  </si>
  <si>
    <t>2024-25</t>
  </si>
  <si>
    <t>2024 VCR ($/MWh)</t>
  </si>
  <si>
    <t>Environmental risk</t>
  </si>
  <si>
    <t>3.4.03</t>
  </si>
  <si>
    <t>Revised proposal 2026-31</t>
  </si>
  <si>
    <t>Energy at risk (kWh)</t>
  </si>
  <si>
    <t xml:space="preserve">Working_risks - E11:AC11, applied at the discount rate. FY27-FY46 captured. </t>
  </si>
  <si>
    <t xml:space="preserve">Working_risks - E12:AC12, applied at the discount rate. FY27-FY46 captured. </t>
  </si>
  <si>
    <t xml:space="preserve">Working_risks - E13:AC13, applied at the discount rate. FY27-FY46 captured. </t>
  </si>
  <si>
    <t xml:space="preserve">Working_risks - E14:AC14, applied at the discount rate. FY27-FY46 captured. </t>
  </si>
  <si>
    <t xml:space="preserve">Working_risks - E15:AC15, applied at the discount rate. FY27-FY46 captured. </t>
  </si>
  <si>
    <t xml:space="preserve">Working_risks - E23:AC23, applied at the discount rate. FY27-FY46 captured. </t>
  </si>
  <si>
    <t xml:space="preserve">Working_risks - E24:AC24, applied at the discount rate. FY27-FY46 captured. </t>
  </si>
  <si>
    <t xml:space="preserve">Working_risks - E25:AC25, applied at the discount rate. FY27-FY46 captured. </t>
  </si>
  <si>
    <t xml:space="preserve">Working_risks - E26:AC26, applied at the discount rate. FY27-FY46 captured. </t>
  </si>
  <si>
    <t xml:space="preserve">Working_risks - E27:AC27, applied at the discount rate. FY27-FY46 captured.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</si>
</sst>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??_);_(@_)"/>
    <numFmt numFmtId="165" formatCode="_-* #,##0_-;* \(#,##0\)_-;_-* &quot;-&quot;??_-;_-@_-"/>
    <numFmt numFmtId="166" formatCode="#,##0_);\(#,##0\);\-\-_)"/>
    <numFmt numFmtId="167" formatCode="#,##0;[Red]\ \-#,##0;\ &quot;-&quot;"/>
    <numFmt numFmtId="168" formatCode="&quot;$&quot;\ mmm\ yyyy"/>
    <numFmt numFmtId="169" formatCode="&quot;$&quot;#,##0.00"/>
    <numFmt numFmtId="170" formatCode="&quot;$&quot;#,##0"/>
    <numFmt numFmtId="171" formatCode="0.000"/>
    <numFmt numFmtId="172" formatCode="mmmm"/>
    <numFmt numFmtId="173" formatCode="#,##0;[Red]\ \(#,##0\);\ &quot;-&quot;"/>
    <numFmt numFmtId="174" formatCode="0.0000"/>
    <numFmt numFmtId="175" formatCode="#,##0.000;[Red]\ \-#,##0.000;\ &quot;-&quot;"/>
    <numFmt numFmtId="176" formatCode="#,##0;[Red]\ \ \-\ #,##0;\ &quot;-&quot;"/>
    <numFmt numFmtId="177" formatCode="#,##0.00;[Red]\ \-#,##0.00;\ &quot;-&quot;"/>
    <numFmt numFmtId="178" formatCode="#,##0.0;[Red]\ \(#,##0.0\);\ &quot;-&quot;"/>
    <numFmt numFmtId="179" formatCode="#,##0.0;[Red]\ \-#,##0.0;\ &quot;-&quot;"/>
    <numFmt numFmtId="180" formatCode="&quot;$&quot;#,##0;\ \-&quot;$&quot;#,##0;\ &quot;-&quot;"/>
    <numFmt numFmtId="181" formatCode="0;\ \-0;\ &quot;&quot;"/>
    <numFmt numFmtId="182" formatCode="#,##0.00000;[Red]\ \-#,##0.00000;\ &quot;-&quot;"/>
    <numFmt numFmtId="183" formatCode="0;\ \-0;\ &quot;-&quot;"/>
    <numFmt numFmtId="184" formatCode="#,##0.000000;\ \-#,##0.000000;\ &quot;-&quot;"/>
    <numFmt numFmtId="185" formatCode="#,##0;\ \-#,##0;\ &quot;-&quot;"/>
    <numFmt numFmtId="186" formatCode="&quot;year &quot;#"/>
    <numFmt numFmtId="187" formatCode="#,##0.0000000;[Red]\ \-#,##0.0000000;\ &quot;-&quot;"/>
    <numFmt numFmtId="188" formatCode="&quot;$&quot;&quot;m&quot;\ mmm\ yyyy"/>
    <numFmt numFmtId="189" formatCode="0.000%"/>
    <numFmt numFmtId="190" formatCode="\+0%;[Red]\ \ \-0%;\ &quot;-&quot;"/>
    <numFmt numFmtId="191" formatCode="#,##0.00_ ;[Red]\-#,##0.00\ "/>
    <numFmt numFmtId="192" formatCode="#,##0.0;[Red]\ \-#,##0.0;\ &quot;&quot;"/>
    <numFmt numFmtId="193" formatCode="0.000000000000000"/>
    <numFmt numFmtId="194" formatCode="0%;[Red]\ \ \-0%;\ &quot;-&quot;"/>
    <numFmt numFmtId="195" formatCode="mmm\ yyyy"/>
    <numFmt numFmtId="196" formatCode="_-&quot;$&quot;* #,##0_-;\-&quot;$&quot;* #,##0_-;_-&quot;$&quot;* &quot;-&quot;??_-;_-@_-"/>
    <numFmt numFmtId="197" formatCode="_-* #,##0.0_-;\-* #,##0.0_-;_-* &quot;-&quot;??_-;_-@_-"/>
    <numFmt numFmtId="198" formatCode="#,##0.000_);\(#,##0.000\);\-\-_)"/>
    <numFmt numFmtId="199" formatCode="?0"/>
    <numFmt numFmtId="200" formatCode="0.0"/>
    <numFmt numFmtId="201" formatCode="_-[$$-C09]* #,##0.00_-;\-[$$-C09]* #,##0.00_-;_-[$$-C09]* &quot;-&quot;??_-;_-@_-"/>
    <numFmt numFmtId="202" formatCode="#,##0_ ;[Red]\-#,##0\ "/>
    <numFmt numFmtId="203" formatCode="d\ mmmm\ yyyy"/>
    <numFmt numFmtId="204" formatCode="0.00%;\ \-0.00%;\ &quot;-&quot;"/>
  </numFmts>
  <fonts count="110" x14ac:knownFonts="1"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0"/>
      <color theme="3"/>
      <name val="Arial"/>
      <family val="2"/>
    </font>
    <font>
      <sz val="11"/>
      <color theme="1"/>
      <name val="Arial"/>
      <family val="2"/>
    </font>
    <font>
      <sz val="10"/>
      <color theme="0" tint="-0.3499862666707357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9" tint="-0.499984740745262"/>
      <name val="Arial"/>
      <family val="2"/>
    </font>
    <font>
      <sz val="10"/>
      <color theme="0"/>
      <name val="Arial"/>
      <family val="2"/>
    </font>
    <font>
      <sz val="10"/>
      <color theme="0" tint="-0.499984740745262"/>
      <name val="Arial"/>
      <family val="2"/>
    </font>
    <font>
      <i/>
      <sz val="10"/>
      <color theme="0" tint="-0.34998626667073579"/>
      <name val="Arial"/>
      <family val="2"/>
    </font>
    <font>
      <b/>
      <sz val="14"/>
      <color indexed="9"/>
      <name val="Arial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sz val="12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4"/>
      <color indexed="9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3333FF"/>
      <name val="Calibri"/>
      <family val="2"/>
      <scheme val="minor"/>
    </font>
    <font>
      <sz val="8"/>
      <color rgb="FF767676"/>
      <name val="Arial"/>
      <family val="2"/>
    </font>
    <font>
      <vertAlign val="subscript"/>
      <sz val="8.5"/>
      <color theme="1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indexed="9"/>
      <name val="Calibri"/>
      <family val="2"/>
    </font>
    <font>
      <sz val="10"/>
      <color rgb="FF0000CC"/>
      <name val="Calibri"/>
      <family val="2"/>
    </font>
    <font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3333FF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i/>
      <sz val="9"/>
      <color theme="1" tint="0.499984740745262"/>
      <name val="Calibri"/>
      <family val="2"/>
      <scheme val="minor"/>
    </font>
    <font>
      <b/>
      <i/>
      <sz val="9"/>
      <color theme="1" tint="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color indexed="9"/>
      <name val="Calibri"/>
      <family val="2"/>
      <scheme val="minor"/>
    </font>
    <font>
      <i/>
      <sz val="10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i/>
      <sz val="10"/>
      <color theme="1" tint="0.499984740745262"/>
      <name val="Calibri"/>
      <family val="2"/>
      <scheme val="minor"/>
    </font>
    <font>
      <i/>
      <sz val="8"/>
      <color theme="1" tint="0.499984740745262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i/>
      <sz val="9"/>
      <name val="Calibri"/>
      <family val="2"/>
      <scheme val="minor"/>
    </font>
    <font>
      <b/>
      <sz val="10"/>
      <color theme="1"/>
      <name val="Verdana"/>
      <family val="2"/>
    </font>
    <font>
      <b/>
      <i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8"/>
      <color theme="1"/>
      <name val="Calibri"/>
      <family val="2"/>
    </font>
    <font>
      <i/>
      <vertAlign val="subscript"/>
      <sz val="7.65"/>
      <color theme="1" tint="0.499984740745262"/>
      <name val="Calibri"/>
      <family val="2"/>
    </font>
    <font>
      <sz val="10"/>
      <color indexed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8"/>
      <color theme="1"/>
      <name val="Verdana"/>
      <family val="2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theme="1"/>
      <name val="Verdana"/>
      <family val="2"/>
    </font>
    <font>
      <b/>
      <sz val="10"/>
      <color theme="5"/>
      <name val="Calibri"/>
      <family val="2"/>
      <scheme val="minor"/>
    </font>
    <font>
      <sz val="8"/>
      <name val="Calibri"/>
      <family val="2"/>
      <scheme val="minor"/>
    </font>
    <font>
      <b/>
      <sz val="8"/>
      <color indexed="9"/>
      <name val="Calibri"/>
      <family val="2"/>
    </font>
    <font>
      <i/>
      <sz val="10"/>
      <color rgb="FF000000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  <font>
      <i/>
      <sz val="10"/>
      <color indexed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name val="Verdana"/>
      <family val="2"/>
    </font>
    <font>
      <sz val="10"/>
      <color theme="1"/>
      <name val="Verdana"/>
      <family val="2"/>
    </font>
    <font>
      <i/>
      <sz val="9"/>
      <color theme="1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sz val="18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  <font>
      <sz val="10"/>
      <color indexed="9"/>
      <name val="Calibri"/>
      <family val="2"/>
    </font>
    <font>
      <sz val="9"/>
      <color rgb="FFFFFFFF"/>
      <name val="Calibri"/>
      <family val="2"/>
      <scheme val="minor"/>
    </font>
    <font>
      <sz val="8"/>
      <name val="Arial"/>
      <family val="2"/>
    </font>
    <font>
      <sz val="10"/>
      <color rgb="FFFF0000"/>
      <name val="Calibri"/>
      <family val="2"/>
    </font>
    <font>
      <b/>
      <sz val="14"/>
      <color theme="1"/>
      <name val="Calibri"/>
      <family val="2"/>
    </font>
    <font>
      <b/>
      <sz val="10"/>
      <color rgb="FFFFFFFF"/>
      <name val="Calibri"/>
      <family val="2"/>
    </font>
    <font>
      <sz val="10"/>
      <name val="Verdana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8"/>
      <color rgb="FFFFFFFF"/>
      <name val="Arial"/>
      <family val="2"/>
    </font>
    <font>
      <sz val="8"/>
      <color rgb="FF000000"/>
      <name val="Arial"/>
      <family val="2"/>
    </font>
    <font>
      <b/>
      <sz val="8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b/>
      <sz val="9"/>
      <color rgb="FFFFFFFF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i/>
      <sz val="10"/>
      <color rgb="FFFFFFFF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34998626667073579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3366"/>
        <bgColor indexed="64"/>
      </patternFill>
    </fill>
    <fill>
      <patternFill patternType="solid">
        <fgColor rgb="FF0054A8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215B"/>
        <bgColor indexed="64"/>
      </patternFill>
    </fill>
    <fill>
      <patternFill patternType="solid">
        <fgColor indexed="49"/>
      </patternFill>
    </fill>
    <fill>
      <patternFill patternType="solid">
        <fgColor rgb="FFCC3300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00215B"/>
        <bgColor rgb="FF000000"/>
      </patternFill>
    </fill>
    <fill>
      <patternFill patternType="solid">
        <fgColor rgb="FFFCCDDF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F49357"/>
        <bgColor rgb="FF000000"/>
      </patternFill>
    </fill>
    <fill>
      <patternFill patternType="solid">
        <fgColor rgb="FFD5E4FF"/>
        <bgColor rgb="FF000000"/>
      </patternFill>
    </fill>
    <fill>
      <patternFill patternType="solid">
        <fgColor rgb="FF95BDFF"/>
        <bgColor rgb="FF000000"/>
      </patternFill>
    </fill>
    <fill>
      <patternFill patternType="solid">
        <fgColor theme="6"/>
        <bgColor indexed="64"/>
      </patternFill>
    </fill>
    <fill>
      <patternFill patternType="solid">
        <fgColor theme="4" tint="0.89999084444715716"/>
        <bgColor indexed="64"/>
      </patternFill>
    </fill>
    <fill>
      <patternFill patternType="solid">
        <fgColor theme="4" tint="0.74999237037263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BDDEB"/>
        <bgColor indexed="64"/>
      </patternFill>
    </fill>
    <fill>
      <patternFill patternType="solid">
        <fgColor rgb="FFF2F2F2"/>
        <bgColor indexed="64"/>
      </patternFill>
    </fill>
  </fills>
  <borders count="34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ck">
        <color theme="0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theme="3"/>
      </right>
      <top style="thin">
        <color indexed="64"/>
      </top>
      <bottom style="thin">
        <color theme="3"/>
      </bottom>
      <diagonal/>
    </border>
    <border>
      <left style="thin">
        <color theme="3"/>
      </left>
      <right/>
      <top style="thin">
        <color indexed="64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3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3"/>
      </top>
      <bottom style="thin">
        <color indexed="64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3"/>
      </top>
      <bottom style="thin">
        <color indexed="64"/>
      </bottom>
      <diagonal/>
    </border>
  </borders>
  <cellStyleXfs count="40">
    <xf numFmtId="0" fontId="0" fillId="0" borderId="0"/>
    <xf numFmtId="0" fontId="6" fillId="0" borderId="0"/>
    <xf numFmtId="0" fontId="2" fillId="2" borderId="1" applyNumberFormat="0" applyAlignment="0">
      <alignment horizontal="right"/>
      <protection locked="0"/>
    </xf>
    <xf numFmtId="164" fontId="3" fillId="0" borderId="0" applyFont="0" applyFill="0" applyBorder="0" applyAlignment="0" applyProtection="0"/>
    <xf numFmtId="165" fontId="4" fillId="3" borderId="2" applyAlignment="0"/>
    <xf numFmtId="0" fontId="14" fillId="0" borderId="0" applyNumberFormat="0"/>
    <xf numFmtId="0" fontId="5" fillId="0" borderId="3" applyNumberFormat="0" applyAlignment="0"/>
    <xf numFmtId="0" fontId="3" fillId="0" borderId="4" applyNumberFormat="0" applyFont="0" applyFill="0" applyAlignment="0"/>
    <xf numFmtId="0" fontId="5" fillId="0" borderId="0"/>
    <xf numFmtId="0" fontId="6" fillId="1" borderId="0"/>
    <xf numFmtId="0" fontId="7" fillId="4" borderId="5" applyNumberFormat="0" applyAlignment="0"/>
    <xf numFmtId="0" fontId="8" fillId="5" borderId="3" applyNumberFormat="0">
      <alignment horizontal="centerContinuous" vertical="center" wrapText="1"/>
    </xf>
    <xf numFmtId="0" fontId="9" fillId="4" borderId="6" applyNumberFormat="0" applyAlignment="0"/>
    <xf numFmtId="0" fontId="10" fillId="0" borderId="0" applyNumberFormat="0"/>
    <xf numFmtId="0" fontId="12" fillId="7" borderId="0"/>
    <xf numFmtId="0" fontId="13" fillId="0" borderId="0"/>
    <xf numFmtId="166" fontId="11" fillId="6" borderId="0"/>
    <xf numFmtId="166" fontId="15" fillId="6" borderId="0"/>
    <xf numFmtId="0" fontId="16" fillId="0" borderId="0"/>
    <xf numFmtId="9" fontId="19" fillId="0" borderId="0" applyFont="0" applyFill="0" applyBorder="0" applyAlignment="0" applyProtection="0"/>
    <xf numFmtId="0" fontId="19" fillId="0" borderId="0"/>
    <xf numFmtId="0" fontId="29" fillId="9" borderId="0" applyNumberFormat="0">
      <alignment horizontal="center"/>
    </xf>
    <xf numFmtId="170" fontId="22" fillId="0" borderId="8" applyNumberFormat="0" applyProtection="0">
      <alignment horizontal="right"/>
    </xf>
    <xf numFmtId="10" fontId="28" fillId="2" borderId="0" applyNumberFormat="0" applyAlignment="0" applyProtection="0"/>
    <xf numFmtId="10" fontId="48" fillId="12" borderId="0" applyNumberFormat="0" applyBorder="0" applyAlignment="0" applyProtection="0"/>
    <xf numFmtId="0" fontId="5" fillId="0" borderId="0"/>
    <xf numFmtId="0" fontId="79" fillId="0" borderId="0"/>
    <xf numFmtId="9" fontId="79" fillId="0" borderId="0" applyFont="0" applyFill="0" applyBorder="0" applyAlignment="0" applyProtection="0"/>
    <xf numFmtId="0" fontId="19" fillId="0" borderId="0"/>
    <xf numFmtId="4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" fontId="94" fillId="17" borderId="16" applyNumberFormat="0" applyProtection="0">
      <alignment horizontal="left" vertical="center" indent="1"/>
    </xf>
    <xf numFmtId="4" fontId="94" fillId="17" borderId="16" applyNumberFormat="0" applyProtection="0">
      <alignment horizontal="left" vertical="center" indent="1"/>
    </xf>
    <xf numFmtId="4" fontId="94" fillId="0" borderId="16" applyNumberFormat="0" applyProtection="0">
      <alignment horizontal="right" vertical="center"/>
    </xf>
    <xf numFmtId="44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16" fillId="0" borderId="0" applyNumberFormat="0" applyFill="0" applyBorder="0" applyProtection="0"/>
    <xf numFmtId="0" fontId="106" fillId="34" borderId="19" applyNumberFormat="0" applyProtection="0"/>
    <xf numFmtId="201" fontId="1" fillId="0" borderId="0" applyFont="0" applyFill="0" applyBorder="0" applyAlignment="0" applyProtection="0"/>
    <xf numFmtId="0" fontId="61" fillId="35" borderId="20" applyNumberFormat="0" applyProtection="0"/>
  </cellStyleXfs>
  <cellXfs count="431">
    <xf numFmtId="0" fontId="0" fillId="0" borderId="0" xfId="0"/>
    <xf numFmtId="0" fontId="16" fillId="0" borderId="0" xfId="18"/>
    <xf numFmtId="0" fontId="16" fillId="0" borderId="0" xfId="18" applyAlignment="1">
      <alignment horizontal="right"/>
    </xf>
    <xf numFmtId="0" fontId="18" fillId="0" borderId="0" xfId="18" applyFont="1"/>
    <xf numFmtId="0" fontId="17" fillId="0" borderId="0" xfId="18" applyFont="1" applyAlignment="1">
      <alignment vertical="center"/>
    </xf>
    <xf numFmtId="0" fontId="21" fillId="0" borderId="0" xfId="18" applyFont="1"/>
    <xf numFmtId="0" fontId="16" fillId="0" borderId="0" xfId="0" applyFont="1"/>
    <xf numFmtId="0" fontId="23" fillId="0" borderId="0" xfId="8" applyFont="1"/>
    <xf numFmtId="0" fontId="24" fillId="0" borderId="0" xfId="0" applyFont="1"/>
    <xf numFmtId="166" fontId="26" fillId="8" borderId="0" xfId="16" applyFont="1" applyFill="1"/>
    <xf numFmtId="0" fontId="16" fillId="0" borderId="0" xfId="18" applyAlignment="1">
      <alignment horizontal="left"/>
    </xf>
    <xf numFmtId="0" fontId="28" fillId="2" borderId="0" xfId="0" applyFont="1" applyFill="1"/>
    <xf numFmtId="0" fontId="18" fillId="0" borderId="0" xfId="0" applyFont="1"/>
    <xf numFmtId="166" fontId="26" fillId="10" borderId="0" xfId="16" applyFont="1" applyFill="1"/>
    <xf numFmtId="0" fontId="20" fillId="11" borderId="0" xfId="18" applyFont="1" applyFill="1" applyAlignment="1">
      <alignment vertical="center"/>
    </xf>
    <xf numFmtId="0" fontId="20" fillId="11" borderId="0" xfId="18" applyFont="1" applyFill="1" applyAlignment="1">
      <alignment horizontal="right" vertical="center"/>
    </xf>
    <xf numFmtId="0" fontId="25" fillId="11" borderId="0" xfId="18" applyFont="1" applyFill="1" applyAlignment="1">
      <alignment vertical="center"/>
    </xf>
    <xf numFmtId="166" fontId="32" fillId="10" borderId="0" xfId="16" applyFont="1" applyFill="1"/>
    <xf numFmtId="166" fontId="33" fillId="10" borderId="0" xfId="16" applyFont="1" applyFill="1" applyAlignment="1">
      <alignment horizontal="right"/>
    </xf>
    <xf numFmtId="0" fontId="16" fillId="0" borderId="0" xfId="0" applyFont="1" applyAlignment="1">
      <alignment horizontal="left"/>
    </xf>
    <xf numFmtId="0" fontId="22" fillId="0" borderId="0" xfId="18" applyFont="1"/>
    <xf numFmtId="0" fontId="16" fillId="2" borderId="0" xfId="0" applyFont="1" applyFill="1"/>
    <xf numFmtId="172" fontId="16" fillId="0" borderId="0" xfId="0" applyNumberFormat="1" applyFont="1"/>
    <xf numFmtId="172" fontId="16" fillId="2" borderId="0" xfId="0" applyNumberFormat="1" applyFont="1" applyFill="1" applyAlignment="1">
      <alignment horizontal="left"/>
    </xf>
    <xf numFmtId="0" fontId="18" fillId="0" borderId="0" xfId="18" applyFont="1" applyAlignment="1">
      <alignment horizontal="left"/>
    </xf>
    <xf numFmtId="0" fontId="16" fillId="2" borderId="0" xfId="0" quotePrefix="1" applyFont="1" applyFill="1"/>
    <xf numFmtId="0" fontId="18" fillId="0" borderId="7" xfId="18" applyFont="1" applyBorder="1" applyAlignment="1">
      <alignment horizontal="left"/>
    </xf>
    <xf numFmtId="0" fontId="18" fillId="0" borderId="7" xfId="18" applyFont="1" applyBorder="1"/>
    <xf numFmtId="167" fontId="17" fillId="0" borderId="0" xfId="18" applyNumberFormat="1" applyFont="1" applyAlignment="1">
      <alignment horizontal="right" vertical="center"/>
    </xf>
    <xf numFmtId="167" fontId="28" fillId="2" borderId="8" xfId="18" applyNumberFormat="1" applyFont="1" applyFill="1" applyBorder="1" applyAlignment="1">
      <alignment horizontal="right" vertical="center"/>
    </xf>
    <xf numFmtId="0" fontId="35" fillId="0" borderId="0" xfId="8" applyFont="1"/>
    <xf numFmtId="0" fontId="36" fillId="0" borderId="0" xfId="18" applyFont="1"/>
    <xf numFmtId="0" fontId="16" fillId="13" borderId="4" xfId="18" applyFill="1" applyBorder="1" applyAlignment="1">
      <alignment horizontal="left"/>
    </xf>
    <xf numFmtId="1" fontId="28" fillId="2" borderId="0" xfId="18" quotePrefix="1" applyNumberFormat="1" applyFont="1" applyFill="1" applyAlignment="1">
      <alignment horizontal="center"/>
    </xf>
    <xf numFmtId="166" fontId="39" fillId="0" borderId="0" xfId="18" applyNumberFormat="1" applyFont="1" applyAlignment="1">
      <alignment horizontal="left"/>
    </xf>
    <xf numFmtId="10" fontId="28" fillId="2" borderId="0" xfId="23" applyNumberFormat="1"/>
    <xf numFmtId="171" fontId="34" fillId="2" borderId="0" xfId="18" applyNumberFormat="1" applyFont="1" applyFill="1" applyAlignment="1">
      <alignment horizontal="right"/>
    </xf>
    <xf numFmtId="14" fontId="16" fillId="0" borderId="0" xfId="0" applyNumberFormat="1" applyFont="1"/>
    <xf numFmtId="1" fontId="16" fillId="2" borderId="0" xfId="0" applyNumberFormat="1" applyFont="1" applyFill="1" applyAlignment="1">
      <alignment horizontal="left"/>
    </xf>
    <xf numFmtId="14" fontId="18" fillId="0" borderId="7" xfId="18" applyNumberFormat="1" applyFont="1" applyBorder="1"/>
    <xf numFmtId="0" fontId="41" fillId="0" borderId="7" xfId="18" quotePrefix="1" applyFont="1" applyBorder="1" applyAlignment="1">
      <alignment horizontal="left"/>
    </xf>
    <xf numFmtId="14" fontId="38" fillId="2" borderId="7" xfId="23" applyNumberFormat="1" applyFont="1" applyBorder="1"/>
    <xf numFmtId="166" fontId="26" fillId="10" borderId="0" xfId="16" applyFont="1" applyFill="1" applyAlignment="1">
      <alignment horizontal="left"/>
    </xf>
    <xf numFmtId="0" fontId="0" fillId="0" borderId="0" xfId="0" applyAlignment="1">
      <alignment horizontal="left"/>
    </xf>
    <xf numFmtId="168" fontId="31" fillId="0" borderId="7" xfId="18" applyNumberFormat="1" applyFont="1" applyBorder="1" applyAlignment="1">
      <alignment horizontal="left" vertical="center"/>
    </xf>
    <xf numFmtId="0" fontId="22" fillId="0" borderId="0" xfId="18" applyFont="1" applyAlignment="1">
      <alignment horizontal="left"/>
    </xf>
    <xf numFmtId="167" fontId="31" fillId="0" borderId="4" xfId="18" applyNumberFormat="1" applyFont="1" applyBorder="1" applyAlignment="1">
      <alignment horizontal="right" vertical="center"/>
    </xf>
    <xf numFmtId="0" fontId="18" fillId="0" borderId="7" xfId="0" applyFont="1" applyBorder="1"/>
    <xf numFmtId="168" fontId="42" fillId="10" borderId="0" xfId="18" applyNumberFormat="1" applyFont="1" applyFill="1" applyAlignment="1">
      <alignment horizontal="center" vertical="center"/>
    </xf>
    <xf numFmtId="0" fontId="18" fillId="0" borderId="7" xfId="0" applyFont="1" applyBorder="1" applyAlignment="1">
      <alignment horizontal="right"/>
    </xf>
    <xf numFmtId="166" fontId="43" fillId="10" borderId="0" xfId="16" applyFont="1" applyFill="1"/>
    <xf numFmtId="0" fontId="28" fillId="2" borderId="0" xfId="18" applyFont="1" applyFill="1" applyAlignment="1">
      <alignment horizontal="left"/>
    </xf>
    <xf numFmtId="167" fontId="17" fillId="0" borderId="0" xfId="18" applyNumberFormat="1" applyFont="1" applyAlignment="1">
      <alignment horizontal="left" vertical="center"/>
    </xf>
    <xf numFmtId="0" fontId="16" fillId="0" borderId="7" xfId="0" applyFont="1" applyBorder="1"/>
    <xf numFmtId="172" fontId="28" fillId="2" borderId="9" xfId="18" quotePrefix="1" applyNumberFormat="1" applyFont="1" applyFill="1" applyBorder="1" applyAlignment="1">
      <alignment horizontal="left"/>
    </xf>
    <xf numFmtId="0" fontId="17" fillId="0" borderId="0" xfId="18" applyFont="1" applyAlignment="1">
      <alignment horizontal="left" vertical="top"/>
    </xf>
    <xf numFmtId="168" fontId="16" fillId="0" borderId="0" xfId="18" applyNumberFormat="1" applyAlignment="1">
      <alignment horizontal="left"/>
    </xf>
    <xf numFmtId="172" fontId="16" fillId="2" borderId="0" xfId="0" quotePrefix="1" applyNumberFormat="1" applyFont="1" applyFill="1" applyAlignment="1">
      <alignment horizontal="left"/>
    </xf>
    <xf numFmtId="0" fontId="46" fillId="0" borderId="0" xfId="0" applyFont="1" applyAlignment="1">
      <alignment horizontal="right"/>
    </xf>
    <xf numFmtId="0" fontId="44" fillId="0" borderId="0" xfId="0" applyFont="1" applyAlignment="1">
      <alignment horizontal="left" indent="1"/>
    </xf>
    <xf numFmtId="168" fontId="22" fillId="0" borderId="8" xfId="22" applyNumberFormat="1">
      <alignment horizontal="right"/>
    </xf>
    <xf numFmtId="0" fontId="47" fillId="0" borderId="0" xfId="18" quotePrefix="1" applyFont="1" applyAlignment="1">
      <alignment horizontal="left"/>
    </xf>
    <xf numFmtId="168" fontId="45" fillId="0" borderId="0" xfId="23" applyNumberFormat="1" applyFont="1" applyFill="1" applyAlignment="1">
      <alignment horizontal="right"/>
    </xf>
    <xf numFmtId="0" fontId="18" fillId="0" borderId="7" xfId="18" applyFont="1" applyBorder="1" applyAlignment="1">
      <alignment horizontal="right"/>
    </xf>
    <xf numFmtId="0" fontId="45" fillId="0" borderId="0" xfId="18" applyFont="1" applyAlignment="1">
      <alignment horizontal="left" indent="1"/>
    </xf>
    <xf numFmtId="0" fontId="16" fillId="0" borderId="0" xfId="18" applyAlignment="1">
      <alignment horizontal="left" vertical="top" wrapText="1"/>
    </xf>
    <xf numFmtId="0" fontId="18" fillId="0" borderId="7" xfId="18" applyFont="1" applyBorder="1" applyAlignment="1">
      <alignment horizontal="left" vertical="top"/>
    </xf>
    <xf numFmtId="0" fontId="16" fillId="0" borderId="7" xfId="18" applyBorder="1" applyAlignment="1">
      <alignment horizontal="left" vertical="top"/>
    </xf>
    <xf numFmtId="14" fontId="16" fillId="0" borderId="0" xfId="18" applyNumberFormat="1"/>
    <xf numFmtId="14" fontId="16" fillId="0" borderId="7" xfId="18" applyNumberFormat="1" applyBorder="1"/>
    <xf numFmtId="14" fontId="28" fillId="2" borderId="0" xfId="18" applyNumberFormat="1" applyFont="1" applyFill="1"/>
    <xf numFmtId="10" fontId="35" fillId="0" borderId="0" xfId="23" applyNumberFormat="1" applyFont="1" applyFill="1"/>
    <xf numFmtId="0" fontId="27" fillId="0" borderId="0" xfId="0" applyFont="1"/>
    <xf numFmtId="166" fontId="32" fillId="10" borderId="0" xfId="16" applyFont="1" applyFill="1" applyAlignment="1">
      <alignment horizontal="center"/>
    </xf>
    <xf numFmtId="0" fontId="24" fillId="0" borderId="0" xfId="0" applyFont="1" applyAlignment="1">
      <alignment horizontal="center"/>
    </xf>
    <xf numFmtId="176" fontId="17" fillId="0" borderId="0" xfId="18" applyNumberFormat="1" applyFont="1" applyAlignment="1">
      <alignment horizontal="right" vertical="center"/>
    </xf>
    <xf numFmtId="49" fontId="16" fillId="2" borderId="0" xfId="0" applyNumberFormat="1" applyFont="1" applyFill="1" applyAlignment="1">
      <alignment horizontal="left"/>
    </xf>
    <xf numFmtId="0" fontId="51" fillId="0" borderId="7" xfId="18" applyFont="1" applyBorder="1"/>
    <xf numFmtId="0" fontId="52" fillId="0" borderId="7" xfId="18" applyFont="1" applyBorder="1" applyAlignment="1">
      <alignment vertical="center"/>
    </xf>
    <xf numFmtId="0" fontId="37" fillId="0" borderId="7" xfId="18" applyFont="1" applyBorder="1" applyAlignment="1">
      <alignment vertical="center"/>
    </xf>
    <xf numFmtId="173" fontId="16" fillId="0" borderId="0" xfId="18" applyNumberFormat="1"/>
    <xf numFmtId="0" fontId="22" fillId="13" borderId="8" xfId="22" applyNumberFormat="1" applyFill="1" applyAlignment="1">
      <alignment horizontal="left"/>
    </xf>
    <xf numFmtId="0" fontId="53" fillId="0" borderId="0" xfId="18" applyFont="1"/>
    <xf numFmtId="167" fontId="35" fillId="2" borderId="0" xfId="18" applyNumberFormat="1" applyFont="1" applyFill="1" applyAlignment="1">
      <alignment horizontal="right" vertical="center"/>
    </xf>
    <xf numFmtId="173" fontId="17" fillId="0" borderId="0" xfId="18" applyNumberFormat="1" applyFont="1" applyAlignment="1">
      <alignment horizontal="right" vertical="center"/>
    </xf>
    <xf numFmtId="0" fontId="40" fillId="0" borderId="0" xfId="8" applyFont="1"/>
    <xf numFmtId="175" fontId="46" fillId="0" borderId="0" xfId="18" applyNumberFormat="1" applyFont="1" applyAlignment="1">
      <alignment horizontal="right" vertical="center"/>
    </xf>
    <xf numFmtId="0" fontId="40" fillId="0" borderId="0" xfId="8" applyFont="1" applyAlignment="1">
      <alignment horizontal="center"/>
    </xf>
    <xf numFmtId="0" fontId="46" fillId="0" borderId="0" xfId="18" applyFont="1" applyAlignment="1">
      <alignment horizontal="right"/>
    </xf>
    <xf numFmtId="49" fontId="16" fillId="0" borderId="0" xfId="0" applyNumberFormat="1" applyFont="1"/>
    <xf numFmtId="178" fontId="16" fillId="0" borderId="0" xfId="18" applyNumberFormat="1" applyAlignment="1">
      <alignment vertical="top" wrapText="1"/>
    </xf>
    <xf numFmtId="178" fontId="17" fillId="13" borderId="0" xfId="18" applyNumberFormat="1" applyFont="1" applyFill="1" applyAlignment="1">
      <alignment horizontal="right" vertical="center"/>
    </xf>
    <xf numFmtId="179" fontId="17" fillId="0" borderId="0" xfId="18" applyNumberFormat="1" applyFont="1" applyAlignment="1">
      <alignment horizontal="right" vertical="center"/>
    </xf>
    <xf numFmtId="176" fontId="31" fillId="0" borderId="0" xfId="18" applyNumberFormat="1" applyFont="1" applyAlignment="1">
      <alignment horizontal="right" vertical="center"/>
    </xf>
    <xf numFmtId="0" fontId="50" fillId="0" borderId="0" xfId="0" applyFont="1"/>
    <xf numFmtId="167" fontId="31" fillId="0" borderId="0" xfId="18" applyNumberFormat="1" applyFont="1" applyAlignment="1">
      <alignment horizontal="right" vertical="center"/>
    </xf>
    <xf numFmtId="166" fontId="39" fillId="0" borderId="4" xfId="18" applyNumberFormat="1" applyFont="1" applyBorder="1" applyAlignment="1">
      <alignment horizontal="left"/>
    </xf>
    <xf numFmtId="0" fontId="16" fillId="0" borderId="4" xfId="18" applyBorder="1"/>
    <xf numFmtId="0" fontId="52" fillId="0" borderId="0" xfId="18" applyFont="1" applyAlignment="1">
      <alignment vertical="center"/>
    </xf>
    <xf numFmtId="169" fontId="22" fillId="0" borderId="8" xfId="22" applyNumberFormat="1">
      <alignment horizontal="right"/>
    </xf>
    <xf numFmtId="170" fontId="22" fillId="0" borderId="8" xfId="22" applyNumberFormat="1">
      <alignment horizontal="right"/>
    </xf>
    <xf numFmtId="0" fontId="49" fillId="0" borderId="0" xfId="8" applyFont="1"/>
    <xf numFmtId="0" fontId="37" fillId="0" borderId="7" xfId="18" applyFont="1" applyBorder="1" applyAlignment="1">
      <alignment horizontal="right" vertical="center"/>
    </xf>
    <xf numFmtId="0" fontId="23" fillId="0" borderId="0" xfId="8" applyFont="1" applyAlignment="1">
      <alignment horizontal="left"/>
    </xf>
    <xf numFmtId="0" fontId="18" fillId="0" borderId="4" xfId="0" applyFont="1" applyBorder="1" applyAlignment="1">
      <alignment horizontal="left"/>
    </xf>
    <xf numFmtId="0" fontId="56" fillId="0" borderId="0" xfId="18" applyFont="1"/>
    <xf numFmtId="0" fontId="16" fillId="0" borderId="0" xfId="20" applyFont="1"/>
    <xf numFmtId="0" fontId="16" fillId="0" borderId="0" xfId="20" applyFont="1" applyAlignment="1">
      <alignment horizontal="center"/>
    </xf>
    <xf numFmtId="0" fontId="19" fillId="0" borderId="0" xfId="20"/>
    <xf numFmtId="0" fontId="16" fillId="2" borderId="0" xfId="20" applyFont="1" applyFill="1"/>
    <xf numFmtId="180" fontId="22" fillId="0" borderId="8" xfId="22" applyNumberFormat="1">
      <alignment horizontal="right"/>
    </xf>
    <xf numFmtId="167" fontId="16" fillId="0" borderId="0" xfId="18" applyNumberFormat="1" applyAlignment="1">
      <alignment horizontal="right" vertical="center"/>
    </xf>
    <xf numFmtId="167" fontId="16" fillId="14" borderId="0" xfId="18" applyNumberFormat="1" applyFill="1" applyAlignment="1">
      <alignment horizontal="right" vertical="center"/>
    </xf>
    <xf numFmtId="0" fontId="58" fillId="0" borderId="0" xfId="18" applyFont="1" applyAlignment="1">
      <alignment horizontal="left" indent="1"/>
    </xf>
    <xf numFmtId="49" fontId="16" fillId="0" borderId="0" xfId="18" applyNumberFormat="1"/>
    <xf numFmtId="182" fontId="28" fillId="2" borderId="8" xfId="18" applyNumberFormat="1" applyFont="1" applyFill="1" applyBorder="1" applyAlignment="1">
      <alignment horizontal="right" vertical="center"/>
    </xf>
    <xf numFmtId="176" fontId="16" fillId="0" borderId="0" xfId="18" applyNumberFormat="1"/>
    <xf numFmtId="2" fontId="16" fillId="0" borderId="0" xfId="18" applyNumberFormat="1"/>
    <xf numFmtId="178" fontId="31" fillId="0" borderId="0" xfId="18" applyNumberFormat="1" applyFont="1" applyAlignment="1">
      <alignment horizontal="right" vertical="center"/>
    </xf>
    <xf numFmtId="178" fontId="59" fillId="0" borderId="0" xfId="18" applyNumberFormat="1" applyFont="1" applyAlignment="1">
      <alignment horizontal="right" vertical="center"/>
    </xf>
    <xf numFmtId="0" fontId="25" fillId="11" borderId="0" xfId="18" applyFont="1" applyFill="1" applyAlignment="1">
      <alignment horizontal="right" vertical="center"/>
    </xf>
    <xf numFmtId="167" fontId="17" fillId="0" borderId="4" xfId="18" applyNumberFormat="1" applyFont="1" applyBorder="1" applyAlignment="1">
      <alignment horizontal="right" vertical="center"/>
    </xf>
    <xf numFmtId="0" fontId="16" fillId="0" borderId="4" xfId="0" applyFont="1" applyBorder="1" applyAlignment="1">
      <alignment horizontal="left"/>
    </xf>
    <xf numFmtId="0" fontId="16" fillId="2" borderId="0" xfId="18" applyFill="1"/>
    <xf numFmtId="14" fontId="60" fillId="0" borderId="0" xfId="0" applyNumberFormat="1" applyFont="1"/>
    <xf numFmtId="0" fontId="59" fillId="0" borderId="0" xfId="18" applyFont="1" applyAlignment="1">
      <alignment vertical="center"/>
    </xf>
    <xf numFmtId="167" fontId="28" fillId="2" borderId="0" xfId="18" applyNumberFormat="1" applyFont="1" applyFill="1" applyAlignment="1">
      <alignment horizontal="right" vertical="center"/>
    </xf>
    <xf numFmtId="167" fontId="0" fillId="0" borderId="0" xfId="0" applyNumberFormat="1"/>
    <xf numFmtId="167" fontId="24" fillId="0" borderId="0" xfId="0" applyNumberFormat="1" applyFont="1"/>
    <xf numFmtId="0" fontId="46" fillId="2" borderId="0" xfId="18" applyFont="1" applyFill="1" applyAlignment="1">
      <alignment horizontal="right"/>
    </xf>
    <xf numFmtId="0" fontId="18" fillId="0" borderId="0" xfId="18" applyFont="1" applyAlignment="1">
      <alignment horizontal="center"/>
    </xf>
    <xf numFmtId="167" fontId="35" fillId="2" borderId="0" xfId="18" applyNumberFormat="1" applyFont="1" applyFill="1" applyAlignment="1">
      <alignment horizontal="left" vertical="center"/>
    </xf>
    <xf numFmtId="170" fontId="28" fillId="2" borderId="0" xfId="23" applyNumberFormat="1" applyAlignment="1">
      <alignment horizontal="right"/>
    </xf>
    <xf numFmtId="183" fontId="48" fillId="2" borderId="0" xfId="24" applyNumberFormat="1" applyFill="1" applyAlignment="1">
      <alignment horizontal="right"/>
    </xf>
    <xf numFmtId="0" fontId="18" fillId="0" borderId="7" xfId="0" applyFont="1" applyBorder="1" applyAlignment="1">
      <alignment horizontal="left"/>
    </xf>
    <xf numFmtId="0" fontId="18" fillId="0" borderId="7" xfId="0" applyFont="1" applyBorder="1" applyAlignment="1">
      <alignment horizontal="center"/>
    </xf>
    <xf numFmtId="9" fontId="28" fillId="2" borderId="0" xfId="23" applyNumberFormat="1" applyAlignment="1">
      <alignment horizontal="right"/>
    </xf>
    <xf numFmtId="175" fontId="46" fillId="0" borderId="0" xfId="18" applyNumberFormat="1" applyFont="1" applyAlignment="1">
      <alignment horizontal="left" vertical="center"/>
    </xf>
    <xf numFmtId="0" fontId="18" fillId="0" borderId="0" xfId="0" applyFont="1" applyAlignment="1">
      <alignment horizontal="center"/>
    </xf>
    <xf numFmtId="184" fontId="28" fillId="2" borderId="8" xfId="23" applyNumberFormat="1" applyBorder="1" applyAlignment="1">
      <alignment horizontal="right"/>
    </xf>
    <xf numFmtId="184" fontId="28" fillId="2" borderId="10" xfId="23" applyNumberFormat="1" applyBorder="1" applyAlignment="1">
      <alignment horizontal="right"/>
    </xf>
    <xf numFmtId="185" fontId="28" fillId="2" borderId="10" xfId="23" applyNumberFormat="1" applyBorder="1" applyAlignment="1">
      <alignment horizontal="center"/>
    </xf>
    <xf numFmtId="169" fontId="16" fillId="0" borderId="0" xfId="0" applyNumberFormat="1" applyFont="1"/>
    <xf numFmtId="0" fontId="35" fillId="0" borderId="0" xfId="18" applyFont="1"/>
    <xf numFmtId="179" fontId="28" fillId="2" borderId="8" xfId="18" applyNumberFormat="1" applyFont="1" applyFill="1" applyBorder="1" applyAlignment="1">
      <alignment horizontal="right" vertical="center"/>
    </xf>
    <xf numFmtId="187" fontId="28" fillId="2" borderId="8" xfId="18" applyNumberFormat="1" applyFont="1" applyFill="1" applyBorder="1" applyAlignment="1">
      <alignment horizontal="right" vertical="center"/>
    </xf>
    <xf numFmtId="179" fontId="31" fillId="0" borderId="0" xfId="18" applyNumberFormat="1" applyFont="1" applyAlignment="1">
      <alignment horizontal="right" vertical="center"/>
    </xf>
    <xf numFmtId="0" fontId="16" fillId="0" borderId="7" xfId="18" applyBorder="1"/>
    <xf numFmtId="0" fontId="17" fillId="0" borderId="11" xfId="18" applyFont="1" applyBorder="1" applyAlignment="1">
      <alignment vertical="center"/>
    </xf>
    <xf numFmtId="0" fontId="16" fillId="0" borderId="11" xfId="18" applyBorder="1"/>
    <xf numFmtId="173" fontId="17" fillId="0" borderId="11" xfId="18" applyNumberFormat="1" applyFont="1" applyBorder="1" applyAlignment="1">
      <alignment horizontal="right" vertical="center"/>
    </xf>
    <xf numFmtId="167" fontId="17" fillId="0" borderId="11" xfId="18" applyNumberFormat="1" applyFont="1" applyBorder="1" applyAlignment="1">
      <alignment horizontal="right" vertical="center"/>
    </xf>
    <xf numFmtId="0" fontId="56" fillId="0" borderId="11" xfId="0" applyFont="1" applyBorder="1"/>
    <xf numFmtId="166" fontId="39" fillId="0" borderId="11" xfId="18" applyNumberFormat="1" applyFont="1" applyBorder="1" applyAlignment="1">
      <alignment horizontal="left"/>
    </xf>
    <xf numFmtId="167" fontId="31" fillId="0" borderId="11" xfId="18" applyNumberFormat="1" applyFont="1" applyBorder="1" applyAlignment="1">
      <alignment horizontal="right" vertical="center"/>
    </xf>
    <xf numFmtId="0" fontId="16" fillId="0" borderId="11" xfId="0" applyFont="1" applyBorder="1"/>
    <xf numFmtId="0" fontId="25" fillId="15" borderId="0" xfId="18" applyFont="1" applyFill="1" applyAlignment="1">
      <alignment vertical="center"/>
    </xf>
    <xf numFmtId="0" fontId="25" fillId="15" borderId="0" xfId="18" applyFont="1" applyFill="1" applyAlignment="1">
      <alignment horizontal="right" vertical="center"/>
    </xf>
    <xf numFmtId="0" fontId="20" fillId="15" borderId="0" xfId="18" applyFont="1" applyFill="1" applyAlignment="1">
      <alignment horizontal="right" vertical="center"/>
    </xf>
    <xf numFmtId="188" fontId="16" fillId="0" borderId="7" xfId="18" applyNumberFormat="1" applyBorder="1" applyAlignment="1">
      <alignment horizontal="center"/>
    </xf>
    <xf numFmtId="188" fontId="16" fillId="0" borderId="7" xfId="18" applyNumberFormat="1" applyBorder="1" applyAlignment="1">
      <alignment horizontal="left"/>
    </xf>
    <xf numFmtId="179" fontId="16" fillId="0" borderId="0" xfId="0" applyNumberFormat="1" applyFont="1"/>
    <xf numFmtId="186" fontId="16" fillId="0" borderId="0" xfId="18" applyNumberFormat="1" applyAlignment="1">
      <alignment horizontal="left"/>
    </xf>
    <xf numFmtId="171" fontId="40" fillId="0" borderId="0" xfId="8" applyNumberFormat="1" applyFont="1"/>
    <xf numFmtId="1" fontId="40" fillId="0" borderId="0" xfId="8" applyNumberFormat="1" applyFont="1"/>
    <xf numFmtId="167" fontId="23" fillId="0" borderId="0" xfId="8" applyNumberFormat="1" applyFont="1"/>
    <xf numFmtId="167" fontId="23" fillId="0" borderId="0" xfId="8" applyNumberFormat="1" applyFont="1" applyAlignment="1">
      <alignment horizontal="right"/>
    </xf>
    <xf numFmtId="0" fontId="23" fillId="0" borderId="7" xfId="8" applyFont="1" applyBorder="1" applyAlignment="1">
      <alignment horizontal="left"/>
    </xf>
    <xf numFmtId="0" fontId="24" fillId="0" borderId="7" xfId="0" applyFont="1" applyBorder="1" applyAlignment="1">
      <alignment horizontal="center"/>
    </xf>
    <xf numFmtId="0" fontId="24" fillId="0" borderId="7" xfId="0" applyFont="1" applyBorder="1"/>
    <xf numFmtId="0" fontId="61" fillId="0" borderId="12" xfId="0" applyFont="1" applyBorder="1"/>
    <xf numFmtId="0" fontId="23" fillId="2" borderId="0" xfId="8" applyFont="1" applyFill="1" applyAlignment="1">
      <alignment horizontal="left"/>
    </xf>
    <xf numFmtId="2" fontId="16" fillId="2" borderId="0" xfId="18" applyNumberFormat="1" applyFill="1"/>
    <xf numFmtId="2" fontId="22" fillId="0" borderId="8" xfId="22" applyNumberFormat="1" applyAlignment="1">
      <alignment horizontal="left"/>
    </xf>
    <xf numFmtId="168" fontId="62" fillId="10" borderId="0" xfId="18" applyNumberFormat="1" applyFont="1" applyFill="1" applyAlignment="1">
      <alignment horizontal="center" vertical="center"/>
    </xf>
    <xf numFmtId="0" fontId="21" fillId="0" borderId="0" xfId="18" applyFont="1" applyAlignment="1">
      <alignment horizontal="left" indent="1"/>
    </xf>
    <xf numFmtId="168" fontId="62" fillId="10" borderId="0" xfId="18" applyNumberFormat="1" applyFont="1" applyFill="1" applyAlignment="1">
      <alignment horizontal="left" vertical="center"/>
    </xf>
    <xf numFmtId="0" fontId="63" fillId="0" borderId="0" xfId="18" applyFont="1"/>
    <xf numFmtId="0" fontId="64" fillId="0" borderId="7" xfId="18" applyFont="1" applyBorder="1" applyAlignment="1">
      <alignment vertical="center"/>
    </xf>
    <xf numFmtId="0" fontId="65" fillId="0" borderId="0" xfId="18" applyFont="1"/>
    <xf numFmtId="0" fontId="60" fillId="0" borderId="0" xfId="0" applyFont="1"/>
    <xf numFmtId="168" fontId="65" fillId="0" borderId="0" xfId="18" applyNumberFormat="1" applyFont="1" applyAlignment="1">
      <alignment horizontal="left"/>
    </xf>
    <xf numFmtId="0" fontId="64" fillId="0" borderId="0" xfId="18" applyFont="1" applyAlignment="1">
      <alignment vertical="center"/>
    </xf>
    <xf numFmtId="168" fontId="66" fillId="0" borderId="0" xfId="18" applyNumberFormat="1" applyFont="1" applyAlignment="1">
      <alignment horizontal="left"/>
    </xf>
    <xf numFmtId="168" fontId="67" fillId="0" borderId="0" xfId="18" applyNumberFormat="1" applyFont="1" applyAlignment="1">
      <alignment horizontal="left" vertical="center"/>
    </xf>
    <xf numFmtId="0" fontId="64" fillId="0" borderId="0" xfId="18" applyFont="1" applyAlignment="1">
      <alignment horizontal="left" vertical="center"/>
    </xf>
    <xf numFmtId="0" fontId="65" fillId="0" borderId="0" xfId="18" applyFont="1" applyAlignment="1">
      <alignment horizontal="left"/>
    </xf>
    <xf numFmtId="0" fontId="68" fillId="0" borderId="0" xfId="18" applyFont="1" applyAlignment="1">
      <alignment horizontal="left" vertical="center"/>
    </xf>
    <xf numFmtId="0" fontId="67" fillId="0" borderId="0" xfId="18" applyFont="1" applyAlignment="1">
      <alignment horizontal="left" vertical="center"/>
    </xf>
    <xf numFmtId="168" fontId="67" fillId="0" borderId="11" xfId="18" applyNumberFormat="1" applyFont="1" applyBorder="1" applyAlignment="1">
      <alignment horizontal="left" vertical="center"/>
    </xf>
    <xf numFmtId="168" fontId="69" fillId="0" borderId="0" xfId="18" applyNumberFormat="1" applyFont="1" applyAlignment="1">
      <alignment horizontal="left" vertical="center"/>
    </xf>
    <xf numFmtId="0" fontId="70" fillId="0" borderId="0" xfId="0" applyFont="1"/>
    <xf numFmtId="0" fontId="47" fillId="0" borderId="0" xfId="18" applyFont="1"/>
    <xf numFmtId="0" fontId="71" fillId="11" borderId="0" xfId="18" applyFont="1" applyFill="1" applyAlignment="1">
      <alignment horizontal="right" vertical="center"/>
    </xf>
    <xf numFmtId="167" fontId="67" fillId="0" borderId="0" xfId="18" applyNumberFormat="1" applyFont="1" applyAlignment="1">
      <alignment horizontal="right" vertical="center"/>
    </xf>
    <xf numFmtId="0" fontId="64" fillId="0" borderId="7" xfId="18" applyFont="1" applyBorder="1" applyAlignment="1">
      <alignment horizontal="right" vertical="center"/>
    </xf>
    <xf numFmtId="166" fontId="73" fillId="10" borderId="0" xfId="16" applyFont="1" applyFill="1" applyAlignment="1">
      <alignment horizontal="right"/>
    </xf>
    <xf numFmtId="0" fontId="72" fillId="0" borderId="0" xfId="8" applyFont="1" applyAlignment="1">
      <alignment horizontal="right"/>
    </xf>
    <xf numFmtId="168" fontId="67" fillId="0" borderId="0" xfId="18" applyNumberFormat="1" applyFont="1" applyAlignment="1">
      <alignment horizontal="right" vertical="center"/>
    </xf>
    <xf numFmtId="168" fontId="69" fillId="0" borderId="0" xfId="18" applyNumberFormat="1" applyFont="1" applyAlignment="1">
      <alignment horizontal="right" vertical="center"/>
    </xf>
    <xf numFmtId="168" fontId="67" fillId="0" borderId="4" xfId="18" applyNumberFormat="1" applyFont="1" applyBorder="1" applyAlignment="1">
      <alignment horizontal="right" vertical="center"/>
    </xf>
    <xf numFmtId="0" fontId="65" fillId="0" borderId="0" xfId="18" applyFont="1" applyAlignment="1">
      <alignment horizontal="right"/>
    </xf>
    <xf numFmtId="0" fontId="65" fillId="0" borderId="0" xfId="0" applyFont="1" applyAlignment="1">
      <alignment horizontal="right"/>
    </xf>
    <xf numFmtId="0" fontId="74" fillId="0" borderId="0" xfId="18" applyFont="1" applyAlignment="1">
      <alignment vertical="center"/>
    </xf>
    <xf numFmtId="0" fontId="27" fillId="0" borderId="0" xfId="18" applyFont="1"/>
    <xf numFmtId="178" fontId="74" fillId="0" borderId="0" xfId="18" applyNumberFormat="1" applyFont="1" applyAlignment="1">
      <alignment horizontal="right" vertical="center"/>
    </xf>
    <xf numFmtId="167" fontId="49" fillId="0" borderId="0" xfId="8" applyNumberFormat="1" applyFont="1"/>
    <xf numFmtId="166" fontId="75" fillId="0" borderId="0" xfId="18" applyNumberFormat="1" applyFont="1" applyAlignment="1">
      <alignment horizontal="left"/>
    </xf>
    <xf numFmtId="0" fontId="76" fillId="0" borderId="11" xfId="0" applyFont="1" applyBorder="1"/>
    <xf numFmtId="166" fontId="75" fillId="0" borderId="11" xfId="18" applyNumberFormat="1" applyFont="1" applyBorder="1" applyAlignment="1">
      <alignment horizontal="left"/>
    </xf>
    <xf numFmtId="0" fontId="27" fillId="0" borderId="11" xfId="18" applyFont="1" applyBorder="1" applyAlignment="1">
      <alignment horizontal="right"/>
    </xf>
    <xf numFmtId="0" fontId="77" fillId="0" borderId="0" xfId="18" applyFont="1"/>
    <xf numFmtId="0" fontId="46" fillId="0" borderId="0" xfId="20" applyFont="1" applyAlignment="1">
      <alignment horizontal="center"/>
    </xf>
    <xf numFmtId="174" fontId="16" fillId="0" borderId="0" xfId="18" applyNumberFormat="1"/>
    <xf numFmtId="190" fontId="16" fillId="0" borderId="0" xfId="18" applyNumberFormat="1"/>
    <xf numFmtId="191" fontId="16" fillId="0" borderId="0" xfId="0" applyNumberFormat="1" applyFont="1"/>
    <xf numFmtId="0" fontId="37" fillId="0" borderId="0" xfId="18" applyFont="1" applyAlignment="1">
      <alignment vertical="center"/>
    </xf>
    <xf numFmtId="0" fontId="37" fillId="0" borderId="0" xfId="18" applyFont="1" applyAlignment="1">
      <alignment horizontal="right" vertical="center"/>
    </xf>
    <xf numFmtId="167" fontId="16" fillId="0" borderId="0" xfId="18" applyNumberFormat="1"/>
    <xf numFmtId="0" fontId="79" fillId="0" borderId="0" xfId="0" applyFont="1"/>
    <xf numFmtId="172" fontId="16" fillId="0" borderId="0" xfId="0" applyNumberFormat="1" applyFont="1" applyAlignment="1">
      <alignment horizontal="left"/>
    </xf>
    <xf numFmtId="9" fontId="16" fillId="0" borderId="0" xfId="18" applyNumberFormat="1"/>
    <xf numFmtId="0" fontId="35" fillId="0" borderId="0" xfId="18" applyFont="1" applyAlignment="1">
      <alignment vertical="center"/>
    </xf>
    <xf numFmtId="171" fontId="40" fillId="0" borderId="0" xfId="8" applyNumberFormat="1" applyFont="1" applyAlignment="1">
      <alignment horizontal="right"/>
    </xf>
    <xf numFmtId="0" fontId="80" fillId="0" borderId="0" xfId="0" applyFont="1"/>
    <xf numFmtId="185" fontId="16" fillId="0" borderId="0" xfId="0" applyNumberFormat="1" applyFont="1" applyAlignment="1">
      <alignment horizontal="left"/>
    </xf>
    <xf numFmtId="0" fontId="18" fillId="0" borderId="0" xfId="0" applyFont="1" applyAlignment="1">
      <alignment horizontal="right"/>
    </xf>
    <xf numFmtId="181" fontId="16" fillId="0" borderId="0" xfId="0" applyNumberFormat="1" applyFont="1" applyAlignment="1">
      <alignment horizontal="left"/>
    </xf>
    <xf numFmtId="181" fontId="16" fillId="0" borderId="14" xfId="0" applyNumberFormat="1" applyFont="1" applyBorder="1" applyAlignment="1">
      <alignment horizontal="left"/>
    </xf>
    <xf numFmtId="192" fontId="16" fillId="0" borderId="0" xfId="0" applyNumberFormat="1" applyFont="1" applyAlignment="1">
      <alignment horizontal="center"/>
    </xf>
    <xf numFmtId="0" fontId="81" fillId="0" borderId="0" xfId="0" applyFont="1"/>
    <xf numFmtId="192" fontId="17" fillId="0" borderId="11" xfId="18" applyNumberFormat="1" applyFont="1" applyBorder="1" applyAlignment="1">
      <alignment horizontal="right" vertical="center"/>
    </xf>
    <xf numFmtId="192" fontId="17" fillId="0" borderId="0" xfId="18" applyNumberFormat="1" applyFont="1" applyAlignment="1">
      <alignment horizontal="right" vertical="center"/>
    </xf>
    <xf numFmtId="0" fontId="16" fillId="0" borderId="0" xfId="0" applyFont="1" applyAlignment="1">
      <alignment horizontal="center"/>
    </xf>
    <xf numFmtId="0" fontId="79" fillId="0" borderId="0" xfId="0" applyFont="1" applyAlignment="1">
      <alignment horizontal="center"/>
    </xf>
    <xf numFmtId="0" fontId="16" fillId="0" borderId="7" xfId="0" applyFont="1" applyBorder="1" applyAlignment="1">
      <alignment horizontal="center"/>
    </xf>
    <xf numFmtId="179" fontId="17" fillId="0" borderId="11" xfId="18" applyNumberFormat="1" applyFont="1" applyBorder="1" applyAlignment="1">
      <alignment horizontal="right" vertical="center"/>
    </xf>
    <xf numFmtId="181" fontId="82" fillId="0" borderId="0" xfId="0" applyNumberFormat="1" applyFont="1" applyAlignment="1">
      <alignment horizontal="center"/>
    </xf>
    <xf numFmtId="179" fontId="24" fillId="0" borderId="0" xfId="0" applyNumberFormat="1" applyFont="1"/>
    <xf numFmtId="0" fontId="28" fillId="2" borderId="0" xfId="18" applyFont="1" applyFill="1"/>
    <xf numFmtId="181" fontId="18" fillId="0" borderId="14" xfId="0" applyNumberFormat="1" applyFont="1" applyBorder="1" applyAlignment="1">
      <alignment horizontal="left"/>
    </xf>
    <xf numFmtId="192" fontId="31" fillId="0" borderId="11" xfId="18" applyNumberFormat="1" applyFont="1" applyBorder="1" applyAlignment="1">
      <alignment horizontal="right" vertical="center"/>
    </xf>
    <xf numFmtId="192" fontId="83" fillId="0" borderId="14" xfId="0" applyNumberFormat="1" applyFont="1" applyBorder="1" applyAlignment="1">
      <alignment horizontal="center"/>
    </xf>
    <xf numFmtId="188" fontId="24" fillId="0" borderId="7" xfId="18" applyNumberFormat="1" applyFont="1" applyBorder="1" applyAlignment="1">
      <alignment horizontal="left"/>
    </xf>
    <xf numFmtId="0" fontId="31" fillId="0" borderId="0" xfId="18" applyFont="1" applyAlignment="1">
      <alignment horizontal="left" vertical="top"/>
    </xf>
    <xf numFmtId="0" fontId="38" fillId="2" borderId="0" xfId="0" applyFont="1" applyFill="1"/>
    <xf numFmtId="193" fontId="0" fillId="0" borderId="0" xfId="0" applyNumberFormat="1"/>
    <xf numFmtId="167" fontId="16" fillId="0" borderId="0" xfId="18" applyNumberFormat="1" applyAlignment="1">
      <alignment horizontal="right"/>
    </xf>
    <xf numFmtId="168" fontId="24" fillId="0" borderId="0" xfId="0" applyNumberFormat="1" applyFont="1"/>
    <xf numFmtId="0" fontId="24" fillId="0" borderId="0" xfId="0" applyFont="1" applyAlignment="1">
      <alignment wrapText="1"/>
    </xf>
    <xf numFmtId="168" fontId="28" fillId="2" borderId="0" xfId="24" applyNumberFormat="1" applyFont="1" applyFill="1" applyAlignment="1">
      <alignment horizontal="left" vertical="center"/>
    </xf>
    <xf numFmtId="0" fontId="80" fillId="0" borderId="7" xfId="18" applyFont="1" applyBorder="1"/>
    <xf numFmtId="183" fontId="16" fillId="0" borderId="0" xfId="18" applyNumberFormat="1" applyAlignment="1">
      <alignment horizontal="left"/>
    </xf>
    <xf numFmtId="194" fontId="16" fillId="0" borderId="0" xfId="18" applyNumberFormat="1"/>
    <xf numFmtId="10" fontId="28" fillId="2" borderId="0" xfId="24" quotePrefix="1" applyNumberFormat="1" applyFont="1" applyFill="1"/>
    <xf numFmtId="168" fontId="28" fillId="2" borderId="0" xfId="24" applyNumberFormat="1" applyFont="1" applyFill="1" applyAlignment="1">
      <alignment horizontal="right"/>
    </xf>
    <xf numFmtId="0" fontId="28" fillId="2" borderId="0" xfId="24" applyNumberFormat="1" applyFont="1" applyFill="1"/>
    <xf numFmtId="168" fontId="28" fillId="2" borderId="0" xfId="24" applyNumberFormat="1" applyFont="1" applyFill="1" applyAlignment="1">
      <alignment horizontal="right" vertical="center"/>
    </xf>
    <xf numFmtId="170" fontId="28" fillId="2" borderId="0" xfId="24" applyNumberFormat="1" applyFont="1" applyFill="1" applyBorder="1" applyAlignment="1">
      <alignment horizontal="right"/>
    </xf>
    <xf numFmtId="169" fontId="28" fillId="2" borderId="0" xfId="24" applyNumberFormat="1" applyFont="1" applyFill="1" applyBorder="1" applyAlignment="1">
      <alignment horizontal="right"/>
    </xf>
    <xf numFmtId="190" fontId="28" fillId="2" borderId="0" xfId="23" applyNumberFormat="1" applyAlignment="1">
      <alignment horizontal="right"/>
    </xf>
    <xf numFmtId="190" fontId="38" fillId="2" borderId="0" xfId="23" applyNumberFormat="1" applyFont="1" applyAlignment="1">
      <alignment horizontal="right"/>
    </xf>
    <xf numFmtId="0" fontId="19" fillId="16" borderId="0" xfId="20" applyFill="1"/>
    <xf numFmtId="0" fontId="84" fillId="0" borderId="0" xfId="20" applyFont="1"/>
    <xf numFmtId="0" fontId="85" fillId="0" borderId="0" xfId="20" applyFont="1"/>
    <xf numFmtId="0" fontId="86" fillId="0" borderId="0" xfId="20" applyFont="1"/>
    <xf numFmtId="0" fontId="87" fillId="0" borderId="0" xfId="20" applyFont="1"/>
    <xf numFmtId="0" fontId="88" fillId="0" borderId="0" xfId="20" applyFont="1"/>
    <xf numFmtId="0" fontId="89" fillId="0" borderId="0" xfId="20" applyFont="1"/>
    <xf numFmtId="0" fontId="91" fillId="0" borderId="0" xfId="20" applyFont="1"/>
    <xf numFmtId="195" fontId="92" fillId="10" borderId="0" xfId="16" applyNumberFormat="1" applyFont="1" applyFill="1" applyAlignment="1">
      <alignment horizontal="right"/>
    </xf>
    <xf numFmtId="195" fontId="93" fillId="15" borderId="0" xfId="18" applyNumberFormat="1" applyFont="1" applyFill="1" applyAlignment="1">
      <alignment horizontal="right" vertical="center"/>
    </xf>
    <xf numFmtId="168" fontId="28" fillId="2" borderId="0" xfId="23" applyNumberFormat="1" applyAlignment="1">
      <alignment horizontal="right"/>
    </xf>
    <xf numFmtId="0" fontId="16" fillId="0" borderId="0" xfId="0" applyFont="1" applyAlignment="1">
      <alignment horizontal="left" indent="2"/>
    </xf>
    <xf numFmtId="177" fontId="28" fillId="2" borderId="8" xfId="18" applyNumberFormat="1" applyFont="1" applyFill="1" applyBorder="1" applyAlignment="1">
      <alignment horizontal="right" vertical="center"/>
    </xf>
    <xf numFmtId="0" fontId="28" fillId="2" borderId="8" xfId="23" applyNumberFormat="1" applyBorder="1" applyAlignment="1">
      <alignment horizontal="center"/>
    </xf>
    <xf numFmtId="0" fontId="16" fillId="0" borderId="0" xfId="20" applyFont="1" applyAlignment="1">
      <alignment horizontal="left"/>
    </xf>
    <xf numFmtId="0" fontId="22" fillId="0" borderId="8" xfId="22" applyNumberFormat="1" applyAlignment="1">
      <alignment horizontal="center"/>
    </xf>
    <xf numFmtId="168" fontId="45" fillId="0" borderId="0" xfId="23" applyNumberFormat="1" applyFont="1" applyFill="1" applyAlignment="1">
      <alignment horizontal="left"/>
    </xf>
    <xf numFmtId="0" fontId="88" fillId="0" borderId="0" xfId="20" applyFont="1" applyAlignment="1">
      <alignment horizontal="left"/>
    </xf>
    <xf numFmtId="0" fontId="96" fillId="0" borderId="0" xfId="18" applyFont="1"/>
    <xf numFmtId="0" fontId="25" fillId="18" borderId="0" xfId="18" applyFont="1" applyFill="1" applyAlignment="1">
      <alignment vertical="center"/>
    </xf>
    <xf numFmtId="0" fontId="22" fillId="19" borderId="0" xfId="18" applyFont="1" applyFill="1"/>
    <xf numFmtId="0" fontId="97" fillId="19" borderId="0" xfId="18" applyFont="1" applyFill="1"/>
    <xf numFmtId="0" fontId="98" fillId="19" borderId="0" xfId="0" applyFont="1" applyFill="1"/>
    <xf numFmtId="0" fontId="99" fillId="0" borderId="0" xfId="18" applyFont="1"/>
    <xf numFmtId="0" fontId="95" fillId="0" borderId="0" xfId="18" applyFont="1"/>
    <xf numFmtId="0" fontId="99" fillId="20" borderId="0" xfId="18" applyFont="1" applyFill="1" applyAlignment="1">
      <alignment horizontal="right"/>
    </xf>
    <xf numFmtId="0" fontId="100" fillId="0" borderId="0" xfId="18" applyFont="1" applyAlignment="1">
      <alignment horizontal="right"/>
    </xf>
    <xf numFmtId="0" fontId="99" fillId="0" borderId="0" xfId="18" applyFont="1" applyAlignment="1">
      <alignment horizontal="right"/>
    </xf>
    <xf numFmtId="196" fontId="99" fillId="21" borderId="0" xfId="34" applyNumberFormat="1" applyFont="1" applyFill="1" applyBorder="1"/>
    <xf numFmtId="0" fontId="100" fillId="0" borderId="12" xfId="18" applyFont="1" applyBorder="1" applyAlignment="1">
      <alignment horizontal="right"/>
    </xf>
    <xf numFmtId="196" fontId="99" fillId="0" borderId="12" xfId="34" applyNumberFormat="1" applyFont="1" applyFill="1" applyBorder="1"/>
    <xf numFmtId="0" fontId="99" fillId="19" borderId="0" xfId="18" applyFont="1" applyFill="1"/>
    <xf numFmtId="0" fontId="99" fillId="0" borderId="12" xfId="18" applyFont="1" applyBorder="1" applyAlignment="1">
      <alignment horizontal="right"/>
    </xf>
    <xf numFmtId="196" fontId="99" fillId="0" borderId="12" xfId="18" applyNumberFormat="1" applyFont="1" applyBorder="1"/>
    <xf numFmtId="0" fontId="99" fillId="21" borderId="0" xfId="18" applyFont="1" applyFill="1"/>
    <xf numFmtId="198" fontId="99" fillId="0" borderId="0" xfId="18" applyNumberFormat="1" applyFont="1"/>
    <xf numFmtId="0" fontId="99" fillId="0" borderId="0" xfId="18" applyFont="1" applyAlignment="1">
      <alignment horizontal="left"/>
    </xf>
    <xf numFmtId="0" fontId="100" fillId="0" borderId="0" xfId="18" applyFont="1"/>
    <xf numFmtId="196" fontId="99" fillId="21" borderId="0" xfId="18" applyNumberFormat="1" applyFont="1" applyFill="1"/>
    <xf numFmtId="0" fontId="99" fillId="0" borderId="12" xfId="18" applyFont="1" applyBorder="1"/>
    <xf numFmtId="0" fontId="101" fillId="19" borderId="0" xfId="20" applyFont="1" applyFill="1" applyAlignment="1">
      <alignment horizontal="left" vertical="center"/>
    </xf>
    <xf numFmtId="0" fontId="101" fillId="19" borderId="0" xfId="20" applyFont="1" applyFill="1" applyAlignment="1">
      <alignment vertical="center"/>
    </xf>
    <xf numFmtId="0" fontId="101" fillId="22" borderId="0" xfId="20" applyFont="1" applyFill="1" applyAlignment="1">
      <alignment vertical="center"/>
    </xf>
    <xf numFmtId="9" fontId="94" fillId="23" borderId="17" xfId="19" applyFont="1" applyFill="1" applyBorder="1" applyAlignment="1" applyProtection="1">
      <alignment horizontal="center" vertical="center"/>
      <protection locked="0"/>
    </xf>
    <xf numFmtId="0" fontId="94" fillId="0" borderId="0" xfId="20" applyFont="1" applyAlignment="1">
      <alignment horizontal="left"/>
    </xf>
    <xf numFmtId="199" fontId="94" fillId="23" borderId="17" xfId="20" applyNumberFormat="1" applyFont="1" applyFill="1" applyBorder="1" applyAlignment="1" applyProtection="1">
      <alignment horizontal="left" vertical="center"/>
      <protection locked="0"/>
    </xf>
    <xf numFmtId="0" fontId="94" fillId="0" borderId="0" xfId="20" applyFont="1"/>
    <xf numFmtId="196" fontId="102" fillId="23" borderId="17" xfId="29" applyNumberFormat="1" applyFont="1" applyFill="1" applyBorder="1"/>
    <xf numFmtId="189" fontId="102" fillId="21" borderId="17" xfId="19" applyNumberFormat="1" applyFont="1" applyFill="1" applyBorder="1" applyAlignment="1" applyProtection="1">
      <alignment horizontal="center" vertical="center"/>
      <protection locked="0"/>
    </xf>
    <xf numFmtId="9" fontId="102" fillId="21" borderId="17" xfId="19" applyFont="1" applyFill="1" applyBorder="1" applyAlignment="1" applyProtection="1">
      <alignment horizontal="center" vertical="center"/>
      <protection locked="0"/>
    </xf>
    <xf numFmtId="9" fontId="102" fillId="24" borderId="17" xfId="19" applyFont="1" applyFill="1" applyBorder="1" applyAlignment="1" applyProtection="1">
      <alignment horizontal="left" vertical="center"/>
      <protection locked="0"/>
    </xf>
    <xf numFmtId="44" fontId="102" fillId="24" borderId="17" xfId="19" applyNumberFormat="1" applyFont="1" applyFill="1" applyBorder="1" applyAlignment="1" applyProtection="1">
      <alignment horizontal="left" vertical="center"/>
      <protection locked="0"/>
    </xf>
    <xf numFmtId="196" fontId="102" fillId="24" borderId="17" xfId="19" applyNumberFormat="1" applyFont="1" applyFill="1" applyBorder="1" applyAlignment="1" applyProtection="1">
      <alignment horizontal="left" vertical="center"/>
      <protection locked="0"/>
    </xf>
    <xf numFmtId="9" fontId="102" fillId="24" borderId="17" xfId="35" applyFont="1" applyFill="1" applyBorder="1" applyAlignment="1" applyProtection="1">
      <alignment horizontal="right" vertical="center"/>
      <protection locked="0"/>
    </xf>
    <xf numFmtId="10" fontId="102" fillId="21" borderId="17" xfId="19" applyNumberFormat="1" applyFont="1" applyFill="1" applyBorder="1" applyAlignment="1" applyProtection="1">
      <alignment horizontal="center" vertical="center"/>
      <protection locked="0"/>
    </xf>
    <xf numFmtId="0" fontId="101" fillId="19" borderId="0" xfId="20" applyFont="1" applyFill="1" applyAlignment="1">
      <alignment horizontal="left" vertical="center" wrapText="1"/>
    </xf>
    <xf numFmtId="0" fontId="101" fillId="19" borderId="0" xfId="20" applyFont="1" applyFill="1" applyAlignment="1">
      <alignment horizontal="center" vertical="center"/>
    </xf>
    <xf numFmtId="0" fontId="101" fillId="25" borderId="0" xfId="20" applyFont="1" applyFill="1" applyAlignment="1">
      <alignment vertical="center"/>
    </xf>
    <xf numFmtId="9" fontId="102" fillId="0" borderId="0" xfId="20" applyNumberFormat="1" applyFont="1" applyAlignment="1">
      <alignment horizontal="center"/>
    </xf>
    <xf numFmtId="196" fontId="102" fillId="0" borderId="0" xfId="20" applyNumberFormat="1" applyFont="1" applyAlignment="1">
      <alignment horizontal="left"/>
    </xf>
    <xf numFmtId="197" fontId="102" fillId="0" borderId="0" xfId="30" applyNumberFormat="1" applyFont="1" applyFill="1" applyBorder="1"/>
    <xf numFmtId="197" fontId="102" fillId="21" borderId="17" xfId="30" applyNumberFormat="1" applyFont="1" applyFill="1" applyBorder="1"/>
    <xf numFmtId="10" fontId="102" fillId="21" borderId="17" xfId="30" applyNumberFormat="1" applyFont="1" applyFill="1" applyBorder="1"/>
    <xf numFmtId="200" fontId="102" fillId="0" borderId="0" xfId="20" applyNumberFormat="1" applyFont="1" applyAlignment="1">
      <alignment horizontal="center"/>
    </xf>
    <xf numFmtId="196" fontId="102" fillId="0" borderId="0" xfId="34" applyNumberFormat="1" applyFont="1" applyFill="1" applyBorder="1"/>
    <xf numFmtId="44" fontId="94" fillId="0" borderId="0" xfId="20" applyNumberFormat="1" applyFont="1" applyAlignment="1">
      <alignment horizontal="left"/>
    </xf>
    <xf numFmtId="196" fontId="94" fillId="0" borderId="0" xfId="20" applyNumberFormat="1" applyFont="1" applyAlignment="1">
      <alignment horizontal="left"/>
    </xf>
    <xf numFmtId="0" fontId="94" fillId="0" borderId="18" xfId="20" applyFont="1" applyBorder="1" applyAlignment="1">
      <alignment horizontal="left"/>
    </xf>
    <xf numFmtId="0" fontId="103" fillId="26" borderId="18" xfId="20" applyFont="1" applyFill="1" applyBorder="1" applyAlignment="1">
      <alignment horizontal="left"/>
    </xf>
    <xf numFmtId="196" fontId="103" fillId="26" borderId="18" xfId="20" applyNumberFormat="1" applyFont="1" applyFill="1" applyBorder="1" applyAlignment="1">
      <alignment horizontal="left"/>
    </xf>
    <xf numFmtId="0" fontId="102" fillId="0" borderId="0" xfId="20" applyFont="1" applyAlignment="1">
      <alignment horizontal="left"/>
    </xf>
    <xf numFmtId="0" fontId="103" fillId="27" borderId="0" xfId="20" applyFont="1" applyFill="1" applyAlignment="1">
      <alignment horizontal="left"/>
    </xf>
    <xf numFmtId="196" fontId="94" fillId="27" borderId="0" xfId="20" applyNumberFormat="1" applyFont="1" applyFill="1" applyAlignment="1">
      <alignment horizontal="left"/>
    </xf>
    <xf numFmtId="0" fontId="104" fillId="22" borderId="0" xfId="20" applyFont="1" applyFill="1" applyAlignment="1">
      <alignment vertical="center"/>
    </xf>
    <xf numFmtId="9" fontId="5" fillId="23" borderId="17" xfId="19" applyFont="1" applyFill="1" applyBorder="1" applyAlignment="1" applyProtection="1">
      <alignment horizontal="center" vertical="center"/>
      <protection locked="0"/>
    </xf>
    <xf numFmtId="0" fontId="104" fillId="19" borderId="0" xfId="20" applyFont="1" applyFill="1" applyAlignment="1">
      <alignment vertical="center"/>
    </xf>
    <xf numFmtId="0" fontId="5" fillId="0" borderId="0" xfId="20" applyFont="1"/>
    <xf numFmtId="189" fontId="105" fillId="21" borderId="17" xfId="19" applyNumberFormat="1" applyFont="1" applyFill="1" applyBorder="1" applyAlignment="1" applyProtection="1">
      <alignment horizontal="center" vertical="center"/>
      <protection locked="0"/>
    </xf>
    <xf numFmtId="9" fontId="105" fillId="21" borderId="17" xfId="19" applyFont="1" applyFill="1" applyBorder="1" applyAlignment="1" applyProtection="1">
      <alignment horizontal="center" vertical="center"/>
      <protection locked="0"/>
    </xf>
    <xf numFmtId="10" fontId="105" fillId="21" borderId="17" xfId="19" applyNumberFormat="1" applyFont="1" applyFill="1" applyBorder="1" applyAlignment="1" applyProtection="1">
      <alignment horizontal="center" vertical="center"/>
      <protection locked="0"/>
    </xf>
    <xf numFmtId="0" fontId="57" fillId="8" borderId="0" xfId="20" applyFont="1" applyFill="1" applyAlignment="1">
      <alignment horizontal="left" vertical="center" wrapText="1"/>
    </xf>
    <xf numFmtId="0" fontId="57" fillId="8" borderId="0" xfId="20" applyFont="1" applyFill="1" applyAlignment="1">
      <alignment horizontal="center" vertical="center"/>
    </xf>
    <xf numFmtId="0" fontId="57" fillId="8" borderId="0" xfId="20" applyFont="1" applyFill="1" applyAlignment="1">
      <alignment vertical="center"/>
    </xf>
    <xf numFmtId="0" fontId="57" fillId="8" borderId="0" xfId="20" applyFont="1" applyFill="1" applyAlignment="1">
      <alignment horizontal="left" vertical="center"/>
    </xf>
    <xf numFmtId="0" fontId="57" fillId="28" borderId="0" xfId="20" applyFont="1" applyFill="1" applyAlignment="1">
      <alignment vertical="center"/>
    </xf>
    <xf numFmtId="0" fontId="35" fillId="0" borderId="0" xfId="20" applyFont="1" applyAlignment="1">
      <alignment horizontal="left"/>
    </xf>
    <xf numFmtId="9" fontId="16" fillId="0" borderId="0" xfId="20" applyNumberFormat="1" applyFont="1" applyAlignment="1">
      <alignment horizontal="center"/>
    </xf>
    <xf numFmtId="196" fontId="16" fillId="0" borderId="0" xfId="20" applyNumberFormat="1" applyFont="1" applyAlignment="1">
      <alignment horizontal="left"/>
    </xf>
    <xf numFmtId="197" fontId="16" fillId="0" borderId="0" xfId="30" applyNumberFormat="1" applyFont="1"/>
    <xf numFmtId="197" fontId="16" fillId="2" borderId="17" xfId="30" applyNumberFormat="1" applyFont="1" applyFill="1" applyBorder="1"/>
    <xf numFmtId="200" fontId="16" fillId="0" borderId="0" xfId="20" applyNumberFormat="1" applyFont="1" applyAlignment="1">
      <alignment horizontal="center"/>
    </xf>
    <xf numFmtId="196" fontId="16" fillId="0" borderId="0" xfId="34" applyNumberFormat="1" applyFont="1" applyFill="1" applyBorder="1"/>
    <xf numFmtId="196" fontId="16" fillId="0" borderId="0" xfId="34" applyNumberFormat="1" applyFont="1" applyFill="1"/>
    <xf numFmtId="44" fontId="35" fillId="0" borderId="0" xfId="20" applyNumberFormat="1" applyFont="1" applyAlignment="1">
      <alignment horizontal="left"/>
    </xf>
    <xf numFmtId="196" fontId="35" fillId="0" borderId="0" xfId="20" applyNumberFormat="1" applyFont="1" applyAlignment="1">
      <alignment horizontal="left"/>
    </xf>
    <xf numFmtId="0" fontId="35" fillId="0" borderId="18" xfId="20" applyFont="1" applyBorder="1" applyAlignment="1">
      <alignment horizontal="left"/>
    </xf>
    <xf numFmtId="0" fontId="37" fillId="29" borderId="18" xfId="20" applyFont="1" applyFill="1" applyBorder="1" applyAlignment="1">
      <alignment horizontal="left"/>
    </xf>
    <xf numFmtId="196" fontId="37" fillId="29" borderId="18" xfId="20" applyNumberFormat="1" applyFont="1" applyFill="1" applyBorder="1" applyAlignment="1">
      <alignment horizontal="left"/>
    </xf>
    <xf numFmtId="0" fontId="37" fillId="30" borderId="0" xfId="20" applyFont="1" applyFill="1" applyAlignment="1">
      <alignment horizontal="left"/>
    </xf>
    <xf numFmtId="196" fontId="35" fillId="30" borderId="0" xfId="20" applyNumberFormat="1" applyFont="1" applyFill="1" applyAlignment="1">
      <alignment horizontal="left"/>
    </xf>
    <xf numFmtId="0" fontId="57" fillId="31" borderId="0" xfId="20" applyFont="1" applyFill="1" applyAlignment="1">
      <alignment vertical="center"/>
    </xf>
    <xf numFmtId="9" fontId="35" fillId="32" borderId="17" xfId="19" applyFont="1" applyFill="1" applyBorder="1" applyAlignment="1" applyProtection="1">
      <alignment horizontal="center" vertical="center"/>
      <protection locked="0"/>
    </xf>
    <xf numFmtId="199" fontId="35" fillId="32" borderId="17" xfId="20" applyNumberFormat="1" applyFont="1" applyFill="1" applyBorder="1" applyAlignment="1" applyProtection="1">
      <alignment horizontal="left" vertical="center"/>
      <protection locked="0"/>
    </xf>
    <xf numFmtId="0" fontId="35" fillId="0" borderId="0" xfId="20" applyFont="1"/>
    <xf numFmtId="196" fontId="16" fillId="32" borderId="17" xfId="29" applyNumberFormat="1" applyFont="1" applyFill="1" applyBorder="1"/>
    <xf numFmtId="189" fontId="16" fillId="2" borderId="17" xfId="19" applyNumberFormat="1" applyFont="1" applyFill="1" applyBorder="1" applyAlignment="1" applyProtection="1">
      <alignment horizontal="center" vertical="center"/>
      <protection locked="0"/>
    </xf>
    <xf numFmtId="9" fontId="16" fillId="2" borderId="17" xfId="19" applyFont="1" applyFill="1" applyBorder="1" applyAlignment="1" applyProtection="1">
      <alignment horizontal="center" vertical="center"/>
      <protection locked="0"/>
    </xf>
    <xf numFmtId="9" fontId="16" fillId="33" borderId="17" xfId="19" applyFont="1" applyFill="1" applyBorder="1" applyAlignment="1" applyProtection="1">
      <alignment horizontal="left" vertical="center"/>
      <protection locked="0"/>
    </xf>
    <xf numFmtId="44" fontId="16" fillId="33" borderId="17" xfId="19" applyNumberFormat="1" applyFont="1" applyFill="1" applyBorder="1" applyAlignment="1" applyProtection="1">
      <alignment horizontal="left" vertical="center"/>
      <protection locked="0"/>
    </xf>
    <xf numFmtId="196" fontId="16" fillId="33" borderId="17" xfId="19" applyNumberFormat="1" applyFont="1" applyFill="1" applyBorder="1" applyAlignment="1" applyProtection="1">
      <alignment horizontal="left" vertical="center"/>
      <protection locked="0"/>
    </xf>
    <xf numFmtId="9" fontId="16" fillId="33" borderId="17" xfId="35" applyFont="1" applyFill="1" applyBorder="1" applyAlignment="1" applyProtection="1">
      <alignment horizontal="right" vertical="center"/>
      <protection locked="0"/>
    </xf>
    <xf numFmtId="10" fontId="16" fillId="2" borderId="17" xfId="19" applyNumberFormat="1" applyFont="1" applyFill="1" applyBorder="1" applyAlignment="1" applyProtection="1">
      <alignment horizontal="center" vertical="center"/>
      <protection locked="0"/>
    </xf>
    <xf numFmtId="177" fontId="35" fillId="2" borderId="0" xfId="18" applyNumberFormat="1" applyFont="1" applyFill="1" applyAlignment="1">
      <alignment horizontal="right" vertical="center"/>
    </xf>
    <xf numFmtId="202" fontId="107" fillId="36" borderId="0" xfId="36" applyNumberFormat="1" applyFont="1" applyFill="1"/>
    <xf numFmtId="202" fontId="108" fillId="36" borderId="0" xfId="36" applyNumberFormat="1" applyFont="1" applyFill="1"/>
    <xf numFmtId="202" fontId="109" fillId="34" borderId="23" xfId="37" applyNumberFormat="1" applyFont="1" applyBorder="1" applyAlignment="1">
      <alignment horizontal="center"/>
    </xf>
    <xf numFmtId="202" fontId="16" fillId="36" borderId="0" xfId="36" applyNumberFormat="1" applyFill="1"/>
    <xf numFmtId="202" fontId="63" fillId="36" borderId="0" xfId="18" applyNumberFormat="1" applyFont="1" applyFill="1"/>
    <xf numFmtId="202" fontId="20" fillId="34" borderId="21" xfId="37" applyNumberFormat="1" applyFont="1" applyBorder="1"/>
    <xf numFmtId="202" fontId="20" fillId="34" borderId="22" xfId="37" applyNumberFormat="1" applyFont="1" applyBorder="1" applyAlignment="1">
      <alignment horizontal="center"/>
    </xf>
    <xf numFmtId="202" fontId="20" fillId="34" borderId="23" xfId="37" applyNumberFormat="1" applyFont="1" applyBorder="1" applyAlignment="1">
      <alignment horizontal="center"/>
    </xf>
    <xf numFmtId="202" fontId="18" fillId="0" borderId="24" xfId="36" applyNumberFormat="1" applyFont="1" applyBorder="1"/>
    <xf numFmtId="202" fontId="16" fillId="0" borderId="0" xfId="36" applyNumberFormat="1" applyBorder="1"/>
    <xf numFmtId="202" fontId="16" fillId="0" borderId="25" xfId="36" applyNumberFormat="1" applyBorder="1"/>
    <xf numFmtId="202" fontId="27" fillId="0" borderId="26" xfId="36" applyNumberFormat="1" applyFont="1" applyBorder="1"/>
    <xf numFmtId="202" fontId="16" fillId="0" borderId="24" xfId="36" applyNumberFormat="1" applyBorder="1" applyAlignment="1">
      <alignment horizontal="right"/>
    </xf>
    <xf numFmtId="202" fontId="16" fillId="0" borderId="26" xfId="34" applyNumberFormat="1" applyFont="1" applyFill="1" applyBorder="1" applyAlignment="1">
      <alignment horizontal="right"/>
    </xf>
    <xf numFmtId="202" fontId="16" fillId="0" borderId="26" xfId="36" applyNumberFormat="1" applyBorder="1"/>
    <xf numFmtId="191" fontId="16" fillId="36" borderId="0" xfId="36" applyNumberFormat="1" applyFill="1"/>
    <xf numFmtId="202" fontId="18" fillId="36" borderId="0" xfId="36" applyNumberFormat="1" applyFont="1" applyFill="1"/>
    <xf numFmtId="202" fontId="18" fillId="35" borderId="27" xfId="39" applyNumberFormat="1" applyFont="1" applyBorder="1"/>
    <xf numFmtId="202" fontId="51" fillId="35" borderId="12" xfId="39" applyNumberFormat="1" applyFont="1" applyBorder="1" applyAlignment="1">
      <alignment horizontal="center"/>
    </xf>
    <xf numFmtId="202" fontId="51" fillId="35" borderId="3" xfId="34" applyNumberFormat="1" applyFont="1" applyFill="1" applyBorder="1" applyAlignment="1">
      <alignment horizontal="right"/>
    </xf>
    <xf numFmtId="202" fontId="16" fillId="35" borderId="3" xfId="36" applyNumberFormat="1" applyFill="1" applyBorder="1"/>
    <xf numFmtId="202" fontId="16" fillId="4" borderId="0" xfId="36" applyNumberFormat="1" applyFill="1" applyBorder="1"/>
    <xf numFmtId="202" fontId="16" fillId="4" borderId="0" xfId="34" applyNumberFormat="1" applyFont="1" applyFill="1" applyBorder="1" applyAlignment="1">
      <alignment horizontal="right"/>
    </xf>
    <xf numFmtId="202" fontId="52" fillId="36" borderId="0" xfId="36" applyNumberFormat="1" applyFont="1" applyFill="1"/>
    <xf numFmtId="202" fontId="63" fillId="36" borderId="0" xfId="36" applyNumberFormat="1" applyFont="1" applyFill="1"/>
    <xf numFmtId="202" fontId="18" fillId="35" borderId="27" xfId="36" applyNumberFormat="1" applyFont="1" applyFill="1" applyBorder="1" applyAlignment="1">
      <alignment horizontal="left"/>
    </xf>
    <xf numFmtId="202" fontId="18" fillId="35" borderId="12" xfId="36" applyNumberFormat="1" applyFont="1" applyFill="1" applyBorder="1" applyAlignment="1">
      <alignment horizontal="right"/>
    </xf>
    <xf numFmtId="202" fontId="18" fillId="0" borderId="24" xfId="36" applyNumberFormat="1" applyFont="1" applyBorder="1" applyAlignment="1">
      <alignment horizontal="left"/>
    </xf>
    <xf numFmtId="202" fontId="18" fillId="35" borderId="28" xfId="39" applyNumberFormat="1" applyFont="1" applyBorder="1"/>
    <xf numFmtId="202" fontId="51" fillId="35" borderId="20" xfId="39" applyNumberFormat="1" applyFont="1" applyAlignment="1">
      <alignment horizontal="center"/>
    </xf>
    <xf numFmtId="202" fontId="51" fillId="35" borderId="29" xfId="39" applyNumberFormat="1" applyFont="1" applyBorder="1" applyAlignment="1">
      <alignment horizontal="right"/>
    </xf>
    <xf numFmtId="202" fontId="16" fillId="0" borderId="4" xfId="36" applyNumberFormat="1" applyBorder="1"/>
    <xf numFmtId="202" fontId="16" fillId="0" borderId="30" xfId="36" applyNumberFormat="1" applyBorder="1"/>
    <xf numFmtId="202" fontId="51" fillId="35" borderId="29" xfId="39" applyNumberFormat="1" applyFont="1" applyBorder="1"/>
    <xf numFmtId="202" fontId="18" fillId="35" borderId="31" xfId="39" applyNumberFormat="1" applyFont="1" applyBorder="1"/>
    <xf numFmtId="202" fontId="18" fillId="35" borderId="32" xfId="39" applyNumberFormat="1" applyFont="1" applyBorder="1" applyAlignment="1">
      <alignment horizontal="center"/>
    </xf>
    <xf numFmtId="202" fontId="51" fillId="35" borderId="33" xfId="39" applyNumberFormat="1" applyFont="1" applyBorder="1"/>
    <xf numFmtId="202" fontId="18" fillId="36" borderId="0" xfId="39" applyNumberFormat="1" applyFont="1" applyFill="1" applyBorder="1"/>
    <xf numFmtId="202" fontId="18" fillId="36" borderId="0" xfId="39" applyNumberFormat="1" applyFont="1" applyFill="1" applyBorder="1" applyAlignment="1">
      <alignment horizontal="center"/>
    </xf>
    <xf numFmtId="202" fontId="51" fillId="36" borderId="0" xfId="39" applyNumberFormat="1" applyFont="1" applyFill="1" applyBorder="1"/>
    <xf numFmtId="202" fontId="16" fillId="36" borderId="0" xfId="36" applyNumberFormat="1" applyFill="1" applyBorder="1"/>
    <xf numFmtId="14" fontId="85" fillId="16" borderId="0" xfId="20" applyNumberFormat="1" applyFont="1" applyFill="1"/>
    <xf numFmtId="196" fontId="0" fillId="0" borderId="0" xfId="0" applyNumberFormat="1"/>
    <xf numFmtId="203" fontId="90" fillId="0" borderId="0" xfId="20" applyNumberFormat="1" applyFont="1" applyAlignment="1">
      <alignment horizontal="left"/>
    </xf>
    <xf numFmtId="204" fontId="16" fillId="2" borderId="17" xfId="30" applyNumberFormat="1" applyFont="1" applyFill="1" applyBorder="1"/>
    <xf numFmtId="0" fontId="16" fillId="13" borderId="4" xfId="18" applyFill="1" applyBorder="1" applyAlignment="1">
      <alignment horizontal="left" vertical="top"/>
    </xf>
    <xf numFmtId="0" fontId="16" fillId="0" borderId="4" xfId="18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6" fillId="0" borderId="0" xfId="18" applyAlignment="1">
      <alignment horizontal="left" vertical="top" wrapText="1"/>
    </xf>
    <xf numFmtId="0" fontId="0" fillId="0" borderId="0" xfId="0" applyAlignment="1">
      <alignment horizontal="left" vertical="top" wrapText="1"/>
    </xf>
    <xf numFmtId="185" fontId="28" fillId="2" borderId="13" xfId="23" applyNumberFormat="1" applyBorder="1" applyAlignment="1">
      <alignment horizontal="left"/>
    </xf>
    <xf numFmtId="185" fontId="28" fillId="2" borderId="14" xfId="23" applyNumberFormat="1" applyBorder="1" applyAlignment="1">
      <alignment horizontal="left"/>
    </xf>
    <xf numFmtId="185" fontId="28" fillId="2" borderId="15" xfId="23" applyNumberFormat="1" applyBorder="1" applyAlignment="1">
      <alignment horizontal="left"/>
    </xf>
    <xf numFmtId="0" fontId="38" fillId="2" borderId="0" xfId="0" applyFont="1" applyFill="1" applyAlignment="1">
      <alignment horizontal="left"/>
    </xf>
    <xf numFmtId="0" fontId="28" fillId="2" borderId="0" xfId="24" applyNumberFormat="1" applyFont="1" applyFill="1" applyBorder="1" applyAlignment="1">
      <alignment horizontal="left" vertical="top"/>
    </xf>
    <xf numFmtId="0" fontId="28" fillId="2" borderId="0" xfId="18" applyFont="1" applyFill="1" applyAlignment="1">
      <alignment horizontal="left" vertical="top"/>
    </xf>
  </cellXfs>
  <cellStyles count="40">
    <cellStyle name="Assumption" xfId="23" xr:uid="{E21B85CB-AE39-493C-90CF-A6033D394DF7}"/>
    <cellStyle name="Base_Input" xfId="12" xr:uid="{00000000-0005-0000-0000-000000000000}"/>
    <cellStyle name="Comma [0] 2" xfId="3" xr:uid="{00000000-0005-0000-0000-000002000000}"/>
    <cellStyle name="Comma 2" xfId="30" xr:uid="{50BDA386-AB13-404C-8C84-0EDF43721243}"/>
    <cellStyle name="Currency" xfId="34" builtinId="4"/>
    <cellStyle name="Currency 2 2" xfId="29" xr:uid="{F29057D5-5718-441F-8CAD-00B1D320E1EF}"/>
    <cellStyle name="Currency 3" xfId="38" xr:uid="{4AF9B4C0-FCA6-4F01-9A27-5303F4CB7DEA}"/>
    <cellStyle name="Empty_Cell" xfId="9" xr:uid="{00000000-0005-0000-0000-000004000000}"/>
    <cellStyle name="Explanatory Text" xfId="1" builtinId="53" customBuiltin="1"/>
    <cellStyle name="Fixed_input" xfId="24" xr:uid="{0B0B930C-107A-4F05-8A3E-C5F6EECE17A8}"/>
    <cellStyle name="Flag" xfId="4" xr:uid="{00000000-0005-0000-0000-000006000000}"/>
    <cellStyle name="Header1" xfId="16" xr:uid="{00000000-0005-0000-0000-000007000000}"/>
    <cellStyle name="Header1A" xfId="17" xr:uid="{00000000-0005-0000-0000-000008000000}"/>
    <cellStyle name="Header2" xfId="14" xr:uid="{00000000-0005-0000-0000-000009000000}"/>
    <cellStyle name="Header3" xfId="5" xr:uid="{00000000-0005-0000-0000-00000A000000}"/>
    <cellStyle name="Header4" xfId="15" xr:uid="{00000000-0005-0000-0000-00000B000000}"/>
    <cellStyle name="Insheet" xfId="6" xr:uid="{00000000-0005-0000-0000-00000D000000}"/>
    <cellStyle name="Line_SubTotal" xfId="7" xr:uid="{00000000-0005-0000-0000-00000E000000}"/>
    <cellStyle name="Normal" xfId="0" builtinId="0" customBuiltin="1"/>
    <cellStyle name="Normal 10" xfId="8" xr:uid="{00000000-0005-0000-0000-000011000000}"/>
    <cellStyle name="Normal 2" xfId="18" xr:uid="{59EBAEB1-13C8-4373-8DB4-B4C525DCEC98}"/>
    <cellStyle name="Normal 2 2" xfId="25" xr:uid="{D49C4081-9D03-4C8F-8778-34555D4B3E0F}"/>
    <cellStyle name="Normal 3" xfId="20" xr:uid="{9D4C47DD-E890-4097-9475-8567B8B53D92}"/>
    <cellStyle name="Normal 3 2" xfId="26" xr:uid="{50613177-AD5A-4CE0-A391-A4160267F944}"/>
    <cellStyle name="Normal 6" xfId="36" xr:uid="{2FAC0970-5A0C-4585-B4F5-870315D50D72}"/>
    <cellStyle name="Normal 8" xfId="28" xr:uid="{A72DEBFF-D704-40A2-B10B-0D568324BDB3}"/>
    <cellStyle name="Offsheet" xfId="10" xr:uid="{00000000-0005-0000-0000-000012000000}"/>
    <cellStyle name="Percent" xfId="35" builtinId="5"/>
    <cellStyle name="Percent 2" xfId="19" xr:uid="{39961233-90E2-46DE-A48A-52E8009F685E}"/>
    <cellStyle name="Percent 2 2" xfId="27" xr:uid="{E4F6E093-BFA5-41AA-B689-F440D86C5D1D}"/>
    <cellStyle name="Result" xfId="22" xr:uid="{6557DBFB-C674-4413-A044-F9C12EE60C25}"/>
    <cellStyle name="SAPBEXchaText" xfId="31" xr:uid="{0E4F5EA6-BF5A-4726-9442-1D1515967D2C}"/>
    <cellStyle name="SAPBEXstdData" xfId="33" xr:uid="{7156A851-9F09-4928-B15F-7F17704A7CC6}"/>
    <cellStyle name="SAPBEXstdItem" xfId="32" xr:uid="{8455FEEE-1A7C-4D32-AFFB-F3460713D3C3}"/>
    <cellStyle name="Table Heading" xfId="37" xr:uid="{D986DEFA-9792-4ED7-8636-F08726088E2B}"/>
    <cellStyle name="Table Total Row" xfId="39" xr:uid="{F58BD73D-5F2C-4461-A127-41C346E71DE3}"/>
    <cellStyle name="Table_Heading" xfId="11" xr:uid="{00000000-0005-0000-0000-000013000000}"/>
    <cellStyle name="Unit" xfId="13" xr:uid="{00000000-0005-0000-0000-000014000000}"/>
    <cellStyle name="Units" xfId="21" xr:uid="{1AB48B31-3307-411F-96E5-E0E849D0DDE8}"/>
    <cellStyle name="User_Input_Actual" xfId="2" xr:uid="{00000000-0005-0000-0000-000015000000}"/>
  </cellStyles>
  <dxfs count="21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FF0000"/>
      </font>
    </dxf>
    <dxf>
      <font>
        <b val="0"/>
        <i val="0"/>
        <color theme="1" tint="0.34998626667073579"/>
      </font>
    </dxf>
    <dxf>
      <fill>
        <patternFill>
          <bgColor rgb="FFCCFFFF"/>
        </patternFill>
      </fill>
    </dxf>
    <dxf>
      <font>
        <color theme="0" tint="-0.24994659260841701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Medium9"/>
  <colors>
    <mruColors>
      <color rgb="FF66FFFF"/>
      <color rgb="FF00215B"/>
      <color rgb="FF3333FF"/>
      <color rgb="FFFFFFCC"/>
      <color rgb="FFF2F2F2"/>
      <color rgb="FFFABFA8"/>
      <color rgb="FF882B3C"/>
      <color rgb="FFEE2A24"/>
      <color rgb="FFCC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0163746447994599E-2"/>
          <c:y val="6.7231498068280646E-2"/>
          <c:w val="0.89562073372082374"/>
          <c:h val="0.75931613806725873"/>
        </c:manualLayout>
      </c:layout>
      <c:lineChart>
        <c:grouping val="standard"/>
        <c:varyColors val="0"/>
        <c:ser>
          <c:idx val="0"/>
          <c:order val="0"/>
          <c:tx>
            <c:strRef>
              <c:f>Consol!$H$91</c:f>
              <c:strCache>
                <c:ptCount val="1"/>
                <c:pt idx="0">
                  <c:v>Option 2 annualised capex</c:v>
                </c:pt>
              </c:strCache>
            </c:strRef>
          </c:tx>
          <c:spPr>
            <a:ln w="28575" cap="rnd">
              <a:solidFill>
                <a:srgbClr val="0079C1"/>
              </a:solidFill>
              <a:round/>
            </a:ln>
            <a:effectLst/>
          </c:spPr>
          <c:marker>
            <c:symbol val="none"/>
          </c:marker>
          <c:cat>
            <c:strRef>
              <c:f>Consol!$I$88:$W$88</c:f>
              <c:strCache>
                <c:ptCount val="15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  <c:pt idx="10">
                  <c:v>FY37</c:v>
                </c:pt>
                <c:pt idx="11">
                  <c:v>FY38</c:v>
                </c:pt>
                <c:pt idx="12">
                  <c:v>FY39</c:v>
                </c:pt>
                <c:pt idx="13">
                  <c:v>FY40</c:v>
                </c:pt>
                <c:pt idx="14">
                  <c:v>FY41</c:v>
                </c:pt>
              </c:strCache>
            </c:strRef>
          </c:cat>
          <c:val>
            <c:numRef>
              <c:f>Consol!$I$91:$R$91</c:f>
              <c:numCache>
                <c:formatCode>#,##0.0;[Red]\ \-#,##0.0;\ "-"</c:formatCode>
                <c:ptCount val="10"/>
                <c:pt idx="0">
                  <c:v>0.3585680049468325</c:v>
                </c:pt>
                <c:pt idx="1">
                  <c:v>0.3585680049468325</c:v>
                </c:pt>
                <c:pt idx="2">
                  <c:v>0.3585680049468325</c:v>
                </c:pt>
                <c:pt idx="3">
                  <c:v>0.3585680049468325</c:v>
                </c:pt>
                <c:pt idx="4">
                  <c:v>0.3585680049468325</c:v>
                </c:pt>
                <c:pt idx="5">
                  <c:v>0.3585680049468325</c:v>
                </c:pt>
                <c:pt idx="6">
                  <c:v>0.3585680049468325</c:v>
                </c:pt>
                <c:pt idx="7">
                  <c:v>0.3585680049468325</c:v>
                </c:pt>
                <c:pt idx="8">
                  <c:v>0.3585680049468325</c:v>
                </c:pt>
                <c:pt idx="9">
                  <c:v>0.3585680049468325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6E-4088-A167-E1DEAE4ABC30}"/>
            </c:ext>
          </c:extLst>
        </c:ser>
        <c:ser>
          <c:idx val="1"/>
          <c:order val="1"/>
          <c:tx>
            <c:strRef>
              <c:f>Consol!$H$92</c:f>
              <c:strCache>
                <c:ptCount val="1"/>
                <c:pt idx="0">
                  <c:v>Option 1 (base case) risk cost</c:v>
                </c:pt>
              </c:strCache>
            </c:strRef>
          </c:tx>
          <c:spPr>
            <a:ln w="28575" cap="rnd">
              <a:solidFill>
                <a:srgbClr val="ACD0E8"/>
              </a:solidFill>
              <a:round/>
            </a:ln>
            <a:effectLst/>
          </c:spPr>
          <c:marker>
            <c:symbol val="none"/>
          </c:marker>
          <c:cat>
            <c:strRef>
              <c:f>Consol!$I$88:$W$88</c:f>
              <c:strCache>
                <c:ptCount val="15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  <c:pt idx="10">
                  <c:v>FY37</c:v>
                </c:pt>
                <c:pt idx="11">
                  <c:v>FY38</c:v>
                </c:pt>
                <c:pt idx="12">
                  <c:v>FY39</c:v>
                </c:pt>
                <c:pt idx="13">
                  <c:v>FY40</c:v>
                </c:pt>
                <c:pt idx="14">
                  <c:v>FY41</c:v>
                </c:pt>
              </c:strCache>
            </c:strRef>
          </c:cat>
          <c:val>
            <c:numRef>
              <c:f>Consol!$I$92:$R$92</c:f>
              <c:numCache>
                <c:formatCode>#,##0.0;[Red]\ \-#,##0.0;\ "-"</c:formatCode>
                <c:ptCount val="10"/>
                <c:pt idx="0">
                  <c:v>1.0269514017749442</c:v>
                </c:pt>
                <c:pt idx="1">
                  <c:v>1.0803706703299054</c:v>
                </c:pt>
                <c:pt idx="2">
                  <c:v>1.1318149772571873</c:v>
                </c:pt>
                <c:pt idx="3">
                  <c:v>1.1822951529400534</c:v>
                </c:pt>
                <c:pt idx="4">
                  <c:v>1.2318349473228363</c:v>
                </c:pt>
                <c:pt idx="5">
                  <c:v>1.2855298787109462</c:v>
                </c:pt>
                <c:pt idx="6">
                  <c:v>1.3512722928394132</c:v>
                </c:pt>
                <c:pt idx="7">
                  <c:v>1.4202517301614417</c:v>
                </c:pt>
                <c:pt idx="8">
                  <c:v>1.4772046868223943</c:v>
                </c:pt>
                <c:pt idx="9">
                  <c:v>1.5150311987205971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6E-4088-A167-E1DEAE4ABC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78026431"/>
        <c:axId val="1578022271"/>
      </c:lineChart>
      <c:catAx>
        <c:axId val="1578026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" lastClr="FFFFFF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2271"/>
        <c:crosses val="autoZero"/>
        <c:auto val="1"/>
        <c:lblAlgn val="ctr"/>
        <c:lblOffset val="100"/>
        <c:noMultiLvlLbl val="0"/>
      </c:catAx>
      <c:valAx>
        <c:axId val="15780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" lastClr="FFFFFF"/>
              </a:solidFill>
              <a:round/>
            </a:ln>
            <a:effectLst/>
          </c:spPr>
        </c:majorGridlines>
        <c:numFmt formatCode="#,##0.0;[Red]\ \ \-#,##0.0;\ &quot;-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64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40349075582219E-2"/>
          <c:y val="0.91674025677597648"/>
          <c:w val="0.97443796425947038"/>
          <c:h val="8.31411888515463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447261</xdr:colOff>
      <xdr:row>1</xdr:row>
      <xdr:rowOff>16563</xdr:rowOff>
    </xdr:from>
    <xdr:to>
      <xdr:col>10</xdr:col>
      <xdr:colOff>265634</xdr:colOff>
      <xdr:row>2</xdr:row>
      <xdr:rowOff>151775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712BCC6-C173-42FF-A9BC-31DE36F0C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391" y="207063"/>
          <a:ext cx="1044200" cy="4333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114609</xdr:colOff>
      <xdr:row>38</xdr:row>
      <xdr:rowOff>110318</xdr:rowOff>
    </xdr:from>
    <xdr:to>
      <xdr:col>5</xdr:col>
      <xdr:colOff>125991</xdr:colOff>
      <xdr:row>57</xdr:row>
      <xdr:rowOff>117553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F4FA90B-26EA-4B2F-BB30-10702267B2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729751</xdr:colOff>
          <xdr:row>8</xdr:row>
          <xdr:rowOff>118773</xdr:rowOff>
        </xdr:from>
        <xdr:to>
          <xdr:col>13</xdr:col>
          <xdr:colOff>61447</xdr:colOff>
          <xdr:row>10</xdr:row>
          <xdr:rowOff>131089</xdr:rowOff>
        </xdr:to>
        <xdr:pic>
          <xdr:nvPicPr>
            <xdr:cNvPr id="3" name="Picture 2">
              <a:extLst>
                <a:ext uri="{FF2B5EF4-FFF2-40B4-BE49-F238E27FC236}">
                  <a16:creationId xmlns:a16="http://schemas.microsoft.com/office/drawing/2014/main" id="{E82B1651-56B8-002E-EA93-9D5D6C5D809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AA$31:$AD$32" spid="_x0000_s25437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5799168" y="1536940"/>
              <a:ext cx="3596779" cy="329816"/>
            </a:xfrm>
            <a:prstGeom prst="rect">
              <a:avLst/>
            </a:prstGeom>
            <a:solidFill>
              <a:schemeClr val="bg1"/>
            </a:solidFill>
            <a:effectLst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433916</xdr:colOff>
          <xdr:row>0</xdr:row>
          <xdr:rowOff>232834</xdr:rowOff>
        </xdr:from>
        <xdr:to>
          <xdr:col>18</xdr:col>
          <xdr:colOff>535516</xdr:colOff>
          <xdr:row>6</xdr:row>
          <xdr:rowOff>83609</xdr:rowOff>
        </xdr:to>
        <xdr:pic>
          <xdr:nvPicPr>
            <xdr:cNvPr id="4" name="Picture 3">
              <a:extLst>
                <a:ext uri="{FF2B5EF4-FFF2-40B4-BE49-F238E27FC236}">
                  <a16:creationId xmlns:a16="http://schemas.microsoft.com/office/drawing/2014/main" id="{8F508DEC-47D7-CD31-F6EB-2DEF0BD75E9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AA$14:$AA$19" spid="_x0000_s25438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1641666" y="232834"/>
              <a:ext cx="1477433" cy="962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PC-Citipower">
    <a:dk1>
      <a:sysClr val="windowText" lastClr="000000"/>
    </a:dk1>
    <a:lt1>
      <a:sysClr val="window" lastClr="FFFFFF"/>
    </a:lt1>
    <a:dk2>
      <a:srgbClr val="000000"/>
    </a:dk2>
    <a:lt2>
      <a:srgbClr val="FFFFFF"/>
    </a:lt2>
    <a:accent1>
      <a:srgbClr val="1079BF"/>
    </a:accent1>
    <a:accent2>
      <a:srgbClr val="ACD0E8"/>
    </a:accent2>
    <a:accent3>
      <a:srgbClr val="DCDCDC"/>
    </a:accent3>
    <a:accent4>
      <a:srgbClr val="101F5B"/>
    </a:accent4>
    <a:accent5>
      <a:srgbClr val="1F3B8A"/>
    </a:accent5>
    <a:accent6>
      <a:srgbClr val="4C62A1"/>
    </a:accent6>
    <a:hlink>
      <a:srgbClr val="000000"/>
    </a:hlink>
    <a:folHlink>
      <a:srgbClr val="000000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93A8B-21F5-49D4-989F-F3848DBC1145}">
  <sheetPr codeName="Sheet11">
    <tabColor theme="2" tint="-0.749992370372631"/>
  </sheetPr>
  <dimension ref="A1:S41"/>
  <sheetViews>
    <sheetView showGridLines="0" tabSelected="1" zoomScale="115" zoomScaleNormal="115" workbookViewId="0"/>
  </sheetViews>
  <sheetFormatPr defaultColWidth="0" defaultRowHeight="15" customHeight="1" zeroHeight="1" x14ac:dyDescent="0.25"/>
  <cols>
    <col min="1" max="1" width="8" style="108" customWidth="1"/>
    <col min="2" max="2" width="1.875" style="108" customWidth="1"/>
    <col min="3" max="3" width="14" style="108" customWidth="1"/>
    <col min="4" max="4" width="8" style="108" customWidth="1"/>
    <col min="5" max="5" width="9.375" style="108" customWidth="1"/>
    <col min="6" max="11" width="8" style="108" customWidth="1"/>
    <col min="12" max="19" width="8" style="108" hidden="1" customWidth="1"/>
    <col min="20" max="16384" width="0" style="108" hidden="1"/>
  </cols>
  <sheetData>
    <row r="1" spans="1:19" x14ac:dyDescent="0.25">
      <c r="A1" s="262"/>
    </row>
    <row r="2" spans="1:19" ht="23.25" x14ac:dyDescent="0.35">
      <c r="A2" s="262"/>
      <c r="C2" s="263" t="s">
        <v>0</v>
      </c>
      <c r="D2" s="264"/>
      <c r="E2" s="264"/>
    </row>
    <row r="3" spans="1:19" ht="15.75" x14ac:dyDescent="0.25">
      <c r="A3" s="262"/>
      <c r="C3" s="265" t="s">
        <v>347</v>
      </c>
      <c r="D3" s="264"/>
      <c r="E3" s="264"/>
    </row>
    <row r="4" spans="1:19" x14ac:dyDescent="0.25">
      <c r="A4" s="262"/>
      <c r="D4" s="264"/>
      <c r="E4" s="264"/>
    </row>
    <row r="5" spans="1:19" x14ac:dyDescent="0.25">
      <c r="A5" s="262"/>
      <c r="C5" s="266" t="s">
        <v>1</v>
      </c>
    </row>
    <row r="6" spans="1:19" x14ac:dyDescent="0.25">
      <c r="A6" s="262"/>
      <c r="C6" s="267" t="s">
        <v>2</v>
      </c>
      <c r="D6" s="279" t="s">
        <v>346</v>
      </c>
      <c r="E6" s="267"/>
    </row>
    <row r="7" spans="1:19" x14ac:dyDescent="0.25">
      <c r="A7" s="262"/>
      <c r="F7" s="268"/>
      <c r="G7" s="268"/>
      <c r="H7" s="268"/>
      <c r="J7" s="268"/>
      <c r="K7" s="268"/>
      <c r="L7" s="268"/>
      <c r="M7" s="268"/>
      <c r="N7" s="268"/>
      <c r="O7" s="268"/>
      <c r="P7" s="268"/>
      <c r="Q7" s="268"/>
      <c r="R7" s="268"/>
      <c r="S7" s="268"/>
    </row>
    <row r="8" spans="1:19" x14ac:dyDescent="0.25">
      <c r="A8" s="262"/>
      <c r="C8" s="418">
        <v>45992</v>
      </c>
      <c r="F8" s="268"/>
      <c r="G8" s="268"/>
      <c r="H8" s="268"/>
      <c r="J8" s="268"/>
      <c r="K8" s="268"/>
      <c r="L8" s="268"/>
      <c r="M8" s="268"/>
      <c r="N8" s="268"/>
      <c r="O8" s="268"/>
      <c r="P8" s="268"/>
      <c r="Q8" s="268"/>
      <c r="R8" s="268"/>
      <c r="S8" s="268"/>
    </row>
    <row r="9" spans="1:19" x14ac:dyDescent="0.25">
      <c r="A9" s="262"/>
      <c r="C9" s="269"/>
      <c r="D9" s="269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268"/>
      <c r="Q9" s="268"/>
      <c r="R9" s="268"/>
      <c r="S9" s="268"/>
    </row>
    <row r="10" spans="1:19" x14ac:dyDescent="0.25">
      <c r="A10" s="262"/>
      <c r="C10" s="269"/>
      <c r="D10" s="269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268"/>
      <c r="Q10" s="268"/>
      <c r="R10" s="268"/>
      <c r="S10" s="268"/>
    </row>
    <row r="11" spans="1:19" x14ac:dyDescent="0.25">
      <c r="A11" s="262"/>
      <c r="C11" s="269"/>
      <c r="D11" s="269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268"/>
      <c r="Q11" s="268"/>
      <c r="R11" s="268"/>
      <c r="S11" s="268"/>
    </row>
    <row r="12" spans="1:19" x14ac:dyDescent="0.25">
      <c r="A12" s="262"/>
      <c r="C12" s="269"/>
      <c r="D12" s="269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268"/>
      <c r="Q12" s="268"/>
      <c r="R12" s="268"/>
      <c r="S12" s="268"/>
    </row>
    <row r="13" spans="1:19" x14ac:dyDescent="0.25">
      <c r="A13" s="262"/>
      <c r="C13" s="269"/>
      <c r="D13" s="269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268"/>
      <c r="Q13" s="268"/>
      <c r="R13" s="268"/>
      <c r="S13" s="268"/>
    </row>
    <row r="14" spans="1:19" x14ac:dyDescent="0.25">
      <c r="A14" s="262"/>
      <c r="C14" s="268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268"/>
      <c r="Q14" s="268"/>
      <c r="R14" s="268"/>
      <c r="S14" s="268"/>
    </row>
    <row r="15" spans="1:19" x14ac:dyDescent="0.25">
      <c r="A15" s="262"/>
      <c r="C15" s="266"/>
      <c r="D15" s="268"/>
      <c r="E15" s="268"/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</row>
    <row r="16" spans="1:19" x14ac:dyDescent="0.25">
      <c r="A16" s="262"/>
      <c r="C16" s="266"/>
      <c r="D16" s="268"/>
      <c r="E16" s="268"/>
      <c r="F16" s="268"/>
      <c r="G16" s="268"/>
      <c r="H16" s="268"/>
      <c r="I16" s="268"/>
      <c r="J16" s="268"/>
      <c r="K16" s="268"/>
      <c r="L16" s="268"/>
      <c r="M16" s="268"/>
      <c r="N16" s="268"/>
      <c r="O16" s="268"/>
      <c r="P16" s="268"/>
      <c r="Q16" s="268"/>
      <c r="R16" s="268"/>
      <c r="S16" s="268"/>
    </row>
    <row r="17" spans="1:19" x14ac:dyDescent="0.25">
      <c r="A17" s="262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  <c r="S17" s="268"/>
    </row>
    <row r="18" spans="1:19" x14ac:dyDescent="0.25">
      <c r="A18" s="262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8"/>
      <c r="P18" s="268"/>
      <c r="Q18" s="268"/>
      <c r="R18" s="268"/>
      <c r="S18" s="268"/>
    </row>
    <row r="19" spans="1:19" x14ac:dyDescent="0.25">
      <c r="A19" s="262"/>
      <c r="C19" s="268"/>
      <c r="D19" s="268"/>
      <c r="E19" s="268"/>
      <c r="F19" s="268"/>
      <c r="G19"/>
      <c r="H19" s="268"/>
      <c r="I19" s="268"/>
      <c r="J19" s="268"/>
      <c r="K19" s="268"/>
      <c r="L19" s="268"/>
      <c r="M19" s="268"/>
      <c r="N19" s="268"/>
      <c r="O19" s="268"/>
      <c r="P19" s="268"/>
      <c r="Q19" s="268"/>
      <c r="R19" s="268"/>
      <c r="S19" s="268"/>
    </row>
    <row r="20" spans="1:19" x14ac:dyDescent="0.25">
      <c r="A20" s="262"/>
      <c r="C20" s="268"/>
      <c r="D20" s="268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268"/>
    </row>
    <row r="21" spans="1:19" ht="16.5" customHeight="1" x14ac:dyDescent="0.25">
      <c r="A21" s="262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</row>
    <row r="22" spans="1:19" x14ac:dyDescent="0.25">
      <c r="A22" s="262"/>
      <c r="C22" s="268"/>
      <c r="D22" s="268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268"/>
    </row>
    <row r="23" spans="1:19" x14ac:dyDescent="0.25">
      <c r="A23" s="262"/>
      <c r="C23" s="268"/>
      <c r="D23" s="268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268"/>
    </row>
    <row r="24" spans="1:19" x14ac:dyDescent="0.25">
      <c r="A24" s="262"/>
      <c r="C24" s="268"/>
      <c r="D24" s="268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268"/>
    </row>
    <row r="25" spans="1:19" x14ac:dyDescent="0.25">
      <c r="A25" s="262"/>
      <c r="C25" s="268"/>
      <c r="D25" s="268"/>
      <c r="E25" s="268"/>
      <c r="F25" s="268"/>
      <c r="G25" s="268"/>
      <c r="H25" s="268"/>
      <c r="I25" s="268"/>
      <c r="J25" s="268"/>
      <c r="K25" s="268"/>
      <c r="L25" s="268"/>
      <c r="M25" s="268"/>
      <c r="N25" s="268"/>
      <c r="O25" s="268"/>
      <c r="P25" s="268"/>
      <c r="Q25" s="268"/>
      <c r="R25" s="268"/>
      <c r="S25" s="268"/>
    </row>
    <row r="26" spans="1:19" x14ac:dyDescent="0.25">
      <c r="A26" s="262"/>
      <c r="C26" s="268"/>
      <c r="D26" s="268"/>
      <c r="E26" s="268"/>
      <c r="F26" s="268"/>
      <c r="G26" s="268"/>
      <c r="H26" s="268"/>
      <c r="I26" s="268"/>
      <c r="J26" s="268"/>
      <c r="K26" s="268"/>
      <c r="L26" s="268"/>
      <c r="M26" s="268"/>
      <c r="N26" s="268"/>
      <c r="O26" s="268"/>
      <c r="P26" s="268"/>
      <c r="Q26" s="268"/>
      <c r="R26" s="268"/>
      <c r="S26" s="268"/>
    </row>
    <row r="27" spans="1:19" x14ac:dyDescent="0.25">
      <c r="A27" s="262"/>
      <c r="C27" s="268"/>
      <c r="D27" s="268"/>
      <c r="E27" s="268"/>
      <c r="F27" s="268"/>
      <c r="G27" s="268"/>
      <c r="H27" s="268"/>
      <c r="I27" s="268"/>
      <c r="J27" s="268"/>
      <c r="K27" s="268"/>
      <c r="L27" s="268"/>
      <c r="M27" s="268"/>
      <c r="N27" s="268"/>
      <c r="O27" s="268"/>
      <c r="P27" s="268"/>
      <c r="Q27" s="268"/>
      <c r="R27" s="268"/>
      <c r="S27" s="268"/>
    </row>
    <row r="28" spans="1:19" x14ac:dyDescent="0.25">
      <c r="A28" s="262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S28" s="268"/>
    </row>
    <row r="29" spans="1:19" x14ac:dyDescent="0.25">
      <c r="A29" s="262"/>
      <c r="C29" s="268"/>
      <c r="D29" s="268"/>
      <c r="E29" s="268"/>
      <c r="F29" s="268"/>
      <c r="G29" s="268"/>
      <c r="H29" s="268"/>
      <c r="I29" s="268"/>
      <c r="J29" s="268"/>
      <c r="K29" s="268"/>
      <c r="L29" s="268"/>
      <c r="M29" s="268"/>
      <c r="N29" s="268"/>
      <c r="O29" s="268"/>
      <c r="P29" s="268"/>
      <c r="Q29" s="268"/>
      <c r="R29" s="268"/>
      <c r="S29" s="268"/>
    </row>
    <row r="30" spans="1:19" x14ac:dyDescent="0.25">
      <c r="A30" s="262"/>
      <c r="C30" s="268"/>
      <c r="E30" s="268"/>
      <c r="F30" s="268"/>
      <c r="G30" s="268"/>
      <c r="H30" s="268"/>
      <c r="I30" s="268"/>
      <c r="J30" s="268"/>
      <c r="K30" s="268"/>
      <c r="L30" s="268"/>
      <c r="M30" s="268"/>
      <c r="N30" s="268"/>
      <c r="O30" s="268"/>
      <c r="P30" s="268"/>
      <c r="Q30" s="268"/>
      <c r="R30" s="268"/>
      <c r="S30" s="268"/>
    </row>
    <row r="31" spans="1:19" x14ac:dyDescent="0.25">
      <c r="A31" s="262"/>
      <c r="C31" s="268"/>
      <c r="D31" s="268"/>
      <c r="E31" s="268"/>
      <c r="F31" s="268"/>
      <c r="G31" s="268"/>
      <c r="H31" s="268"/>
      <c r="I31" s="268"/>
      <c r="J31" s="268"/>
      <c r="K31" s="268"/>
      <c r="L31" s="268"/>
      <c r="M31" s="268"/>
      <c r="N31" s="268"/>
      <c r="O31" s="268"/>
      <c r="P31" s="268"/>
      <c r="Q31" s="268"/>
      <c r="R31" s="268"/>
      <c r="S31" s="268"/>
    </row>
    <row r="32" spans="1:19" x14ac:dyDescent="0.25">
      <c r="A32" s="262"/>
      <c r="C32" s="268"/>
      <c r="D32" s="268"/>
      <c r="E32" s="268"/>
      <c r="F32" s="268"/>
      <c r="G32" s="268"/>
      <c r="H32" s="268"/>
      <c r="I32" s="268"/>
      <c r="J32" s="268"/>
      <c r="K32" s="268"/>
      <c r="L32" s="268"/>
      <c r="M32" s="268"/>
      <c r="N32" s="268"/>
      <c r="O32" s="268"/>
      <c r="P32" s="268"/>
      <c r="Q32" s="268"/>
      <c r="R32" s="268"/>
      <c r="S32" s="268"/>
    </row>
    <row r="33" spans="1:19" x14ac:dyDescent="0.25">
      <c r="A33" s="262"/>
      <c r="E33" s="268"/>
      <c r="F33" s="268"/>
      <c r="G33" s="268"/>
      <c r="H33" s="268"/>
      <c r="I33" s="268"/>
      <c r="J33" s="268"/>
      <c r="K33" s="268"/>
      <c r="L33" s="268"/>
      <c r="M33" s="268"/>
      <c r="N33" s="268"/>
      <c r="O33" s="268"/>
      <c r="P33" s="268"/>
      <c r="Q33" s="268"/>
      <c r="R33" s="268"/>
      <c r="S33" s="268"/>
    </row>
    <row r="34" spans="1:19" x14ac:dyDescent="0.25">
      <c r="A34" s="262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</row>
    <row r="35" spans="1:19" x14ac:dyDescent="0.25">
      <c r="A35" s="262"/>
      <c r="C35" s="268"/>
      <c r="D35" s="268"/>
      <c r="E35" s="268"/>
      <c r="F35" s="268"/>
      <c r="G35" s="268"/>
      <c r="H35" s="268"/>
      <c r="I35" s="268"/>
      <c r="J35" s="268"/>
      <c r="K35" s="268"/>
      <c r="L35" s="268"/>
      <c r="M35" s="268"/>
      <c r="N35" s="268"/>
      <c r="O35" s="268"/>
      <c r="P35" s="268"/>
      <c r="Q35" s="268"/>
      <c r="R35" s="268"/>
      <c r="S35" s="268"/>
    </row>
    <row r="36" spans="1:19" x14ac:dyDescent="0.25">
      <c r="A36" s="262"/>
    </row>
    <row r="37" spans="1:19" x14ac:dyDescent="0.25">
      <c r="A37" s="262"/>
    </row>
    <row r="38" spans="1:19" x14ac:dyDescent="0.25">
      <c r="A38" s="262"/>
    </row>
    <row r="39" spans="1:19" x14ac:dyDescent="0.25">
      <c r="A39" s="262"/>
    </row>
    <row r="40" spans="1:19" x14ac:dyDescent="0.25">
      <c r="A40" s="262">
        <f ca="1">_xlfn.SHEETS()</f>
        <v>16</v>
      </c>
    </row>
    <row r="41" spans="1:19" x14ac:dyDescent="0.25">
      <c r="A41" s="416">
        <v>45789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1737E-41CF-42A2-A119-76A4B8382B50}">
  <sheetPr codeName="Sheet19">
    <tabColor rgb="FFFFFF00"/>
    <pageSetUpPr fitToPage="1"/>
  </sheetPr>
  <dimension ref="A1:AK1328"/>
  <sheetViews>
    <sheetView showGridLines="0" zoomScale="70" zoomScaleNormal="70" workbookViewId="0">
      <pane xSplit="7" ySplit="10" topLeftCell="H11" activePane="bottomRight" state="frozen"/>
      <selection activeCell="A3" sqref="A3"/>
      <selection pane="topRight" activeCell="A3" sqref="A3"/>
      <selection pane="bottomLeft" activeCell="A3" sqref="A3"/>
      <selection pane="bottomRight" activeCell="A3" sqref="A3"/>
    </sheetView>
  </sheetViews>
  <sheetFormatPr defaultColWidth="0" defaultRowHeight="12.75" zeroHeight="1" outlineLevelRow="1" x14ac:dyDescent="0.2"/>
  <cols>
    <col min="1" max="1" width="8.125" style="8" customWidth="1"/>
    <col min="2" max="2" width="20.75" style="8" customWidth="1"/>
    <col min="3" max="3" width="20.5" style="8" customWidth="1"/>
    <col min="4" max="4" width="16.875" style="8" bestFit="1" customWidth="1"/>
    <col min="5" max="5" width="12.375" style="8" customWidth="1"/>
    <col min="6" max="6" width="14.25" customWidth="1"/>
    <col min="7" max="7" width="11.625" style="8" customWidth="1"/>
    <col min="8" max="8" width="10" style="8" customWidth="1"/>
    <col min="9" max="33" width="11" style="8" customWidth="1"/>
    <col min="34" max="35" width="9" style="8" customWidth="1"/>
    <col min="36" max="37" width="0" style="8" hidden="1" customWidth="1"/>
    <col min="38" max="16384" width="9" style="8" hidden="1"/>
  </cols>
  <sheetData>
    <row r="1" spans="1:33" s="6" customFormat="1" ht="18.75" x14ac:dyDescent="0.3">
      <c r="A1" s="13" t="str">
        <f>bus</f>
        <v>CitiPower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3" s="6" customFormat="1" ht="18.75" x14ac:dyDescent="0.3">
      <c r="A2" s="50" t="str">
        <f>proj</f>
        <v>NC transformer replacement</v>
      </c>
      <c r="B2" s="50"/>
      <c r="C2" s="50"/>
      <c r="D2" s="50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3" s="2" customFormat="1" ht="18.75" x14ac:dyDescent="0.3">
      <c r="A3" s="177" t="s">
        <v>166</v>
      </c>
      <c r="B3" s="5"/>
      <c r="D3" s="31"/>
      <c r="E3" s="31"/>
      <c r="F3" s="31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3" s="2" customFormat="1" ht="6.75" customHeight="1" x14ac:dyDescent="0.2">
      <c r="A4" s="101"/>
      <c r="B4" s="101"/>
      <c r="D4" s="85"/>
      <c r="E4" s="85"/>
      <c r="F4" s="85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</row>
    <row r="5" spans="1:33" s="2" customFormat="1" hidden="1" outlineLevel="1" x14ac:dyDescent="0.2">
      <c r="A5" s="85" t="s">
        <v>162</v>
      </c>
      <c r="B5" s="85"/>
      <c r="D5" s="86"/>
      <c r="E5" s="85"/>
      <c r="F5" s="85"/>
      <c r="G5" s="88"/>
      <c r="H5" s="163">
        <f>Consol!H5</f>
        <v>0</v>
      </c>
      <c r="I5" s="163">
        <f>Consol!I5</f>
        <v>0.98294637436598087</v>
      </c>
      <c r="J5" s="163">
        <f>Consol!J5</f>
        <v>0.94970664189949849</v>
      </c>
      <c r="K5" s="163">
        <f>Consol!K5</f>
        <v>0.91759095835700344</v>
      </c>
      <c r="L5" s="163">
        <f>Consol!L5</f>
        <v>0.88656131242222558</v>
      </c>
      <c r="M5" s="163">
        <f>Consol!M5</f>
        <v>0.85658097818572532</v>
      </c>
      <c r="N5" s="163">
        <f>Consol!N5</f>
        <v>0.8276144716770294</v>
      </c>
      <c r="O5" s="163">
        <f>Consol!O5</f>
        <v>0.79962750886669509</v>
      </c>
      <c r="P5" s="163">
        <f>Consol!P5</f>
        <v>0.77258696508859437</v>
      </c>
      <c r="Q5" s="163">
        <f>Consol!Q5</f>
        <v>0.74646083583439071</v>
      </c>
      <c r="R5" s="163">
        <f>Consol!R5</f>
        <v>0.72121819887380756</v>
      </c>
      <c r="S5" s="163">
        <f>Consol!S5</f>
        <v>0.69682917765585273</v>
      </c>
      <c r="T5" s="163">
        <f>Consol!T5</f>
        <v>0.67326490594768384</v>
      </c>
      <c r="U5" s="163">
        <f>Consol!U5</f>
        <v>0.6504974936692598</v>
      </c>
      <c r="V5" s="163">
        <f>Consol!V5</f>
        <v>0.62849999388334288</v>
      </c>
      <c r="W5" s="163">
        <f>Consol!W5</f>
        <v>0.60724637090178057</v>
      </c>
      <c r="X5" s="163">
        <f>Consol!X5</f>
        <v>0.58671146947031949</v>
      </c>
      <c r="Y5" s="163">
        <f>Consol!Y5</f>
        <v>0.56687098499547783</v>
      </c>
      <c r="Z5" s="163">
        <f>Consol!Z5</f>
        <v>0.54770143477823952</v>
      </c>
      <c r="AA5" s="163">
        <f>Consol!AA5</f>
        <v>0.52918013022052135</v>
      </c>
      <c r="AB5" s="163">
        <f>Consol!AB5</f>
        <v>0.5112851499715183</v>
      </c>
      <c r="AC5" s="163">
        <f>Consol!AC5</f>
        <v>0.4939953139821433</v>
      </c>
      <c r="AD5" s="163">
        <f>Consol!AD5</f>
        <v>0.47729015843685346</v>
      </c>
      <c r="AE5" s="163">
        <f>Consol!AE5</f>
        <v>0.46114991153319179</v>
      </c>
      <c r="AF5" s="163">
        <f>Consol!AF5</f>
        <v>0.4455554700803786</v>
      </c>
      <c r="AG5" s="163">
        <f>Consol!AG5</f>
        <v>0.43048837688925473</v>
      </c>
    </row>
    <row r="6" spans="1:33" s="2" customFormat="1" hidden="1" outlineLevel="1" x14ac:dyDescent="0.2">
      <c r="A6" s="164" t="str">
        <f>'Option1 (base case)'!A6</f>
        <v>Count</v>
      </c>
      <c r="B6" s="85"/>
      <c r="D6" s="86"/>
      <c r="E6" s="85"/>
      <c r="F6" s="85"/>
      <c r="G6" s="88"/>
      <c r="H6" s="164">
        <f>Consol!H6</f>
        <v>0</v>
      </c>
      <c r="I6" s="164">
        <f>Consol!I6</f>
        <v>1</v>
      </c>
      <c r="J6" s="164">
        <f>Consol!J6</f>
        <v>2</v>
      </c>
      <c r="K6" s="164">
        <f>Consol!K6</f>
        <v>3</v>
      </c>
      <c r="L6" s="164">
        <f>Consol!L6</f>
        <v>4</v>
      </c>
      <c r="M6" s="164">
        <f>Consol!M6</f>
        <v>5</v>
      </c>
      <c r="N6" s="164">
        <f>Consol!N6</f>
        <v>6</v>
      </c>
      <c r="O6" s="164">
        <f>Consol!O6</f>
        <v>7</v>
      </c>
      <c r="P6" s="164">
        <f>Consol!P6</f>
        <v>8</v>
      </c>
      <c r="Q6" s="164">
        <f>Consol!Q6</f>
        <v>9</v>
      </c>
      <c r="R6" s="164">
        <f>Consol!R6</f>
        <v>10</v>
      </c>
      <c r="S6" s="164">
        <f>Consol!S6</f>
        <v>11</v>
      </c>
      <c r="T6" s="164">
        <f>Consol!T6</f>
        <v>12</v>
      </c>
      <c r="U6" s="164">
        <f>Consol!U6</f>
        <v>13</v>
      </c>
      <c r="V6" s="164">
        <f>Consol!V6</f>
        <v>14</v>
      </c>
      <c r="W6" s="164">
        <f>Consol!W6</f>
        <v>15</v>
      </c>
      <c r="X6" s="164">
        <f>Consol!X6</f>
        <v>16</v>
      </c>
      <c r="Y6" s="164">
        <f>Consol!Y6</f>
        <v>17</v>
      </c>
      <c r="Z6" s="164">
        <f>Consol!Z6</f>
        <v>18</v>
      </c>
      <c r="AA6" s="164">
        <f>Consol!AA6</f>
        <v>19</v>
      </c>
      <c r="AB6" s="164">
        <f>Consol!AB6</f>
        <v>20</v>
      </c>
      <c r="AC6" s="164">
        <f>Consol!AC6</f>
        <v>21</v>
      </c>
      <c r="AD6" s="164">
        <f>Consol!AD6</f>
        <v>22</v>
      </c>
      <c r="AE6" s="164">
        <f>Consol!AE6</f>
        <v>23</v>
      </c>
      <c r="AF6" s="164">
        <f>Consol!AF6</f>
        <v>24</v>
      </c>
      <c r="AG6" s="164">
        <f>Consol!AG6</f>
        <v>25</v>
      </c>
    </row>
    <row r="7" spans="1:33" s="2" customFormat="1" hidden="1" outlineLevel="1" x14ac:dyDescent="0.2">
      <c r="A7" s="85" t="s">
        <v>163</v>
      </c>
      <c r="B7" s="85"/>
      <c r="D7" s="86"/>
      <c r="E7" s="85"/>
      <c r="F7" s="85"/>
      <c r="G7" s="88"/>
      <c r="H7" s="223" t="b">
        <f>Consol!H7</f>
        <v>1</v>
      </c>
      <c r="I7" s="223" t="b">
        <f>Consol!I7</f>
        <v>1</v>
      </c>
      <c r="J7" s="223" t="b">
        <f>Consol!J7</f>
        <v>1</v>
      </c>
      <c r="K7" s="223" t="b">
        <f>Consol!K7</f>
        <v>1</v>
      </c>
      <c r="L7" s="223" t="b">
        <f>Consol!L7</f>
        <v>1</v>
      </c>
      <c r="M7" s="223" t="b">
        <f>Consol!M7</f>
        <v>1</v>
      </c>
      <c r="N7" s="223" t="b">
        <f>Consol!N7</f>
        <v>1</v>
      </c>
      <c r="O7" s="223" t="b">
        <f>Consol!O7</f>
        <v>1</v>
      </c>
      <c r="P7" s="223" t="b">
        <f>Consol!P7</f>
        <v>1</v>
      </c>
      <c r="Q7" s="223" t="b">
        <f>Consol!Q7</f>
        <v>1</v>
      </c>
      <c r="R7" s="223" t="b">
        <f>Consol!R7</f>
        <v>1</v>
      </c>
      <c r="S7" s="223" t="b">
        <f>Consol!S7</f>
        <v>1</v>
      </c>
      <c r="T7" s="223" t="b">
        <f>Consol!T7</f>
        <v>1</v>
      </c>
      <c r="U7" s="223" t="b">
        <f>Consol!U7</f>
        <v>1</v>
      </c>
      <c r="V7" s="223" t="b">
        <f>Consol!V7</f>
        <v>1</v>
      </c>
      <c r="W7" s="223" t="b">
        <f>Consol!W7</f>
        <v>1</v>
      </c>
      <c r="X7" s="223" t="b">
        <f>Consol!X7</f>
        <v>1</v>
      </c>
      <c r="Y7" s="223" t="b">
        <f>Consol!Y7</f>
        <v>1</v>
      </c>
      <c r="Z7" s="223" t="b">
        <f>Consol!Z7</f>
        <v>1</v>
      </c>
      <c r="AA7" s="223" t="b">
        <f>Consol!AA7</f>
        <v>1</v>
      </c>
      <c r="AB7" s="223" t="b">
        <f>Consol!AB7</f>
        <v>1</v>
      </c>
      <c r="AC7" s="223" t="b">
        <f>Consol!AC7</f>
        <v>0</v>
      </c>
      <c r="AD7" s="223" t="b">
        <f>Consol!AD7</f>
        <v>0</v>
      </c>
      <c r="AE7" s="223" t="b">
        <f>Consol!AE7</f>
        <v>0</v>
      </c>
      <c r="AF7" s="223" t="b">
        <f>Consol!AF7</f>
        <v>0</v>
      </c>
      <c r="AG7" s="223" t="b">
        <f>Consol!AG7</f>
        <v>0</v>
      </c>
    </row>
    <row r="8" spans="1:33" s="2" customFormat="1" ht="4.5" customHeight="1" collapsed="1" x14ac:dyDescent="0.2"/>
    <row r="9" spans="1:33" s="2" customFormat="1" ht="15" x14ac:dyDescent="0.25">
      <c r="A9" s="17"/>
      <c r="B9" s="17"/>
      <c r="C9" s="17"/>
      <c r="D9" s="17"/>
      <c r="E9" s="17"/>
      <c r="F9" s="73"/>
      <c r="G9" s="18"/>
      <c r="H9" s="270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3" s="2" customFormat="1" x14ac:dyDescent="0.2">
      <c r="D10" s="7"/>
      <c r="E10" s="7"/>
      <c r="G10" s="194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3" s="2" customFormat="1" ht="15" x14ac:dyDescent="0.2">
      <c r="A11" s="78"/>
      <c r="B11" s="78"/>
      <c r="C11" s="78"/>
      <c r="D11" s="79"/>
      <c r="E11" s="79"/>
      <c r="F11" s="63" t="s">
        <v>4</v>
      </c>
      <c r="G11" s="195"/>
      <c r="H11" s="102" t="str" cm="1">
        <f t="array" ref="H11">IF(H6=$D$4,UPPER($A$4),IF(H6=end, "END", ""))</f>
        <v/>
      </c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</row>
    <row r="12" spans="1:33" s="2" customFormat="1" x14ac:dyDescent="0.2">
      <c r="A12" s="216"/>
      <c r="B12" s="216"/>
      <c r="C12" s="216"/>
      <c r="D12" s="216"/>
      <c r="E12" s="216"/>
      <c r="F12" s="216"/>
      <c r="G12" s="217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>
        <f>Consol!AA36</f>
        <v>985967.81293225521</v>
      </c>
      <c r="AA12" s="28">
        <f>Consol!AB36</f>
        <v>996147.03016916406</v>
      </c>
      <c r="AB12" s="28">
        <f>Consol!AC36</f>
        <v>0</v>
      </c>
      <c r="AC12" s="28">
        <f>Consol!AD36</f>
        <v>0</v>
      </c>
      <c r="AD12" s="28">
        <f>Consol!AE36</f>
        <v>0</v>
      </c>
      <c r="AE12" s="28">
        <f>Consol!AF36</f>
        <v>0</v>
      </c>
      <c r="AF12" s="28">
        <f>Consol!AG36</f>
        <v>0</v>
      </c>
      <c r="AG12" s="217"/>
    </row>
    <row r="13" spans="1:33" s="2" customFormat="1" x14ac:dyDescent="0.2">
      <c r="A13" s="216"/>
      <c r="B13" s="216"/>
      <c r="C13" s="216"/>
      <c r="D13" s="216"/>
      <c r="E13" s="216"/>
      <c r="F13" s="216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7"/>
      <c r="AB13" s="217"/>
      <c r="AC13" s="217"/>
      <c r="AD13" s="217"/>
      <c r="AE13" s="217"/>
      <c r="AF13" s="217"/>
      <c r="AG13" s="217"/>
    </row>
    <row r="14" spans="1:33" s="2" customFormat="1" x14ac:dyDescent="0.2">
      <c r="A14" s="222" t="s">
        <v>105</v>
      </c>
      <c r="B14" s="222" t="s">
        <v>22</v>
      </c>
      <c r="C14" s="222" t="s">
        <v>147</v>
      </c>
      <c r="D14" s="222" t="str">
        <f>A14&amp;B14</f>
        <v>OPTION 1 (base case)NPV</v>
      </c>
      <c r="E14" s="214"/>
      <c r="F14" s="28">
        <f>SUMPRODUCT($H14:$AG14, $H$5:$AG$5)</f>
        <v>0</v>
      </c>
      <c r="G14" s="217"/>
      <c r="H14" s="28">
        <f>'Option1 (base case)'!I87*conv_2026</f>
        <v>0</v>
      </c>
      <c r="I14" s="28">
        <f>'Option1 (base case)'!J87*conv_2026</f>
        <v>0</v>
      </c>
      <c r="J14" s="28">
        <f>'Option1 (base case)'!K87*conv_2026</f>
        <v>0</v>
      </c>
      <c r="K14" s="28">
        <f>'Option1 (base case)'!L87*conv_2026</f>
        <v>0</v>
      </c>
      <c r="L14" s="28">
        <f>'Option1 (base case)'!M87*conv_2026</f>
        <v>0</v>
      </c>
      <c r="M14" s="28">
        <f>'Option1 (base case)'!N87*conv_2026</f>
        <v>0</v>
      </c>
      <c r="N14" s="28">
        <f>'Option1 (base case)'!O87*conv_2026</f>
        <v>0</v>
      </c>
      <c r="O14" s="28">
        <f>'Option1 (base case)'!P87*conv_2026</f>
        <v>0</v>
      </c>
      <c r="P14" s="28">
        <f>'Option1 (base case)'!Q87*conv_2026</f>
        <v>0</v>
      </c>
      <c r="Q14" s="28">
        <f>'Option1 (base case)'!R87*conv_2026</f>
        <v>0</v>
      </c>
      <c r="R14" s="28">
        <f>'Option1 (base case)'!S87*conv_2026</f>
        <v>0</v>
      </c>
      <c r="S14" s="28">
        <f>'Option1 (base case)'!T87*conv_2026</f>
        <v>0</v>
      </c>
      <c r="T14" s="28">
        <f>'Option1 (base case)'!U87*conv_2026</f>
        <v>0</v>
      </c>
      <c r="U14" s="28">
        <f>'Option1 (base case)'!V87*conv_2026</f>
        <v>0</v>
      </c>
      <c r="V14" s="28">
        <f>'Option1 (base case)'!W87*conv_2026</f>
        <v>0</v>
      </c>
      <c r="W14" s="28">
        <f>'Option1 (base case)'!X87*conv_2026</f>
        <v>0</v>
      </c>
      <c r="X14" s="28">
        <f>'Option1 (base case)'!Y87*conv_2026</f>
        <v>0</v>
      </c>
      <c r="Y14" s="28">
        <f>'Option1 (base case)'!Z87*conv_2026</f>
        <v>0</v>
      </c>
      <c r="Z14" s="28">
        <f>'Option1 (base case)'!AA87*conv_2026</f>
        <v>0</v>
      </c>
      <c r="AA14" s="28">
        <f>'Option1 (base case)'!AB87*conv_2026</f>
        <v>0</v>
      </c>
      <c r="AB14" s="28">
        <f>'Option1 (base case)'!AC87*conv_2026</f>
        <v>0</v>
      </c>
      <c r="AC14" s="28">
        <f>'Option1 (base case)'!AD87*conv_2026</f>
        <v>0</v>
      </c>
      <c r="AD14" s="28">
        <f>'Option1 (base case)'!AE87*conv_2026</f>
        <v>0</v>
      </c>
      <c r="AE14" s="28">
        <f>'Option1 (base case)'!AF87*conv_2026</f>
        <v>0</v>
      </c>
      <c r="AF14" s="28">
        <f>'Option1 (base case)'!AG87*conv_2026</f>
        <v>0</v>
      </c>
      <c r="AG14" s="28">
        <f>'Option1 (base case)'!AH87*conv_2026</f>
        <v>0</v>
      </c>
    </row>
    <row r="15" spans="1:33" s="2" customFormat="1" x14ac:dyDescent="0.2">
      <c r="A15" s="216"/>
      <c r="B15" s="216"/>
      <c r="C15" s="216"/>
      <c r="D15" s="216"/>
      <c r="E15" s="216"/>
      <c r="F15" s="216"/>
      <c r="G15" s="217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</row>
    <row r="16" spans="1:33" s="2" customFormat="1" x14ac:dyDescent="0.2">
      <c r="A16" s="222" t="s">
        <v>105</v>
      </c>
      <c r="B16" s="222" t="str">
        <f>'Option1 (base case)'!A110</f>
        <v>sens1</v>
      </c>
      <c r="C16" s="222" t="str">
        <f>'Option1 (base case)'!C110</f>
        <v>Capex 10% higher</v>
      </c>
      <c r="D16" s="222" t="str">
        <f t="shared" ref="D16:D23" si="0">A16&amp;B16</f>
        <v>OPTION 1 (base case)sens1</v>
      </c>
      <c r="E16" s="214"/>
      <c r="F16" s="28">
        <f>SUMPRODUCT($H16:$AG16, $H$5:$AG$5)</f>
        <v>0</v>
      </c>
      <c r="G16" s="217"/>
      <c r="H16" s="28">
        <f>(INDEX('Option1 (base case)'!H$106:H$117, MATCH($D16, 'Option1 (base case)'!$G$106:$G$117,0)))*conv_2026*H$7</f>
        <v>0</v>
      </c>
      <c r="I16" s="28">
        <f>(INDEX('Option1 (base case)'!I$106:I$117, MATCH($D16, 'Option1 (base case)'!$G$106:$G$117,0)))*conv_2026*I$7</f>
        <v>0</v>
      </c>
      <c r="J16" s="28">
        <f>(INDEX('Option1 (base case)'!J$106:J$117, MATCH($D16, 'Option1 (base case)'!$G$106:$G$117,0)))*conv_2026*J$7</f>
        <v>0</v>
      </c>
      <c r="K16" s="28">
        <f>(INDEX('Option1 (base case)'!K$106:K$117, MATCH($D16, 'Option1 (base case)'!$G$106:$G$117,0)))*conv_2026*K$7</f>
        <v>0</v>
      </c>
      <c r="L16" s="28">
        <f>(INDEX('Option1 (base case)'!L$106:L$117, MATCH($D16, 'Option1 (base case)'!$G$106:$G$117,0)))*conv_2026*L$7</f>
        <v>0</v>
      </c>
      <c r="M16" s="28">
        <f>(INDEX('Option1 (base case)'!M$106:M$117, MATCH($D16, 'Option1 (base case)'!$G$106:$G$117,0)))*conv_2026*M$7</f>
        <v>0</v>
      </c>
      <c r="N16" s="28">
        <f>(INDEX('Option1 (base case)'!N$106:N$117, MATCH($D16, 'Option1 (base case)'!$G$106:$G$117,0)))*conv_2026*N$7</f>
        <v>0</v>
      </c>
      <c r="O16" s="28">
        <f>(INDEX('Option1 (base case)'!O$106:O$117, MATCH($D16, 'Option1 (base case)'!$G$106:$G$117,0)))*conv_2026*O$7</f>
        <v>0</v>
      </c>
      <c r="P16" s="28">
        <f>(INDEX('Option1 (base case)'!P$106:P$117, MATCH($D16, 'Option1 (base case)'!$G$106:$G$117,0)))*conv_2026*P$7</f>
        <v>0</v>
      </c>
      <c r="Q16" s="28">
        <f>(INDEX('Option1 (base case)'!Q$106:Q$117, MATCH($D16, 'Option1 (base case)'!$G$106:$G$117,0)))*conv_2026*Q$7</f>
        <v>0</v>
      </c>
      <c r="R16" s="28">
        <f>(INDEX('Option1 (base case)'!R$106:R$117, MATCH($D16, 'Option1 (base case)'!$G$106:$G$117,0)))*conv_2026*R$7</f>
        <v>0</v>
      </c>
      <c r="S16" s="28">
        <f>(INDEX('Option1 (base case)'!S$106:S$117, MATCH($D16, 'Option1 (base case)'!$G$106:$G$117,0)))*conv_2026*S$7</f>
        <v>0</v>
      </c>
      <c r="T16" s="28">
        <f>(INDEX('Option1 (base case)'!T$106:T$117, MATCH($D16, 'Option1 (base case)'!$G$106:$G$117,0)))*conv_2026*T$7</f>
        <v>0</v>
      </c>
      <c r="U16" s="28">
        <f>(INDEX('Option1 (base case)'!U$106:U$117, MATCH($D16, 'Option1 (base case)'!$G$106:$G$117,0)))*conv_2026*U$7</f>
        <v>0</v>
      </c>
      <c r="V16" s="28">
        <f>(INDEX('Option1 (base case)'!V$106:V$117, MATCH($D16, 'Option1 (base case)'!$G$106:$G$117,0)))*conv_2026*V$7</f>
        <v>0</v>
      </c>
      <c r="W16" s="28">
        <f>(INDEX('Option1 (base case)'!W$106:W$117, MATCH($D16, 'Option1 (base case)'!$G$106:$G$117,0)))*conv_2026*W$7</f>
        <v>0</v>
      </c>
      <c r="X16" s="28">
        <f>(INDEX('Option1 (base case)'!X$106:X$117, MATCH($D16, 'Option1 (base case)'!$G$106:$G$117,0)))*conv_2026*X$7</f>
        <v>0</v>
      </c>
      <c r="Y16" s="28">
        <f>(INDEX('Option1 (base case)'!Y$106:Y$117, MATCH($D16, 'Option1 (base case)'!$G$106:$G$117,0)))*conv_2026*Y$7</f>
        <v>0</v>
      </c>
      <c r="Z16" s="28">
        <f>(INDEX('Option1 (base case)'!Z$106:Z$117, MATCH($D16, 'Option1 (base case)'!$G$106:$G$117,0)))*conv_2026*Z$7</f>
        <v>0</v>
      </c>
      <c r="AA16" s="28">
        <f>(INDEX('Option1 (base case)'!AA$106:AA$117, MATCH($D16, 'Option1 (base case)'!$G$106:$G$117,0)))*conv_2026*AA$7</f>
        <v>0</v>
      </c>
      <c r="AB16" s="28">
        <f>(INDEX('Option1 (base case)'!AB$106:AB$117, MATCH($D16, 'Option1 (base case)'!$G$106:$G$117,0)))*conv_2026*AB$7</f>
        <v>0</v>
      </c>
      <c r="AC16" s="28">
        <f>(INDEX('Option1 (base case)'!AC$106:AC$117, MATCH($D16, 'Option1 (base case)'!$G$106:$G$117,0)))*conv_2026*AC$7</f>
        <v>0</v>
      </c>
      <c r="AD16" s="28">
        <f>(INDEX('Option1 (base case)'!AD$106:AD$117, MATCH($D16, 'Option1 (base case)'!$G$106:$G$117,0)))*conv_2026*AD$7</f>
        <v>0</v>
      </c>
      <c r="AE16" s="28">
        <f>(INDEX('Option1 (base case)'!AE$106:AE$117, MATCH($D16, 'Option1 (base case)'!$G$106:$G$117,0)))*conv_2026*AE$7</f>
        <v>0</v>
      </c>
      <c r="AF16" s="28">
        <f>(INDEX('Option1 (base case)'!AF$106:AF$117, MATCH($D16, 'Option1 (base case)'!$G$106:$G$117,0)))*conv_2026*AF$7</f>
        <v>0</v>
      </c>
      <c r="AG16" s="28">
        <f>(INDEX('Option1 (base case)'!AG$106:AG$117, MATCH($D16, 'Option1 (base case)'!$G$106:$G$117,0)))*conv_2026*AG$7</f>
        <v>0</v>
      </c>
    </row>
    <row r="17" spans="1:35" s="2" customFormat="1" x14ac:dyDescent="0.2">
      <c r="A17" s="222" t="s">
        <v>105</v>
      </c>
      <c r="B17" s="222" t="str">
        <f>'Option1 (base case)'!A111</f>
        <v>sens2</v>
      </c>
      <c r="C17" s="222" t="str">
        <f>'Option1 (base case)'!C111</f>
        <v>Capex 10% lower</v>
      </c>
      <c r="D17" s="222" t="str">
        <f t="shared" si="0"/>
        <v>OPTION 1 (base case)sens2</v>
      </c>
      <c r="E17" s="214"/>
      <c r="F17" s="28">
        <f t="shared" ref="F17:F23" si="1">SUMPRODUCT($H17:$AG17, $H$5:$AG$5)</f>
        <v>0</v>
      </c>
      <c r="G17" s="222"/>
      <c r="H17" s="28">
        <f>(INDEX('Option1 (base case)'!H$106:H$117, MATCH($D17, 'Option1 (base case)'!$G$106:$G$117,0)))*conv_2026*H$7</f>
        <v>0</v>
      </c>
      <c r="I17" s="28">
        <f>(INDEX('Option1 (base case)'!I$106:I$117, MATCH($D17, 'Option1 (base case)'!$G$106:$G$117,0)))*conv_2026*I$7</f>
        <v>0</v>
      </c>
      <c r="J17" s="28">
        <f>(INDEX('Option1 (base case)'!J$106:J$117, MATCH($D17, 'Option1 (base case)'!$G$106:$G$117,0)))*conv_2026*J$7</f>
        <v>0</v>
      </c>
      <c r="K17" s="28">
        <f>(INDEX('Option1 (base case)'!K$106:K$117, MATCH($D17, 'Option1 (base case)'!$G$106:$G$117,0)))*conv_2026*K$7</f>
        <v>0</v>
      </c>
      <c r="L17" s="28">
        <f>(INDEX('Option1 (base case)'!L$106:L$117, MATCH($D17, 'Option1 (base case)'!$G$106:$G$117,0)))*conv_2026*L$7</f>
        <v>0</v>
      </c>
      <c r="M17" s="28">
        <f>(INDEX('Option1 (base case)'!M$106:M$117, MATCH($D17, 'Option1 (base case)'!$G$106:$G$117,0)))*conv_2026*M$7</f>
        <v>0</v>
      </c>
      <c r="N17" s="28">
        <f>(INDEX('Option1 (base case)'!N$106:N$117, MATCH($D17, 'Option1 (base case)'!$G$106:$G$117,0)))*conv_2026*N$7</f>
        <v>0</v>
      </c>
      <c r="O17" s="28">
        <f>(INDEX('Option1 (base case)'!O$106:O$117, MATCH($D17, 'Option1 (base case)'!$G$106:$G$117,0)))*conv_2026*O$7</f>
        <v>0</v>
      </c>
      <c r="P17" s="28">
        <f>(INDEX('Option1 (base case)'!P$106:P$117, MATCH($D17, 'Option1 (base case)'!$G$106:$G$117,0)))*conv_2026*P$7</f>
        <v>0</v>
      </c>
      <c r="Q17" s="28">
        <f>(INDEX('Option1 (base case)'!Q$106:Q$117, MATCH($D17, 'Option1 (base case)'!$G$106:$G$117,0)))*conv_2026*Q$7</f>
        <v>0</v>
      </c>
      <c r="R17" s="28">
        <f>(INDEX('Option1 (base case)'!R$106:R$117, MATCH($D17, 'Option1 (base case)'!$G$106:$G$117,0)))*conv_2026*R$7</f>
        <v>0</v>
      </c>
      <c r="S17" s="28">
        <f>(INDEX('Option1 (base case)'!S$106:S$117, MATCH($D17, 'Option1 (base case)'!$G$106:$G$117,0)))*conv_2026*S$7</f>
        <v>0</v>
      </c>
      <c r="T17" s="28">
        <f>(INDEX('Option1 (base case)'!T$106:T$117, MATCH($D17, 'Option1 (base case)'!$G$106:$G$117,0)))*conv_2026*T$7</f>
        <v>0</v>
      </c>
      <c r="U17" s="28">
        <f>(INDEX('Option1 (base case)'!U$106:U$117, MATCH($D17, 'Option1 (base case)'!$G$106:$G$117,0)))*conv_2026*U$7</f>
        <v>0</v>
      </c>
      <c r="V17" s="28">
        <f>(INDEX('Option1 (base case)'!V$106:V$117, MATCH($D17, 'Option1 (base case)'!$G$106:$G$117,0)))*conv_2026*V$7</f>
        <v>0</v>
      </c>
      <c r="W17" s="28">
        <f>(INDEX('Option1 (base case)'!W$106:W$117, MATCH($D17, 'Option1 (base case)'!$G$106:$G$117,0)))*conv_2026*W$7</f>
        <v>0</v>
      </c>
      <c r="X17" s="28">
        <f>(INDEX('Option1 (base case)'!X$106:X$117, MATCH($D17, 'Option1 (base case)'!$G$106:$G$117,0)))*conv_2026*X$7</f>
        <v>0</v>
      </c>
      <c r="Y17" s="28">
        <f>(INDEX('Option1 (base case)'!Y$106:Y$117, MATCH($D17, 'Option1 (base case)'!$G$106:$G$117,0)))*conv_2026*Y$7</f>
        <v>0</v>
      </c>
      <c r="Z17" s="28">
        <f>(INDEX('Option1 (base case)'!Z$106:Z$117, MATCH($D17, 'Option1 (base case)'!$G$106:$G$117,0)))*conv_2026*Z$7</f>
        <v>0</v>
      </c>
      <c r="AA17" s="28">
        <f>(INDEX('Option1 (base case)'!AA$106:AA$117, MATCH($D17, 'Option1 (base case)'!$G$106:$G$117,0)))*conv_2026*AA$7</f>
        <v>0</v>
      </c>
      <c r="AB17" s="28">
        <f>(INDEX('Option1 (base case)'!AB$106:AB$117, MATCH($D17, 'Option1 (base case)'!$G$106:$G$117,0)))*conv_2026*AB$7</f>
        <v>0</v>
      </c>
      <c r="AC17" s="28">
        <f>(INDEX('Option1 (base case)'!AC$106:AC$117, MATCH($D17, 'Option1 (base case)'!$G$106:$G$117,0)))*conv_2026*AC$7</f>
        <v>0</v>
      </c>
      <c r="AD17" s="28">
        <f>(INDEX('Option1 (base case)'!AD$106:AD$117, MATCH($D17, 'Option1 (base case)'!$G$106:$G$117,0)))*conv_2026*AD$7</f>
        <v>0</v>
      </c>
      <c r="AE17" s="28">
        <f>(INDEX('Option1 (base case)'!AE$106:AE$117, MATCH($D17, 'Option1 (base case)'!$G$106:$G$117,0)))*conv_2026*AE$7</f>
        <v>0</v>
      </c>
      <c r="AF17" s="28">
        <f>(INDEX('Option1 (base case)'!AF$106:AF$117, MATCH($D17, 'Option1 (base case)'!$G$106:$G$117,0)))*conv_2026*AF$7</f>
        <v>0</v>
      </c>
      <c r="AG17" s="28">
        <f>(INDEX('Option1 (base case)'!AG$106:AG$117, MATCH($D17, 'Option1 (base case)'!$G$106:$G$117,0)))*conv_2026*AG$7</f>
        <v>0</v>
      </c>
      <c r="AH17" s="6"/>
      <c r="AI17" s="6"/>
    </row>
    <row r="18" spans="1:35" s="2" customFormat="1" x14ac:dyDescent="0.2">
      <c r="A18" s="222" t="s">
        <v>105</v>
      </c>
      <c r="B18" s="222" t="str">
        <f>'Option1 (base case)'!A112</f>
        <v>sens3</v>
      </c>
      <c r="C18" s="222" t="str">
        <f>'Option1 (base case)'!C112</f>
        <v>Total benefits 10% higher</v>
      </c>
      <c r="D18" s="222" t="str">
        <f t="shared" si="0"/>
        <v>OPTION 1 (base case)sens3</v>
      </c>
      <c r="E18" s="214"/>
      <c r="F18" s="28">
        <f t="shared" si="1"/>
        <v>0</v>
      </c>
      <c r="G18" s="6"/>
      <c r="H18" s="28">
        <f>(INDEX('Option1 (base case)'!H$106:H$117, MATCH($D18, 'Option1 (base case)'!$G$106:$G$117,0)))*conv_2026*H$7</f>
        <v>0</v>
      </c>
      <c r="I18" s="28">
        <f>(INDEX('Option1 (base case)'!I$106:I$117, MATCH($D18, 'Option1 (base case)'!$G$106:$G$117,0)))*conv_2026*I$7</f>
        <v>0</v>
      </c>
      <c r="J18" s="28">
        <f>(INDEX('Option1 (base case)'!J$106:J$117, MATCH($D18, 'Option1 (base case)'!$G$106:$G$117,0)))*conv_2026*J$7</f>
        <v>0</v>
      </c>
      <c r="K18" s="28">
        <f>(INDEX('Option1 (base case)'!K$106:K$117, MATCH($D18, 'Option1 (base case)'!$G$106:$G$117,0)))*conv_2026*K$7</f>
        <v>0</v>
      </c>
      <c r="L18" s="28">
        <f>(INDEX('Option1 (base case)'!L$106:L$117, MATCH($D18, 'Option1 (base case)'!$G$106:$G$117,0)))*conv_2026*L$7</f>
        <v>0</v>
      </c>
      <c r="M18" s="28">
        <f>(INDEX('Option1 (base case)'!M$106:M$117, MATCH($D18, 'Option1 (base case)'!$G$106:$G$117,0)))*conv_2026*M$7</f>
        <v>0</v>
      </c>
      <c r="N18" s="28">
        <f>(INDEX('Option1 (base case)'!N$106:N$117, MATCH($D18, 'Option1 (base case)'!$G$106:$G$117,0)))*conv_2026*N$7</f>
        <v>0</v>
      </c>
      <c r="O18" s="28">
        <f>(INDEX('Option1 (base case)'!O$106:O$117, MATCH($D18, 'Option1 (base case)'!$G$106:$G$117,0)))*conv_2026*O$7</f>
        <v>0</v>
      </c>
      <c r="P18" s="28">
        <f>(INDEX('Option1 (base case)'!P$106:P$117, MATCH($D18, 'Option1 (base case)'!$G$106:$G$117,0)))*conv_2026*P$7</f>
        <v>0</v>
      </c>
      <c r="Q18" s="28">
        <f>(INDEX('Option1 (base case)'!Q$106:Q$117, MATCH($D18, 'Option1 (base case)'!$G$106:$G$117,0)))*conv_2026*Q$7</f>
        <v>0</v>
      </c>
      <c r="R18" s="28">
        <f>(INDEX('Option1 (base case)'!R$106:R$117, MATCH($D18, 'Option1 (base case)'!$G$106:$G$117,0)))*conv_2026*R$7</f>
        <v>0</v>
      </c>
      <c r="S18" s="28">
        <f>(INDEX('Option1 (base case)'!S$106:S$117, MATCH($D18, 'Option1 (base case)'!$G$106:$G$117,0)))*conv_2026*S$7</f>
        <v>0</v>
      </c>
      <c r="T18" s="28">
        <f>(INDEX('Option1 (base case)'!T$106:T$117, MATCH($D18, 'Option1 (base case)'!$G$106:$G$117,0)))*conv_2026*T$7</f>
        <v>0</v>
      </c>
      <c r="U18" s="28">
        <f>(INDEX('Option1 (base case)'!U$106:U$117, MATCH($D18, 'Option1 (base case)'!$G$106:$G$117,0)))*conv_2026*U$7</f>
        <v>0</v>
      </c>
      <c r="V18" s="28">
        <f>(INDEX('Option1 (base case)'!V$106:V$117, MATCH($D18, 'Option1 (base case)'!$G$106:$G$117,0)))*conv_2026*V$7</f>
        <v>0</v>
      </c>
      <c r="W18" s="28">
        <f>(INDEX('Option1 (base case)'!W$106:W$117, MATCH($D18, 'Option1 (base case)'!$G$106:$G$117,0)))*conv_2026*W$7</f>
        <v>0</v>
      </c>
      <c r="X18" s="28">
        <f>(INDEX('Option1 (base case)'!X$106:X$117, MATCH($D18, 'Option1 (base case)'!$G$106:$G$117,0)))*conv_2026*X$7</f>
        <v>0</v>
      </c>
      <c r="Y18" s="28">
        <f>(INDEX('Option1 (base case)'!Y$106:Y$117, MATCH($D18, 'Option1 (base case)'!$G$106:$G$117,0)))*conv_2026*Y$7</f>
        <v>0</v>
      </c>
      <c r="Z18" s="28">
        <f>(INDEX('Option1 (base case)'!Z$106:Z$117, MATCH($D18, 'Option1 (base case)'!$G$106:$G$117,0)))*conv_2026*Z$7</f>
        <v>0</v>
      </c>
      <c r="AA18" s="28">
        <f>(INDEX('Option1 (base case)'!AA$106:AA$117, MATCH($D18, 'Option1 (base case)'!$G$106:$G$117,0)))*conv_2026*AA$7</f>
        <v>0</v>
      </c>
      <c r="AB18" s="28">
        <f>(INDEX('Option1 (base case)'!AB$106:AB$117, MATCH($D18, 'Option1 (base case)'!$G$106:$G$117,0)))*conv_2026*AB$7</f>
        <v>0</v>
      </c>
      <c r="AC18" s="28">
        <f>(INDEX('Option1 (base case)'!AC$106:AC$117, MATCH($D18, 'Option1 (base case)'!$G$106:$G$117,0)))*conv_2026*AC$7</f>
        <v>0</v>
      </c>
      <c r="AD18" s="28">
        <f>(INDEX('Option1 (base case)'!AD$106:AD$117, MATCH($D18, 'Option1 (base case)'!$G$106:$G$117,0)))*conv_2026*AD$7</f>
        <v>0</v>
      </c>
      <c r="AE18" s="28">
        <f>(INDEX('Option1 (base case)'!AE$106:AE$117, MATCH($D18, 'Option1 (base case)'!$G$106:$G$117,0)))*conv_2026*AE$7</f>
        <v>0</v>
      </c>
      <c r="AF18" s="28">
        <f>(INDEX('Option1 (base case)'!AF$106:AF$117, MATCH($D18, 'Option1 (base case)'!$G$106:$G$117,0)))*conv_2026*AF$7</f>
        <v>0</v>
      </c>
      <c r="AG18" s="28">
        <f>(INDEX('Option1 (base case)'!AG$106:AG$117, MATCH($D18, 'Option1 (base case)'!$G$106:$G$117,0)))*conv_2026*AG$7</f>
        <v>0</v>
      </c>
      <c r="AH18" s="6"/>
      <c r="AI18" s="6"/>
    </row>
    <row r="19" spans="1:35" s="2" customFormat="1" x14ac:dyDescent="0.2">
      <c r="A19" s="222" t="s">
        <v>105</v>
      </c>
      <c r="B19" s="222" t="str">
        <f>'Option1 (base case)'!A113</f>
        <v>sens4</v>
      </c>
      <c r="C19" s="222" t="str">
        <f>'Option1 (base case)'!C113</f>
        <v>Total benefits 10% lower</v>
      </c>
      <c r="D19" s="222" t="str">
        <f t="shared" si="0"/>
        <v>OPTION 1 (base case)sens4</v>
      </c>
      <c r="E19" s="214"/>
      <c r="F19" s="28">
        <f t="shared" si="1"/>
        <v>0</v>
      </c>
      <c r="G19" s="6"/>
      <c r="H19" s="28">
        <f>(INDEX('Option1 (base case)'!H$106:H$117, MATCH($D19, 'Option1 (base case)'!$G$106:$G$117,0)))*conv_2026*H$7</f>
        <v>0</v>
      </c>
      <c r="I19" s="28">
        <f>(INDEX('Option1 (base case)'!I$106:I$117, MATCH($D19, 'Option1 (base case)'!$G$106:$G$117,0)))*conv_2026*I$7</f>
        <v>0</v>
      </c>
      <c r="J19" s="28">
        <f>(INDEX('Option1 (base case)'!J$106:J$117, MATCH($D19, 'Option1 (base case)'!$G$106:$G$117,0)))*conv_2026*J$7</f>
        <v>0</v>
      </c>
      <c r="K19" s="28">
        <f>(INDEX('Option1 (base case)'!K$106:K$117, MATCH($D19, 'Option1 (base case)'!$G$106:$G$117,0)))*conv_2026*K$7</f>
        <v>0</v>
      </c>
      <c r="L19" s="28">
        <f>(INDEX('Option1 (base case)'!L$106:L$117, MATCH($D19, 'Option1 (base case)'!$G$106:$G$117,0)))*conv_2026*L$7</f>
        <v>0</v>
      </c>
      <c r="M19" s="28">
        <f>(INDEX('Option1 (base case)'!M$106:M$117, MATCH($D19, 'Option1 (base case)'!$G$106:$G$117,0)))*conv_2026*M$7</f>
        <v>0</v>
      </c>
      <c r="N19" s="28">
        <f>(INDEX('Option1 (base case)'!N$106:N$117, MATCH($D19, 'Option1 (base case)'!$G$106:$G$117,0)))*conv_2026*N$7</f>
        <v>0</v>
      </c>
      <c r="O19" s="28">
        <f>(INDEX('Option1 (base case)'!O$106:O$117, MATCH($D19, 'Option1 (base case)'!$G$106:$G$117,0)))*conv_2026*O$7</f>
        <v>0</v>
      </c>
      <c r="P19" s="28">
        <f>(INDEX('Option1 (base case)'!P$106:P$117, MATCH($D19, 'Option1 (base case)'!$G$106:$G$117,0)))*conv_2026*P$7</f>
        <v>0</v>
      </c>
      <c r="Q19" s="28">
        <f>(INDEX('Option1 (base case)'!Q$106:Q$117, MATCH($D19, 'Option1 (base case)'!$G$106:$G$117,0)))*conv_2026*Q$7</f>
        <v>0</v>
      </c>
      <c r="R19" s="28">
        <f>(INDEX('Option1 (base case)'!R$106:R$117, MATCH($D19, 'Option1 (base case)'!$G$106:$G$117,0)))*conv_2026*R$7</f>
        <v>0</v>
      </c>
      <c r="S19" s="28">
        <f>(INDEX('Option1 (base case)'!S$106:S$117, MATCH($D19, 'Option1 (base case)'!$G$106:$G$117,0)))*conv_2026*S$7</f>
        <v>0</v>
      </c>
      <c r="T19" s="28">
        <f>(INDEX('Option1 (base case)'!T$106:T$117, MATCH($D19, 'Option1 (base case)'!$G$106:$G$117,0)))*conv_2026*T$7</f>
        <v>0</v>
      </c>
      <c r="U19" s="28">
        <f>(INDEX('Option1 (base case)'!U$106:U$117, MATCH($D19, 'Option1 (base case)'!$G$106:$G$117,0)))*conv_2026*U$7</f>
        <v>0</v>
      </c>
      <c r="V19" s="28">
        <f>(INDEX('Option1 (base case)'!V$106:V$117, MATCH($D19, 'Option1 (base case)'!$G$106:$G$117,0)))*conv_2026*V$7</f>
        <v>0</v>
      </c>
      <c r="W19" s="28">
        <f>(INDEX('Option1 (base case)'!W$106:W$117, MATCH($D19, 'Option1 (base case)'!$G$106:$G$117,0)))*conv_2026*W$7</f>
        <v>0</v>
      </c>
      <c r="X19" s="28">
        <f>(INDEX('Option1 (base case)'!X$106:X$117, MATCH($D19, 'Option1 (base case)'!$G$106:$G$117,0)))*conv_2026*X$7</f>
        <v>0</v>
      </c>
      <c r="Y19" s="28">
        <f>(INDEX('Option1 (base case)'!Y$106:Y$117, MATCH($D19, 'Option1 (base case)'!$G$106:$G$117,0)))*conv_2026*Y$7</f>
        <v>0</v>
      </c>
      <c r="Z19" s="28">
        <f>(INDEX('Option1 (base case)'!Z$106:Z$117, MATCH($D19, 'Option1 (base case)'!$G$106:$G$117,0)))*conv_2026*Z$7</f>
        <v>0</v>
      </c>
      <c r="AA19" s="28">
        <f>(INDEX('Option1 (base case)'!AA$106:AA$117, MATCH($D19, 'Option1 (base case)'!$G$106:$G$117,0)))*conv_2026*AA$7</f>
        <v>0</v>
      </c>
      <c r="AB19" s="28">
        <f>(INDEX('Option1 (base case)'!AB$106:AB$117, MATCH($D19, 'Option1 (base case)'!$G$106:$G$117,0)))*conv_2026*AB$7</f>
        <v>0</v>
      </c>
      <c r="AC19" s="28">
        <f>(INDEX('Option1 (base case)'!AC$106:AC$117, MATCH($D19, 'Option1 (base case)'!$G$106:$G$117,0)))*conv_2026*AC$7</f>
        <v>0</v>
      </c>
      <c r="AD19" s="28">
        <f>(INDEX('Option1 (base case)'!AD$106:AD$117, MATCH($D19, 'Option1 (base case)'!$G$106:$G$117,0)))*conv_2026*AD$7</f>
        <v>0</v>
      </c>
      <c r="AE19" s="28">
        <f>(INDEX('Option1 (base case)'!AE$106:AE$117, MATCH($D19, 'Option1 (base case)'!$G$106:$G$117,0)))*conv_2026*AE$7</f>
        <v>0</v>
      </c>
      <c r="AF19" s="28">
        <f>(INDEX('Option1 (base case)'!AF$106:AF$117, MATCH($D19, 'Option1 (base case)'!$G$106:$G$117,0)))*conv_2026*AF$7</f>
        <v>0</v>
      </c>
      <c r="AG19" s="28">
        <f>(INDEX('Option1 (base case)'!AG$106:AG$117, MATCH($D19, 'Option1 (base case)'!$G$106:$G$117,0)))*conv_2026*AG$7</f>
        <v>0</v>
      </c>
      <c r="AH19" s="6"/>
      <c r="AI19" s="6"/>
    </row>
    <row r="20" spans="1:35" s="2" customFormat="1" x14ac:dyDescent="0.2">
      <c r="A20" s="222" t="s">
        <v>105</v>
      </c>
      <c r="B20" s="222" t="str">
        <f>'Option1 (base case)'!A114</f>
        <v>sens5</v>
      </c>
      <c r="C20" s="222" t="str">
        <f>'Option1 (base case)'!C114</f>
        <v>Capex 10% higher &amp; Total benefits 10% lower</v>
      </c>
      <c r="D20" s="222" t="str">
        <f t="shared" si="0"/>
        <v>OPTION 1 (base case)sens5</v>
      </c>
      <c r="E20" s="214"/>
      <c r="F20" s="28">
        <f t="shared" si="1"/>
        <v>0</v>
      </c>
      <c r="G20" s="6"/>
      <c r="H20" s="28">
        <f>(INDEX('Option1 (base case)'!H$106:H$117, MATCH($D20, 'Option1 (base case)'!$G$106:$G$117,0)))*conv_2026*H$7</f>
        <v>0</v>
      </c>
      <c r="I20" s="28">
        <f>(INDEX('Option1 (base case)'!I$106:I$117, MATCH($D20, 'Option1 (base case)'!$G$106:$G$117,0)))*conv_2026*I$7</f>
        <v>0</v>
      </c>
      <c r="J20" s="28">
        <f>(INDEX('Option1 (base case)'!J$106:J$117, MATCH($D20, 'Option1 (base case)'!$G$106:$G$117,0)))*conv_2026*J$7</f>
        <v>0</v>
      </c>
      <c r="K20" s="28">
        <f>(INDEX('Option1 (base case)'!K$106:K$117, MATCH($D20, 'Option1 (base case)'!$G$106:$G$117,0)))*conv_2026*K$7</f>
        <v>0</v>
      </c>
      <c r="L20" s="28">
        <f>(INDEX('Option1 (base case)'!L$106:L$117, MATCH($D20, 'Option1 (base case)'!$G$106:$G$117,0)))*conv_2026*L$7</f>
        <v>0</v>
      </c>
      <c r="M20" s="28">
        <f>(INDEX('Option1 (base case)'!M$106:M$117, MATCH($D20, 'Option1 (base case)'!$G$106:$G$117,0)))*conv_2026*M$7</f>
        <v>0</v>
      </c>
      <c r="N20" s="28">
        <f>(INDEX('Option1 (base case)'!N$106:N$117, MATCH($D20, 'Option1 (base case)'!$G$106:$G$117,0)))*conv_2026*N$7</f>
        <v>0</v>
      </c>
      <c r="O20" s="28">
        <f>(INDEX('Option1 (base case)'!O$106:O$117, MATCH($D20, 'Option1 (base case)'!$G$106:$G$117,0)))*conv_2026*O$7</f>
        <v>0</v>
      </c>
      <c r="P20" s="28">
        <f>(INDEX('Option1 (base case)'!P$106:P$117, MATCH($D20, 'Option1 (base case)'!$G$106:$G$117,0)))*conv_2026*P$7</f>
        <v>0</v>
      </c>
      <c r="Q20" s="28">
        <f>(INDEX('Option1 (base case)'!Q$106:Q$117, MATCH($D20, 'Option1 (base case)'!$G$106:$G$117,0)))*conv_2026*Q$7</f>
        <v>0</v>
      </c>
      <c r="R20" s="28">
        <f>(INDEX('Option1 (base case)'!R$106:R$117, MATCH($D20, 'Option1 (base case)'!$G$106:$G$117,0)))*conv_2026*R$7</f>
        <v>0</v>
      </c>
      <c r="S20" s="28">
        <f>(INDEX('Option1 (base case)'!S$106:S$117, MATCH($D20, 'Option1 (base case)'!$G$106:$G$117,0)))*conv_2026*S$7</f>
        <v>0</v>
      </c>
      <c r="T20" s="28">
        <f>(INDEX('Option1 (base case)'!T$106:T$117, MATCH($D20, 'Option1 (base case)'!$G$106:$G$117,0)))*conv_2026*T$7</f>
        <v>0</v>
      </c>
      <c r="U20" s="28">
        <f>(INDEX('Option1 (base case)'!U$106:U$117, MATCH($D20, 'Option1 (base case)'!$G$106:$G$117,0)))*conv_2026*U$7</f>
        <v>0</v>
      </c>
      <c r="V20" s="28">
        <f>(INDEX('Option1 (base case)'!V$106:V$117, MATCH($D20, 'Option1 (base case)'!$G$106:$G$117,0)))*conv_2026*V$7</f>
        <v>0</v>
      </c>
      <c r="W20" s="28">
        <f>(INDEX('Option1 (base case)'!W$106:W$117, MATCH($D20, 'Option1 (base case)'!$G$106:$G$117,0)))*conv_2026*W$7</f>
        <v>0</v>
      </c>
      <c r="X20" s="28">
        <f>(INDEX('Option1 (base case)'!X$106:X$117, MATCH($D20, 'Option1 (base case)'!$G$106:$G$117,0)))*conv_2026*X$7</f>
        <v>0</v>
      </c>
      <c r="Y20" s="28">
        <f>(INDEX('Option1 (base case)'!Y$106:Y$117, MATCH($D20, 'Option1 (base case)'!$G$106:$G$117,0)))*conv_2026*Y$7</f>
        <v>0</v>
      </c>
      <c r="Z20" s="28">
        <f>(INDEX('Option1 (base case)'!Z$106:Z$117, MATCH($D20, 'Option1 (base case)'!$G$106:$G$117,0)))*conv_2026*Z$7</f>
        <v>0</v>
      </c>
      <c r="AA20" s="28">
        <f>(INDEX('Option1 (base case)'!AA$106:AA$117, MATCH($D20, 'Option1 (base case)'!$G$106:$G$117,0)))*conv_2026*AA$7</f>
        <v>0</v>
      </c>
      <c r="AB20" s="28">
        <f>(INDEX('Option1 (base case)'!AB$106:AB$117, MATCH($D20, 'Option1 (base case)'!$G$106:$G$117,0)))*conv_2026*AB$7</f>
        <v>0</v>
      </c>
      <c r="AC20" s="28">
        <f>(INDEX('Option1 (base case)'!AC$106:AC$117, MATCH($D20, 'Option1 (base case)'!$G$106:$G$117,0)))*conv_2026*AC$7</f>
        <v>0</v>
      </c>
      <c r="AD20" s="28">
        <f>(INDEX('Option1 (base case)'!AD$106:AD$117, MATCH($D20, 'Option1 (base case)'!$G$106:$G$117,0)))*conv_2026*AD$7</f>
        <v>0</v>
      </c>
      <c r="AE20" s="28">
        <f>(INDEX('Option1 (base case)'!AE$106:AE$117, MATCH($D20, 'Option1 (base case)'!$G$106:$G$117,0)))*conv_2026*AE$7</f>
        <v>0</v>
      </c>
      <c r="AF20" s="28">
        <f>(INDEX('Option1 (base case)'!AF$106:AF$117, MATCH($D20, 'Option1 (base case)'!$G$106:$G$117,0)))*conv_2026*AF$7</f>
        <v>0</v>
      </c>
      <c r="AG20" s="28">
        <f>(INDEX('Option1 (base case)'!AG$106:AG$117, MATCH($D20, 'Option1 (base case)'!$G$106:$G$117,0)))*conv_2026*AG$7</f>
        <v>0</v>
      </c>
      <c r="AH20" s="6"/>
      <c r="AI20" s="6"/>
    </row>
    <row r="21" spans="1:35" s="2" customFormat="1" x14ac:dyDescent="0.2">
      <c r="A21" s="222" t="s">
        <v>105</v>
      </c>
      <c r="B21" s="222" t="str">
        <f>'Option1 (base case)'!A115</f>
        <v>sens</v>
      </c>
      <c r="C21" s="222">
        <f>'Option1 (base case)'!C115</f>
        <v>0</v>
      </c>
      <c r="D21" s="222" t="str">
        <f t="shared" si="0"/>
        <v>OPTION 1 (base case)sens</v>
      </c>
      <c r="E21" s="214"/>
      <c r="F21" s="28">
        <f t="shared" si="1"/>
        <v>0</v>
      </c>
      <c r="G21" s="6"/>
      <c r="H21" s="28">
        <f>(INDEX('Option1 (base case)'!H$106:H$117, MATCH($D21, 'Option1 (base case)'!$G$106:$G$117,0)))*conv_2026*H$7</f>
        <v>0</v>
      </c>
      <c r="I21" s="28">
        <f>(INDEX('Option1 (base case)'!I$106:I$117, MATCH($D21, 'Option1 (base case)'!$G$106:$G$117,0)))*conv_2026*I$7</f>
        <v>0</v>
      </c>
      <c r="J21" s="28">
        <f>(INDEX('Option1 (base case)'!J$106:J$117, MATCH($D21, 'Option1 (base case)'!$G$106:$G$117,0)))*conv_2026*J$7</f>
        <v>0</v>
      </c>
      <c r="K21" s="28">
        <f>(INDEX('Option1 (base case)'!K$106:K$117, MATCH($D21, 'Option1 (base case)'!$G$106:$G$117,0)))*conv_2026*K$7</f>
        <v>0</v>
      </c>
      <c r="L21" s="28">
        <f>(INDEX('Option1 (base case)'!L$106:L$117, MATCH($D21, 'Option1 (base case)'!$G$106:$G$117,0)))*conv_2026*L$7</f>
        <v>0</v>
      </c>
      <c r="M21" s="28">
        <f>(INDEX('Option1 (base case)'!M$106:M$117, MATCH($D21, 'Option1 (base case)'!$G$106:$G$117,0)))*conv_2026*M$7</f>
        <v>0</v>
      </c>
      <c r="N21" s="28">
        <f>(INDEX('Option1 (base case)'!N$106:N$117, MATCH($D21, 'Option1 (base case)'!$G$106:$G$117,0)))*conv_2026*N$7</f>
        <v>0</v>
      </c>
      <c r="O21" s="28">
        <f>(INDEX('Option1 (base case)'!O$106:O$117, MATCH($D21, 'Option1 (base case)'!$G$106:$G$117,0)))*conv_2026*O$7</f>
        <v>0</v>
      </c>
      <c r="P21" s="28">
        <f>(INDEX('Option1 (base case)'!P$106:P$117, MATCH($D21, 'Option1 (base case)'!$G$106:$G$117,0)))*conv_2026*P$7</f>
        <v>0</v>
      </c>
      <c r="Q21" s="28">
        <f>(INDEX('Option1 (base case)'!Q$106:Q$117, MATCH($D21, 'Option1 (base case)'!$G$106:$G$117,0)))*conv_2026*Q$7</f>
        <v>0</v>
      </c>
      <c r="R21" s="28">
        <f>(INDEX('Option1 (base case)'!R$106:R$117, MATCH($D21, 'Option1 (base case)'!$G$106:$G$117,0)))*conv_2026*R$7</f>
        <v>0</v>
      </c>
      <c r="S21" s="28">
        <f>(INDEX('Option1 (base case)'!S$106:S$117, MATCH($D21, 'Option1 (base case)'!$G$106:$G$117,0)))*conv_2026*S$7</f>
        <v>0</v>
      </c>
      <c r="T21" s="28">
        <f>(INDEX('Option1 (base case)'!T$106:T$117, MATCH($D21, 'Option1 (base case)'!$G$106:$G$117,0)))*conv_2026*T$7</f>
        <v>0</v>
      </c>
      <c r="U21" s="28">
        <f>(INDEX('Option1 (base case)'!U$106:U$117, MATCH($D21, 'Option1 (base case)'!$G$106:$G$117,0)))*conv_2026*U$7</f>
        <v>0</v>
      </c>
      <c r="V21" s="28">
        <f>(INDEX('Option1 (base case)'!V$106:V$117, MATCH($D21, 'Option1 (base case)'!$G$106:$G$117,0)))*conv_2026*V$7</f>
        <v>0</v>
      </c>
      <c r="W21" s="28">
        <f>(INDEX('Option1 (base case)'!W$106:W$117, MATCH($D21, 'Option1 (base case)'!$G$106:$G$117,0)))*conv_2026*W$7</f>
        <v>0</v>
      </c>
      <c r="X21" s="28">
        <f>(INDEX('Option1 (base case)'!X$106:X$117, MATCH($D21, 'Option1 (base case)'!$G$106:$G$117,0)))*conv_2026*X$7</f>
        <v>0</v>
      </c>
      <c r="Y21" s="28">
        <f>(INDEX('Option1 (base case)'!Y$106:Y$117, MATCH($D21, 'Option1 (base case)'!$G$106:$G$117,0)))*conv_2026*Y$7</f>
        <v>0</v>
      </c>
      <c r="Z21" s="28">
        <f>(INDEX('Option1 (base case)'!Z$106:Z$117, MATCH($D21, 'Option1 (base case)'!$G$106:$G$117,0)))*conv_2026*Z$7</f>
        <v>0</v>
      </c>
      <c r="AA21" s="28">
        <f>(INDEX('Option1 (base case)'!AA$106:AA$117, MATCH($D21, 'Option1 (base case)'!$G$106:$G$117,0)))*conv_2026*AA$7</f>
        <v>0</v>
      </c>
      <c r="AB21" s="28">
        <f>(INDEX('Option1 (base case)'!AB$106:AB$117, MATCH($D21, 'Option1 (base case)'!$G$106:$G$117,0)))*conv_2026*AB$7</f>
        <v>0</v>
      </c>
      <c r="AC21" s="28">
        <f>(INDEX('Option1 (base case)'!AC$106:AC$117, MATCH($D21, 'Option1 (base case)'!$G$106:$G$117,0)))*conv_2026*AC$7</f>
        <v>0</v>
      </c>
      <c r="AD21" s="28">
        <f>(INDEX('Option1 (base case)'!AD$106:AD$117, MATCH($D21, 'Option1 (base case)'!$G$106:$G$117,0)))*conv_2026*AD$7</f>
        <v>0</v>
      </c>
      <c r="AE21" s="28">
        <f>(INDEX('Option1 (base case)'!AE$106:AE$117, MATCH($D21, 'Option1 (base case)'!$G$106:$G$117,0)))*conv_2026*AE$7</f>
        <v>0</v>
      </c>
      <c r="AF21" s="28">
        <f>(INDEX('Option1 (base case)'!AF$106:AF$117, MATCH($D21, 'Option1 (base case)'!$G$106:$G$117,0)))*conv_2026*AF$7</f>
        <v>0</v>
      </c>
      <c r="AG21" s="28">
        <f>(INDEX('Option1 (base case)'!AG$106:AG$117, MATCH($D21, 'Option1 (base case)'!$G$106:$G$117,0)))*conv_2026*AG$7</f>
        <v>0</v>
      </c>
      <c r="AH21" s="6"/>
      <c r="AI21" s="6"/>
    </row>
    <row r="22" spans="1:35" s="2" customFormat="1" x14ac:dyDescent="0.2">
      <c r="A22" s="222" t="s">
        <v>105</v>
      </c>
      <c r="B22" s="222" t="str">
        <f>'Option1 (base case)'!A116</f>
        <v>sens</v>
      </c>
      <c r="C22" s="222">
        <f>'Option1 (base case)'!C116</f>
        <v>0</v>
      </c>
      <c r="D22" s="222" t="str">
        <f t="shared" si="0"/>
        <v>OPTION 1 (base case)sens</v>
      </c>
      <c r="E22" s="214"/>
      <c r="F22" s="28">
        <f t="shared" si="1"/>
        <v>0</v>
      </c>
      <c r="G22" s="6"/>
      <c r="H22" s="28">
        <f>(INDEX('Option1 (base case)'!H$106:H$117, MATCH($D22, 'Option1 (base case)'!$G$106:$G$117,0)))*conv_2026*H$7</f>
        <v>0</v>
      </c>
      <c r="I22" s="28">
        <f>(INDEX('Option1 (base case)'!I$106:I$117, MATCH($D22, 'Option1 (base case)'!$G$106:$G$117,0)))*conv_2026*I$7</f>
        <v>0</v>
      </c>
      <c r="J22" s="28">
        <f>(INDEX('Option1 (base case)'!J$106:J$117, MATCH($D22, 'Option1 (base case)'!$G$106:$G$117,0)))*conv_2026*J$7</f>
        <v>0</v>
      </c>
      <c r="K22" s="28">
        <f>(INDEX('Option1 (base case)'!K$106:K$117, MATCH($D22, 'Option1 (base case)'!$G$106:$G$117,0)))*conv_2026*K$7</f>
        <v>0</v>
      </c>
      <c r="L22" s="28">
        <f>(INDEX('Option1 (base case)'!L$106:L$117, MATCH($D22, 'Option1 (base case)'!$G$106:$G$117,0)))*conv_2026*L$7</f>
        <v>0</v>
      </c>
      <c r="M22" s="28">
        <f>(INDEX('Option1 (base case)'!M$106:M$117, MATCH($D22, 'Option1 (base case)'!$G$106:$G$117,0)))*conv_2026*M$7</f>
        <v>0</v>
      </c>
      <c r="N22" s="28">
        <f>(INDEX('Option1 (base case)'!N$106:N$117, MATCH($D22, 'Option1 (base case)'!$G$106:$G$117,0)))*conv_2026*N$7</f>
        <v>0</v>
      </c>
      <c r="O22" s="28">
        <f>(INDEX('Option1 (base case)'!O$106:O$117, MATCH($D22, 'Option1 (base case)'!$G$106:$G$117,0)))*conv_2026*O$7</f>
        <v>0</v>
      </c>
      <c r="P22" s="28">
        <f>(INDEX('Option1 (base case)'!P$106:P$117, MATCH($D22, 'Option1 (base case)'!$G$106:$G$117,0)))*conv_2026*P$7</f>
        <v>0</v>
      </c>
      <c r="Q22" s="28">
        <f>(INDEX('Option1 (base case)'!Q$106:Q$117, MATCH($D22, 'Option1 (base case)'!$G$106:$G$117,0)))*conv_2026*Q$7</f>
        <v>0</v>
      </c>
      <c r="R22" s="28">
        <f>(INDEX('Option1 (base case)'!R$106:R$117, MATCH($D22, 'Option1 (base case)'!$G$106:$G$117,0)))*conv_2026*R$7</f>
        <v>0</v>
      </c>
      <c r="S22" s="28">
        <f>(INDEX('Option1 (base case)'!S$106:S$117, MATCH($D22, 'Option1 (base case)'!$G$106:$G$117,0)))*conv_2026*S$7</f>
        <v>0</v>
      </c>
      <c r="T22" s="28">
        <f>(INDEX('Option1 (base case)'!T$106:T$117, MATCH($D22, 'Option1 (base case)'!$G$106:$G$117,0)))*conv_2026*T$7</f>
        <v>0</v>
      </c>
      <c r="U22" s="28">
        <f>(INDEX('Option1 (base case)'!U$106:U$117, MATCH($D22, 'Option1 (base case)'!$G$106:$G$117,0)))*conv_2026*U$7</f>
        <v>0</v>
      </c>
      <c r="V22" s="28">
        <f>(INDEX('Option1 (base case)'!V$106:V$117, MATCH($D22, 'Option1 (base case)'!$G$106:$G$117,0)))*conv_2026*V$7</f>
        <v>0</v>
      </c>
      <c r="W22" s="28">
        <f>(INDEX('Option1 (base case)'!W$106:W$117, MATCH($D22, 'Option1 (base case)'!$G$106:$G$117,0)))*conv_2026*W$7</f>
        <v>0</v>
      </c>
      <c r="X22" s="28">
        <f>(INDEX('Option1 (base case)'!X$106:X$117, MATCH($D22, 'Option1 (base case)'!$G$106:$G$117,0)))*conv_2026*X$7</f>
        <v>0</v>
      </c>
      <c r="Y22" s="28">
        <f>(INDEX('Option1 (base case)'!Y$106:Y$117, MATCH($D22, 'Option1 (base case)'!$G$106:$G$117,0)))*conv_2026*Y$7</f>
        <v>0</v>
      </c>
      <c r="Z22" s="28">
        <f>(INDEX('Option1 (base case)'!Z$106:Z$117, MATCH($D22, 'Option1 (base case)'!$G$106:$G$117,0)))*conv_2026*Z$7</f>
        <v>0</v>
      </c>
      <c r="AA22" s="28">
        <f>(INDEX('Option1 (base case)'!AA$106:AA$117, MATCH($D22, 'Option1 (base case)'!$G$106:$G$117,0)))*conv_2026*AA$7</f>
        <v>0</v>
      </c>
      <c r="AB22" s="28">
        <f>(INDEX('Option1 (base case)'!AB$106:AB$117, MATCH($D22, 'Option1 (base case)'!$G$106:$G$117,0)))*conv_2026*AB$7</f>
        <v>0</v>
      </c>
      <c r="AC22" s="28">
        <f>(INDEX('Option1 (base case)'!AC$106:AC$117, MATCH($D22, 'Option1 (base case)'!$G$106:$G$117,0)))*conv_2026*AC$7</f>
        <v>0</v>
      </c>
      <c r="AD22" s="28">
        <f>(INDEX('Option1 (base case)'!AD$106:AD$117, MATCH($D22, 'Option1 (base case)'!$G$106:$G$117,0)))*conv_2026*AD$7</f>
        <v>0</v>
      </c>
      <c r="AE22" s="28">
        <f>(INDEX('Option1 (base case)'!AE$106:AE$117, MATCH($D22, 'Option1 (base case)'!$G$106:$G$117,0)))*conv_2026*AE$7</f>
        <v>0</v>
      </c>
      <c r="AF22" s="28">
        <f>(INDEX('Option1 (base case)'!AF$106:AF$117, MATCH($D22, 'Option1 (base case)'!$G$106:$G$117,0)))*conv_2026*AF$7</f>
        <v>0</v>
      </c>
      <c r="AG22" s="28">
        <f>(INDEX('Option1 (base case)'!AG$106:AG$117, MATCH($D22, 'Option1 (base case)'!$G$106:$G$117,0)))*conv_2026*AG$7</f>
        <v>0</v>
      </c>
      <c r="AH22" s="6"/>
      <c r="AI22" s="6"/>
    </row>
    <row r="23" spans="1:35" s="2" customFormat="1" x14ac:dyDescent="0.2">
      <c r="A23" s="222" t="s">
        <v>105</v>
      </c>
      <c r="B23" s="222" t="str">
        <f>'Option1 (base case)'!A117</f>
        <v>sens</v>
      </c>
      <c r="C23" s="222">
        <f>'Option1 (base case)'!C117</f>
        <v>0</v>
      </c>
      <c r="D23" s="222" t="str">
        <f t="shared" si="0"/>
        <v>OPTION 1 (base case)sens</v>
      </c>
      <c r="E23" s="214"/>
      <c r="F23" s="28">
        <f t="shared" si="1"/>
        <v>0</v>
      </c>
      <c r="G23" s="6"/>
      <c r="H23" s="28">
        <f>(INDEX('Option1 (base case)'!H$106:H$117, MATCH($D23, 'Option1 (base case)'!$G$106:$G$117,0)))*conv_2026*H$7</f>
        <v>0</v>
      </c>
      <c r="I23" s="28">
        <f>(INDEX('Option1 (base case)'!I$106:I$117, MATCH($D23, 'Option1 (base case)'!$G$106:$G$117,0)))*conv_2026*I$7</f>
        <v>0</v>
      </c>
      <c r="J23" s="28">
        <f>(INDEX('Option1 (base case)'!J$106:J$117, MATCH($D23, 'Option1 (base case)'!$G$106:$G$117,0)))*conv_2026*J$7</f>
        <v>0</v>
      </c>
      <c r="K23" s="28">
        <f>(INDEX('Option1 (base case)'!K$106:K$117, MATCH($D23, 'Option1 (base case)'!$G$106:$G$117,0)))*conv_2026*K$7</f>
        <v>0</v>
      </c>
      <c r="L23" s="28">
        <f>(INDEX('Option1 (base case)'!L$106:L$117, MATCH($D23, 'Option1 (base case)'!$G$106:$G$117,0)))*conv_2026*L$7</f>
        <v>0</v>
      </c>
      <c r="M23" s="28">
        <f>(INDEX('Option1 (base case)'!M$106:M$117, MATCH($D23, 'Option1 (base case)'!$G$106:$G$117,0)))*conv_2026*M$7</f>
        <v>0</v>
      </c>
      <c r="N23" s="28">
        <f>(INDEX('Option1 (base case)'!N$106:N$117, MATCH($D23, 'Option1 (base case)'!$G$106:$G$117,0)))*conv_2026*N$7</f>
        <v>0</v>
      </c>
      <c r="O23" s="28">
        <f>(INDEX('Option1 (base case)'!O$106:O$117, MATCH($D23, 'Option1 (base case)'!$G$106:$G$117,0)))*conv_2026*O$7</f>
        <v>0</v>
      </c>
      <c r="P23" s="28">
        <f>(INDEX('Option1 (base case)'!P$106:P$117, MATCH($D23, 'Option1 (base case)'!$G$106:$G$117,0)))*conv_2026*P$7</f>
        <v>0</v>
      </c>
      <c r="Q23" s="28">
        <f>(INDEX('Option1 (base case)'!Q$106:Q$117, MATCH($D23, 'Option1 (base case)'!$G$106:$G$117,0)))*conv_2026*Q$7</f>
        <v>0</v>
      </c>
      <c r="R23" s="28">
        <f>(INDEX('Option1 (base case)'!R$106:R$117, MATCH($D23, 'Option1 (base case)'!$G$106:$G$117,0)))*conv_2026*R$7</f>
        <v>0</v>
      </c>
      <c r="S23" s="28">
        <f>(INDEX('Option1 (base case)'!S$106:S$117, MATCH($D23, 'Option1 (base case)'!$G$106:$G$117,0)))*conv_2026*S$7</f>
        <v>0</v>
      </c>
      <c r="T23" s="28">
        <f>(INDEX('Option1 (base case)'!T$106:T$117, MATCH($D23, 'Option1 (base case)'!$G$106:$G$117,0)))*conv_2026*T$7</f>
        <v>0</v>
      </c>
      <c r="U23" s="28">
        <f>(INDEX('Option1 (base case)'!U$106:U$117, MATCH($D23, 'Option1 (base case)'!$G$106:$G$117,0)))*conv_2026*U$7</f>
        <v>0</v>
      </c>
      <c r="V23" s="28">
        <f>(INDEX('Option1 (base case)'!V$106:V$117, MATCH($D23, 'Option1 (base case)'!$G$106:$G$117,0)))*conv_2026*V$7</f>
        <v>0</v>
      </c>
      <c r="W23" s="28">
        <f>(INDEX('Option1 (base case)'!W$106:W$117, MATCH($D23, 'Option1 (base case)'!$G$106:$G$117,0)))*conv_2026*W$7</f>
        <v>0</v>
      </c>
      <c r="X23" s="28">
        <f>(INDEX('Option1 (base case)'!X$106:X$117, MATCH($D23, 'Option1 (base case)'!$G$106:$G$117,0)))*conv_2026*X$7</f>
        <v>0</v>
      </c>
      <c r="Y23" s="28">
        <f>(INDEX('Option1 (base case)'!Y$106:Y$117, MATCH($D23, 'Option1 (base case)'!$G$106:$G$117,0)))*conv_2026*Y$7</f>
        <v>0</v>
      </c>
      <c r="Z23" s="28">
        <f>(INDEX('Option1 (base case)'!Z$106:Z$117, MATCH($D23, 'Option1 (base case)'!$G$106:$G$117,0)))*conv_2026*Z$7</f>
        <v>0</v>
      </c>
      <c r="AA23" s="28">
        <f>(INDEX('Option1 (base case)'!AA$106:AA$117, MATCH($D23, 'Option1 (base case)'!$G$106:$G$117,0)))*conv_2026*AA$7</f>
        <v>0</v>
      </c>
      <c r="AB23" s="28">
        <f>(INDEX('Option1 (base case)'!AB$106:AB$117, MATCH($D23, 'Option1 (base case)'!$G$106:$G$117,0)))*conv_2026*AB$7</f>
        <v>0</v>
      </c>
      <c r="AC23" s="28">
        <f>(INDEX('Option1 (base case)'!AC$106:AC$117, MATCH($D23, 'Option1 (base case)'!$G$106:$G$117,0)))*conv_2026*AC$7</f>
        <v>0</v>
      </c>
      <c r="AD23" s="28">
        <f>(INDEX('Option1 (base case)'!AD$106:AD$117, MATCH($D23, 'Option1 (base case)'!$G$106:$G$117,0)))*conv_2026*AD$7</f>
        <v>0</v>
      </c>
      <c r="AE23" s="28">
        <f>(INDEX('Option1 (base case)'!AE$106:AE$117, MATCH($D23, 'Option1 (base case)'!$G$106:$G$117,0)))*conv_2026*AE$7</f>
        <v>0</v>
      </c>
      <c r="AF23" s="28">
        <f>(INDEX('Option1 (base case)'!AF$106:AF$117, MATCH($D23, 'Option1 (base case)'!$G$106:$G$117,0)))*conv_2026*AF$7</f>
        <v>0</v>
      </c>
      <c r="AG23" s="28">
        <f>(INDEX('Option1 (base case)'!AG$106:AG$117, MATCH($D23, 'Option1 (base case)'!$G$106:$G$117,0)))*conv_2026*AG$7</f>
        <v>0</v>
      </c>
      <c r="AH23" s="6"/>
      <c r="AI23" s="6"/>
    </row>
    <row r="24" spans="1:35" s="2" customFormat="1" x14ac:dyDescent="0.2">
      <c r="A24" s="216"/>
      <c r="B24" s="216"/>
      <c r="C24" s="216"/>
      <c r="D24" s="216"/>
      <c r="E24" s="216"/>
      <c r="F24" s="216"/>
      <c r="G24" s="217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</row>
    <row r="25" spans="1:35" s="2" customFormat="1" x14ac:dyDescent="0.2">
      <c r="A25" s="216"/>
      <c r="B25" s="216"/>
      <c r="C25" s="216"/>
      <c r="D25" s="216"/>
      <c r="E25" s="216"/>
      <c r="F25" s="216"/>
      <c r="G25" s="217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</row>
    <row r="26" spans="1:35" s="2" customFormat="1" x14ac:dyDescent="0.2">
      <c r="A26" s="216"/>
      <c r="B26" s="216"/>
      <c r="C26" s="216"/>
      <c r="D26" s="216"/>
      <c r="E26" s="216"/>
      <c r="F26" s="216"/>
      <c r="G26" s="217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</row>
    <row r="27" spans="1:35" s="2" customFormat="1" x14ac:dyDescent="0.2">
      <c r="A27" s="216"/>
      <c r="B27" s="216"/>
      <c r="C27" s="216"/>
      <c r="D27" s="216"/>
      <c r="E27" s="216"/>
      <c r="F27" s="216"/>
      <c r="G27" s="217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5" s="2" customFormat="1" x14ac:dyDescent="0.2">
      <c r="A28" s="222" t="s">
        <v>167</v>
      </c>
      <c r="B28" s="222" t="s">
        <v>22</v>
      </c>
      <c r="C28" s="222" t="s">
        <v>147</v>
      </c>
      <c r="D28" s="222" t="str">
        <f>A28&amp;B28</f>
        <v>Option 2NPV</v>
      </c>
      <c r="E28" s="214"/>
      <c r="F28" s="28">
        <f>SUMPRODUCT($H28:$AG28, $H$5:$AG$5)</f>
        <v>10734172.344034899</v>
      </c>
      <c r="G28" s="217"/>
      <c r="H28" s="28">
        <f>(INDEX(Option2!H$106:H$117, MATCH($D28, Option2!$G$106:$G$117,0)))*conv_2026*H$7</f>
        <v>0</v>
      </c>
      <c r="I28" s="28">
        <f>(INDEX(Option2!I$106:I$117, MATCH($D28, Option2!$G$106:$G$117,0)))*conv_2026*I$7</f>
        <v>0</v>
      </c>
      <c r="J28" s="28">
        <f>(INDEX(Option2!J$106:J$117, MATCH($D28, Option2!$G$106:$G$117,0)))*conv_2026*J$7</f>
        <v>-239045.33663122164</v>
      </c>
      <c r="K28" s="28">
        <f>(INDEX(Option2!K$106:K$117, MATCH($D28, Option2!$G$106:$G$117,0)))*conv_2026*K$7</f>
        <v>723196.93184454145</v>
      </c>
      <c r="L28" s="28">
        <f>(INDEX(Option2!L$106:L$117, MATCH($D28, Option2!$G$106:$G$117,0)))*conv_2026*L$7</f>
        <v>744731.42489536921</v>
      </c>
      <c r="M28" s="28">
        <f>(INDEX(Option2!M$106:M$117, MATCH($D28, Option2!$G$106:$G$117,0)))*conv_2026*M$7</f>
        <v>765943.78588484728</v>
      </c>
      <c r="N28" s="28">
        <f>(INDEX(Option2!N$106:N$117, MATCH($D28, Option2!$G$106:$G$117,0)))*conv_2026*N$7</f>
        <v>790880.62999065674</v>
      </c>
      <c r="O28" s="28">
        <f>(INDEX(Option2!O$106:O$117, MATCH($D28, Option2!$G$106:$G$117,0)))*conv_2026*O$7</f>
        <v>826078.11000732053</v>
      </c>
      <c r="P28" s="28">
        <f>(INDEX(Option2!P$106:P$117, MATCH($D28, Option2!$G$106:$G$117,0)))*conv_2026*P$7</f>
        <v>863149.37476805924</v>
      </c>
      <c r="Q28" s="28">
        <f>(INDEX(Option2!Q$106:Q$117, MATCH($D28, Option2!$G$106:$G$117,0)))*conv_2026*Q$7</f>
        <v>888890.07006740989</v>
      </c>
      <c r="R28" s="28">
        <f>(INDEX(Option2!R$106:R$117, MATCH($D28, Option2!$G$106:$G$117,0)))*conv_2026*R$7</f>
        <v>897923.75845612655</v>
      </c>
      <c r="S28" s="28">
        <f>(INDEX(Option2!S$106:S$117, MATCH($D28, Option2!$G$106:$G$117,0)))*conv_2026*S$7</f>
        <v>907188.14075745619</v>
      </c>
      <c r="T28" s="28">
        <f>(INDEX(Option2!T$106:T$117, MATCH($D28, Option2!$G$106:$G$117,0)))*conv_2026*T$7</f>
        <v>916639.6705373656</v>
      </c>
      <c r="U28" s="28">
        <f>(INDEX(Option2!U$106:U$117, MATCH($D28, Option2!$G$106:$G$117,0)))*conv_2026*U$7</f>
        <v>926245.29286009213</v>
      </c>
      <c r="V28" s="28">
        <f>(INDEX(Option2!V$106:V$117, MATCH($D28, Option2!$G$106:$G$117,0)))*conv_2026*V$7</f>
        <v>935979.10363186419</v>
      </c>
      <c r="W28" s="28">
        <f>(INDEX(Option2!W$106:W$117, MATCH($D28, Option2!$G$106:$G$117,0)))*conv_2026*W$7</f>
        <v>945820.4015727411</v>
      </c>
      <c r="X28" s="28">
        <f>(INDEX(Option2!X$106:X$117, MATCH($D28, Option2!$G$106:$G$117,0)))*conv_2026*X$7</f>
        <v>955752.51698359195</v>
      </c>
      <c r="Y28" s="28">
        <f>(INDEX(Option2!Y$106:Y$117, MATCH($D28, Option2!$G$106:$G$117,0)))*conv_2026*Y$7</f>
        <v>965761.75123893213</v>
      </c>
      <c r="Z28" s="28">
        <f>(INDEX(Option2!Z$106:Z$117, MATCH($D28, Option2!$G$106:$G$117,0)))*conv_2026*Z$7</f>
        <v>975836.71391169948</v>
      </c>
      <c r="AA28" s="28">
        <f>(INDEX(Option2!AA$106:AA$117, MATCH($D28, Option2!$G$106:$G$117,0)))*conv_2026*AA$7</f>
        <v>985967.81293225533</v>
      </c>
      <c r="AB28" s="28">
        <f>(INDEX(Option2!AB$106:AB$117, MATCH($D28, Option2!$G$106:$G$117,0)))*conv_2026*AB$7</f>
        <v>996147.03016916406</v>
      </c>
      <c r="AC28" s="28">
        <f>(INDEX(Option2!AC$106:AC$117, MATCH($D28, Option2!$G$106:$G$117,0)))*conv_2026*AC$7</f>
        <v>0</v>
      </c>
      <c r="AD28" s="28">
        <f>(INDEX(Option2!AD$106:AD$117, MATCH($D28, Option2!$G$106:$G$117,0)))*conv_2026*AD$7</f>
        <v>0</v>
      </c>
      <c r="AE28" s="28">
        <f>(INDEX(Option2!AE$106:AE$117, MATCH($D28, Option2!$G$106:$G$117,0)))*conv_2026*AE$7</f>
        <v>0</v>
      </c>
      <c r="AF28" s="28">
        <f>(INDEX(Option2!AF$106:AF$117, MATCH($D28, Option2!$G$106:$G$117,0)))*conv_2026*AF$7</f>
        <v>0</v>
      </c>
      <c r="AG28" s="28">
        <f>(INDEX(Option2!AG$106:AG$117, MATCH($D28, Option2!$G$106:$G$117,0)))*conv_2026*AG$7</f>
        <v>0</v>
      </c>
    </row>
    <row r="29" spans="1:35" s="2" customFormat="1" x14ac:dyDescent="0.2">
      <c r="A29" s="216"/>
      <c r="B29" s="216"/>
      <c r="C29" s="216"/>
      <c r="D29" s="216"/>
      <c r="E29" s="216"/>
      <c r="F29" s="216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7"/>
      <c r="AB29" s="217"/>
      <c r="AC29" s="217"/>
      <c r="AD29" s="217"/>
      <c r="AE29" s="217"/>
      <c r="AF29" s="217"/>
      <c r="AG29" s="217"/>
    </row>
    <row r="30" spans="1:35" s="2" customFormat="1" x14ac:dyDescent="0.2">
      <c r="A30" s="222" t="s">
        <v>167</v>
      </c>
      <c r="B30" s="222" t="str">
        <f>Option2!A110</f>
        <v>sens1</v>
      </c>
      <c r="C30" s="222" t="str">
        <f>Option2!C110</f>
        <v>Capex 10% higher</v>
      </c>
      <c r="D30" s="222" t="str">
        <f t="shared" ref="D30:D37" si="2">A30&amp;B30</f>
        <v>Option 2sens1</v>
      </c>
      <c r="E30" s="214"/>
      <c r="F30" s="28">
        <f>SUMPRODUCT($H30:$AG30, $H$5:$AG$5)</f>
        <v>10262315.993396578</v>
      </c>
      <c r="G30" s="217"/>
      <c r="H30" s="28">
        <f>IF($B30=0,0, (INDEX(Option2!H$106:H$117, MATCH($D30, Option2!$G$106:$G$117,0)))*conv_2026*H$7)</f>
        <v>0</v>
      </c>
      <c r="I30" s="28">
        <f>IF($B30=0,0, (INDEX(Option2!I$106:I$117, MATCH($D30, Option2!$G$106:$G$117,0)))*conv_2026*I$7)</f>
        <v>0</v>
      </c>
      <c r="J30" s="28">
        <f>IF($B30=0,0, (INDEX(Option2!J$106:J$117, MATCH($D30, Option2!$G$106:$G$117,0)))*conv_2026*J$7)</f>
        <v>-262949.87029434385</v>
      </c>
      <c r="K30" s="28">
        <f>IF($B30=0,0, (INDEX(Option2!K$106:K$117, MATCH($D30, Option2!$G$106:$G$117,0)))*conv_2026*K$7)</f>
        <v>687340.13134985813</v>
      </c>
      <c r="L30" s="28">
        <f>IF($B30=0,0, (INDEX(Option2!L$106:L$117, MATCH($D30, Option2!$G$106:$G$117,0)))*conv_2026*L$7)</f>
        <v>708874.62440068601</v>
      </c>
      <c r="M30" s="28">
        <f>IF($B30=0,0, (INDEX(Option2!M$106:M$117, MATCH($D30, Option2!$G$106:$G$117,0)))*conv_2026*M$7)</f>
        <v>730086.98539016407</v>
      </c>
      <c r="N30" s="28">
        <f>IF($B30=0,0, (INDEX(Option2!N$106:N$117, MATCH($D30, Option2!$G$106:$G$117,0)))*conv_2026*N$7)</f>
        <v>755023.82949597354</v>
      </c>
      <c r="O30" s="28">
        <f>IF($B30=0,0, (INDEX(Option2!O$106:O$117, MATCH($D30, Option2!$G$106:$G$117,0)))*conv_2026*O$7)</f>
        <v>790221.30951263721</v>
      </c>
      <c r="P30" s="28">
        <f>IF($B30=0,0, (INDEX(Option2!P$106:P$117, MATCH($D30, Option2!$G$106:$G$117,0)))*conv_2026*P$7)</f>
        <v>827292.57427337591</v>
      </c>
      <c r="Q30" s="28">
        <f>IF($B30=0,0, (INDEX(Option2!Q$106:Q$117, MATCH($D30, Option2!$G$106:$G$117,0)))*conv_2026*Q$7)</f>
        <v>853033.26957272657</v>
      </c>
      <c r="R30" s="28">
        <f>IF($B30=0,0, (INDEX(Option2!R$106:R$117, MATCH($D30, Option2!$G$106:$G$117,0)))*conv_2026*R$7)</f>
        <v>862066.95796144323</v>
      </c>
      <c r="S30" s="28">
        <f>IF($B30=0,0, (INDEX(Option2!S$106:S$117, MATCH($D30, Option2!$G$106:$G$117,0)))*conv_2026*S$7)</f>
        <v>871331.34026277298</v>
      </c>
      <c r="T30" s="28">
        <f>IF($B30=0,0, (INDEX(Option2!T$106:T$117, MATCH($D30, Option2!$G$106:$G$117,0)))*conv_2026*T$7)</f>
        <v>880782.87004268239</v>
      </c>
      <c r="U30" s="28">
        <f>IF($B30=0,0, (INDEX(Option2!U$106:U$117, MATCH($D30, Option2!$G$106:$G$117,0)))*conv_2026*U$7)</f>
        <v>890388.49236540881</v>
      </c>
      <c r="V30" s="28">
        <f>IF($B30=0,0, (INDEX(Option2!V$106:V$117, MATCH($D30, Option2!$G$106:$G$117,0)))*conv_2026*V$7)</f>
        <v>900122.30313718098</v>
      </c>
      <c r="W30" s="28">
        <f>IF($B30=0,0, (INDEX(Option2!W$106:W$117, MATCH($D30, Option2!$G$106:$G$117,0)))*conv_2026*W$7)</f>
        <v>909963.60107805778</v>
      </c>
      <c r="X30" s="28">
        <f>IF($B30=0,0, (INDEX(Option2!X$106:X$117, MATCH($D30, Option2!$G$106:$G$117,0)))*conv_2026*X$7)</f>
        <v>919895.71648890863</v>
      </c>
      <c r="Y30" s="28">
        <f>IF($B30=0,0, (INDEX(Option2!Y$106:Y$117, MATCH($D30, Option2!$G$106:$G$117,0)))*conv_2026*Y$7)</f>
        <v>929904.95074424893</v>
      </c>
      <c r="Z30" s="28">
        <f>IF($B30=0,0, (INDEX(Option2!Z$106:Z$117, MATCH($D30, Option2!$G$106:$G$117,0)))*conv_2026*Z$7)</f>
        <v>939979.91341701627</v>
      </c>
      <c r="AA30" s="28">
        <f>IF($B30=0,0, (INDEX(Option2!AA$106:AA$117, MATCH($D30, Option2!$G$106:$G$117,0)))*conv_2026*AA$7)</f>
        <v>950111.012437572</v>
      </c>
      <c r="AB30" s="28">
        <f>IF($B30=0,0, (INDEX(Option2!AB$106:AB$117, MATCH($D30, Option2!$G$106:$G$117,0)))*conv_2026*AB$7)</f>
        <v>960290.22967448074</v>
      </c>
      <c r="AC30" s="28">
        <f>IF($B30=0,0, (INDEX(Option2!AC$106:AC$117, MATCH($D30, Option2!$G$106:$G$117,0)))*conv_2026*AC$7)</f>
        <v>0</v>
      </c>
      <c r="AD30" s="28">
        <f>IF($B30=0,0, (INDEX(Option2!AD$106:AD$117, MATCH($D30, Option2!$G$106:$G$117,0)))*conv_2026*AD$7)</f>
        <v>0</v>
      </c>
      <c r="AE30" s="28">
        <f>IF($B30=0,0, (INDEX(Option2!AE$106:AE$117, MATCH($D30, Option2!$G$106:$G$117,0)))*conv_2026*AE$7)</f>
        <v>0</v>
      </c>
      <c r="AF30" s="28">
        <f>IF($B30=0,0, (INDEX(Option2!AF$106:AF$117, MATCH($D30, Option2!$G$106:$G$117,0)))*conv_2026*AF$7)</f>
        <v>0</v>
      </c>
      <c r="AG30" s="28">
        <f>IF($B30=0,0, (INDEX(Option2!AG$106:AG$117, MATCH($D30, Option2!$G$106:$G$117,0)))*conv_2026*AG$7)</f>
        <v>0</v>
      </c>
    </row>
    <row r="31" spans="1:35" s="6" customFormat="1" x14ac:dyDescent="0.2">
      <c r="A31" s="222" t="s">
        <v>167</v>
      </c>
      <c r="B31" s="222" t="str">
        <f>Option2!A111</f>
        <v>sens2</v>
      </c>
      <c r="C31" s="222" t="str">
        <f>Option2!C111</f>
        <v>Capex 10% lower</v>
      </c>
      <c r="D31" s="222" t="str">
        <f t="shared" si="2"/>
        <v>Option 2sens2</v>
      </c>
      <c r="E31" s="214"/>
      <c r="F31" s="28">
        <f t="shared" ref="F31:F37" si="3">SUMPRODUCT($H31:$AG31, $H$5:$AG$5)</f>
        <v>11206028.69467322</v>
      </c>
      <c r="G31" s="222"/>
      <c r="H31" s="28">
        <f>IF($B31=0,0, (INDEX(Option2!H$106:H$117, MATCH($D31, Option2!$G$106:$G$117,0)))*conv_2026*H$7)</f>
        <v>0</v>
      </c>
      <c r="I31" s="28">
        <f>IF($B31=0,0, (INDEX(Option2!I$106:I$117, MATCH($D31, Option2!$G$106:$G$117,0)))*conv_2026*I$7)</f>
        <v>0</v>
      </c>
      <c r="J31" s="28">
        <f>IF($B31=0,0, (INDEX(Option2!J$106:J$117, MATCH($D31, Option2!$G$106:$G$117,0)))*conv_2026*J$7)</f>
        <v>-215140.80296809948</v>
      </c>
      <c r="K31" s="28">
        <f>IF($B31=0,0, (INDEX(Option2!K$106:K$117, MATCH($D31, Option2!$G$106:$G$117,0)))*conv_2026*K$7)</f>
        <v>759053.73233922478</v>
      </c>
      <c r="L31" s="28">
        <f>IF($B31=0,0, (INDEX(Option2!L$106:L$117, MATCH($D31, Option2!$G$106:$G$117,0)))*conv_2026*L$7)</f>
        <v>780588.22539005254</v>
      </c>
      <c r="M31" s="28">
        <f>IF($B31=0,0, (INDEX(Option2!M$106:M$117, MATCH($D31, Option2!$G$106:$G$117,0)))*conv_2026*M$7)</f>
        <v>801800.58637953061</v>
      </c>
      <c r="N31" s="28">
        <f>IF($B31=0,0, (INDEX(Option2!N$106:N$117, MATCH($D31, Option2!$G$106:$G$117,0)))*conv_2026*N$7)</f>
        <v>826737.43048534007</v>
      </c>
      <c r="O31" s="28">
        <f>IF($B31=0,0, (INDEX(Option2!O$106:O$117, MATCH($D31, Option2!$G$106:$G$117,0)))*conv_2026*O$7)</f>
        <v>861934.91050200386</v>
      </c>
      <c r="P31" s="28">
        <f>IF($B31=0,0, (INDEX(Option2!P$106:P$117, MATCH($D31, Option2!$G$106:$G$117,0)))*conv_2026*P$7)</f>
        <v>899006.17526274256</v>
      </c>
      <c r="Q31" s="28">
        <f>IF($B31=0,0, (INDEX(Option2!Q$106:Q$117, MATCH($D31, Option2!$G$106:$G$117,0)))*conv_2026*Q$7)</f>
        <v>924746.8705620931</v>
      </c>
      <c r="R31" s="28">
        <f>IF($B31=0,0, (INDEX(Option2!R$106:R$117, MATCH($D31, Option2!$G$106:$G$117,0)))*conv_2026*R$7)</f>
        <v>933780.55895080976</v>
      </c>
      <c r="S31" s="28">
        <f>IF($B31=0,0, (INDEX(Option2!S$106:S$117, MATCH($D31, Option2!$G$106:$G$117,0)))*conv_2026*S$7)</f>
        <v>943044.94125213951</v>
      </c>
      <c r="T31" s="28">
        <f>IF($B31=0,0, (INDEX(Option2!T$106:T$117, MATCH($D31, Option2!$G$106:$G$117,0)))*conv_2026*T$7)</f>
        <v>952496.47103204892</v>
      </c>
      <c r="U31" s="28">
        <f>IF($B31=0,0, (INDEX(Option2!U$106:U$117, MATCH($D31, Option2!$G$106:$G$117,0)))*conv_2026*U$7)</f>
        <v>962102.09335477545</v>
      </c>
      <c r="V31" s="28">
        <f>IF($B31=0,0, (INDEX(Option2!V$106:V$117, MATCH($D31, Option2!$G$106:$G$117,0)))*conv_2026*V$7)</f>
        <v>971835.90412654751</v>
      </c>
      <c r="W31" s="28">
        <f>IF($B31=0,0, (INDEX(Option2!W$106:W$117, MATCH($D31, Option2!$G$106:$G$117,0)))*conv_2026*W$7)</f>
        <v>981677.20206742431</v>
      </c>
      <c r="X31" s="28">
        <f>IF($B31=0,0, (INDEX(Option2!X$106:X$117, MATCH($D31, Option2!$G$106:$G$117,0)))*conv_2026*X$7)</f>
        <v>991609.31747827528</v>
      </c>
      <c r="Y31" s="28">
        <f>IF($B31=0,0, (INDEX(Option2!Y$106:Y$117, MATCH($D31, Option2!$G$106:$G$117,0)))*conv_2026*Y$7)</f>
        <v>1001618.5517336155</v>
      </c>
      <c r="Z31" s="28">
        <f>IF($B31=0,0, (INDEX(Option2!Z$106:Z$117, MATCH($D31, Option2!$G$106:$G$117,0)))*conv_2026*Z$7)</f>
        <v>1011693.5144063828</v>
      </c>
      <c r="AA31" s="28">
        <f>IF($B31=0,0, (INDEX(Option2!AA$106:AA$117, MATCH($D31, Option2!$G$106:$G$117,0)))*conv_2026*AA$7)</f>
        <v>1021824.6134269387</v>
      </c>
      <c r="AB31" s="28">
        <f>IF($B31=0,0, (INDEX(Option2!AB$106:AB$117, MATCH($D31, Option2!$G$106:$G$117,0)))*conv_2026*AB$7)</f>
        <v>1032003.8306638474</v>
      </c>
      <c r="AC31" s="28">
        <f>IF($B31=0,0, (INDEX(Option2!AC$106:AC$117, MATCH($D31, Option2!$G$106:$G$117,0)))*conv_2026*AC$7)</f>
        <v>0</v>
      </c>
      <c r="AD31" s="28">
        <f>IF($B31=0,0, (INDEX(Option2!AD$106:AD$117, MATCH($D31, Option2!$G$106:$G$117,0)))*conv_2026*AD$7)</f>
        <v>0</v>
      </c>
      <c r="AE31" s="28">
        <f>IF($B31=0,0, (INDEX(Option2!AE$106:AE$117, MATCH($D31, Option2!$G$106:$G$117,0)))*conv_2026*AE$7)</f>
        <v>0</v>
      </c>
      <c r="AF31" s="28">
        <f>IF($B31=0,0, (INDEX(Option2!AF$106:AF$117, MATCH($D31, Option2!$G$106:$G$117,0)))*conv_2026*AF$7)</f>
        <v>0</v>
      </c>
      <c r="AG31" s="28">
        <f>IF($B31=0,0, (INDEX(Option2!AG$106:AG$117, MATCH($D31, Option2!$G$106:$G$117,0)))*conv_2026*AG$7)</f>
        <v>0</v>
      </c>
    </row>
    <row r="32" spans="1:35" s="6" customFormat="1" x14ac:dyDescent="0.2">
      <c r="A32" s="222" t="s">
        <v>167</v>
      </c>
      <c r="B32" s="222" t="str">
        <f>Option2!A112</f>
        <v>sens3</v>
      </c>
      <c r="C32" s="222" t="str">
        <f>Option2!C112</f>
        <v>Total benefits 10% higher</v>
      </c>
      <c r="D32" s="222" t="str">
        <f t="shared" si="2"/>
        <v>Option 2sens3</v>
      </c>
      <c r="E32" s="214"/>
      <c r="F32" s="28">
        <f t="shared" si="3"/>
        <v>12279445.929076709</v>
      </c>
      <c r="H32" s="28">
        <f>IF($B32=0,0, (INDEX(Option2!H$106:H$117, MATCH($D32, Option2!$G$106:$G$117,0)))*conv_2026*H$7)</f>
        <v>0</v>
      </c>
      <c r="I32" s="28">
        <f>IF($B32=0,0, (INDEX(Option2!I$106:I$117, MATCH($D32, Option2!$G$106:$G$117,0)))*conv_2026*I$7)</f>
        <v>0</v>
      </c>
      <c r="J32" s="28">
        <f>IF($B32=0,0, (INDEX(Option2!J$106:J$117, MATCH($D32, Option2!$G$106:$G$117,0)))*conv_2026*J$7)</f>
        <v>-239045.33663122164</v>
      </c>
      <c r="K32" s="28">
        <f>IF($B32=0,0, (INDEX(Option2!K$106:K$117, MATCH($D32, Option2!$G$106:$G$117,0)))*conv_2026*K$7)</f>
        <v>831373.42552367889</v>
      </c>
      <c r="L32" s="28">
        <f>IF($B32=0,0, (INDEX(Option2!L$106:L$117, MATCH($D32, Option2!$G$106:$G$117,0)))*conv_2026*L$7)</f>
        <v>855061.36787958944</v>
      </c>
      <c r="M32" s="28">
        <f>IF($B32=0,0, (INDEX(Option2!M$106:M$117, MATCH($D32, Option2!$G$106:$G$117,0)))*conv_2026*M$7)</f>
        <v>878394.96496801532</v>
      </c>
      <c r="N32" s="28">
        <f>IF($B32=0,0, (INDEX(Option2!N$106:N$117, MATCH($D32, Option2!$G$106:$G$117,0)))*conv_2026*N$7)</f>
        <v>905825.4934844058</v>
      </c>
      <c r="O32" s="28">
        <f>IF($B32=0,0, (INDEX(Option2!O$106:O$117, MATCH($D32, Option2!$G$106:$G$117,0)))*conv_2026*O$7)</f>
        <v>944542.72150273586</v>
      </c>
      <c r="P32" s="28">
        <f>IF($B32=0,0, (INDEX(Option2!P$106:P$117, MATCH($D32, Option2!$G$106:$G$117,0)))*conv_2026*P$7)</f>
        <v>985321.11273954832</v>
      </c>
      <c r="Q32" s="28">
        <f>IF($B32=0,0, (INDEX(Option2!Q$106:Q$117, MATCH($D32, Option2!$G$106:$G$117,0)))*conv_2026*Q$7)</f>
        <v>1013635.8775688341</v>
      </c>
      <c r="R32" s="28">
        <f>IF($B32=0,0, (INDEX(Option2!R$106:R$117, MATCH($D32, Option2!$G$106:$G$117,0)))*conv_2026*R$7)</f>
        <v>1023572.9347964224</v>
      </c>
      <c r="S32" s="28">
        <f>IF($B32=0,0, (INDEX(Option2!S$106:S$117, MATCH($D32, Option2!$G$106:$G$117,0)))*conv_2026*S$7)</f>
        <v>1033763.7553278852</v>
      </c>
      <c r="T32" s="28">
        <f>IF($B32=0,0, (INDEX(Option2!T$106:T$117, MATCH($D32, Option2!$G$106:$G$117,0)))*conv_2026*T$7)</f>
        <v>1044160.4380857855</v>
      </c>
      <c r="U32" s="28">
        <f>IF($B32=0,0, (INDEX(Option2!U$106:U$117, MATCH($D32, Option2!$G$106:$G$117,0)))*conv_2026*U$7)</f>
        <v>1054726.6226407846</v>
      </c>
      <c r="V32" s="28">
        <f>IF($B32=0,0, (INDEX(Option2!V$106:V$117, MATCH($D32, Option2!$G$106:$G$117,0)))*conv_2026*V$7)</f>
        <v>1065433.8144897339</v>
      </c>
      <c r="W32" s="28">
        <f>IF($B32=0,0, (INDEX(Option2!W$106:W$117, MATCH($D32, Option2!$G$106:$G$117,0)))*conv_2026*W$7)</f>
        <v>1076259.2422246984</v>
      </c>
      <c r="X32" s="28">
        <f>IF($B32=0,0, (INDEX(Option2!X$106:X$117, MATCH($D32, Option2!$G$106:$G$117,0)))*conv_2026*X$7)</f>
        <v>1087184.5691766345</v>
      </c>
      <c r="Y32" s="28">
        <f>IF($B32=0,0, (INDEX(Option2!Y$106:Y$117, MATCH($D32, Option2!$G$106:$G$117,0)))*conv_2026*Y$7)</f>
        <v>1098194.7268575085</v>
      </c>
      <c r="Z32" s="28">
        <f>IF($B32=0,0, (INDEX(Option2!Z$106:Z$117, MATCH($D32, Option2!$G$106:$G$117,0)))*conv_2026*Z$7)</f>
        <v>1109277.1857975526</v>
      </c>
      <c r="AA32" s="28">
        <f>IF($B32=0,0, (INDEX(Option2!AA$106:AA$117, MATCH($D32, Option2!$G$106:$G$117,0)))*conv_2026*AA$7)</f>
        <v>1120421.3947201641</v>
      </c>
      <c r="AB32" s="28">
        <f>IF($B32=0,0, (INDEX(Option2!AB$106:AB$117, MATCH($D32, Option2!$G$106:$G$117,0)))*conv_2026*AB$7)</f>
        <v>1131618.5336807638</v>
      </c>
      <c r="AC32" s="28">
        <f>IF($B32=0,0, (INDEX(Option2!AC$106:AC$117, MATCH($D32, Option2!$G$106:$G$117,0)))*conv_2026*AC$7)</f>
        <v>0</v>
      </c>
      <c r="AD32" s="28">
        <f>IF($B32=0,0, (INDEX(Option2!AD$106:AD$117, MATCH($D32, Option2!$G$106:$G$117,0)))*conv_2026*AD$7)</f>
        <v>0</v>
      </c>
      <c r="AE32" s="28">
        <f>IF($B32=0,0, (INDEX(Option2!AE$106:AE$117, MATCH($D32, Option2!$G$106:$G$117,0)))*conv_2026*AE$7)</f>
        <v>0</v>
      </c>
      <c r="AF32" s="28">
        <f>IF($B32=0,0, (INDEX(Option2!AF$106:AF$117, MATCH($D32, Option2!$G$106:$G$117,0)))*conv_2026*AF$7)</f>
        <v>0</v>
      </c>
      <c r="AG32" s="28">
        <f>IF($B32=0,0, (INDEX(Option2!AG$106:AG$117, MATCH($D32, Option2!$G$106:$G$117,0)))*conv_2026*AG$7)</f>
        <v>0</v>
      </c>
    </row>
    <row r="33" spans="1:35" s="6" customFormat="1" x14ac:dyDescent="0.2">
      <c r="A33" s="222" t="s">
        <v>167</v>
      </c>
      <c r="B33" s="222" t="str">
        <f>Option2!A113</f>
        <v>sens4</v>
      </c>
      <c r="C33" s="222" t="str">
        <f>Option2!C113</f>
        <v>Total benefits 10% lower</v>
      </c>
      <c r="D33" s="222" t="str">
        <f t="shared" si="2"/>
        <v>Option 2sens4</v>
      </c>
      <c r="E33" s="214"/>
      <c r="F33" s="28">
        <f t="shared" si="3"/>
        <v>9188898.7589930892</v>
      </c>
      <c r="H33" s="28">
        <f>IF($B33=0,0, (INDEX(Option2!H$106:H$117, MATCH($D33, Option2!$G$106:$G$117,0)))*conv_2026*H$7)</f>
        <v>0</v>
      </c>
      <c r="I33" s="28">
        <f>IF($B33=0,0, (INDEX(Option2!I$106:I$117, MATCH($D33, Option2!$G$106:$G$117,0)))*conv_2026*I$7)</f>
        <v>0</v>
      </c>
      <c r="J33" s="28">
        <f>IF($B33=0,0, (INDEX(Option2!J$106:J$117, MATCH($D33, Option2!$G$106:$G$117,0)))*conv_2026*J$7)</f>
        <v>-239045.33663122164</v>
      </c>
      <c r="K33" s="28">
        <f>IF($B33=0,0, (INDEX(Option2!K$106:K$117, MATCH($D33, Option2!$G$106:$G$117,0)))*conv_2026*K$7)</f>
        <v>615020.43816540414</v>
      </c>
      <c r="L33" s="28">
        <f>IF($B33=0,0, (INDEX(Option2!L$106:L$117, MATCH($D33, Option2!$G$106:$G$117,0)))*conv_2026*L$7)</f>
        <v>634401.48191114911</v>
      </c>
      <c r="M33" s="28">
        <f>IF($B33=0,0, (INDEX(Option2!M$106:M$117, MATCH($D33, Option2!$G$106:$G$117,0)))*conv_2026*M$7)</f>
        <v>653492.60680167936</v>
      </c>
      <c r="N33" s="28">
        <f>IF($B33=0,0, (INDEX(Option2!N$106:N$117, MATCH($D33, Option2!$G$106:$G$117,0)))*conv_2026*N$7)</f>
        <v>675935.7664969078</v>
      </c>
      <c r="O33" s="28">
        <f>IF($B33=0,0, (INDEX(Option2!O$106:O$117, MATCH($D33, Option2!$G$106:$G$117,0)))*conv_2026*O$7)</f>
        <v>707613.49851190532</v>
      </c>
      <c r="P33" s="28">
        <f>IF($B33=0,0, (INDEX(Option2!P$106:P$117, MATCH($D33, Option2!$G$106:$G$117,0)))*conv_2026*P$7)</f>
        <v>740977.63679657015</v>
      </c>
      <c r="Q33" s="28">
        <f>IF($B33=0,0, (INDEX(Option2!Q$106:Q$117, MATCH($D33, Option2!$G$106:$G$117,0)))*conv_2026*Q$7)</f>
        <v>764144.26256598567</v>
      </c>
      <c r="R33" s="28">
        <f>IF($B33=0,0, (INDEX(Option2!R$106:R$117, MATCH($D33, Option2!$G$106:$G$117,0)))*conv_2026*R$7)</f>
        <v>772274.58211583062</v>
      </c>
      <c r="S33" s="28">
        <f>IF($B33=0,0, (INDEX(Option2!S$106:S$117, MATCH($D33, Option2!$G$106:$G$117,0)))*conv_2026*S$7)</f>
        <v>780612.52618702734</v>
      </c>
      <c r="T33" s="28">
        <f>IF($B33=0,0, (INDEX(Option2!T$106:T$117, MATCH($D33, Option2!$G$106:$G$117,0)))*conv_2026*T$7)</f>
        <v>789118.90298894572</v>
      </c>
      <c r="U33" s="28">
        <f>IF($B33=0,0, (INDEX(Option2!U$106:U$117, MATCH($D33, Option2!$G$106:$G$117,0)))*conv_2026*U$7)</f>
        <v>797763.96307939966</v>
      </c>
      <c r="V33" s="28">
        <f>IF($B33=0,0, (INDEX(Option2!V$106:V$117, MATCH($D33, Option2!$G$106:$G$117,0)))*conv_2026*V$7)</f>
        <v>806524.39277399459</v>
      </c>
      <c r="W33" s="28">
        <f>IF($B33=0,0, (INDEX(Option2!W$106:W$117, MATCH($D33, Option2!$G$106:$G$117,0)))*conv_2026*W$7)</f>
        <v>815381.56092078367</v>
      </c>
      <c r="X33" s="28">
        <f>IF($B33=0,0, (INDEX(Option2!X$106:X$117, MATCH($D33, Option2!$G$106:$G$117,0)))*conv_2026*X$7)</f>
        <v>824320.46479054948</v>
      </c>
      <c r="Y33" s="28">
        <f>IF($B33=0,0, (INDEX(Option2!Y$106:Y$117, MATCH($D33, Option2!$G$106:$G$117,0)))*conv_2026*Y$7)</f>
        <v>833328.77562035574</v>
      </c>
      <c r="Z33" s="28">
        <f>IF($B33=0,0, (INDEX(Option2!Z$106:Z$117, MATCH($D33, Option2!$G$106:$G$117,0)))*conv_2026*Z$7)</f>
        <v>842396.24202584638</v>
      </c>
      <c r="AA33" s="28">
        <f>IF($B33=0,0, (INDEX(Option2!AA$106:AA$117, MATCH($D33, Option2!$G$106:$G$117,0)))*conv_2026*AA$7)</f>
        <v>851514.23114434653</v>
      </c>
      <c r="AB33" s="28">
        <f>IF($B33=0,0, (INDEX(Option2!AB$106:AB$117, MATCH($D33, Option2!$G$106:$G$117,0)))*conv_2026*AB$7)</f>
        <v>860675.52665756445</v>
      </c>
      <c r="AC33" s="28">
        <f>IF($B33=0,0, (INDEX(Option2!AC$106:AC$117, MATCH($D33, Option2!$G$106:$G$117,0)))*conv_2026*AC$7)</f>
        <v>0</v>
      </c>
      <c r="AD33" s="28">
        <f>IF($B33=0,0, (INDEX(Option2!AD$106:AD$117, MATCH($D33, Option2!$G$106:$G$117,0)))*conv_2026*AD$7)</f>
        <v>0</v>
      </c>
      <c r="AE33" s="28">
        <f>IF($B33=0,0, (INDEX(Option2!AE$106:AE$117, MATCH($D33, Option2!$G$106:$G$117,0)))*conv_2026*AE$7)</f>
        <v>0</v>
      </c>
      <c r="AF33" s="28">
        <f>IF($B33=0,0, (INDEX(Option2!AF$106:AF$117, MATCH($D33, Option2!$G$106:$G$117,0)))*conv_2026*AF$7)</f>
        <v>0</v>
      </c>
      <c r="AG33" s="28">
        <f>IF($B33=0,0, (INDEX(Option2!AG$106:AG$117, MATCH($D33, Option2!$G$106:$G$117,0)))*conv_2026*AG$7)</f>
        <v>0</v>
      </c>
    </row>
    <row r="34" spans="1:35" s="6" customFormat="1" x14ac:dyDescent="0.2">
      <c r="A34" s="222" t="s">
        <v>167</v>
      </c>
      <c r="B34" s="222" t="str">
        <f>Option2!A114</f>
        <v>sens5</v>
      </c>
      <c r="C34" s="222" t="str">
        <f>Option2!C114</f>
        <v>Capex 10% higher &amp; Total benefits 10% lower</v>
      </c>
      <c r="D34" s="222" t="str">
        <f t="shared" si="2"/>
        <v>Option 2sens5</v>
      </c>
      <c r="E34" s="214"/>
      <c r="F34" s="28">
        <f t="shared" si="3"/>
        <v>8717042.4083547704</v>
      </c>
      <c r="H34" s="28">
        <f>IF($B34=0,0, (INDEX(Option2!H$106:H$117, MATCH($D34, Option2!$G$106:$G$117,0)))*conv_2026*H$7)</f>
        <v>0</v>
      </c>
      <c r="I34" s="28">
        <f>IF($B34=0,0, (INDEX(Option2!I$106:I$117, MATCH($D34, Option2!$G$106:$G$117,0)))*conv_2026*I$7)</f>
        <v>0</v>
      </c>
      <c r="J34" s="28">
        <f>IF($B34=0,0, (INDEX(Option2!J$106:J$117, MATCH($D34, Option2!$G$106:$G$117,0)))*conv_2026*J$7)</f>
        <v>-262949.87029434385</v>
      </c>
      <c r="K34" s="28">
        <f>IF($B34=0,0, (INDEX(Option2!K$106:K$117, MATCH($D34, Option2!$G$106:$G$117,0)))*conv_2026*K$7)</f>
        <v>579163.63767072081</v>
      </c>
      <c r="L34" s="28">
        <f>IF($B34=0,0, (INDEX(Option2!L$106:L$117, MATCH($D34, Option2!$G$106:$G$117,0)))*conv_2026*L$7)</f>
        <v>598544.6814164659</v>
      </c>
      <c r="M34" s="28">
        <f>IF($B34=0,0, (INDEX(Option2!M$106:M$117, MATCH($D34, Option2!$G$106:$G$117,0)))*conv_2026*M$7)</f>
        <v>617635.80630699615</v>
      </c>
      <c r="N34" s="28">
        <f>IF($B34=0,0, (INDEX(Option2!N$106:N$117, MATCH($D34, Option2!$G$106:$G$117,0)))*conv_2026*N$7)</f>
        <v>640078.9660022246</v>
      </c>
      <c r="O34" s="28">
        <f>IF($B34=0,0, (INDEX(Option2!O$106:O$117, MATCH($D34, Option2!$G$106:$G$117,0)))*conv_2026*O$7)</f>
        <v>671756.69801722199</v>
      </c>
      <c r="P34" s="28">
        <f>IF($B34=0,0, (INDEX(Option2!P$106:P$117, MATCH($D34, Option2!$G$106:$G$117,0)))*conv_2026*P$7)</f>
        <v>705120.83630188683</v>
      </c>
      <c r="Q34" s="28">
        <f>IF($B34=0,0, (INDEX(Option2!Q$106:Q$117, MATCH($D34, Option2!$G$106:$G$117,0)))*conv_2026*Q$7)</f>
        <v>728287.46207130235</v>
      </c>
      <c r="R34" s="28">
        <f>IF($B34=0,0, (INDEX(Option2!R$106:R$117, MATCH($D34, Option2!$G$106:$G$117,0)))*conv_2026*R$7)</f>
        <v>736417.7816211473</v>
      </c>
      <c r="S34" s="28">
        <f>IF($B34=0,0, (INDEX(Option2!S$106:S$117, MATCH($D34, Option2!$G$106:$G$117,0)))*conv_2026*S$7)</f>
        <v>744755.72569234401</v>
      </c>
      <c r="T34" s="28">
        <f>IF($B34=0,0, (INDEX(Option2!T$106:T$117, MATCH($D34, Option2!$G$106:$G$117,0)))*conv_2026*T$7)</f>
        <v>753262.10249426262</v>
      </c>
      <c r="U34" s="28">
        <f>IF($B34=0,0, (INDEX(Option2!U$106:U$117, MATCH($D34, Option2!$G$106:$G$117,0)))*conv_2026*U$7)</f>
        <v>761907.16258471645</v>
      </c>
      <c r="V34" s="28">
        <f>IF($B34=0,0, (INDEX(Option2!V$106:V$117, MATCH($D34, Option2!$G$106:$G$117,0)))*conv_2026*V$7)</f>
        <v>770667.59227931127</v>
      </c>
      <c r="W34" s="28">
        <f>IF($B34=0,0, (INDEX(Option2!W$106:W$117, MATCH($D34, Option2!$G$106:$G$117,0)))*conv_2026*W$7)</f>
        <v>779524.76042610046</v>
      </c>
      <c r="X34" s="28">
        <f>IF($B34=0,0, (INDEX(Option2!X$106:X$117, MATCH($D34, Option2!$G$106:$G$117,0)))*conv_2026*X$7)</f>
        <v>788463.66429586627</v>
      </c>
      <c r="Y34" s="28">
        <f>IF($B34=0,0, (INDEX(Option2!Y$106:Y$117, MATCH($D34, Option2!$G$106:$G$117,0)))*conv_2026*Y$7)</f>
        <v>797471.97512567253</v>
      </c>
      <c r="Z34" s="28">
        <f>IF($B34=0,0, (INDEX(Option2!Z$106:Z$117, MATCH($D34, Option2!$G$106:$G$117,0)))*conv_2026*Z$7)</f>
        <v>806539.44153116306</v>
      </c>
      <c r="AA34" s="28">
        <f>IF($B34=0,0, (INDEX(Option2!AA$106:AA$117, MATCH($D34, Option2!$G$106:$G$117,0)))*conv_2026*AA$7)</f>
        <v>815657.43064966332</v>
      </c>
      <c r="AB34" s="28">
        <f>IF($B34=0,0, (INDEX(Option2!AB$106:AB$117, MATCH($D34, Option2!$G$106:$G$117,0)))*conv_2026*AB$7)</f>
        <v>824818.72616288112</v>
      </c>
      <c r="AC34" s="28">
        <f>IF($B34=0,0, (INDEX(Option2!AC$106:AC$117, MATCH($D34, Option2!$G$106:$G$117,0)))*conv_2026*AC$7)</f>
        <v>0</v>
      </c>
      <c r="AD34" s="28">
        <f>IF($B34=0,0, (INDEX(Option2!AD$106:AD$117, MATCH($D34, Option2!$G$106:$G$117,0)))*conv_2026*AD$7)</f>
        <v>0</v>
      </c>
      <c r="AE34" s="28">
        <f>IF($B34=0,0, (INDEX(Option2!AE$106:AE$117, MATCH($D34, Option2!$G$106:$G$117,0)))*conv_2026*AE$7)</f>
        <v>0</v>
      </c>
      <c r="AF34" s="28">
        <f>IF($B34=0,0, (INDEX(Option2!AF$106:AF$117, MATCH($D34, Option2!$G$106:$G$117,0)))*conv_2026*AF$7)</f>
        <v>0</v>
      </c>
      <c r="AG34" s="28">
        <f>IF($B34=0,0, (INDEX(Option2!AG$106:AG$117, MATCH($D34, Option2!$G$106:$G$117,0)))*conv_2026*AG$7)</f>
        <v>0</v>
      </c>
    </row>
    <row r="35" spans="1:35" s="6" customFormat="1" x14ac:dyDescent="0.2">
      <c r="A35" s="222" t="s">
        <v>167</v>
      </c>
      <c r="B35" s="222" t="str">
        <f>Option2!A115</f>
        <v>sens</v>
      </c>
      <c r="C35" s="222">
        <f>Option2!C115</f>
        <v>0</v>
      </c>
      <c r="D35" s="222" t="str">
        <f t="shared" si="2"/>
        <v>Option 2sens</v>
      </c>
      <c r="E35" s="214"/>
      <c r="F35" s="28">
        <f t="shared" si="3"/>
        <v>10734172.344034899</v>
      </c>
      <c r="H35" s="28">
        <f>IF($B35=0,0, (INDEX(Option2!H$106:H$117, MATCH($D35, Option2!$G$106:$G$117,0)))*conv_2026*H$7)</f>
        <v>0</v>
      </c>
      <c r="I35" s="28">
        <f>IF($B35=0,0, (INDEX(Option2!I$106:I$117, MATCH($D35, Option2!$G$106:$G$117,0)))*conv_2026*I$7)</f>
        <v>0</v>
      </c>
      <c r="J35" s="28">
        <f>IF($B35=0,0, (INDEX(Option2!J$106:J$117, MATCH($D35, Option2!$G$106:$G$117,0)))*conv_2026*J$7)</f>
        <v>-239045.33663122164</v>
      </c>
      <c r="K35" s="28">
        <f>IF($B35=0,0, (INDEX(Option2!K$106:K$117, MATCH($D35, Option2!$G$106:$G$117,0)))*conv_2026*K$7)</f>
        <v>723196.93184454145</v>
      </c>
      <c r="L35" s="28">
        <f>IF($B35=0,0, (INDEX(Option2!L$106:L$117, MATCH($D35, Option2!$G$106:$G$117,0)))*conv_2026*L$7)</f>
        <v>744731.42489536921</v>
      </c>
      <c r="M35" s="28">
        <f>IF($B35=0,0, (INDEX(Option2!M$106:M$117, MATCH($D35, Option2!$G$106:$G$117,0)))*conv_2026*M$7)</f>
        <v>765943.78588484728</v>
      </c>
      <c r="N35" s="28">
        <f>IF($B35=0,0, (INDEX(Option2!N$106:N$117, MATCH($D35, Option2!$G$106:$G$117,0)))*conv_2026*N$7)</f>
        <v>790880.62999065674</v>
      </c>
      <c r="O35" s="28">
        <f>IF($B35=0,0, (INDEX(Option2!O$106:O$117, MATCH($D35, Option2!$G$106:$G$117,0)))*conv_2026*O$7)</f>
        <v>826078.11000732053</v>
      </c>
      <c r="P35" s="28">
        <f>IF($B35=0,0, (INDEX(Option2!P$106:P$117, MATCH($D35, Option2!$G$106:$G$117,0)))*conv_2026*P$7)</f>
        <v>863149.37476805924</v>
      </c>
      <c r="Q35" s="28">
        <f>IF($B35=0,0, (INDEX(Option2!Q$106:Q$117, MATCH($D35, Option2!$G$106:$G$117,0)))*conv_2026*Q$7)</f>
        <v>888890.07006740989</v>
      </c>
      <c r="R35" s="28">
        <f>IF($B35=0,0, (INDEX(Option2!R$106:R$117, MATCH($D35, Option2!$G$106:$G$117,0)))*conv_2026*R$7)</f>
        <v>897923.75845612655</v>
      </c>
      <c r="S35" s="28">
        <f>IF($B35=0,0, (INDEX(Option2!S$106:S$117, MATCH($D35, Option2!$G$106:$G$117,0)))*conv_2026*S$7)</f>
        <v>907188.14075745619</v>
      </c>
      <c r="T35" s="28">
        <f>IF($B35=0,0, (INDEX(Option2!T$106:T$117, MATCH($D35, Option2!$G$106:$G$117,0)))*conv_2026*T$7)</f>
        <v>916639.6705373656</v>
      </c>
      <c r="U35" s="28">
        <f>IF($B35=0,0, (INDEX(Option2!U$106:U$117, MATCH($D35, Option2!$G$106:$G$117,0)))*conv_2026*U$7)</f>
        <v>926245.29286009213</v>
      </c>
      <c r="V35" s="28">
        <f>IF($B35=0,0, (INDEX(Option2!V$106:V$117, MATCH($D35, Option2!$G$106:$G$117,0)))*conv_2026*V$7)</f>
        <v>935979.10363186419</v>
      </c>
      <c r="W35" s="28">
        <f>IF($B35=0,0, (INDEX(Option2!W$106:W$117, MATCH($D35, Option2!$G$106:$G$117,0)))*conv_2026*W$7)</f>
        <v>945820.4015727411</v>
      </c>
      <c r="X35" s="28">
        <f>IF($B35=0,0, (INDEX(Option2!X$106:X$117, MATCH($D35, Option2!$G$106:$G$117,0)))*conv_2026*X$7)</f>
        <v>955752.51698359195</v>
      </c>
      <c r="Y35" s="28">
        <f>IF($B35=0,0, (INDEX(Option2!Y$106:Y$117, MATCH($D35, Option2!$G$106:$G$117,0)))*conv_2026*Y$7)</f>
        <v>965761.75123893213</v>
      </c>
      <c r="Z35" s="28">
        <f>IF($B35=0,0, (INDEX(Option2!Z$106:Z$117, MATCH($D35, Option2!$G$106:$G$117,0)))*conv_2026*Z$7)</f>
        <v>975836.71391169948</v>
      </c>
      <c r="AA35" s="28">
        <f>IF($B35=0,0, (INDEX(Option2!AA$106:AA$117, MATCH($D35, Option2!$G$106:$G$117,0)))*conv_2026*AA$7)</f>
        <v>985967.81293225533</v>
      </c>
      <c r="AB35" s="28">
        <f>IF($B35=0,0, (INDEX(Option2!AB$106:AB$117, MATCH($D35, Option2!$G$106:$G$117,0)))*conv_2026*AB$7)</f>
        <v>996147.03016916406</v>
      </c>
      <c r="AC35" s="28">
        <f>IF($B35=0,0, (INDEX(Option2!AC$106:AC$117, MATCH($D35, Option2!$G$106:$G$117,0)))*conv_2026*AC$7)</f>
        <v>0</v>
      </c>
      <c r="AD35" s="28">
        <f>IF($B35=0,0, (INDEX(Option2!AD$106:AD$117, MATCH($D35, Option2!$G$106:$G$117,0)))*conv_2026*AD$7)</f>
        <v>0</v>
      </c>
      <c r="AE35" s="28">
        <f>IF($B35=0,0, (INDEX(Option2!AE$106:AE$117, MATCH($D35, Option2!$G$106:$G$117,0)))*conv_2026*AE$7)</f>
        <v>0</v>
      </c>
      <c r="AF35" s="28">
        <f>IF($B35=0,0, (INDEX(Option2!AF$106:AF$117, MATCH($D35, Option2!$G$106:$G$117,0)))*conv_2026*AF$7)</f>
        <v>0</v>
      </c>
      <c r="AG35" s="28">
        <f>IF($B35=0,0, (INDEX(Option2!AG$106:AG$117, MATCH($D35, Option2!$G$106:$G$117,0)))*conv_2026*AG$7)</f>
        <v>0</v>
      </c>
    </row>
    <row r="36" spans="1:35" s="6" customFormat="1" x14ac:dyDescent="0.2">
      <c r="A36" s="222" t="s">
        <v>167</v>
      </c>
      <c r="B36" s="222" t="str">
        <f>Option2!A116</f>
        <v>sens</v>
      </c>
      <c r="C36" s="222">
        <f>Option2!C116</f>
        <v>0</v>
      </c>
      <c r="D36" s="222" t="str">
        <f t="shared" si="2"/>
        <v>Option 2sens</v>
      </c>
      <c r="E36" s="214"/>
      <c r="F36" s="28">
        <f t="shared" si="3"/>
        <v>10734172.344034899</v>
      </c>
      <c r="H36" s="28">
        <f>IF($B36=0,0, (INDEX(Option2!H$106:H$117, MATCH($D36, Option2!$G$106:$G$117,0)))*conv_2026*H$7)</f>
        <v>0</v>
      </c>
      <c r="I36" s="28">
        <f>IF($B36=0,0, (INDEX(Option2!I$106:I$117, MATCH($D36, Option2!$G$106:$G$117,0)))*conv_2026*I$7)</f>
        <v>0</v>
      </c>
      <c r="J36" s="28">
        <f>IF($B36=0,0, (INDEX(Option2!J$106:J$117, MATCH($D36, Option2!$G$106:$G$117,0)))*conv_2026*J$7)</f>
        <v>-239045.33663122164</v>
      </c>
      <c r="K36" s="28">
        <f>IF($B36=0,0, (INDEX(Option2!K$106:K$117, MATCH($D36, Option2!$G$106:$G$117,0)))*conv_2026*K$7)</f>
        <v>723196.93184454145</v>
      </c>
      <c r="L36" s="28">
        <f>IF($B36=0,0, (INDEX(Option2!L$106:L$117, MATCH($D36, Option2!$G$106:$G$117,0)))*conv_2026*L$7)</f>
        <v>744731.42489536921</v>
      </c>
      <c r="M36" s="28">
        <f>IF($B36=0,0, (INDEX(Option2!M$106:M$117, MATCH($D36, Option2!$G$106:$G$117,0)))*conv_2026*M$7)</f>
        <v>765943.78588484728</v>
      </c>
      <c r="N36" s="28">
        <f>IF($B36=0,0, (INDEX(Option2!N$106:N$117, MATCH($D36, Option2!$G$106:$G$117,0)))*conv_2026*N$7)</f>
        <v>790880.62999065674</v>
      </c>
      <c r="O36" s="28">
        <f>IF($B36=0,0, (INDEX(Option2!O$106:O$117, MATCH($D36, Option2!$G$106:$G$117,0)))*conv_2026*O$7)</f>
        <v>826078.11000732053</v>
      </c>
      <c r="P36" s="28">
        <f>IF($B36=0,0, (INDEX(Option2!P$106:P$117, MATCH($D36, Option2!$G$106:$G$117,0)))*conv_2026*P$7)</f>
        <v>863149.37476805924</v>
      </c>
      <c r="Q36" s="28">
        <f>IF($B36=0,0, (INDEX(Option2!Q$106:Q$117, MATCH($D36, Option2!$G$106:$G$117,0)))*conv_2026*Q$7)</f>
        <v>888890.07006740989</v>
      </c>
      <c r="R36" s="28">
        <f>IF($B36=0,0, (INDEX(Option2!R$106:R$117, MATCH($D36, Option2!$G$106:$G$117,0)))*conv_2026*R$7)</f>
        <v>897923.75845612655</v>
      </c>
      <c r="S36" s="28">
        <f>IF($B36=0,0, (INDEX(Option2!S$106:S$117, MATCH($D36, Option2!$G$106:$G$117,0)))*conv_2026*S$7)</f>
        <v>907188.14075745619</v>
      </c>
      <c r="T36" s="28">
        <f>IF($B36=0,0, (INDEX(Option2!T$106:T$117, MATCH($D36, Option2!$G$106:$G$117,0)))*conv_2026*T$7)</f>
        <v>916639.6705373656</v>
      </c>
      <c r="U36" s="28">
        <f>IF($B36=0,0, (INDEX(Option2!U$106:U$117, MATCH($D36, Option2!$G$106:$G$117,0)))*conv_2026*U$7)</f>
        <v>926245.29286009213</v>
      </c>
      <c r="V36" s="28">
        <f>IF($B36=0,0, (INDEX(Option2!V$106:V$117, MATCH($D36, Option2!$G$106:$G$117,0)))*conv_2026*V$7)</f>
        <v>935979.10363186419</v>
      </c>
      <c r="W36" s="28">
        <f>IF($B36=0,0, (INDEX(Option2!W$106:W$117, MATCH($D36, Option2!$G$106:$G$117,0)))*conv_2026*W$7)</f>
        <v>945820.4015727411</v>
      </c>
      <c r="X36" s="28">
        <f>IF($B36=0,0, (INDEX(Option2!X$106:X$117, MATCH($D36, Option2!$G$106:$G$117,0)))*conv_2026*X$7)</f>
        <v>955752.51698359195</v>
      </c>
      <c r="Y36" s="28">
        <f>IF($B36=0,0, (INDEX(Option2!Y$106:Y$117, MATCH($D36, Option2!$G$106:$G$117,0)))*conv_2026*Y$7)</f>
        <v>965761.75123893213</v>
      </c>
      <c r="Z36" s="28">
        <f>IF($B36=0,0, (INDEX(Option2!Z$106:Z$117, MATCH($D36, Option2!$G$106:$G$117,0)))*conv_2026*Z$7)</f>
        <v>975836.71391169948</v>
      </c>
      <c r="AA36" s="28">
        <f>IF($B36=0,0, (INDEX(Option2!AA$106:AA$117, MATCH($D36, Option2!$G$106:$G$117,0)))*conv_2026*AA$7)</f>
        <v>985967.81293225533</v>
      </c>
      <c r="AB36" s="28">
        <f>IF($B36=0,0, (INDEX(Option2!AB$106:AB$117, MATCH($D36, Option2!$G$106:$G$117,0)))*conv_2026*AB$7)</f>
        <v>996147.03016916406</v>
      </c>
      <c r="AC36" s="28">
        <f>IF($B36=0,0, (INDEX(Option2!AC$106:AC$117, MATCH($D36, Option2!$G$106:$G$117,0)))*conv_2026*AC$7)</f>
        <v>0</v>
      </c>
      <c r="AD36" s="28">
        <f>IF($B36=0,0, (INDEX(Option2!AD$106:AD$117, MATCH($D36, Option2!$G$106:$G$117,0)))*conv_2026*AD$7)</f>
        <v>0</v>
      </c>
      <c r="AE36" s="28">
        <f>IF($B36=0,0, (INDEX(Option2!AE$106:AE$117, MATCH($D36, Option2!$G$106:$G$117,0)))*conv_2026*AE$7)</f>
        <v>0</v>
      </c>
      <c r="AF36" s="28">
        <f>IF($B36=0,0, (INDEX(Option2!AF$106:AF$117, MATCH($D36, Option2!$G$106:$G$117,0)))*conv_2026*AF$7)</f>
        <v>0</v>
      </c>
      <c r="AG36" s="28">
        <f>IF($B36=0,0, (INDEX(Option2!AG$106:AG$117, MATCH($D36, Option2!$G$106:$G$117,0)))*conv_2026*AG$7)</f>
        <v>0</v>
      </c>
    </row>
    <row r="37" spans="1:35" s="6" customFormat="1" x14ac:dyDescent="0.2">
      <c r="A37" s="222" t="s">
        <v>167</v>
      </c>
      <c r="B37" s="222" t="str">
        <f>Option2!A117</f>
        <v>sens</v>
      </c>
      <c r="C37" s="222">
        <f>Option2!C117</f>
        <v>0</v>
      </c>
      <c r="D37" s="222" t="str">
        <f t="shared" si="2"/>
        <v>Option 2sens</v>
      </c>
      <c r="E37" s="214"/>
      <c r="F37" s="28">
        <f t="shared" si="3"/>
        <v>10734172.344034899</v>
      </c>
      <c r="H37" s="28">
        <f>IF($B37=0,0, (INDEX(Option2!H$106:H$117, MATCH($D37, Option2!$G$106:$G$117,0)))*conv_2026*H$7)</f>
        <v>0</v>
      </c>
      <c r="I37" s="28">
        <f>IF($B37=0,0, (INDEX(Option2!I$106:I$117, MATCH($D37, Option2!$G$106:$G$117,0)))*conv_2026*I$7)</f>
        <v>0</v>
      </c>
      <c r="J37" s="28">
        <f>IF($B37=0,0, (INDEX(Option2!J$106:J$117, MATCH($D37, Option2!$G$106:$G$117,0)))*conv_2026*J$7)</f>
        <v>-239045.33663122164</v>
      </c>
      <c r="K37" s="28">
        <f>IF($B37=0,0, (INDEX(Option2!K$106:K$117, MATCH($D37, Option2!$G$106:$G$117,0)))*conv_2026*K$7)</f>
        <v>723196.93184454145</v>
      </c>
      <c r="L37" s="28">
        <f>IF($B37=0,0, (INDEX(Option2!L$106:L$117, MATCH($D37, Option2!$G$106:$G$117,0)))*conv_2026*L$7)</f>
        <v>744731.42489536921</v>
      </c>
      <c r="M37" s="28">
        <f>IF($B37=0,0, (INDEX(Option2!M$106:M$117, MATCH($D37, Option2!$G$106:$G$117,0)))*conv_2026*M$7)</f>
        <v>765943.78588484728</v>
      </c>
      <c r="N37" s="28">
        <f>IF($B37=0,0, (INDEX(Option2!N$106:N$117, MATCH($D37, Option2!$G$106:$G$117,0)))*conv_2026*N$7)</f>
        <v>790880.62999065674</v>
      </c>
      <c r="O37" s="28">
        <f>IF($B37=0,0, (INDEX(Option2!O$106:O$117, MATCH($D37, Option2!$G$106:$G$117,0)))*conv_2026*O$7)</f>
        <v>826078.11000732053</v>
      </c>
      <c r="P37" s="28">
        <f>IF($B37=0,0, (INDEX(Option2!P$106:P$117, MATCH($D37, Option2!$G$106:$G$117,0)))*conv_2026*P$7)</f>
        <v>863149.37476805924</v>
      </c>
      <c r="Q37" s="28">
        <f>IF($B37=0,0, (INDEX(Option2!Q$106:Q$117, MATCH($D37, Option2!$G$106:$G$117,0)))*conv_2026*Q$7)</f>
        <v>888890.07006740989</v>
      </c>
      <c r="R37" s="28">
        <f>IF($B37=0,0, (INDEX(Option2!R$106:R$117, MATCH($D37, Option2!$G$106:$G$117,0)))*conv_2026*R$7)</f>
        <v>897923.75845612655</v>
      </c>
      <c r="S37" s="28">
        <f>IF($B37=0,0, (INDEX(Option2!S$106:S$117, MATCH($D37, Option2!$G$106:$G$117,0)))*conv_2026*S$7)</f>
        <v>907188.14075745619</v>
      </c>
      <c r="T37" s="28">
        <f>IF($B37=0,0, (INDEX(Option2!T$106:T$117, MATCH($D37, Option2!$G$106:$G$117,0)))*conv_2026*T$7)</f>
        <v>916639.6705373656</v>
      </c>
      <c r="U37" s="28">
        <f>IF($B37=0,0, (INDEX(Option2!U$106:U$117, MATCH($D37, Option2!$G$106:$G$117,0)))*conv_2026*U$7)</f>
        <v>926245.29286009213</v>
      </c>
      <c r="V37" s="28">
        <f>IF($B37=0,0, (INDEX(Option2!V$106:V$117, MATCH($D37, Option2!$G$106:$G$117,0)))*conv_2026*V$7)</f>
        <v>935979.10363186419</v>
      </c>
      <c r="W37" s="28">
        <f>IF($B37=0,0, (INDEX(Option2!W$106:W$117, MATCH($D37, Option2!$G$106:$G$117,0)))*conv_2026*W$7)</f>
        <v>945820.4015727411</v>
      </c>
      <c r="X37" s="28">
        <f>IF($B37=0,0, (INDEX(Option2!X$106:X$117, MATCH($D37, Option2!$G$106:$G$117,0)))*conv_2026*X$7)</f>
        <v>955752.51698359195</v>
      </c>
      <c r="Y37" s="28">
        <f>IF($B37=0,0, (INDEX(Option2!Y$106:Y$117, MATCH($D37, Option2!$G$106:$G$117,0)))*conv_2026*Y$7)</f>
        <v>965761.75123893213</v>
      </c>
      <c r="Z37" s="28">
        <f>IF($B37=0,0, (INDEX(Option2!Z$106:Z$117, MATCH($D37, Option2!$G$106:$G$117,0)))*conv_2026*Z$7)</f>
        <v>975836.71391169948</v>
      </c>
      <c r="AA37" s="28">
        <f>IF($B37=0,0, (INDEX(Option2!AA$106:AA$117, MATCH($D37, Option2!$G$106:$G$117,0)))*conv_2026*AA$7)</f>
        <v>985967.81293225533</v>
      </c>
      <c r="AB37" s="28">
        <f>IF($B37=0,0, (INDEX(Option2!AB$106:AB$117, MATCH($D37, Option2!$G$106:$G$117,0)))*conv_2026*AB$7)</f>
        <v>996147.03016916406</v>
      </c>
      <c r="AC37" s="28">
        <f>IF($B37=0,0, (INDEX(Option2!AC$106:AC$117, MATCH($D37, Option2!$G$106:$G$117,0)))*conv_2026*AC$7)</f>
        <v>0</v>
      </c>
      <c r="AD37" s="28">
        <f>IF($B37=0,0, (INDEX(Option2!AD$106:AD$117, MATCH($D37, Option2!$G$106:$G$117,0)))*conv_2026*AD$7)</f>
        <v>0</v>
      </c>
      <c r="AE37" s="28">
        <f>IF($B37=0,0, (INDEX(Option2!AE$106:AE$117, MATCH($D37, Option2!$G$106:$G$117,0)))*conv_2026*AE$7)</f>
        <v>0</v>
      </c>
      <c r="AF37" s="28">
        <f>IF($B37=0,0, (INDEX(Option2!AF$106:AF$117, MATCH($D37, Option2!$G$106:$G$117,0)))*conv_2026*AF$7)</f>
        <v>0</v>
      </c>
      <c r="AG37" s="28">
        <f>IF($B37=0,0, (INDEX(Option2!AG$106:AG$117, MATCH($D37, Option2!$G$106:$G$117,0)))*conv_2026*AG$7)</f>
        <v>0</v>
      </c>
    </row>
    <row r="38" spans="1:35" s="6" customFormat="1" x14ac:dyDescent="0.2">
      <c r="A38" s="222"/>
      <c r="B38" s="222"/>
      <c r="C38" s="222"/>
      <c r="D38" s="222"/>
      <c r="E38" s="222"/>
      <c r="F38" s="28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</row>
    <row r="39" spans="1:35" s="6" customFormat="1" x14ac:dyDescent="0.2">
      <c r="A39" s="222"/>
      <c r="B39" s="222"/>
      <c r="C39" s="222"/>
      <c r="D39" s="222"/>
      <c r="E39" s="222"/>
      <c r="F39" s="28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</row>
    <row r="40" spans="1:35" s="6" customFormat="1" x14ac:dyDescent="0.2">
      <c r="A40" s="222"/>
      <c r="B40" s="222"/>
      <c r="C40" s="222"/>
      <c r="D40" s="222"/>
      <c r="E40" s="222"/>
      <c r="F40" s="28"/>
      <c r="H40" s="28">
        <f>Consol!H50</f>
        <v>0</v>
      </c>
      <c r="I40" s="28">
        <f>Consol!I50</f>
        <v>0</v>
      </c>
      <c r="J40" s="28">
        <f>Consol!J50</f>
        <v>-17042.114687082572</v>
      </c>
      <c r="K40" s="28">
        <f>Consol!K50</f>
        <v>-15979.965599973249</v>
      </c>
      <c r="L40" s="28">
        <f>Consol!L50</f>
        <v>-14936.619067744301</v>
      </c>
      <c r="M40" s="28">
        <f>Consol!M50</f>
        <v>-13911.626513069739</v>
      </c>
      <c r="N40" s="28">
        <f>Consol!N50</f>
        <v>-12802.566178861827</v>
      </c>
      <c r="O40" s="28">
        <f>Consol!O50</f>
        <v>-11450.865319124172</v>
      </c>
      <c r="P40" s="28">
        <f>Consol!P50</f>
        <v>-10033.50789968223</v>
      </c>
      <c r="Q40" s="28">
        <f>Consol!Q50</f>
        <v>-8857.1375428833526</v>
      </c>
      <c r="R40" s="28">
        <f>Consol!R50</f>
        <v>-8064.5824977344892</v>
      </c>
      <c r="S40" s="28">
        <f>Consol!S50</f>
        <v>-7263.3874358269313</v>
      </c>
      <c r="T40" s="28">
        <f>Consol!T50</f>
        <v>-6453.6261240333479</v>
      </c>
      <c r="U40" s="28">
        <f>Consol!U50</f>
        <v>-5635.2874235589334</v>
      </c>
      <c r="V40" s="28">
        <f>Consol!V50</f>
        <v>-4808.3736458145941</v>
      </c>
      <c r="W40" s="28">
        <f>Consol!W50</f>
        <v>-3972.9685352537999</v>
      </c>
      <c r="X40" s="28">
        <f>Consol!X50</f>
        <v>-3129.0538790203209</v>
      </c>
      <c r="Y40" s="28">
        <f>Consol!Y50</f>
        <v>-2276.658921355549</v>
      </c>
      <c r="Z40" s="28">
        <f>Consol!Z50</f>
        <v>-1415.778853320604</v>
      </c>
      <c r="AA40" s="28">
        <f>Consol!AA50</f>
        <v>-546.45636753980943</v>
      </c>
      <c r="AB40" s="28">
        <f>Consol!AB50</f>
        <v>331.26931882616191</v>
      </c>
      <c r="AC40" s="28">
        <f>Consol!AC50</f>
        <v>0</v>
      </c>
      <c r="AD40" s="28">
        <f>Consol!AD50</f>
        <v>0</v>
      </c>
      <c r="AE40" s="28">
        <f>Consol!AE50</f>
        <v>0</v>
      </c>
      <c r="AF40" s="28">
        <f>Consol!AF50</f>
        <v>0</v>
      </c>
      <c r="AG40" s="28">
        <f>Consol!AG50</f>
        <v>0</v>
      </c>
    </row>
    <row r="41" spans="1:35" s="6" customFormat="1" x14ac:dyDescent="0.2">
      <c r="A41" s="222"/>
      <c r="B41" s="222"/>
      <c r="C41" s="222"/>
      <c r="D41" s="222"/>
      <c r="E41" s="222"/>
      <c r="F41" s="28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</row>
    <row r="42" spans="1:35" s="6" customFormat="1" x14ac:dyDescent="0.2">
      <c r="A42" s="222" t="s">
        <v>168</v>
      </c>
      <c r="B42" s="222" t="s">
        <v>22</v>
      </c>
      <c r="C42" s="222" t="s">
        <v>147</v>
      </c>
      <c r="D42" s="222" t="str">
        <f>A42&amp;B42</f>
        <v>Option 3NPV</v>
      </c>
      <c r="E42" s="214"/>
      <c r="F42" s="28">
        <f t="shared" ref="F42:F51" si="4">SUMPRODUCT($H42:$AG42, $H$5:$AG$5)</f>
        <v>-118466.71075698447</v>
      </c>
      <c r="G42" s="217"/>
      <c r="H42" s="28">
        <f>(INDEX(Option3!H$106:H$117, MATCH($D42, Option3!$G$106:$G$117,0)))*conv_2026*H$7</f>
        <v>0</v>
      </c>
      <c r="I42" s="28">
        <f>(INDEX(Option3!I$106:I$117, MATCH($D42, Option3!$G$106:$G$117,0)))*conv_2026*I$7</f>
        <v>0</v>
      </c>
      <c r="J42" s="28">
        <f>(INDEX(Option3!J$106:J$117, MATCH($D42, Option3!$G$106:$G$117,0)))*conv_2026*J$7</f>
        <v>-17042.114687082576</v>
      </c>
      <c r="K42" s="28">
        <f>(INDEX(Option3!K$106:K$117, MATCH($D42, Option3!$G$106:$G$117,0)))*conv_2026*K$7</f>
        <v>-15979.965599973249</v>
      </c>
      <c r="L42" s="28">
        <f>(INDEX(Option3!L$106:L$117, MATCH($D42, Option3!$G$106:$G$117,0)))*conv_2026*L$7</f>
        <v>-14936.619067744305</v>
      </c>
      <c r="M42" s="28">
        <f>(INDEX(Option3!M$106:M$117, MATCH($D42, Option3!$G$106:$G$117,0)))*conv_2026*M$7</f>
        <v>-13911.626513069741</v>
      </c>
      <c r="N42" s="28">
        <f>(INDEX(Option3!N$106:N$117, MATCH($D42, Option3!$G$106:$G$117,0)))*conv_2026*N$7</f>
        <v>-12802.566178861831</v>
      </c>
      <c r="O42" s="28">
        <f>(INDEX(Option3!O$106:O$117, MATCH($D42, Option3!$G$106:$G$117,0)))*conv_2026*O$7</f>
        <v>-11450.865319124176</v>
      </c>
      <c r="P42" s="28">
        <f>(INDEX(Option3!P$106:P$117, MATCH($D42, Option3!$G$106:$G$117,0)))*conv_2026*P$7</f>
        <v>-10033.507899682232</v>
      </c>
      <c r="Q42" s="28">
        <f>(INDEX(Option3!Q$106:Q$117, MATCH($D42, Option3!$G$106:$G$117,0)))*conv_2026*Q$7</f>
        <v>-8857.1375428833544</v>
      </c>
      <c r="R42" s="28">
        <f>(INDEX(Option3!R$106:R$117, MATCH($D42, Option3!$G$106:$G$117,0)))*conv_2026*R$7</f>
        <v>-8064.5824977344892</v>
      </c>
      <c r="S42" s="28">
        <f>(INDEX(Option3!S$106:S$117, MATCH($D42, Option3!$G$106:$G$117,0)))*conv_2026*S$7</f>
        <v>-7263.387435826935</v>
      </c>
      <c r="T42" s="28">
        <f>(INDEX(Option3!T$106:T$117, MATCH($D42, Option3!$G$106:$G$117,0)))*conv_2026*T$7</f>
        <v>-6453.6261240333497</v>
      </c>
      <c r="U42" s="28">
        <f>(INDEX(Option3!U$106:U$117, MATCH($D42, Option3!$G$106:$G$117,0)))*conv_2026*U$7</f>
        <v>-5635.287423558937</v>
      </c>
      <c r="V42" s="28">
        <f>(INDEX(Option3!V$106:V$117, MATCH($D42, Option3!$G$106:$G$117,0)))*conv_2026*V$7</f>
        <v>-4808.3736458145959</v>
      </c>
      <c r="W42" s="28">
        <f>(INDEX(Option3!W$106:W$117, MATCH($D42, Option3!$G$106:$G$117,0)))*conv_2026*W$7</f>
        <v>-3972.968535253804</v>
      </c>
      <c r="X42" s="28">
        <f>(INDEX(Option3!X$106:X$117, MATCH($D42, Option3!$G$106:$G$117,0)))*conv_2026*X$7</f>
        <v>-3129.05387902032</v>
      </c>
      <c r="Y42" s="28">
        <f>(INDEX(Option3!Y$106:Y$117, MATCH($D42, Option3!$G$106:$G$117,0)))*conv_2026*Y$7</f>
        <v>-2276.6589213555508</v>
      </c>
      <c r="Z42" s="28">
        <f>(INDEX(Option3!Z$106:Z$117, MATCH($D42, Option3!$G$106:$G$117,0)))*conv_2026*Z$7</f>
        <v>-1415.7788533206051</v>
      </c>
      <c r="AA42" s="28">
        <f>(INDEX(Option3!AA$106:AA$117, MATCH($D42, Option3!$G$106:$G$117,0)))*conv_2026*AA$7</f>
        <v>-546.45636753981216</v>
      </c>
      <c r="AB42" s="28">
        <f>(INDEX(Option3!AB$106:AB$117, MATCH($D42, Option3!$G$106:$G$117,0)))*conv_2026*AB$7</f>
        <v>331.26931882616066</v>
      </c>
      <c r="AC42" s="28">
        <f>(INDEX(Option3!AC$106:AC$117, MATCH($D42, Option3!$G$106:$G$117,0)))*conv_2026*AC$7</f>
        <v>0</v>
      </c>
      <c r="AD42" s="28">
        <f>(INDEX(Option3!AD$106:AD$117, MATCH($D42, Option3!$G$106:$G$117,0)))*conv_2026*AD$7</f>
        <v>0</v>
      </c>
      <c r="AE42" s="28">
        <f>(INDEX(Option3!AE$106:AE$117, MATCH($D42, Option3!$G$106:$G$117,0)))*conv_2026*AE$7</f>
        <v>0</v>
      </c>
      <c r="AF42" s="28">
        <f>(INDEX(Option3!AF$106:AF$117, MATCH($D42, Option3!$G$106:$G$117,0)))*conv_2026*AF$7</f>
        <v>0</v>
      </c>
      <c r="AG42" s="28">
        <f>(INDEX(Option3!AG$106:AG$117, MATCH($D42, Option3!$G$106:$G$117,0)))*conv_2026*AG$7</f>
        <v>0</v>
      </c>
      <c r="AH42" s="2"/>
      <c r="AI42" s="2"/>
    </row>
    <row r="43" spans="1:35" s="6" customFormat="1" x14ac:dyDescent="0.2">
      <c r="A43" s="216"/>
      <c r="B43" s="216"/>
      <c r="C43" s="216"/>
      <c r="D43" s="216"/>
      <c r="E43" s="216"/>
      <c r="F43" s="216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"/>
      <c r="AI43" s="2"/>
    </row>
    <row r="44" spans="1:35" s="6" customFormat="1" x14ac:dyDescent="0.2">
      <c r="A44" s="222" t="s">
        <v>168</v>
      </c>
      <c r="B44" s="222" t="str">
        <f>Option3!A110</f>
        <v>sens1</v>
      </c>
      <c r="C44" s="222" t="str">
        <f>Option3!C110</f>
        <v>Capex 10% higher</v>
      </c>
      <c r="D44" s="222" t="str">
        <f t="shared" ref="D44:D51" si="5">A44&amp;B44</f>
        <v>Option 3sens1</v>
      </c>
      <c r="E44" s="214"/>
      <c r="F44" s="28">
        <f t="shared" si="4"/>
        <v>-174082.61181036758</v>
      </c>
      <c r="G44" s="217"/>
      <c r="H44" s="28">
        <f>(INDEX(Option3!H$106:H$117, MATCH($D44, Option3!$G$106:$G$117,0)))*conv_2026*H$7</f>
        <v>0</v>
      </c>
      <c r="I44" s="28">
        <f>(INDEX(Option3!I$106:I$117, MATCH($D44, Option3!$G$106:$G$117,0)))*conv_2026*I$7</f>
        <v>0</v>
      </c>
      <c r="J44" s="28">
        <f>(INDEX(Option3!J$106:J$117, MATCH($D44, Option3!$G$106:$G$117,0)))*conv_2026*J$7</f>
        <v>-21169.137296090707</v>
      </c>
      <c r="K44" s="28">
        <f>(INDEX(Option3!K$106:K$117, MATCH($D44, Option3!$G$106:$G$117,0)))*conv_2026*K$7</f>
        <v>-20106.98820898138</v>
      </c>
      <c r="L44" s="28">
        <f>(INDEX(Option3!L$106:L$117, MATCH($D44, Option3!$G$106:$G$117,0)))*conv_2026*L$7</f>
        <v>-19063.641676752435</v>
      </c>
      <c r="M44" s="28">
        <f>(INDEX(Option3!M$106:M$117, MATCH($D44, Option3!$G$106:$G$117,0)))*conv_2026*M$7</f>
        <v>-18038.64912207787</v>
      </c>
      <c r="N44" s="28">
        <f>(INDEX(Option3!N$106:N$117, MATCH($D44, Option3!$G$106:$G$117,0)))*conv_2026*N$7</f>
        <v>-16929.588787869961</v>
      </c>
      <c r="O44" s="28">
        <f>(INDEX(Option3!O$106:O$117, MATCH($D44, Option3!$G$106:$G$117,0)))*conv_2026*O$7</f>
        <v>-15577.887928132304</v>
      </c>
      <c r="P44" s="28">
        <f>(INDEX(Option3!P$106:P$117, MATCH($D44, Option3!$G$106:$G$117,0)))*conv_2026*P$7</f>
        <v>-14160.530508690361</v>
      </c>
      <c r="Q44" s="28">
        <f>(INDEX(Option3!Q$106:Q$117, MATCH($D44, Option3!$G$106:$G$117,0)))*conv_2026*Q$7</f>
        <v>-12984.160151891485</v>
      </c>
      <c r="R44" s="28">
        <f>(INDEX(Option3!R$106:R$117, MATCH($D44, Option3!$G$106:$G$117,0)))*conv_2026*R$7</f>
        <v>-12191.60510674262</v>
      </c>
      <c r="S44" s="28">
        <f>(INDEX(Option3!S$106:S$117, MATCH($D44, Option3!$G$106:$G$117,0)))*conv_2026*S$7</f>
        <v>-11390.410044835064</v>
      </c>
      <c r="T44" s="28">
        <f>(INDEX(Option3!T$106:T$117, MATCH($D44, Option3!$G$106:$G$117,0)))*conv_2026*T$7</f>
        <v>-10580.64873304148</v>
      </c>
      <c r="U44" s="28">
        <f>(INDEX(Option3!U$106:U$117, MATCH($D44, Option3!$G$106:$G$117,0)))*conv_2026*U$7</f>
        <v>-9762.3100325670657</v>
      </c>
      <c r="V44" s="28">
        <f>(INDEX(Option3!V$106:V$117, MATCH($D44, Option3!$G$106:$G$117,0)))*conv_2026*V$7</f>
        <v>-8935.3962548227246</v>
      </c>
      <c r="W44" s="28">
        <f>(INDEX(Option3!W$106:W$117, MATCH($D44, Option3!$G$106:$G$117,0)))*conv_2026*W$7</f>
        <v>-8099.9911442619332</v>
      </c>
      <c r="X44" s="28">
        <f>(INDEX(Option3!X$106:X$117, MATCH($D44, Option3!$G$106:$G$117,0)))*conv_2026*X$7</f>
        <v>-7256.0764880284496</v>
      </c>
      <c r="Y44" s="28">
        <f>(INDEX(Option3!Y$106:Y$117, MATCH($D44, Option3!$G$106:$G$117,0)))*conv_2026*Y$7</f>
        <v>-6403.6815303636804</v>
      </c>
      <c r="Z44" s="28">
        <f>(INDEX(Option3!Z$106:Z$117, MATCH($D44, Option3!$G$106:$G$117,0)))*conv_2026*Z$7</f>
        <v>-5542.8014623287345</v>
      </c>
      <c r="AA44" s="28">
        <f>(INDEX(Option3!AA$106:AA$117, MATCH($D44, Option3!$G$106:$G$117,0)))*conv_2026*AA$7</f>
        <v>-4673.4789765479418</v>
      </c>
      <c r="AB44" s="28">
        <f>(INDEX(Option3!AB$106:AB$117, MATCH($D44, Option3!$G$106:$G$117,0)))*conv_2026*AB$7</f>
        <v>-3795.7532901819695</v>
      </c>
      <c r="AC44" s="28">
        <f>(INDEX(Option3!AC$106:AC$117, MATCH($D44, Option3!$G$106:$G$117,0)))*conv_2026*AC$7</f>
        <v>0</v>
      </c>
      <c r="AD44" s="28">
        <f>(INDEX(Option3!AD$106:AD$117, MATCH($D44, Option3!$G$106:$G$117,0)))*conv_2026*AD$7</f>
        <v>0</v>
      </c>
      <c r="AE44" s="28">
        <f>(INDEX(Option3!AE$106:AE$117, MATCH($D44, Option3!$G$106:$G$117,0)))*conv_2026*AE$7</f>
        <v>0</v>
      </c>
      <c r="AF44" s="28">
        <f>(INDEX(Option3!AF$106:AF$117, MATCH($D44, Option3!$G$106:$G$117,0)))*conv_2026*AF$7</f>
        <v>0</v>
      </c>
      <c r="AG44" s="28">
        <f>(INDEX(Option3!AG$106:AG$117, MATCH($D44, Option3!$G$106:$G$117,0)))*conv_2026*AG$7</f>
        <v>0</v>
      </c>
      <c r="AH44" s="2"/>
      <c r="AI44" s="2"/>
    </row>
    <row r="45" spans="1:35" s="6" customFormat="1" x14ac:dyDescent="0.2">
      <c r="A45" s="222" t="s">
        <v>168</v>
      </c>
      <c r="B45" s="222" t="str">
        <f>Option3!A111</f>
        <v>sens2</v>
      </c>
      <c r="C45" s="222" t="str">
        <f>Option3!C111</f>
        <v>Capex 10% lower</v>
      </c>
      <c r="D45" s="222" t="str">
        <f t="shared" si="5"/>
        <v>Option 3sens2</v>
      </c>
      <c r="E45" s="214"/>
      <c r="F45" s="28">
        <f t="shared" si="4"/>
        <v>-62850.809703601335</v>
      </c>
      <c r="G45" s="222"/>
      <c r="H45" s="28">
        <f>(INDEX(Option3!H$106:H$117, MATCH($D45, Option3!$G$106:$G$117,0)))*conv_2026*H$7</f>
        <v>0</v>
      </c>
      <c r="I45" s="28">
        <f>(INDEX(Option3!I$106:I$117, MATCH($D45, Option3!$G$106:$G$117,0)))*conv_2026*I$7</f>
        <v>0</v>
      </c>
      <c r="J45" s="28">
        <f>(INDEX(Option3!J$106:J$117, MATCH($D45, Option3!$G$106:$G$117,0)))*conv_2026*J$7</f>
        <v>-12915.092078074445</v>
      </c>
      <c r="K45" s="28">
        <f>(INDEX(Option3!K$106:K$117, MATCH($D45, Option3!$G$106:$G$117,0)))*conv_2026*K$7</f>
        <v>-11852.942990965121</v>
      </c>
      <c r="L45" s="28">
        <f>(INDEX(Option3!L$106:L$117, MATCH($D45, Option3!$G$106:$G$117,0)))*conv_2026*L$7</f>
        <v>-10809.596458736174</v>
      </c>
      <c r="M45" s="28">
        <f>(INDEX(Option3!M$106:M$117, MATCH($D45, Option3!$G$106:$G$117,0)))*conv_2026*M$7</f>
        <v>-9784.6039040616106</v>
      </c>
      <c r="N45" s="28">
        <f>(INDEX(Option3!N$106:N$117, MATCH($D45, Option3!$G$106:$G$117,0)))*conv_2026*N$7</f>
        <v>-8675.5435698537003</v>
      </c>
      <c r="O45" s="28">
        <f>(INDEX(Option3!O$106:O$117, MATCH($D45, Option3!$G$106:$G$117,0)))*conv_2026*O$7</f>
        <v>-7323.8427101160451</v>
      </c>
      <c r="P45" s="28">
        <f>(INDEX(Option3!P$106:P$117, MATCH($D45, Option3!$G$106:$G$117,0)))*conv_2026*P$7</f>
        <v>-5906.4852906741016</v>
      </c>
      <c r="Q45" s="28">
        <f>(INDEX(Option3!Q$106:Q$117, MATCH($D45, Option3!$G$106:$G$117,0)))*conv_2026*Q$7</f>
        <v>-4730.1149338752257</v>
      </c>
      <c r="R45" s="28">
        <f>(INDEX(Option3!R$106:R$117, MATCH($D45, Option3!$G$106:$G$117,0)))*conv_2026*R$7</f>
        <v>-3937.5598887263591</v>
      </c>
      <c r="S45" s="28">
        <f>(INDEX(Option3!S$106:S$117, MATCH($D45, Option3!$G$106:$G$117,0)))*conv_2026*S$7</f>
        <v>-3136.3648268188044</v>
      </c>
      <c r="T45" s="28">
        <f>(INDEX(Option3!T$106:T$117, MATCH($D45, Option3!$G$106:$G$117,0)))*conv_2026*T$7</f>
        <v>-2326.6035150252201</v>
      </c>
      <c r="U45" s="28">
        <f>(INDEX(Option3!U$106:U$117, MATCH($D45, Option3!$G$106:$G$117,0)))*conv_2026*U$7</f>
        <v>-1508.2648145508069</v>
      </c>
      <c r="V45" s="28">
        <f>(INDEX(Option3!V$106:V$117, MATCH($D45, Option3!$G$106:$G$117,0)))*conv_2026*V$7</f>
        <v>-681.35103680646546</v>
      </c>
      <c r="W45" s="28">
        <f>(INDEX(Option3!W$106:W$117, MATCH($D45, Option3!$G$106:$G$117,0)))*conv_2026*W$7</f>
        <v>154.05407375432597</v>
      </c>
      <c r="X45" s="28">
        <f>(INDEX(Option3!X$106:X$117, MATCH($D45, Option3!$G$106:$G$117,0)))*conv_2026*X$7</f>
        <v>997.96872998781009</v>
      </c>
      <c r="Y45" s="28">
        <f>(INDEX(Option3!Y$106:Y$117, MATCH($D45, Option3!$G$106:$G$117,0)))*conv_2026*Y$7</f>
        <v>1850.3636876525793</v>
      </c>
      <c r="Z45" s="28">
        <f>(INDEX(Option3!Z$106:Z$117, MATCH($D45, Option3!$G$106:$G$117,0)))*conv_2026*Z$7</f>
        <v>2711.2437556875248</v>
      </c>
      <c r="AA45" s="28">
        <f>(INDEX(Option3!AA$106:AA$117, MATCH($D45, Option3!$G$106:$G$117,0)))*conv_2026*AA$7</f>
        <v>3580.5662414683179</v>
      </c>
      <c r="AB45" s="28">
        <f>(INDEX(Option3!AB$106:AB$117, MATCH($D45, Option3!$G$106:$G$117,0)))*conv_2026*AB$7</f>
        <v>4458.2919278342906</v>
      </c>
      <c r="AC45" s="28">
        <f>(INDEX(Option3!AC$106:AC$117, MATCH($D45, Option3!$G$106:$G$117,0)))*conv_2026*AC$7</f>
        <v>0</v>
      </c>
      <c r="AD45" s="28">
        <f>(INDEX(Option3!AD$106:AD$117, MATCH($D45, Option3!$G$106:$G$117,0)))*conv_2026*AD$7</f>
        <v>0</v>
      </c>
      <c r="AE45" s="28">
        <f>(INDEX(Option3!AE$106:AE$117, MATCH($D45, Option3!$G$106:$G$117,0)))*conv_2026*AE$7</f>
        <v>0</v>
      </c>
      <c r="AF45" s="28">
        <f>(INDEX(Option3!AF$106:AF$117, MATCH($D45, Option3!$G$106:$G$117,0)))*conv_2026*AF$7</f>
        <v>0</v>
      </c>
      <c r="AG45" s="28">
        <f>(INDEX(Option3!AG$106:AG$117, MATCH($D45, Option3!$G$106:$G$117,0)))*conv_2026*AG$7</f>
        <v>0</v>
      </c>
    </row>
    <row r="46" spans="1:35" s="6" customFormat="1" x14ac:dyDescent="0.2">
      <c r="A46" s="222" t="s">
        <v>168</v>
      </c>
      <c r="B46" s="222" t="str">
        <f>Option3!A112</f>
        <v>sens3</v>
      </c>
      <c r="C46" s="222" t="str">
        <f>Option3!C112</f>
        <v>Total benefits 10% higher</v>
      </c>
      <c r="D46" s="222" t="str">
        <f t="shared" si="5"/>
        <v>Option 3sens3</v>
      </c>
      <c r="E46" s="214"/>
      <c r="F46" s="28">
        <f t="shared" si="4"/>
        <v>-74697.48077929976</v>
      </c>
      <c r="H46" s="28">
        <f>(INDEX(Option3!H$106:H$117, MATCH($D46, Option3!$G$106:$G$117,0)))*conv_2026*H$7</f>
        <v>0</v>
      </c>
      <c r="I46" s="28">
        <f>(INDEX(Option3!I$106:I$117, MATCH($D46, Option3!$G$106:$G$117,0)))*conv_2026*I$7</f>
        <v>0</v>
      </c>
      <c r="J46" s="28">
        <f>(INDEX(Option3!J$106:J$117, MATCH($D46, Option3!$G$106:$G$117,0)))*conv_2026*J$7</f>
        <v>-14619.303546782701</v>
      </c>
      <c r="K46" s="28">
        <f>(INDEX(Option3!K$106:K$117, MATCH($D46, Option3!$G$106:$G$117,0)))*conv_2026*K$7</f>
        <v>-13450.939550962445</v>
      </c>
      <c r="L46" s="28">
        <f>(INDEX(Option3!L$106:L$117, MATCH($D46, Option3!$G$106:$G$117,0)))*conv_2026*L$7</f>
        <v>-12303.258365510605</v>
      </c>
      <c r="M46" s="28">
        <f>(INDEX(Option3!M$106:M$117, MATCH($D46, Option3!$G$106:$G$117,0)))*conv_2026*M$7</f>
        <v>-11175.766555368586</v>
      </c>
      <c r="N46" s="28">
        <f>(INDEX(Option3!N$106:N$117, MATCH($D46, Option3!$G$106:$G$117,0)))*conv_2026*N$7</f>
        <v>-9955.8001877398838</v>
      </c>
      <c r="O46" s="28">
        <f>(INDEX(Option3!O$106:O$117, MATCH($D46, Option3!$G$106:$G$117,0)))*conv_2026*O$7</f>
        <v>-8468.9292420284637</v>
      </c>
      <c r="P46" s="28">
        <f>(INDEX(Option3!P$106:P$117, MATCH($D46, Option3!$G$106:$G$117,0)))*conv_2026*P$7</f>
        <v>-6909.8360806423243</v>
      </c>
      <c r="Q46" s="28">
        <f>(INDEX(Option3!Q$106:Q$117, MATCH($D46, Option3!$G$106:$G$117,0)))*conv_2026*Q$7</f>
        <v>-5615.8286881635604</v>
      </c>
      <c r="R46" s="28">
        <f>(INDEX(Option3!R$106:R$117, MATCH($D46, Option3!$G$106:$G$117,0)))*conv_2026*R$7</f>
        <v>-4744.0181384998077</v>
      </c>
      <c r="S46" s="28">
        <f>(INDEX(Option3!S$106:S$117, MATCH($D46, Option3!$G$106:$G$117,0)))*conv_2026*S$7</f>
        <v>-3862.7035704014975</v>
      </c>
      <c r="T46" s="28">
        <f>(INDEX(Option3!T$106:T$117, MATCH($D46, Option3!$G$106:$G$117,0)))*conv_2026*T$7</f>
        <v>-2971.966127428555</v>
      </c>
      <c r="U46" s="28">
        <f>(INDEX(Option3!U$106:U$117, MATCH($D46, Option3!$G$106:$G$117,0)))*conv_2026*U$7</f>
        <v>-2071.7935569067004</v>
      </c>
      <c r="V46" s="28">
        <f>(INDEX(Option3!V$106:V$117, MATCH($D46, Option3!$G$106:$G$117,0)))*conv_2026*V$7</f>
        <v>-1162.1884013879251</v>
      </c>
      <c r="W46" s="28">
        <f>(INDEX(Option3!W$106:W$117, MATCH($D46, Option3!$G$106:$G$117,0)))*conv_2026*W$7</f>
        <v>-243.24277977105456</v>
      </c>
      <c r="X46" s="28">
        <f>(INDEX(Option3!X$106:X$117, MATCH($D46, Option3!$G$106:$G$117,0)))*conv_2026*X$7</f>
        <v>685.063342085778</v>
      </c>
      <c r="Y46" s="28">
        <f>(INDEX(Option3!Y$106:Y$117, MATCH($D46, Option3!$G$106:$G$117,0)))*conv_2026*Y$7</f>
        <v>1622.6977955170241</v>
      </c>
      <c r="Z46" s="28">
        <f>(INDEX(Option3!Z$106:Z$117, MATCH($D46, Option3!$G$106:$G$117,0)))*conv_2026*Z$7</f>
        <v>2569.6658703554644</v>
      </c>
      <c r="AA46" s="28">
        <f>(INDEX(Option3!AA$106:AA$117, MATCH($D46, Option3!$G$106:$G$117,0)))*conv_2026*AA$7</f>
        <v>3525.9206047143366</v>
      </c>
      <c r="AB46" s="28">
        <f>(INDEX(Option3!AB$106:AB$117, MATCH($D46, Option3!$G$106:$G$117,0)))*conv_2026*AB$7</f>
        <v>4491.4188597169068</v>
      </c>
      <c r="AC46" s="28">
        <f>(INDEX(Option3!AC$106:AC$117, MATCH($D46, Option3!$G$106:$G$117,0)))*conv_2026*AC$7</f>
        <v>0</v>
      </c>
      <c r="AD46" s="28">
        <f>(INDEX(Option3!AD$106:AD$117, MATCH($D46, Option3!$G$106:$G$117,0)))*conv_2026*AD$7</f>
        <v>0</v>
      </c>
      <c r="AE46" s="28">
        <f>(INDEX(Option3!AE$106:AE$117, MATCH($D46, Option3!$G$106:$G$117,0)))*conv_2026*AE$7</f>
        <v>0</v>
      </c>
      <c r="AF46" s="28">
        <f>(INDEX(Option3!AF$106:AF$117, MATCH($D46, Option3!$G$106:$G$117,0)))*conv_2026*AF$7</f>
        <v>0</v>
      </c>
      <c r="AG46" s="28">
        <f>(INDEX(Option3!AG$106:AG$117, MATCH($D46, Option3!$G$106:$G$117,0)))*conv_2026*AG$7</f>
        <v>0</v>
      </c>
    </row>
    <row r="47" spans="1:35" s="6" customFormat="1" x14ac:dyDescent="0.2">
      <c r="A47" s="222" t="s">
        <v>168</v>
      </c>
      <c r="B47" s="222" t="str">
        <f>Option3!A113</f>
        <v>sens4</v>
      </c>
      <c r="C47" s="222" t="str">
        <f>Option3!C113</f>
        <v>Total benefits 10% lower</v>
      </c>
      <c r="D47" s="222" t="str">
        <f t="shared" si="5"/>
        <v>Option 3sens4</v>
      </c>
      <c r="E47" s="214"/>
      <c r="F47" s="28">
        <f t="shared" si="4"/>
        <v>-162235.9407346691</v>
      </c>
      <c r="H47" s="28">
        <f>(INDEX(Option3!H$106:H$117, MATCH($D47, Option3!$G$106:$G$117,0)))*conv_2026*H$7</f>
        <v>0</v>
      </c>
      <c r="I47" s="28">
        <f>(INDEX(Option3!I$106:I$117, MATCH($D47, Option3!$G$106:$G$117,0)))*conv_2026*I$7</f>
        <v>0</v>
      </c>
      <c r="J47" s="28">
        <f>(INDEX(Option3!J$106:J$117, MATCH($D47, Option3!$G$106:$G$117,0)))*conv_2026*J$7</f>
        <v>-19464.925827382445</v>
      </c>
      <c r="K47" s="28">
        <f>(INDEX(Option3!K$106:K$117, MATCH($D47, Option3!$G$106:$G$117,0)))*conv_2026*K$7</f>
        <v>-18508.991648984054</v>
      </c>
      <c r="L47" s="28">
        <f>(INDEX(Option3!L$106:L$117, MATCH($D47, Option3!$G$106:$G$117,0)))*conv_2026*L$7</f>
        <v>-17569.979769978003</v>
      </c>
      <c r="M47" s="28">
        <f>(INDEX(Option3!M$106:M$117, MATCH($D47, Option3!$G$106:$G$117,0)))*conv_2026*M$7</f>
        <v>-16647.486470770895</v>
      </c>
      <c r="N47" s="28">
        <f>(INDEX(Option3!N$106:N$117, MATCH($D47, Option3!$G$106:$G$117,0)))*conv_2026*N$7</f>
        <v>-15649.332169983776</v>
      </c>
      <c r="O47" s="28">
        <f>(INDEX(Option3!O$106:O$117, MATCH($D47, Option3!$G$106:$G$117,0)))*conv_2026*O$7</f>
        <v>-14432.801396219887</v>
      </c>
      <c r="P47" s="28">
        <f>(INDEX(Option3!P$106:P$117, MATCH($D47, Option3!$G$106:$G$117,0)))*conv_2026*P$7</f>
        <v>-13157.179718722138</v>
      </c>
      <c r="Q47" s="28">
        <f>(INDEX(Option3!Q$106:Q$117, MATCH($D47, Option3!$G$106:$G$117,0)))*conv_2026*Q$7</f>
        <v>-12098.446397603149</v>
      </c>
      <c r="R47" s="28">
        <f>(INDEX(Option3!R$106:R$117, MATCH($D47, Option3!$G$106:$G$117,0)))*conv_2026*R$7</f>
        <v>-11385.14685696917</v>
      </c>
      <c r="S47" s="28">
        <f>(INDEX(Option3!S$106:S$117, MATCH($D47, Option3!$G$106:$G$117,0)))*conv_2026*S$7</f>
        <v>-10664.071301252372</v>
      </c>
      <c r="T47" s="28">
        <f>(INDEX(Option3!T$106:T$117, MATCH($D47, Option3!$G$106:$G$117,0)))*conv_2026*T$7</f>
        <v>-9935.286120638144</v>
      </c>
      <c r="U47" s="28">
        <f>(INDEX(Option3!U$106:U$117, MATCH($D47, Option3!$G$106:$G$117,0)))*conv_2026*U$7</f>
        <v>-9198.7812902111746</v>
      </c>
      <c r="V47" s="28">
        <f>(INDEX(Option3!V$106:V$117, MATCH($D47, Option3!$G$106:$G$117,0)))*conv_2026*V$7</f>
        <v>-8454.5588902412655</v>
      </c>
      <c r="W47" s="28">
        <f>(INDEX(Option3!W$106:W$117, MATCH($D47, Option3!$G$106:$G$117,0)))*conv_2026*W$7</f>
        <v>-7702.6942907365537</v>
      </c>
      <c r="X47" s="28">
        <f>(INDEX(Option3!X$106:X$117, MATCH($D47, Option3!$G$106:$G$117,0)))*conv_2026*X$7</f>
        <v>-6943.1711001264175</v>
      </c>
      <c r="Y47" s="28">
        <f>(INDEX(Option3!Y$106:Y$117, MATCH($D47, Option3!$G$106:$G$117,0)))*conv_2026*Y$7</f>
        <v>-6176.0156382281257</v>
      </c>
      <c r="Z47" s="28">
        <f>(INDEX(Option3!Z$106:Z$117, MATCH($D47, Option3!$G$106:$G$117,0)))*conv_2026*Z$7</f>
        <v>-5401.2235769966737</v>
      </c>
      <c r="AA47" s="28">
        <f>(INDEX(Option3!AA$106:AA$117, MATCH($D47, Option3!$G$106:$G$117,0)))*conv_2026*AA$7</f>
        <v>-4618.8333397939614</v>
      </c>
      <c r="AB47" s="28">
        <f>(INDEX(Option3!AB$106:AB$117, MATCH($D47, Option3!$G$106:$G$117,0)))*conv_2026*AB$7</f>
        <v>-3828.8802220645857</v>
      </c>
      <c r="AC47" s="28">
        <f>(INDEX(Option3!AC$106:AC$117, MATCH($D47, Option3!$G$106:$G$117,0)))*conv_2026*AC$7</f>
        <v>0</v>
      </c>
      <c r="AD47" s="28">
        <f>(INDEX(Option3!AD$106:AD$117, MATCH($D47, Option3!$G$106:$G$117,0)))*conv_2026*AD$7</f>
        <v>0</v>
      </c>
      <c r="AE47" s="28">
        <f>(INDEX(Option3!AE$106:AE$117, MATCH($D47, Option3!$G$106:$G$117,0)))*conv_2026*AE$7</f>
        <v>0</v>
      </c>
      <c r="AF47" s="28">
        <f>(INDEX(Option3!AF$106:AF$117, MATCH($D47, Option3!$G$106:$G$117,0)))*conv_2026*AF$7</f>
        <v>0</v>
      </c>
      <c r="AG47" s="28">
        <f>(INDEX(Option3!AG$106:AG$117, MATCH($D47, Option3!$G$106:$G$117,0)))*conv_2026*AG$7</f>
        <v>0</v>
      </c>
    </row>
    <row r="48" spans="1:35" s="6" customFormat="1" x14ac:dyDescent="0.2">
      <c r="A48" s="222" t="s">
        <v>168</v>
      </c>
      <c r="B48" s="222" t="str">
        <f>Option3!A114</f>
        <v>sens5</v>
      </c>
      <c r="C48" s="222" t="str">
        <f>Option3!C114</f>
        <v>Capex 10% higher &amp; Total benefits 10% lower</v>
      </c>
      <c r="D48" s="222" t="str">
        <f t="shared" si="5"/>
        <v>Option 3sens5</v>
      </c>
      <c r="E48" s="214"/>
      <c r="F48" s="28">
        <f t="shared" si="4"/>
        <v>-217851.8417880522</v>
      </c>
      <c r="H48" s="28">
        <f>(INDEX(Option3!H$106:H$117, MATCH($D48, Option3!$G$106:$G$117,0)))*conv_2026*H$7</f>
        <v>0</v>
      </c>
      <c r="I48" s="28">
        <f>(INDEX(Option3!I$106:I$117, MATCH($D48, Option3!$G$106:$G$117,0)))*conv_2026*I$7</f>
        <v>0</v>
      </c>
      <c r="J48" s="28">
        <f>(INDEX(Option3!J$106:J$117, MATCH($D48, Option3!$G$106:$G$117,0)))*conv_2026*J$7</f>
        <v>-23591.948436390576</v>
      </c>
      <c r="K48" s="28">
        <f>(INDEX(Option3!K$106:K$117, MATCH($D48, Option3!$G$106:$G$117,0)))*conv_2026*K$7</f>
        <v>-22636.014257992189</v>
      </c>
      <c r="L48" s="28">
        <f>(INDEX(Option3!L$106:L$117, MATCH($D48, Option3!$G$106:$G$117,0)))*conv_2026*L$7</f>
        <v>-21697.002378986137</v>
      </c>
      <c r="M48" s="28">
        <f>(INDEX(Option3!M$106:M$117, MATCH($D48, Option3!$G$106:$G$117,0)))*conv_2026*M$7</f>
        <v>-20774.509079779029</v>
      </c>
      <c r="N48" s="28">
        <f>(INDEX(Option3!N$106:N$117, MATCH($D48, Option3!$G$106:$G$117,0)))*conv_2026*N$7</f>
        <v>-19776.354778991907</v>
      </c>
      <c r="O48" s="28">
        <f>(INDEX(Option3!O$106:O$117, MATCH($D48, Option3!$G$106:$G$117,0)))*conv_2026*O$7</f>
        <v>-18559.824005228016</v>
      </c>
      <c r="P48" s="28">
        <f>(INDEX(Option3!P$106:P$117, MATCH($D48, Option3!$G$106:$G$117,0)))*conv_2026*P$7</f>
        <v>-17284.202327730269</v>
      </c>
      <c r="Q48" s="28">
        <f>(INDEX(Option3!Q$106:Q$117, MATCH($D48, Option3!$G$106:$G$117,0)))*conv_2026*Q$7</f>
        <v>-16225.46900661128</v>
      </c>
      <c r="R48" s="28">
        <f>(INDEX(Option3!R$106:R$117, MATCH($D48, Option3!$G$106:$G$117,0)))*conv_2026*R$7</f>
        <v>-15512.169465977302</v>
      </c>
      <c r="S48" s="28">
        <f>(INDEX(Option3!S$106:S$117, MATCH($D48, Option3!$G$106:$G$117,0)))*conv_2026*S$7</f>
        <v>-14791.093910260501</v>
      </c>
      <c r="T48" s="28">
        <f>(INDEX(Option3!T$106:T$117, MATCH($D48, Option3!$G$106:$G$117,0)))*conv_2026*T$7</f>
        <v>-14062.308729646275</v>
      </c>
      <c r="U48" s="28">
        <f>(INDEX(Option3!U$106:U$117, MATCH($D48, Option3!$G$106:$G$117,0)))*conv_2026*U$7</f>
        <v>-13325.803899219303</v>
      </c>
      <c r="V48" s="28">
        <f>(INDEX(Option3!V$106:V$117, MATCH($D48, Option3!$G$106:$G$117,0)))*conv_2026*V$7</f>
        <v>-12581.581499249396</v>
      </c>
      <c r="W48" s="28">
        <f>(INDEX(Option3!W$106:W$117, MATCH($D48, Option3!$G$106:$G$117,0)))*conv_2026*W$7</f>
        <v>-11829.716899744682</v>
      </c>
      <c r="X48" s="28">
        <f>(INDEX(Option3!X$106:X$117, MATCH($D48, Option3!$G$106:$G$117,0)))*conv_2026*X$7</f>
        <v>-11070.193709134546</v>
      </c>
      <c r="Y48" s="28">
        <f>(INDEX(Option3!Y$106:Y$117, MATCH($D48, Option3!$G$106:$G$117,0)))*conv_2026*Y$7</f>
        <v>-10303.038247236254</v>
      </c>
      <c r="Z48" s="28">
        <f>(INDEX(Option3!Z$106:Z$117, MATCH($D48, Option3!$G$106:$G$117,0)))*conv_2026*Z$7</f>
        <v>-9528.2461860048043</v>
      </c>
      <c r="AA48" s="28">
        <f>(INDEX(Option3!AA$106:AA$117, MATCH($D48, Option3!$G$106:$G$117,0)))*conv_2026*AA$7</f>
        <v>-8745.855948802091</v>
      </c>
      <c r="AB48" s="28">
        <f>(INDEX(Option3!AB$106:AB$117, MATCH($D48, Option3!$G$106:$G$117,0)))*conv_2026*AB$7</f>
        <v>-7955.9028310727153</v>
      </c>
      <c r="AC48" s="28">
        <f>(INDEX(Option3!AC$106:AC$117, MATCH($D48, Option3!$G$106:$G$117,0)))*conv_2026*AC$7</f>
        <v>0</v>
      </c>
      <c r="AD48" s="28">
        <f>(INDEX(Option3!AD$106:AD$117, MATCH($D48, Option3!$G$106:$G$117,0)))*conv_2026*AD$7</f>
        <v>0</v>
      </c>
      <c r="AE48" s="28">
        <f>(INDEX(Option3!AE$106:AE$117, MATCH($D48, Option3!$G$106:$G$117,0)))*conv_2026*AE$7</f>
        <v>0</v>
      </c>
      <c r="AF48" s="28">
        <f>(INDEX(Option3!AF$106:AF$117, MATCH($D48, Option3!$G$106:$G$117,0)))*conv_2026*AF$7</f>
        <v>0</v>
      </c>
      <c r="AG48" s="28">
        <f>(INDEX(Option3!AG$106:AG$117, MATCH($D48, Option3!$G$106:$G$117,0)))*conv_2026*AG$7</f>
        <v>0</v>
      </c>
    </row>
    <row r="49" spans="1:35" s="6" customFormat="1" x14ac:dyDescent="0.2">
      <c r="A49" s="222" t="s">
        <v>168</v>
      </c>
      <c r="B49" s="222" t="str">
        <f>Option3!A115</f>
        <v>sens</v>
      </c>
      <c r="C49" s="222">
        <f>Option3!C115</f>
        <v>0</v>
      </c>
      <c r="D49" s="222" t="str">
        <f t="shared" si="5"/>
        <v>Option 3sens</v>
      </c>
      <c r="E49" s="214"/>
      <c r="F49" s="28">
        <f t="shared" si="4"/>
        <v>-118466.71075698447</v>
      </c>
      <c r="H49" s="28">
        <f>(INDEX(Option3!H$106:H$117, MATCH($D49, Option3!$G$106:$G$117,0)))*conv_2026*H$7</f>
        <v>0</v>
      </c>
      <c r="I49" s="28">
        <f>(INDEX(Option3!I$106:I$117, MATCH($D49, Option3!$G$106:$G$117,0)))*conv_2026*I$7</f>
        <v>0</v>
      </c>
      <c r="J49" s="28">
        <f>(INDEX(Option3!J$106:J$117, MATCH($D49, Option3!$G$106:$G$117,0)))*conv_2026*J$7</f>
        <v>-17042.114687082576</v>
      </c>
      <c r="K49" s="28">
        <f>(INDEX(Option3!K$106:K$117, MATCH($D49, Option3!$G$106:$G$117,0)))*conv_2026*K$7</f>
        <v>-15979.965599973249</v>
      </c>
      <c r="L49" s="28">
        <f>(INDEX(Option3!L$106:L$117, MATCH($D49, Option3!$G$106:$G$117,0)))*conv_2026*L$7</f>
        <v>-14936.619067744305</v>
      </c>
      <c r="M49" s="28">
        <f>(INDEX(Option3!M$106:M$117, MATCH($D49, Option3!$G$106:$G$117,0)))*conv_2026*M$7</f>
        <v>-13911.626513069741</v>
      </c>
      <c r="N49" s="28">
        <f>(INDEX(Option3!N$106:N$117, MATCH($D49, Option3!$G$106:$G$117,0)))*conv_2026*N$7</f>
        <v>-12802.566178861831</v>
      </c>
      <c r="O49" s="28">
        <f>(INDEX(Option3!O$106:O$117, MATCH($D49, Option3!$G$106:$G$117,0)))*conv_2026*O$7</f>
        <v>-11450.865319124176</v>
      </c>
      <c r="P49" s="28">
        <f>(INDEX(Option3!P$106:P$117, MATCH($D49, Option3!$G$106:$G$117,0)))*conv_2026*P$7</f>
        <v>-10033.507899682232</v>
      </c>
      <c r="Q49" s="28">
        <f>(INDEX(Option3!Q$106:Q$117, MATCH($D49, Option3!$G$106:$G$117,0)))*conv_2026*Q$7</f>
        <v>-8857.1375428833544</v>
      </c>
      <c r="R49" s="28">
        <f>(INDEX(Option3!R$106:R$117, MATCH($D49, Option3!$G$106:$G$117,0)))*conv_2026*R$7</f>
        <v>-8064.5824977344892</v>
      </c>
      <c r="S49" s="28">
        <f>(INDEX(Option3!S$106:S$117, MATCH($D49, Option3!$G$106:$G$117,0)))*conv_2026*S$7</f>
        <v>-7263.387435826935</v>
      </c>
      <c r="T49" s="28">
        <f>(INDEX(Option3!T$106:T$117, MATCH($D49, Option3!$G$106:$G$117,0)))*conv_2026*T$7</f>
        <v>-6453.6261240333497</v>
      </c>
      <c r="U49" s="28">
        <f>(INDEX(Option3!U$106:U$117, MATCH($D49, Option3!$G$106:$G$117,0)))*conv_2026*U$7</f>
        <v>-5635.287423558937</v>
      </c>
      <c r="V49" s="28">
        <f>(INDEX(Option3!V$106:V$117, MATCH($D49, Option3!$G$106:$G$117,0)))*conv_2026*V$7</f>
        <v>-4808.3736458145959</v>
      </c>
      <c r="W49" s="28">
        <f>(INDEX(Option3!W$106:W$117, MATCH($D49, Option3!$G$106:$G$117,0)))*conv_2026*W$7</f>
        <v>-3972.968535253804</v>
      </c>
      <c r="X49" s="28">
        <f>(INDEX(Option3!X$106:X$117, MATCH($D49, Option3!$G$106:$G$117,0)))*conv_2026*X$7</f>
        <v>-3129.05387902032</v>
      </c>
      <c r="Y49" s="28">
        <f>(INDEX(Option3!Y$106:Y$117, MATCH($D49, Option3!$G$106:$G$117,0)))*conv_2026*Y$7</f>
        <v>-2276.6589213555508</v>
      </c>
      <c r="Z49" s="28">
        <f>(INDEX(Option3!Z$106:Z$117, MATCH($D49, Option3!$G$106:$G$117,0)))*conv_2026*Z$7</f>
        <v>-1415.7788533206051</v>
      </c>
      <c r="AA49" s="28">
        <f>(INDEX(Option3!AA$106:AA$117, MATCH($D49, Option3!$G$106:$G$117,0)))*conv_2026*AA$7</f>
        <v>-546.45636753981216</v>
      </c>
      <c r="AB49" s="28">
        <f>(INDEX(Option3!AB$106:AB$117, MATCH($D49, Option3!$G$106:$G$117,0)))*conv_2026*AB$7</f>
        <v>331.26931882616066</v>
      </c>
      <c r="AC49" s="28">
        <f>(INDEX(Option3!AC$106:AC$117, MATCH($D49, Option3!$G$106:$G$117,0)))*conv_2026*AC$7</f>
        <v>0</v>
      </c>
      <c r="AD49" s="28">
        <f>(INDEX(Option3!AD$106:AD$117, MATCH($D49, Option3!$G$106:$G$117,0)))*conv_2026*AD$7</f>
        <v>0</v>
      </c>
      <c r="AE49" s="28">
        <f>(INDEX(Option3!AE$106:AE$117, MATCH($D49, Option3!$G$106:$G$117,0)))*conv_2026*AE$7</f>
        <v>0</v>
      </c>
      <c r="AF49" s="28">
        <f>(INDEX(Option3!AF$106:AF$117, MATCH($D49, Option3!$G$106:$G$117,0)))*conv_2026*AF$7</f>
        <v>0</v>
      </c>
      <c r="AG49" s="28">
        <f>(INDEX(Option3!AG$106:AG$117, MATCH($D49, Option3!$G$106:$G$117,0)))*conv_2026*AG$7</f>
        <v>0</v>
      </c>
    </row>
    <row r="50" spans="1:35" s="6" customFormat="1" x14ac:dyDescent="0.2">
      <c r="A50" s="222" t="s">
        <v>168</v>
      </c>
      <c r="B50" s="222" t="str">
        <f>Option3!A116</f>
        <v>sens</v>
      </c>
      <c r="C50" s="222">
        <f>Option3!C116</f>
        <v>0</v>
      </c>
      <c r="D50" s="222" t="str">
        <f t="shared" si="5"/>
        <v>Option 3sens</v>
      </c>
      <c r="E50" s="214"/>
      <c r="F50" s="28">
        <f t="shared" si="4"/>
        <v>-118466.71075698447</v>
      </c>
      <c r="H50" s="28">
        <f>(INDEX(Option3!H$106:H$117, MATCH($D50, Option3!$G$106:$G$117,0)))*conv_2026*H$7</f>
        <v>0</v>
      </c>
      <c r="I50" s="28">
        <f>(INDEX(Option3!I$106:I$117, MATCH($D50, Option3!$G$106:$G$117,0)))*conv_2026*I$7</f>
        <v>0</v>
      </c>
      <c r="J50" s="28">
        <f>(INDEX(Option3!J$106:J$117, MATCH($D50, Option3!$G$106:$G$117,0)))*conv_2026*J$7</f>
        <v>-17042.114687082576</v>
      </c>
      <c r="K50" s="28">
        <f>(INDEX(Option3!K$106:K$117, MATCH($D50, Option3!$G$106:$G$117,0)))*conv_2026*K$7</f>
        <v>-15979.965599973249</v>
      </c>
      <c r="L50" s="28">
        <f>(INDEX(Option3!L$106:L$117, MATCH($D50, Option3!$G$106:$G$117,0)))*conv_2026*L$7</f>
        <v>-14936.619067744305</v>
      </c>
      <c r="M50" s="28">
        <f>(INDEX(Option3!M$106:M$117, MATCH($D50, Option3!$G$106:$G$117,0)))*conv_2026*M$7</f>
        <v>-13911.626513069741</v>
      </c>
      <c r="N50" s="28">
        <f>(INDEX(Option3!N$106:N$117, MATCH($D50, Option3!$G$106:$G$117,0)))*conv_2026*N$7</f>
        <v>-12802.566178861831</v>
      </c>
      <c r="O50" s="28">
        <f>(INDEX(Option3!O$106:O$117, MATCH($D50, Option3!$G$106:$G$117,0)))*conv_2026*O$7</f>
        <v>-11450.865319124176</v>
      </c>
      <c r="P50" s="28">
        <f>(INDEX(Option3!P$106:P$117, MATCH($D50, Option3!$G$106:$G$117,0)))*conv_2026*P$7</f>
        <v>-10033.507899682232</v>
      </c>
      <c r="Q50" s="28">
        <f>(INDEX(Option3!Q$106:Q$117, MATCH($D50, Option3!$G$106:$G$117,0)))*conv_2026*Q$7</f>
        <v>-8857.1375428833544</v>
      </c>
      <c r="R50" s="28">
        <f>(INDEX(Option3!R$106:R$117, MATCH($D50, Option3!$G$106:$G$117,0)))*conv_2026*R$7</f>
        <v>-8064.5824977344892</v>
      </c>
      <c r="S50" s="28">
        <f>(INDEX(Option3!S$106:S$117, MATCH($D50, Option3!$G$106:$G$117,0)))*conv_2026*S$7</f>
        <v>-7263.387435826935</v>
      </c>
      <c r="T50" s="28">
        <f>(INDEX(Option3!T$106:T$117, MATCH($D50, Option3!$G$106:$G$117,0)))*conv_2026*T$7</f>
        <v>-6453.6261240333497</v>
      </c>
      <c r="U50" s="28">
        <f>(INDEX(Option3!U$106:U$117, MATCH($D50, Option3!$G$106:$G$117,0)))*conv_2026*U$7</f>
        <v>-5635.287423558937</v>
      </c>
      <c r="V50" s="28">
        <f>(INDEX(Option3!V$106:V$117, MATCH($D50, Option3!$G$106:$G$117,0)))*conv_2026*V$7</f>
        <v>-4808.3736458145959</v>
      </c>
      <c r="W50" s="28">
        <f>(INDEX(Option3!W$106:W$117, MATCH($D50, Option3!$G$106:$G$117,0)))*conv_2026*W$7</f>
        <v>-3972.968535253804</v>
      </c>
      <c r="X50" s="28">
        <f>(INDEX(Option3!X$106:X$117, MATCH($D50, Option3!$G$106:$G$117,0)))*conv_2026*X$7</f>
        <v>-3129.05387902032</v>
      </c>
      <c r="Y50" s="28">
        <f>(INDEX(Option3!Y$106:Y$117, MATCH($D50, Option3!$G$106:$G$117,0)))*conv_2026*Y$7</f>
        <v>-2276.6589213555508</v>
      </c>
      <c r="Z50" s="28">
        <f>(INDEX(Option3!Z$106:Z$117, MATCH($D50, Option3!$G$106:$G$117,0)))*conv_2026*Z$7</f>
        <v>-1415.7788533206051</v>
      </c>
      <c r="AA50" s="28">
        <f>(INDEX(Option3!AA$106:AA$117, MATCH($D50, Option3!$G$106:$G$117,0)))*conv_2026*AA$7</f>
        <v>-546.45636753981216</v>
      </c>
      <c r="AB50" s="28">
        <f>(INDEX(Option3!AB$106:AB$117, MATCH($D50, Option3!$G$106:$G$117,0)))*conv_2026*AB$7</f>
        <v>331.26931882616066</v>
      </c>
      <c r="AC50" s="28">
        <f>(INDEX(Option3!AC$106:AC$117, MATCH($D50, Option3!$G$106:$G$117,0)))*conv_2026*AC$7</f>
        <v>0</v>
      </c>
      <c r="AD50" s="28">
        <f>(INDEX(Option3!AD$106:AD$117, MATCH($D50, Option3!$G$106:$G$117,0)))*conv_2026*AD$7</f>
        <v>0</v>
      </c>
      <c r="AE50" s="28">
        <f>(INDEX(Option3!AE$106:AE$117, MATCH($D50, Option3!$G$106:$G$117,0)))*conv_2026*AE$7</f>
        <v>0</v>
      </c>
      <c r="AF50" s="28">
        <f>(INDEX(Option3!AF$106:AF$117, MATCH($D50, Option3!$G$106:$G$117,0)))*conv_2026*AF$7</f>
        <v>0</v>
      </c>
      <c r="AG50" s="28">
        <f>(INDEX(Option3!AG$106:AG$117, MATCH($D50, Option3!$G$106:$G$117,0)))*conv_2026*AG$7</f>
        <v>0</v>
      </c>
    </row>
    <row r="51" spans="1:35" s="6" customFormat="1" x14ac:dyDescent="0.2">
      <c r="A51" s="222" t="s">
        <v>168</v>
      </c>
      <c r="B51" s="222" t="str">
        <f>Option3!A117</f>
        <v>sens</v>
      </c>
      <c r="C51" s="222">
        <f>Option3!C117</f>
        <v>0</v>
      </c>
      <c r="D51" s="222" t="str">
        <f t="shared" si="5"/>
        <v>Option 3sens</v>
      </c>
      <c r="E51" s="214"/>
      <c r="F51" s="28">
        <f t="shared" si="4"/>
        <v>-118466.71075698447</v>
      </c>
      <c r="H51" s="28">
        <f>(INDEX(Option3!H$106:H$117, MATCH($D51, Option3!$G$106:$G$117,0)))*conv_2026*H$7</f>
        <v>0</v>
      </c>
      <c r="I51" s="28">
        <f>(INDEX(Option3!I$106:I$117, MATCH($D51, Option3!$G$106:$G$117,0)))*conv_2026*I$7</f>
        <v>0</v>
      </c>
      <c r="J51" s="28">
        <f>(INDEX(Option3!J$106:J$117, MATCH($D51, Option3!$G$106:$G$117,0)))*conv_2026*J$7</f>
        <v>-17042.114687082576</v>
      </c>
      <c r="K51" s="28">
        <f>(INDEX(Option3!K$106:K$117, MATCH($D51, Option3!$G$106:$G$117,0)))*conv_2026*K$7</f>
        <v>-15979.965599973249</v>
      </c>
      <c r="L51" s="28">
        <f>(INDEX(Option3!L$106:L$117, MATCH($D51, Option3!$G$106:$G$117,0)))*conv_2026*L$7</f>
        <v>-14936.619067744305</v>
      </c>
      <c r="M51" s="28">
        <f>(INDEX(Option3!M$106:M$117, MATCH($D51, Option3!$G$106:$G$117,0)))*conv_2026*M$7</f>
        <v>-13911.626513069741</v>
      </c>
      <c r="N51" s="28">
        <f>(INDEX(Option3!N$106:N$117, MATCH($D51, Option3!$G$106:$G$117,0)))*conv_2026*N$7</f>
        <v>-12802.566178861831</v>
      </c>
      <c r="O51" s="28">
        <f>(INDEX(Option3!O$106:O$117, MATCH($D51, Option3!$G$106:$G$117,0)))*conv_2026*O$7</f>
        <v>-11450.865319124176</v>
      </c>
      <c r="P51" s="28">
        <f>(INDEX(Option3!P$106:P$117, MATCH($D51, Option3!$G$106:$G$117,0)))*conv_2026*P$7</f>
        <v>-10033.507899682232</v>
      </c>
      <c r="Q51" s="28">
        <f>(INDEX(Option3!Q$106:Q$117, MATCH($D51, Option3!$G$106:$G$117,0)))*conv_2026*Q$7</f>
        <v>-8857.1375428833544</v>
      </c>
      <c r="R51" s="28">
        <f>(INDEX(Option3!R$106:R$117, MATCH($D51, Option3!$G$106:$G$117,0)))*conv_2026*R$7</f>
        <v>-8064.5824977344892</v>
      </c>
      <c r="S51" s="28">
        <f>(INDEX(Option3!S$106:S$117, MATCH($D51, Option3!$G$106:$G$117,0)))*conv_2026*S$7</f>
        <v>-7263.387435826935</v>
      </c>
      <c r="T51" s="28">
        <f>(INDEX(Option3!T$106:T$117, MATCH($D51, Option3!$G$106:$G$117,0)))*conv_2026*T$7</f>
        <v>-6453.6261240333497</v>
      </c>
      <c r="U51" s="28">
        <f>(INDEX(Option3!U$106:U$117, MATCH($D51, Option3!$G$106:$G$117,0)))*conv_2026*U$7</f>
        <v>-5635.287423558937</v>
      </c>
      <c r="V51" s="28">
        <f>(INDEX(Option3!V$106:V$117, MATCH($D51, Option3!$G$106:$G$117,0)))*conv_2026*V$7</f>
        <v>-4808.3736458145959</v>
      </c>
      <c r="W51" s="28">
        <f>(INDEX(Option3!W$106:W$117, MATCH($D51, Option3!$G$106:$G$117,0)))*conv_2026*W$7</f>
        <v>-3972.968535253804</v>
      </c>
      <c r="X51" s="28">
        <f>(INDEX(Option3!X$106:X$117, MATCH($D51, Option3!$G$106:$G$117,0)))*conv_2026*X$7</f>
        <v>-3129.05387902032</v>
      </c>
      <c r="Y51" s="28">
        <f>(INDEX(Option3!Y$106:Y$117, MATCH($D51, Option3!$G$106:$G$117,0)))*conv_2026*Y$7</f>
        <v>-2276.6589213555508</v>
      </c>
      <c r="Z51" s="28">
        <f>(INDEX(Option3!Z$106:Z$117, MATCH($D51, Option3!$G$106:$G$117,0)))*conv_2026*Z$7</f>
        <v>-1415.7788533206051</v>
      </c>
      <c r="AA51" s="28">
        <f>(INDEX(Option3!AA$106:AA$117, MATCH($D51, Option3!$G$106:$G$117,0)))*conv_2026*AA$7</f>
        <v>-546.45636753981216</v>
      </c>
      <c r="AB51" s="28">
        <f>(INDEX(Option3!AB$106:AB$117, MATCH($D51, Option3!$G$106:$G$117,0)))*conv_2026*AB$7</f>
        <v>331.26931882616066</v>
      </c>
      <c r="AC51" s="28">
        <f>(INDEX(Option3!AC$106:AC$117, MATCH($D51, Option3!$G$106:$G$117,0)))*conv_2026*AC$7</f>
        <v>0</v>
      </c>
      <c r="AD51" s="28">
        <f>(INDEX(Option3!AD$106:AD$117, MATCH($D51, Option3!$G$106:$G$117,0)))*conv_2026*AD$7</f>
        <v>0</v>
      </c>
      <c r="AE51" s="28">
        <f>(INDEX(Option3!AE$106:AE$117, MATCH($D51, Option3!$G$106:$G$117,0)))*conv_2026*AE$7</f>
        <v>0</v>
      </c>
      <c r="AF51" s="28">
        <f>(INDEX(Option3!AF$106:AF$117, MATCH($D51, Option3!$G$106:$G$117,0)))*conv_2026*AF$7</f>
        <v>0</v>
      </c>
      <c r="AG51" s="28">
        <f>(INDEX(Option3!AG$106:AG$117, MATCH($D51, Option3!$G$106:$G$117,0)))*conv_2026*AG$7</f>
        <v>0</v>
      </c>
    </row>
    <row r="52" spans="1:35" s="6" customFormat="1" x14ac:dyDescent="0.2">
      <c r="A52" s="222"/>
      <c r="B52" s="222"/>
      <c r="C52" s="222"/>
      <c r="D52" s="222"/>
      <c r="E52" s="222"/>
      <c r="F52" s="28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</row>
    <row r="53" spans="1:35" s="6" customFormat="1" x14ac:dyDescent="0.2">
      <c r="A53" s="222"/>
      <c r="B53" s="222"/>
      <c r="C53" s="222"/>
      <c r="D53" s="222"/>
      <c r="E53" s="222"/>
      <c r="F53" s="28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</row>
    <row r="54" spans="1:35" s="6" customFormat="1" x14ac:dyDescent="0.2">
      <c r="A54" s="222"/>
      <c r="B54" s="222"/>
      <c r="C54" s="222"/>
      <c r="D54" s="222"/>
      <c r="E54" s="222"/>
      <c r="F54" s="28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</row>
    <row r="55" spans="1:35" s="6" customFormat="1" x14ac:dyDescent="0.2">
      <c r="A55" s="222"/>
      <c r="B55" s="222"/>
      <c r="C55" s="222"/>
      <c r="D55" s="222"/>
      <c r="E55" s="222"/>
      <c r="F55" s="28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</row>
    <row r="56" spans="1:35" s="6" customFormat="1" x14ac:dyDescent="0.2">
      <c r="A56" s="222" t="s">
        <v>169</v>
      </c>
      <c r="B56" s="222" t="s">
        <v>22</v>
      </c>
      <c r="C56" s="222" t="s">
        <v>147</v>
      </c>
      <c r="D56" s="222" t="str">
        <f>A56&amp;B56</f>
        <v>Option 4NPV</v>
      </c>
      <c r="E56" s="214"/>
      <c r="F56" s="28">
        <f t="shared" ref="F56:F65" si="6">SUMPRODUCT($H56:$AG56, $H$5:$AG$5)</f>
        <v>0</v>
      </c>
      <c r="G56" s="217"/>
      <c r="H56" s="28">
        <f>(INDEX(Option4!H$106:H$117, MATCH($D56, Option4!$G$106:$G$117,0)))*conv_2026*H$7</f>
        <v>0</v>
      </c>
      <c r="I56" s="28">
        <f>(INDEX(Option4!I$106:I$117, MATCH($D56, Option4!$G$106:$G$117,0)))*conv_2026*I$7</f>
        <v>0</v>
      </c>
      <c r="J56" s="28">
        <f>(INDEX(Option4!J$106:J$117, MATCH($D56, Option4!$G$106:$G$117,0)))*conv_2026*J$7</f>
        <v>0</v>
      </c>
      <c r="K56" s="28">
        <f>(INDEX(Option4!K$106:K$117, MATCH($D56, Option4!$G$106:$G$117,0)))*conv_2026*K$7</f>
        <v>0</v>
      </c>
      <c r="L56" s="28">
        <f>(INDEX(Option4!L$106:L$117, MATCH($D56, Option4!$G$106:$G$117,0)))*conv_2026*L$7</f>
        <v>0</v>
      </c>
      <c r="M56" s="28">
        <f>(INDEX(Option4!M$106:M$117, MATCH($D56, Option4!$G$106:$G$117,0)))*conv_2026*M$7</f>
        <v>0</v>
      </c>
      <c r="N56" s="28">
        <f>(INDEX(Option4!N$106:N$117, MATCH($D56, Option4!$G$106:$G$117,0)))*conv_2026*N$7</f>
        <v>0</v>
      </c>
      <c r="O56" s="28">
        <f>(INDEX(Option4!O$106:O$117, MATCH($D56, Option4!$G$106:$G$117,0)))*conv_2026*O$7</f>
        <v>0</v>
      </c>
      <c r="P56" s="28">
        <f>(INDEX(Option4!P$106:P$117, MATCH($D56, Option4!$G$106:$G$117,0)))*conv_2026*P$7</f>
        <v>0</v>
      </c>
      <c r="Q56" s="28">
        <f>(INDEX(Option4!Q$106:Q$117, MATCH($D56, Option4!$G$106:$G$117,0)))*conv_2026*Q$7</f>
        <v>0</v>
      </c>
      <c r="R56" s="28">
        <f>(INDEX(Option4!R$106:R$117, MATCH($D56, Option4!$G$106:$G$117,0)))*conv_2026*R$7</f>
        <v>0</v>
      </c>
      <c r="S56" s="28">
        <f>(INDEX(Option4!S$106:S$117, MATCH($D56, Option4!$G$106:$G$117,0)))*conv_2026*S$7</f>
        <v>0</v>
      </c>
      <c r="T56" s="28">
        <f>(INDEX(Option4!T$106:T$117, MATCH($D56, Option4!$G$106:$G$117,0)))*conv_2026*T$7</f>
        <v>0</v>
      </c>
      <c r="U56" s="28">
        <f>(INDEX(Option4!U$106:U$117, MATCH($D56, Option4!$G$106:$G$117,0)))*conv_2026*U$7</f>
        <v>0</v>
      </c>
      <c r="V56" s="28">
        <f>(INDEX(Option4!V$106:V$117, MATCH($D56, Option4!$G$106:$G$117,0)))*conv_2026*V$7</f>
        <v>0</v>
      </c>
      <c r="W56" s="28">
        <f>(INDEX(Option4!W$106:W$117, MATCH($D56, Option4!$G$106:$G$117,0)))*conv_2026*W$7</f>
        <v>0</v>
      </c>
      <c r="X56" s="28">
        <f>(INDEX(Option4!X$106:X$117, MATCH($D56, Option4!$G$106:$G$117,0)))*conv_2026*X$7</f>
        <v>0</v>
      </c>
      <c r="Y56" s="28">
        <f>(INDEX(Option4!Y$106:Y$117, MATCH($D56, Option4!$G$106:$G$117,0)))*conv_2026*Y$7</f>
        <v>0</v>
      </c>
      <c r="Z56" s="28">
        <f>(INDEX(Option4!Z$106:Z$117, MATCH($D56, Option4!$G$106:$G$117,0)))*conv_2026*Z$7</f>
        <v>0</v>
      </c>
      <c r="AA56" s="28">
        <f>(INDEX(Option4!AA$106:AA$117, MATCH($D56, Option4!$G$106:$G$117,0)))*conv_2026*AA$7</f>
        <v>0</v>
      </c>
      <c r="AB56" s="28">
        <f>(INDEX(Option4!AB$106:AB$117, MATCH($D56, Option4!$G$106:$G$117,0)))*conv_2026*AB$7</f>
        <v>0</v>
      </c>
      <c r="AC56" s="28">
        <f>(INDEX(Option4!AC$106:AC$117, MATCH($D56, Option4!$G$106:$G$117,0)))*conv_2026*AC$7</f>
        <v>0</v>
      </c>
      <c r="AD56" s="28">
        <f>(INDEX(Option4!AD$106:AD$117, MATCH($D56, Option4!$G$106:$G$117,0)))*conv_2026*AD$7</f>
        <v>0</v>
      </c>
      <c r="AE56" s="28">
        <f>(INDEX(Option4!AE$106:AE$117, MATCH($D56, Option4!$G$106:$G$117,0)))*conv_2026*AE$7</f>
        <v>0</v>
      </c>
      <c r="AF56" s="28">
        <f>(INDEX(Option4!AF$106:AF$117, MATCH($D56, Option4!$G$106:$G$117,0)))*conv_2026*AF$7</f>
        <v>0</v>
      </c>
      <c r="AG56" s="28">
        <f>(INDEX(Option4!AG$106:AG$117, MATCH($D56, Option4!$G$106:$G$117,0)))*conv_2026*AG$7</f>
        <v>0</v>
      </c>
      <c r="AH56" s="2"/>
      <c r="AI56" s="2"/>
    </row>
    <row r="57" spans="1:35" s="6" customFormat="1" x14ac:dyDescent="0.2">
      <c r="A57" s="216"/>
      <c r="B57" s="216"/>
      <c r="C57" s="216"/>
      <c r="D57" s="216"/>
      <c r="E57" s="216"/>
      <c r="F57" s="216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"/>
      <c r="AI57" s="2"/>
    </row>
    <row r="58" spans="1:35" s="6" customFormat="1" x14ac:dyDescent="0.2">
      <c r="A58" s="222" t="s">
        <v>169</v>
      </c>
      <c r="B58" s="222" t="str">
        <f>Option4!A110</f>
        <v>sens1</v>
      </c>
      <c r="C58" s="222" t="str">
        <f>Option4!C110</f>
        <v>Capex 10% higher</v>
      </c>
      <c r="D58" s="222" t="str">
        <f t="shared" ref="D58:D65" si="7">A58&amp;B58</f>
        <v>Option 4sens1</v>
      </c>
      <c r="E58" s="214"/>
      <c r="F58" s="28">
        <f t="shared" si="6"/>
        <v>0</v>
      </c>
      <c r="G58" s="217"/>
      <c r="H58" s="28">
        <f>(INDEX(Option4!H$106:H$117, MATCH($D58, Option4!$G$106:$G$117,0)))*conv_2026*H$7</f>
        <v>0</v>
      </c>
      <c r="I58" s="28">
        <f>(INDEX(Option4!I$106:I$117, MATCH($D58, Option4!$G$106:$G$117,0)))*conv_2026*I$7</f>
        <v>0</v>
      </c>
      <c r="J58" s="28">
        <f>(INDEX(Option4!J$106:J$117, MATCH($D58, Option4!$G$106:$G$117,0)))*conv_2026*J$7</f>
        <v>0</v>
      </c>
      <c r="K58" s="28">
        <f>(INDEX(Option4!K$106:K$117, MATCH($D58, Option4!$G$106:$G$117,0)))*conv_2026*K$7</f>
        <v>0</v>
      </c>
      <c r="L58" s="28">
        <f>(INDEX(Option4!L$106:L$117, MATCH($D58, Option4!$G$106:$G$117,0)))*conv_2026*L$7</f>
        <v>0</v>
      </c>
      <c r="M58" s="28">
        <f>(INDEX(Option4!M$106:M$117, MATCH($D58, Option4!$G$106:$G$117,0)))*conv_2026*M$7</f>
        <v>0</v>
      </c>
      <c r="N58" s="28">
        <f>(INDEX(Option4!N$106:N$117, MATCH($D58, Option4!$G$106:$G$117,0)))*conv_2026*N$7</f>
        <v>0</v>
      </c>
      <c r="O58" s="28">
        <f>(INDEX(Option4!O$106:O$117, MATCH($D58, Option4!$G$106:$G$117,0)))*conv_2026*O$7</f>
        <v>0</v>
      </c>
      <c r="P58" s="28">
        <f>(INDEX(Option4!P$106:P$117, MATCH($D58, Option4!$G$106:$G$117,0)))*conv_2026*P$7</f>
        <v>0</v>
      </c>
      <c r="Q58" s="28">
        <f>(INDEX(Option4!Q$106:Q$117, MATCH($D58, Option4!$G$106:$G$117,0)))*conv_2026*Q$7</f>
        <v>0</v>
      </c>
      <c r="R58" s="28">
        <f>(INDEX(Option4!R$106:R$117, MATCH($D58, Option4!$G$106:$G$117,0)))*conv_2026*R$7</f>
        <v>0</v>
      </c>
      <c r="S58" s="28">
        <f>(INDEX(Option4!S$106:S$117, MATCH($D58, Option4!$G$106:$G$117,0)))*conv_2026*S$7</f>
        <v>0</v>
      </c>
      <c r="T58" s="28">
        <f>(INDEX(Option4!T$106:T$117, MATCH($D58, Option4!$G$106:$G$117,0)))*conv_2026*T$7</f>
        <v>0</v>
      </c>
      <c r="U58" s="28">
        <f>(INDEX(Option4!U$106:U$117, MATCH($D58, Option4!$G$106:$G$117,0)))*conv_2026*U$7</f>
        <v>0</v>
      </c>
      <c r="V58" s="28">
        <f>(INDEX(Option4!V$106:V$117, MATCH($D58, Option4!$G$106:$G$117,0)))*conv_2026*V$7</f>
        <v>0</v>
      </c>
      <c r="W58" s="28">
        <f>(INDEX(Option4!W$106:W$117, MATCH($D58, Option4!$G$106:$G$117,0)))*conv_2026*W$7</f>
        <v>0</v>
      </c>
      <c r="X58" s="28">
        <f>(INDEX(Option4!X$106:X$117, MATCH($D58, Option4!$G$106:$G$117,0)))*conv_2026*X$7</f>
        <v>0</v>
      </c>
      <c r="Y58" s="28">
        <f>(INDEX(Option4!Y$106:Y$117, MATCH($D58, Option4!$G$106:$G$117,0)))*conv_2026*Y$7</f>
        <v>0</v>
      </c>
      <c r="Z58" s="28">
        <f>(INDEX(Option4!Z$106:Z$117, MATCH($D58, Option4!$G$106:$G$117,0)))*conv_2026*Z$7</f>
        <v>0</v>
      </c>
      <c r="AA58" s="28">
        <f>(INDEX(Option4!AA$106:AA$117, MATCH($D58, Option4!$G$106:$G$117,0)))*conv_2026*AA$7</f>
        <v>0</v>
      </c>
      <c r="AB58" s="28">
        <f>(INDEX(Option4!AB$106:AB$117, MATCH($D58, Option4!$G$106:$G$117,0)))*conv_2026*AB$7</f>
        <v>0</v>
      </c>
      <c r="AC58" s="28">
        <f>(INDEX(Option4!AC$106:AC$117, MATCH($D58, Option4!$G$106:$G$117,0)))*conv_2026*AC$7</f>
        <v>0</v>
      </c>
      <c r="AD58" s="28">
        <f>(INDEX(Option4!AD$106:AD$117, MATCH($D58, Option4!$G$106:$G$117,0)))*conv_2026*AD$7</f>
        <v>0</v>
      </c>
      <c r="AE58" s="28">
        <f>(INDEX(Option4!AE$106:AE$117, MATCH($D58, Option4!$G$106:$G$117,0)))*conv_2026*AE$7</f>
        <v>0</v>
      </c>
      <c r="AF58" s="28">
        <f>(INDEX(Option4!AF$106:AF$117, MATCH($D58, Option4!$G$106:$G$117,0)))*conv_2026*AF$7</f>
        <v>0</v>
      </c>
      <c r="AG58" s="28">
        <f>(INDEX(Option4!AG$106:AG$117, MATCH($D58, Option4!$G$106:$G$117,0)))*conv_2026*AG$7</f>
        <v>0</v>
      </c>
      <c r="AH58" s="2"/>
      <c r="AI58" s="2"/>
    </row>
    <row r="59" spans="1:35" s="6" customFormat="1" x14ac:dyDescent="0.2">
      <c r="A59" s="222" t="s">
        <v>169</v>
      </c>
      <c r="B59" s="222" t="str">
        <f>Option4!A111</f>
        <v>sens2</v>
      </c>
      <c r="C59" s="222" t="str">
        <f>Option4!C111</f>
        <v>Capex 10% lower</v>
      </c>
      <c r="D59" s="222" t="str">
        <f t="shared" si="7"/>
        <v>Option 4sens2</v>
      </c>
      <c r="E59" s="214"/>
      <c r="F59" s="28">
        <f t="shared" si="6"/>
        <v>0</v>
      </c>
      <c r="G59" s="222"/>
      <c r="H59" s="28">
        <f>(INDEX(Option4!H$106:H$117, MATCH($D59, Option4!$G$106:$G$117,0)))*conv_2026*H$7</f>
        <v>0</v>
      </c>
      <c r="I59" s="28">
        <f>(INDEX(Option4!I$106:I$117, MATCH($D59, Option4!$G$106:$G$117,0)))*conv_2026*I$7</f>
        <v>0</v>
      </c>
      <c r="J59" s="28">
        <f>(INDEX(Option4!J$106:J$117, MATCH($D59, Option4!$G$106:$G$117,0)))*conv_2026*J$7</f>
        <v>0</v>
      </c>
      <c r="K59" s="28">
        <f>(INDEX(Option4!K$106:K$117, MATCH($D59, Option4!$G$106:$G$117,0)))*conv_2026*K$7</f>
        <v>0</v>
      </c>
      <c r="L59" s="28">
        <f>(INDEX(Option4!L$106:L$117, MATCH($D59, Option4!$G$106:$G$117,0)))*conv_2026*L$7</f>
        <v>0</v>
      </c>
      <c r="M59" s="28">
        <f>(INDEX(Option4!M$106:M$117, MATCH($D59, Option4!$G$106:$G$117,0)))*conv_2026*M$7</f>
        <v>0</v>
      </c>
      <c r="N59" s="28">
        <f>(INDEX(Option4!N$106:N$117, MATCH($D59, Option4!$G$106:$G$117,0)))*conv_2026*N$7</f>
        <v>0</v>
      </c>
      <c r="O59" s="28">
        <f>(INDEX(Option4!O$106:O$117, MATCH($D59, Option4!$G$106:$G$117,0)))*conv_2026*O$7</f>
        <v>0</v>
      </c>
      <c r="P59" s="28">
        <f>(INDEX(Option4!P$106:P$117, MATCH($D59, Option4!$G$106:$G$117,0)))*conv_2026*P$7</f>
        <v>0</v>
      </c>
      <c r="Q59" s="28">
        <f>(INDEX(Option4!Q$106:Q$117, MATCH($D59, Option4!$G$106:$G$117,0)))*conv_2026*Q$7</f>
        <v>0</v>
      </c>
      <c r="R59" s="28">
        <f>(INDEX(Option4!R$106:R$117, MATCH($D59, Option4!$G$106:$G$117,0)))*conv_2026*R$7</f>
        <v>0</v>
      </c>
      <c r="S59" s="28">
        <f>(INDEX(Option4!S$106:S$117, MATCH($D59, Option4!$G$106:$G$117,0)))*conv_2026*S$7</f>
        <v>0</v>
      </c>
      <c r="T59" s="28">
        <f>(INDEX(Option4!T$106:T$117, MATCH($D59, Option4!$G$106:$G$117,0)))*conv_2026*T$7</f>
        <v>0</v>
      </c>
      <c r="U59" s="28">
        <f>(INDEX(Option4!U$106:U$117, MATCH($D59, Option4!$G$106:$G$117,0)))*conv_2026*U$7</f>
        <v>0</v>
      </c>
      <c r="V59" s="28">
        <f>(INDEX(Option4!V$106:V$117, MATCH($D59, Option4!$G$106:$G$117,0)))*conv_2026*V$7</f>
        <v>0</v>
      </c>
      <c r="W59" s="28">
        <f>(INDEX(Option4!W$106:W$117, MATCH($D59, Option4!$G$106:$G$117,0)))*conv_2026*W$7</f>
        <v>0</v>
      </c>
      <c r="X59" s="28">
        <f>(INDEX(Option4!X$106:X$117, MATCH($D59, Option4!$G$106:$G$117,0)))*conv_2026*X$7</f>
        <v>0</v>
      </c>
      <c r="Y59" s="28">
        <f>(INDEX(Option4!Y$106:Y$117, MATCH($D59, Option4!$G$106:$G$117,0)))*conv_2026*Y$7</f>
        <v>0</v>
      </c>
      <c r="Z59" s="28">
        <f>(INDEX(Option4!Z$106:Z$117, MATCH($D59, Option4!$G$106:$G$117,0)))*conv_2026*Z$7</f>
        <v>0</v>
      </c>
      <c r="AA59" s="28">
        <f>(INDEX(Option4!AA$106:AA$117, MATCH($D59, Option4!$G$106:$G$117,0)))*conv_2026*AA$7</f>
        <v>0</v>
      </c>
      <c r="AB59" s="28">
        <f>(INDEX(Option4!AB$106:AB$117, MATCH($D59, Option4!$G$106:$G$117,0)))*conv_2026*AB$7</f>
        <v>0</v>
      </c>
      <c r="AC59" s="28">
        <f>(INDEX(Option4!AC$106:AC$117, MATCH($D59, Option4!$G$106:$G$117,0)))*conv_2026*AC$7</f>
        <v>0</v>
      </c>
      <c r="AD59" s="28">
        <f>(INDEX(Option4!AD$106:AD$117, MATCH($D59, Option4!$G$106:$G$117,0)))*conv_2026*AD$7</f>
        <v>0</v>
      </c>
      <c r="AE59" s="28">
        <f>(INDEX(Option4!AE$106:AE$117, MATCH($D59, Option4!$G$106:$G$117,0)))*conv_2026*AE$7</f>
        <v>0</v>
      </c>
      <c r="AF59" s="28">
        <f>(INDEX(Option4!AF$106:AF$117, MATCH($D59, Option4!$G$106:$G$117,0)))*conv_2026*AF$7</f>
        <v>0</v>
      </c>
      <c r="AG59" s="28">
        <f>(INDEX(Option4!AG$106:AG$117, MATCH($D59, Option4!$G$106:$G$117,0)))*conv_2026*AG$7</f>
        <v>0</v>
      </c>
    </row>
    <row r="60" spans="1:35" s="6" customFormat="1" x14ac:dyDescent="0.2">
      <c r="A60" s="222" t="s">
        <v>169</v>
      </c>
      <c r="B60" s="222" t="str">
        <f>Option4!A112</f>
        <v>sens3</v>
      </c>
      <c r="C60" s="222" t="str">
        <f>Option4!C112</f>
        <v>Total benefits 10% higher</v>
      </c>
      <c r="D60" s="222" t="str">
        <f t="shared" si="7"/>
        <v>Option 4sens3</v>
      </c>
      <c r="E60" s="214"/>
      <c r="F60" s="28">
        <f t="shared" si="6"/>
        <v>0</v>
      </c>
      <c r="H60" s="28">
        <f>(INDEX(Option4!H$106:H$117, MATCH($D60, Option4!$G$106:$G$117,0)))*conv_2026*H$7</f>
        <v>0</v>
      </c>
      <c r="I60" s="28">
        <f>(INDEX(Option4!I$106:I$117, MATCH($D60, Option4!$G$106:$G$117,0)))*conv_2026*I$7</f>
        <v>0</v>
      </c>
      <c r="J60" s="28">
        <f>(INDEX(Option4!J$106:J$117, MATCH($D60, Option4!$G$106:$G$117,0)))*conv_2026*J$7</f>
        <v>0</v>
      </c>
      <c r="K60" s="28">
        <f>(INDEX(Option4!K$106:K$117, MATCH($D60, Option4!$G$106:$G$117,0)))*conv_2026*K$7</f>
        <v>0</v>
      </c>
      <c r="L60" s="28">
        <f>(INDEX(Option4!L$106:L$117, MATCH($D60, Option4!$G$106:$G$117,0)))*conv_2026*L$7</f>
        <v>0</v>
      </c>
      <c r="M60" s="28">
        <f>(INDEX(Option4!M$106:M$117, MATCH($D60, Option4!$G$106:$G$117,0)))*conv_2026*M$7</f>
        <v>0</v>
      </c>
      <c r="N60" s="28">
        <f>(INDEX(Option4!N$106:N$117, MATCH($D60, Option4!$G$106:$G$117,0)))*conv_2026*N$7</f>
        <v>0</v>
      </c>
      <c r="O60" s="28">
        <f>(INDEX(Option4!O$106:O$117, MATCH($D60, Option4!$G$106:$G$117,0)))*conv_2026*O$7</f>
        <v>0</v>
      </c>
      <c r="P60" s="28">
        <f>(INDEX(Option4!P$106:P$117, MATCH($D60, Option4!$G$106:$G$117,0)))*conv_2026*P$7</f>
        <v>0</v>
      </c>
      <c r="Q60" s="28">
        <f>(INDEX(Option4!Q$106:Q$117, MATCH($D60, Option4!$G$106:$G$117,0)))*conv_2026*Q$7</f>
        <v>0</v>
      </c>
      <c r="R60" s="28">
        <f>(INDEX(Option4!R$106:R$117, MATCH($D60, Option4!$G$106:$G$117,0)))*conv_2026*R$7</f>
        <v>0</v>
      </c>
      <c r="S60" s="28">
        <f>(INDEX(Option4!S$106:S$117, MATCH($D60, Option4!$G$106:$G$117,0)))*conv_2026*S$7</f>
        <v>0</v>
      </c>
      <c r="T60" s="28">
        <f>(INDEX(Option4!T$106:T$117, MATCH($D60, Option4!$G$106:$G$117,0)))*conv_2026*T$7</f>
        <v>0</v>
      </c>
      <c r="U60" s="28">
        <f>(INDEX(Option4!U$106:U$117, MATCH($D60, Option4!$G$106:$G$117,0)))*conv_2026*U$7</f>
        <v>0</v>
      </c>
      <c r="V60" s="28">
        <f>(INDEX(Option4!V$106:V$117, MATCH($D60, Option4!$G$106:$G$117,0)))*conv_2026*V$7</f>
        <v>0</v>
      </c>
      <c r="W60" s="28">
        <f>(INDEX(Option4!W$106:W$117, MATCH($D60, Option4!$G$106:$G$117,0)))*conv_2026*W$7</f>
        <v>0</v>
      </c>
      <c r="X60" s="28">
        <f>(INDEX(Option4!X$106:X$117, MATCH($D60, Option4!$G$106:$G$117,0)))*conv_2026*X$7</f>
        <v>0</v>
      </c>
      <c r="Y60" s="28">
        <f>(INDEX(Option4!Y$106:Y$117, MATCH($D60, Option4!$G$106:$G$117,0)))*conv_2026*Y$7</f>
        <v>0</v>
      </c>
      <c r="Z60" s="28">
        <f>(INDEX(Option4!Z$106:Z$117, MATCH($D60, Option4!$G$106:$G$117,0)))*conv_2026*Z$7</f>
        <v>0</v>
      </c>
      <c r="AA60" s="28">
        <f>(INDEX(Option4!AA$106:AA$117, MATCH($D60, Option4!$G$106:$G$117,0)))*conv_2026*AA$7</f>
        <v>0</v>
      </c>
      <c r="AB60" s="28">
        <f>(INDEX(Option4!AB$106:AB$117, MATCH($D60, Option4!$G$106:$G$117,0)))*conv_2026*AB$7</f>
        <v>0</v>
      </c>
      <c r="AC60" s="28">
        <f>(INDEX(Option4!AC$106:AC$117, MATCH($D60, Option4!$G$106:$G$117,0)))*conv_2026*AC$7</f>
        <v>0</v>
      </c>
      <c r="AD60" s="28">
        <f>(INDEX(Option4!AD$106:AD$117, MATCH($D60, Option4!$G$106:$G$117,0)))*conv_2026*AD$7</f>
        <v>0</v>
      </c>
      <c r="AE60" s="28">
        <f>(INDEX(Option4!AE$106:AE$117, MATCH($D60, Option4!$G$106:$G$117,0)))*conv_2026*AE$7</f>
        <v>0</v>
      </c>
      <c r="AF60" s="28">
        <f>(INDEX(Option4!AF$106:AF$117, MATCH($D60, Option4!$G$106:$G$117,0)))*conv_2026*AF$7</f>
        <v>0</v>
      </c>
      <c r="AG60" s="28">
        <f>(INDEX(Option4!AG$106:AG$117, MATCH($D60, Option4!$G$106:$G$117,0)))*conv_2026*AG$7</f>
        <v>0</v>
      </c>
    </row>
    <row r="61" spans="1:35" s="6" customFormat="1" x14ac:dyDescent="0.2">
      <c r="A61" s="222" t="s">
        <v>169</v>
      </c>
      <c r="B61" s="222" t="str">
        <f>Option4!A113</f>
        <v>sens4</v>
      </c>
      <c r="C61" s="222" t="str">
        <f>Option4!C113</f>
        <v>Total benefits 10% lower</v>
      </c>
      <c r="D61" s="222" t="str">
        <f t="shared" si="7"/>
        <v>Option 4sens4</v>
      </c>
      <c r="E61" s="214"/>
      <c r="F61" s="28">
        <f t="shared" si="6"/>
        <v>0</v>
      </c>
      <c r="H61" s="28">
        <f>(INDEX(Option4!H$106:H$117, MATCH($D61, Option4!$G$106:$G$117,0)))*conv_2026*H$7</f>
        <v>0</v>
      </c>
      <c r="I61" s="28">
        <f>(INDEX(Option4!I$106:I$117, MATCH($D61, Option4!$G$106:$G$117,0)))*conv_2026*I$7</f>
        <v>0</v>
      </c>
      <c r="J61" s="28">
        <f>(INDEX(Option4!J$106:J$117, MATCH($D61, Option4!$G$106:$G$117,0)))*conv_2026*J$7</f>
        <v>0</v>
      </c>
      <c r="K61" s="28">
        <f>(INDEX(Option4!K$106:K$117, MATCH($D61, Option4!$G$106:$G$117,0)))*conv_2026*K$7</f>
        <v>0</v>
      </c>
      <c r="L61" s="28">
        <f>(INDEX(Option4!L$106:L$117, MATCH($D61, Option4!$G$106:$G$117,0)))*conv_2026*L$7</f>
        <v>0</v>
      </c>
      <c r="M61" s="28">
        <f>(INDEX(Option4!M$106:M$117, MATCH($D61, Option4!$G$106:$G$117,0)))*conv_2026*M$7</f>
        <v>0</v>
      </c>
      <c r="N61" s="28">
        <f>(INDEX(Option4!N$106:N$117, MATCH($D61, Option4!$G$106:$G$117,0)))*conv_2026*N$7</f>
        <v>0</v>
      </c>
      <c r="O61" s="28">
        <f>(INDEX(Option4!O$106:O$117, MATCH($D61, Option4!$G$106:$G$117,0)))*conv_2026*O$7</f>
        <v>0</v>
      </c>
      <c r="P61" s="28">
        <f>(INDEX(Option4!P$106:P$117, MATCH($D61, Option4!$G$106:$G$117,0)))*conv_2026*P$7</f>
        <v>0</v>
      </c>
      <c r="Q61" s="28">
        <f>(INDEX(Option4!Q$106:Q$117, MATCH($D61, Option4!$G$106:$G$117,0)))*conv_2026*Q$7</f>
        <v>0</v>
      </c>
      <c r="R61" s="28">
        <f>(INDEX(Option4!R$106:R$117, MATCH($D61, Option4!$G$106:$G$117,0)))*conv_2026*R$7</f>
        <v>0</v>
      </c>
      <c r="S61" s="28">
        <f>(INDEX(Option4!S$106:S$117, MATCH($D61, Option4!$G$106:$G$117,0)))*conv_2026*S$7</f>
        <v>0</v>
      </c>
      <c r="T61" s="28">
        <f>(INDEX(Option4!T$106:T$117, MATCH($D61, Option4!$G$106:$G$117,0)))*conv_2026*T$7</f>
        <v>0</v>
      </c>
      <c r="U61" s="28">
        <f>(INDEX(Option4!U$106:U$117, MATCH($D61, Option4!$G$106:$G$117,0)))*conv_2026*U$7</f>
        <v>0</v>
      </c>
      <c r="V61" s="28">
        <f>(INDEX(Option4!V$106:V$117, MATCH($D61, Option4!$G$106:$G$117,0)))*conv_2026*V$7</f>
        <v>0</v>
      </c>
      <c r="W61" s="28">
        <f>(INDEX(Option4!W$106:W$117, MATCH($D61, Option4!$G$106:$G$117,0)))*conv_2026*W$7</f>
        <v>0</v>
      </c>
      <c r="X61" s="28">
        <f>(INDEX(Option4!X$106:X$117, MATCH($D61, Option4!$G$106:$G$117,0)))*conv_2026*X$7</f>
        <v>0</v>
      </c>
      <c r="Y61" s="28">
        <f>(INDEX(Option4!Y$106:Y$117, MATCH($D61, Option4!$G$106:$G$117,0)))*conv_2026*Y$7</f>
        <v>0</v>
      </c>
      <c r="Z61" s="28">
        <f>(INDEX(Option4!Z$106:Z$117, MATCH($D61, Option4!$G$106:$G$117,0)))*conv_2026*Z$7</f>
        <v>0</v>
      </c>
      <c r="AA61" s="28">
        <f>(INDEX(Option4!AA$106:AA$117, MATCH($D61, Option4!$G$106:$G$117,0)))*conv_2026*AA$7</f>
        <v>0</v>
      </c>
      <c r="AB61" s="28">
        <f>(INDEX(Option4!AB$106:AB$117, MATCH($D61, Option4!$G$106:$G$117,0)))*conv_2026*AB$7</f>
        <v>0</v>
      </c>
      <c r="AC61" s="28">
        <f>(INDEX(Option4!AC$106:AC$117, MATCH($D61, Option4!$G$106:$G$117,0)))*conv_2026*AC$7</f>
        <v>0</v>
      </c>
      <c r="AD61" s="28">
        <f>(INDEX(Option4!AD$106:AD$117, MATCH($D61, Option4!$G$106:$G$117,0)))*conv_2026*AD$7</f>
        <v>0</v>
      </c>
      <c r="AE61" s="28">
        <f>(INDEX(Option4!AE$106:AE$117, MATCH($D61, Option4!$G$106:$G$117,0)))*conv_2026*AE$7</f>
        <v>0</v>
      </c>
      <c r="AF61" s="28">
        <f>(INDEX(Option4!AF$106:AF$117, MATCH($D61, Option4!$G$106:$G$117,0)))*conv_2026*AF$7</f>
        <v>0</v>
      </c>
      <c r="AG61" s="28">
        <f>(INDEX(Option4!AG$106:AG$117, MATCH($D61, Option4!$G$106:$G$117,0)))*conv_2026*AG$7</f>
        <v>0</v>
      </c>
    </row>
    <row r="62" spans="1:35" s="6" customFormat="1" x14ac:dyDescent="0.2">
      <c r="A62" s="222" t="s">
        <v>169</v>
      </c>
      <c r="B62" s="222" t="str">
        <f>Option4!A114</f>
        <v>sens5</v>
      </c>
      <c r="C62" s="222" t="str">
        <f>Option4!C114</f>
        <v>Capex 10% higher &amp; Total benefits 10% lower</v>
      </c>
      <c r="D62" s="222" t="str">
        <f t="shared" si="7"/>
        <v>Option 4sens5</v>
      </c>
      <c r="E62" s="214"/>
      <c r="F62" s="28">
        <f t="shared" si="6"/>
        <v>0</v>
      </c>
      <c r="H62" s="28">
        <f>(INDEX(Option4!H$106:H$117, MATCH($D62, Option4!$G$106:$G$117,0)))*conv_2026*H$7</f>
        <v>0</v>
      </c>
      <c r="I62" s="28">
        <f>(INDEX(Option4!I$106:I$117, MATCH($D62, Option4!$G$106:$G$117,0)))*conv_2026*I$7</f>
        <v>0</v>
      </c>
      <c r="J62" s="28">
        <f>(INDEX(Option4!J$106:J$117, MATCH($D62, Option4!$G$106:$G$117,0)))*conv_2026*J$7</f>
        <v>0</v>
      </c>
      <c r="K62" s="28">
        <f>(INDEX(Option4!K$106:K$117, MATCH($D62, Option4!$G$106:$G$117,0)))*conv_2026*K$7</f>
        <v>0</v>
      </c>
      <c r="L62" s="28">
        <f>(INDEX(Option4!L$106:L$117, MATCH($D62, Option4!$G$106:$G$117,0)))*conv_2026*L$7</f>
        <v>0</v>
      </c>
      <c r="M62" s="28">
        <f>(INDEX(Option4!M$106:M$117, MATCH($D62, Option4!$G$106:$G$117,0)))*conv_2026*M$7</f>
        <v>0</v>
      </c>
      <c r="N62" s="28">
        <f>(INDEX(Option4!N$106:N$117, MATCH($D62, Option4!$G$106:$G$117,0)))*conv_2026*N$7</f>
        <v>0</v>
      </c>
      <c r="O62" s="28">
        <f>(INDEX(Option4!O$106:O$117, MATCH($D62, Option4!$G$106:$G$117,0)))*conv_2026*O$7</f>
        <v>0</v>
      </c>
      <c r="P62" s="28">
        <f>(INDEX(Option4!P$106:P$117, MATCH($D62, Option4!$G$106:$G$117,0)))*conv_2026*P$7</f>
        <v>0</v>
      </c>
      <c r="Q62" s="28">
        <f>(INDEX(Option4!Q$106:Q$117, MATCH($D62, Option4!$G$106:$G$117,0)))*conv_2026*Q$7</f>
        <v>0</v>
      </c>
      <c r="R62" s="28">
        <f>(INDEX(Option4!R$106:R$117, MATCH($D62, Option4!$G$106:$G$117,0)))*conv_2026*R$7</f>
        <v>0</v>
      </c>
      <c r="S62" s="28">
        <f>(INDEX(Option4!S$106:S$117, MATCH($D62, Option4!$G$106:$G$117,0)))*conv_2026*S$7</f>
        <v>0</v>
      </c>
      <c r="T62" s="28">
        <f>(INDEX(Option4!T$106:T$117, MATCH($D62, Option4!$G$106:$G$117,0)))*conv_2026*T$7</f>
        <v>0</v>
      </c>
      <c r="U62" s="28">
        <f>(INDEX(Option4!U$106:U$117, MATCH($D62, Option4!$G$106:$G$117,0)))*conv_2026*U$7</f>
        <v>0</v>
      </c>
      <c r="V62" s="28">
        <f>(INDEX(Option4!V$106:V$117, MATCH($D62, Option4!$G$106:$G$117,0)))*conv_2026*V$7</f>
        <v>0</v>
      </c>
      <c r="W62" s="28">
        <f>(INDEX(Option4!W$106:W$117, MATCH($D62, Option4!$G$106:$G$117,0)))*conv_2026*W$7</f>
        <v>0</v>
      </c>
      <c r="X62" s="28">
        <f>(INDEX(Option4!X$106:X$117, MATCH($D62, Option4!$G$106:$G$117,0)))*conv_2026*X$7</f>
        <v>0</v>
      </c>
      <c r="Y62" s="28">
        <f>(INDEX(Option4!Y$106:Y$117, MATCH($D62, Option4!$G$106:$G$117,0)))*conv_2026*Y$7</f>
        <v>0</v>
      </c>
      <c r="Z62" s="28">
        <f>(INDEX(Option4!Z$106:Z$117, MATCH($D62, Option4!$G$106:$G$117,0)))*conv_2026*Z$7</f>
        <v>0</v>
      </c>
      <c r="AA62" s="28">
        <f>(INDEX(Option4!AA$106:AA$117, MATCH($D62, Option4!$G$106:$G$117,0)))*conv_2026*AA$7</f>
        <v>0</v>
      </c>
      <c r="AB62" s="28">
        <f>(INDEX(Option4!AB$106:AB$117, MATCH($D62, Option4!$G$106:$G$117,0)))*conv_2026*AB$7</f>
        <v>0</v>
      </c>
      <c r="AC62" s="28">
        <f>(INDEX(Option4!AC$106:AC$117, MATCH($D62, Option4!$G$106:$G$117,0)))*conv_2026*AC$7</f>
        <v>0</v>
      </c>
      <c r="AD62" s="28">
        <f>(INDEX(Option4!AD$106:AD$117, MATCH($D62, Option4!$G$106:$G$117,0)))*conv_2026*AD$7</f>
        <v>0</v>
      </c>
      <c r="AE62" s="28">
        <f>(INDEX(Option4!AE$106:AE$117, MATCH($D62, Option4!$G$106:$G$117,0)))*conv_2026*AE$7</f>
        <v>0</v>
      </c>
      <c r="AF62" s="28">
        <f>(INDEX(Option4!AF$106:AF$117, MATCH($D62, Option4!$G$106:$G$117,0)))*conv_2026*AF$7</f>
        <v>0</v>
      </c>
      <c r="AG62" s="28">
        <f>(INDEX(Option4!AG$106:AG$117, MATCH($D62, Option4!$G$106:$G$117,0)))*conv_2026*AG$7</f>
        <v>0</v>
      </c>
    </row>
    <row r="63" spans="1:35" s="6" customFormat="1" x14ac:dyDescent="0.2">
      <c r="A63" s="222" t="s">
        <v>169</v>
      </c>
      <c r="B63" s="222" t="str">
        <f>Option4!A115</f>
        <v>sens</v>
      </c>
      <c r="C63" s="222">
        <f>Option4!C115</f>
        <v>0</v>
      </c>
      <c r="D63" s="222" t="str">
        <f t="shared" si="7"/>
        <v>Option 4sens</v>
      </c>
      <c r="E63" s="214"/>
      <c r="F63" s="28">
        <f t="shared" si="6"/>
        <v>0</v>
      </c>
      <c r="H63" s="28">
        <f>(INDEX(Option4!H$106:H$117, MATCH($D63, Option4!$G$106:$G$117,0)))*conv_2026*H$7</f>
        <v>0</v>
      </c>
      <c r="I63" s="28">
        <f>(INDEX(Option4!I$106:I$117, MATCH($D63, Option4!$G$106:$G$117,0)))*conv_2026*I$7</f>
        <v>0</v>
      </c>
      <c r="J63" s="28">
        <f>(INDEX(Option4!J$106:J$117, MATCH($D63, Option4!$G$106:$G$117,0)))*conv_2026*J$7</f>
        <v>0</v>
      </c>
      <c r="K63" s="28">
        <f>(INDEX(Option4!K$106:K$117, MATCH($D63, Option4!$G$106:$G$117,0)))*conv_2026*K$7</f>
        <v>0</v>
      </c>
      <c r="L63" s="28">
        <f>(INDEX(Option4!L$106:L$117, MATCH($D63, Option4!$G$106:$G$117,0)))*conv_2026*L$7</f>
        <v>0</v>
      </c>
      <c r="M63" s="28">
        <f>(INDEX(Option4!M$106:M$117, MATCH($D63, Option4!$G$106:$G$117,0)))*conv_2026*M$7</f>
        <v>0</v>
      </c>
      <c r="N63" s="28">
        <f>(INDEX(Option4!N$106:N$117, MATCH($D63, Option4!$G$106:$G$117,0)))*conv_2026*N$7</f>
        <v>0</v>
      </c>
      <c r="O63" s="28">
        <f>(INDEX(Option4!O$106:O$117, MATCH($D63, Option4!$G$106:$G$117,0)))*conv_2026*O$7</f>
        <v>0</v>
      </c>
      <c r="P63" s="28">
        <f>(INDEX(Option4!P$106:P$117, MATCH($D63, Option4!$G$106:$G$117,0)))*conv_2026*P$7</f>
        <v>0</v>
      </c>
      <c r="Q63" s="28">
        <f>(INDEX(Option4!Q$106:Q$117, MATCH($D63, Option4!$G$106:$G$117,0)))*conv_2026*Q$7</f>
        <v>0</v>
      </c>
      <c r="R63" s="28">
        <f>(INDEX(Option4!R$106:R$117, MATCH($D63, Option4!$G$106:$G$117,0)))*conv_2026*R$7</f>
        <v>0</v>
      </c>
      <c r="S63" s="28">
        <f>(INDEX(Option4!S$106:S$117, MATCH($D63, Option4!$G$106:$G$117,0)))*conv_2026*S$7</f>
        <v>0</v>
      </c>
      <c r="T63" s="28">
        <f>(INDEX(Option4!T$106:T$117, MATCH($D63, Option4!$G$106:$G$117,0)))*conv_2026*T$7</f>
        <v>0</v>
      </c>
      <c r="U63" s="28">
        <f>(INDEX(Option4!U$106:U$117, MATCH($D63, Option4!$G$106:$G$117,0)))*conv_2026*U$7</f>
        <v>0</v>
      </c>
      <c r="V63" s="28">
        <f>(INDEX(Option4!V$106:V$117, MATCH($D63, Option4!$G$106:$G$117,0)))*conv_2026*V$7</f>
        <v>0</v>
      </c>
      <c r="W63" s="28">
        <f>(INDEX(Option4!W$106:W$117, MATCH($D63, Option4!$G$106:$G$117,0)))*conv_2026*W$7</f>
        <v>0</v>
      </c>
      <c r="X63" s="28">
        <f>(INDEX(Option4!X$106:X$117, MATCH($D63, Option4!$G$106:$G$117,0)))*conv_2026*X$7</f>
        <v>0</v>
      </c>
      <c r="Y63" s="28">
        <f>(INDEX(Option4!Y$106:Y$117, MATCH($D63, Option4!$G$106:$G$117,0)))*conv_2026*Y$7</f>
        <v>0</v>
      </c>
      <c r="Z63" s="28">
        <f>(INDEX(Option4!Z$106:Z$117, MATCH($D63, Option4!$G$106:$G$117,0)))*conv_2026*Z$7</f>
        <v>0</v>
      </c>
      <c r="AA63" s="28">
        <f>(INDEX(Option4!AA$106:AA$117, MATCH($D63, Option4!$G$106:$G$117,0)))*conv_2026*AA$7</f>
        <v>0</v>
      </c>
      <c r="AB63" s="28">
        <f>(INDEX(Option4!AB$106:AB$117, MATCH($D63, Option4!$G$106:$G$117,0)))*conv_2026*AB$7</f>
        <v>0</v>
      </c>
      <c r="AC63" s="28">
        <f>(INDEX(Option4!AC$106:AC$117, MATCH($D63, Option4!$G$106:$G$117,0)))*conv_2026*AC$7</f>
        <v>0</v>
      </c>
      <c r="AD63" s="28">
        <f>(INDEX(Option4!AD$106:AD$117, MATCH($D63, Option4!$G$106:$G$117,0)))*conv_2026*AD$7</f>
        <v>0</v>
      </c>
      <c r="AE63" s="28">
        <f>(INDEX(Option4!AE$106:AE$117, MATCH($D63, Option4!$G$106:$G$117,0)))*conv_2026*AE$7</f>
        <v>0</v>
      </c>
      <c r="AF63" s="28">
        <f>(INDEX(Option4!AF$106:AF$117, MATCH($D63, Option4!$G$106:$G$117,0)))*conv_2026*AF$7</f>
        <v>0</v>
      </c>
      <c r="AG63" s="28">
        <f>(INDEX(Option4!AG$106:AG$117, MATCH($D63, Option4!$G$106:$G$117,0)))*conv_2026*AG$7</f>
        <v>0</v>
      </c>
    </row>
    <row r="64" spans="1:35" s="6" customFormat="1" x14ac:dyDescent="0.2">
      <c r="A64" s="222" t="s">
        <v>169</v>
      </c>
      <c r="B64" s="222" t="str">
        <f>Option4!A116</f>
        <v>sens</v>
      </c>
      <c r="C64" s="222">
        <f>Option4!C116</f>
        <v>0</v>
      </c>
      <c r="D64" s="222" t="str">
        <f t="shared" si="7"/>
        <v>Option 4sens</v>
      </c>
      <c r="E64" s="214"/>
      <c r="F64" s="28">
        <f t="shared" si="6"/>
        <v>0</v>
      </c>
      <c r="H64" s="28">
        <f>(INDEX(Option4!H$106:H$117, MATCH($D64, Option4!$G$106:$G$117,0)))*conv_2026*H$7</f>
        <v>0</v>
      </c>
      <c r="I64" s="28">
        <f>(INDEX(Option4!I$106:I$117, MATCH($D64, Option4!$G$106:$G$117,0)))*conv_2026*I$7</f>
        <v>0</v>
      </c>
      <c r="J64" s="28">
        <f>(INDEX(Option4!J$106:J$117, MATCH($D64, Option4!$G$106:$G$117,0)))*conv_2026*J$7</f>
        <v>0</v>
      </c>
      <c r="K64" s="28">
        <f>(INDEX(Option4!K$106:K$117, MATCH($D64, Option4!$G$106:$G$117,0)))*conv_2026*K$7</f>
        <v>0</v>
      </c>
      <c r="L64" s="28">
        <f>(INDEX(Option4!L$106:L$117, MATCH($D64, Option4!$G$106:$G$117,0)))*conv_2026*L$7</f>
        <v>0</v>
      </c>
      <c r="M64" s="28">
        <f>(INDEX(Option4!M$106:M$117, MATCH($D64, Option4!$G$106:$G$117,0)))*conv_2026*M$7</f>
        <v>0</v>
      </c>
      <c r="N64" s="28">
        <f>(INDEX(Option4!N$106:N$117, MATCH($D64, Option4!$G$106:$G$117,0)))*conv_2026*N$7</f>
        <v>0</v>
      </c>
      <c r="O64" s="28">
        <f>(INDEX(Option4!O$106:O$117, MATCH($D64, Option4!$G$106:$G$117,0)))*conv_2026*O$7</f>
        <v>0</v>
      </c>
      <c r="P64" s="28">
        <f>(INDEX(Option4!P$106:P$117, MATCH($D64, Option4!$G$106:$G$117,0)))*conv_2026*P$7</f>
        <v>0</v>
      </c>
      <c r="Q64" s="28">
        <f>(INDEX(Option4!Q$106:Q$117, MATCH($D64, Option4!$G$106:$G$117,0)))*conv_2026*Q$7</f>
        <v>0</v>
      </c>
      <c r="R64" s="28">
        <f>(INDEX(Option4!R$106:R$117, MATCH($D64, Option4!$G$106:$G$117,0)))*conv_2026*R$7</f>
        <v>0</v>
      </c>
      <c r="S64" s="28">
        <f>(INDEX(Option4!S$106:S$117, MATCH($D64, Option4!$G$106:$G$117,0)))*conv_2026*S$7</f>
        <v>0</v>
      </c>
      <c r="T64" s="28">
        <f>(INDEX(Option4!T$106:T$117, MATCH($D64, Option4!$G$106:$G$117,0)))*conv_2026*T$7</f>
        <v>0</v>
      </c>
      <c r="U64" s="28">
        <f>(INDEX(Option4!U$106:U$117, MATCH($D64, Option4!$G$106:$G$117,0)))*conv_2026*U$7</f>
        <v>0</v>
      </c>
      <c r="V64" s="28">
        <f>(INDEX(Option4!V$106:V$117, MATCH($D64, Option4!$G$106:$G$117,0)))*conv_2026*V$7</f>
        <v>0</v>
      </c>
      <c r="W64" s="28">
        <f>(INDEX(Option4!W$106:W$117, MATCH($D64, Option4!$G$106:$G$117,0)))*conv_2026*W$7</f>
        <v>0</v>
      </c>
      <c r="X64" s="28">
        <f>(INDEX(Option4!X$106:X$117, MATCH($D64, Option4!$G$106:$G$117,0)))*conv_2026*X$7</f>
        <v>0</v>
      </c>
      <c r="Y64" s="28">
        <f>(INDEX(Option4!Y$106:Y$117, MATCH($D64, Option4!$G$106:$G$117,0)))*conv_2026*Y$7</f>
        <v>0</v>
      </c>
      <c r="Z64" s="28">
        <f>(INDEX(Option4!Z$106:Z$117, MATCH($D64, Option4!$G$106:$G$117,0)))*conv_2026*Z$7</f>
        <v>0</v>
      </c>
      <c r="AA64" s="28">
        <f>(INDEX(Option4!AA$106:AA$117, MATCH($D64, Option4!$G$106:$G$117,0)))*conv_2026*AA$7</f>
        <v>0</v>
      </c>
      <c r="AB64" s="28">
        <f>(INDEX(Option4!AB$106:AB$117, MATCH($D64, Option4!$G$106:$G$117,0)))*conv_2026*AB$7</f>
        <v>0</v>
      </c>
      <c r="AC64" s="28">
        <f>(INDEX(Option4!AC$106:AC$117, MATCH($D64, Option4!$G$106:$G$117,0)))*conv_2026*AC$7</f>
        <v>0</v>
      </c>
      <c r="AD64" s="28">
        <f>(INDEX(Option4!AD$106:AD$117, MATCH($D64, Option4!$G$106:$G$117,0)))*conv_2026*AD$7</f>
        <v>0</v>
      </c>
      <c r="AE64" s="28">
        <f>(INDEX(Option4!AE$106:AE$117, MATCH($D64, Option4!$G$106:$G$117,0)))*conv_2026*AE$7</f>
        <v>0</v>
      </c>
      <c r="AF64" s="28">
        <f>(INDEX(Option4!AF$106:AF$117, MATCH($D64, Option4!$G$106:$G$117,0)))*conv_2026*AF$7</f>
        <v>0</v>
      </c>
      <c r="AG64" s="28">
        <f>(INDEX(Option4!AG$106:AG$117, MATCH($D64, Option4!$G$106:$G$117,0)))*conv_2026*AG$7</f>
        <v>0</v>
      </c>
    </row>
    <row r="65" spans="1:35" s="6" customFormat="1" x14ac:dyDescent="0.2">
      <c r="A65" s="222" t="s">
        <v>169</v>
      </c>
      <c r="B65" s="222" t="str">
        <f>Option4!A117</f>
        <v>sens</v>
      </c>
      <c r="C65" s="222">
        <f>Option4!C117</f>
        <v>0</v>
      </c>
      <c r="D65" s="222" t="str">
        <f t="shared" si="7"/>
        <v>Option 4sens</v>
      </c>
      <c r="E65" s="214"/>
      <c r="F65" s="28">
        <f t="shared" si="6"/>
        <v>0</v>
      </c>
      <c r="H65" s="28">
        <f>(INDEX(Option4!H$106:H$117, MATCH($D65, Option4!$G$106:$G$117,0)))*conv_2026*H$7</f>
        <v>0</v>
      </c>
      <c r="I65" s="28">
        <f>(INDEX(Option4!I$106:I$117, MATCH($D65, Option4!$G$106:$G$117,0)))*conv_2026*I$7</f>
        <v>0</v>
      </c>
      <c r="J65" s="28">
        <f>(INDEX(Option4!J$106:J$117, MATCH($D65, Option4!$G$106:$G$117,0)))*conv_2026*J$7</f>
        <v>0</v>
      </c>
      <c r="K65" s="28">
        <f>(INDEX(Option4!K$106:K$117, MATCH($D65, Option4!$G$106:$G$117,0)))*conv_2026*K$7</f>
        <v>0</v>
      </c>
      <c r="L65" s="28">
        <f>(INDEX(Option4!L$106:L$117, MATCH($D65, Option4!$G$106:$G$117,0)))*conv_2026*L$7</f>
        <v>0</v>
      </c>
      <c r="M65" s="28">
        <f>(INDEX(Option4!M$106:M$117, MATCH($D65, Option4!$G$106:$G$117,0)))*conv_2026*M$7</f>
        <v>0</v>
      </c>
      <c r="N65" s="28">
        <f>(INDEX(Option4!N$106:N$117, MATCH($D65, Option4!$G$106:$G$117,0)))*conv_2026*N$7</f>
        <v>0</v>
      </c>
      <c r="O65" s="28">
        <f>(INDEX(Option4!O$106:O$117, MATCH($D65, Option4!$G$106:$G$117,0)))*conv_2026*O$7</f>
        <v>0</v>
      </c>
      <c r="P65" s="28">
        <f>(INDEX(Option4!P$106:P$117, MATCH($D65, Option4!$G$106:$G$117,0)))*conv_2026*P$7</f>
        <v>0</v>
      </c>
      <c r="Q65" s="28">
        <f>(INDEX(Option4!Q$106:Q$117, MATCH($D65, Option4!$G$106:$G$117,0)))*conv_2026*Q$7</f>
        <v>0</v>
      </c>
      <c r="R65" s="28">
        <f>(INDEX(Option4!R$106:R$117, MATCH($D65, Option4!$G$106:$G$117,0)))*conv_2026*R$7</f>
        <v>0</v>
      </c>
      <c r="S65" s="28">
        <f>(INDEX(Option4!S$106:S$117, MATCH($D65, Option4!$G$106:$G$117,0)))*conv_2026*S$7</f>
        <v>0</v>
      </c>
      <c r="T65" s="28">
        <f>(INDEX(Option4!T$106:T$117, MATCH($D65, Option4!$G$106:$G$117,0)))*conv_2026*T$7</f>
        <v>0</v>
      </c>
      <c r="U65" s="28">
        <f>(INDEX(Option4!U$106:U$117, MATCH($D65, Option4!$G$106:$G$117,0)))*conv_2026*U$7</f>
        <v>0</v>
      </c>
      <c r="V65" s="28">
        <f>(INDEX(Option4!V$106:V$117, MATCH($D65, Option4!$G$106:$G$117,0)))*conv_2026*V$7</f>
        <v>0</v>
      </c>
      <c r="W65" s="28">
        <f>(INDEX(Option4!W$106:W$117, MATCH($D65, Option4!$G$106:$G$117,0)))*conv_2026*W$7</f>
        <v>0</v>
      </c>
      <c r="X65" s="28">
        <f>(INDEX(Option4!X$106:X$117, MATCH($D65, Option4!$G$106:$G$117,0)))*conv_2026*X$7</f>
        <v>0</v>
      </c>
      <c r="Y65" s="28">
        <f>(INDEX(Option4!Y$106:Y$117, MATCH($D65, Option4!$G$106:$G$117,0)))*conv_2026*Y$7</f>
        <v>0</v>
      </c>
      <c r="Z65" s="28">
        <f>(INDEX(Option4!Z$106:Z$117, MATCH($D65, Option4!$G$106:$G$117,0)))*conv_2026*Z$7</f>
        <v>0</v>
      </c>
      <c r="AA65" s="28">
        <f>(INDEX(Option4!AA$106:AA$117, MATCH($D65, Option4!$G$106:$G$117,0)))*conv_2026*AA$7</f>
        <v>0</v>
      </c>
      <c r="AB65" s="28">
        <f>(INDEX(Option4!AB$106:AB$117, MATCH($D65, Option4!$G$106:$G$117,0)))*conv_2026*AB$7</f>
        <v>0</v>
      </c>
      <c r="AC65" s="28">
        <f>(INDEX(Option4!AC$106:AC$117, MATCH($D65, Option4!$G$106:$G$117,0)))*conv_2026*AC$7</f>
        <v>0</v>
      </c>
      <c r="AD65" s="28">
        <f>(INDEX(Option4!AD$106:AD$117, MATCH($D65, Option4!$G$106:$G$117,0)))*conv_2026*AD$7</f>
        <v>0</v>
      </c>
      <c r="AE65" s="28">
        <f>(INDEX(Option4!AE$106:AE$117, MATCH($D65, Option4!$G$106:$G$117,0)))*conv_2026*AE$7</f>
        <v>0</v>
      </c>
      <c r="AF65" s="28">
        <f>(INDEX(Option4!AF$106:AF$117, MATCH($D65, Option4!$G$106:$G$117,0)))*conv_2026*AF$7</f>
        <v>0</v>
      </c>
      <c r="AG65" s="28">
        <f>(INDEX(Option4!AG$106:AG$117, MATCH($D65, Option4!$G$106:$G$117,0)))*conv_2026*AG$7</f>
        <v>0</v>
      </c>
    </row>
    <row r="66" spans="1:35" s="6" customFormat="1" x14ac:dyDescent="0.2">
      <c r="A66" s="222"/>
      <c r="B66" s="222"/>
      <c r="C66" s="222"/>
      <c r="D66" s="222"/>
      <c r="E66" s="222"/>
      <c r="F66" s="28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</row>
    <row r="67" spans="1:35" s="6" customFormat="1" x14ac:dyDescent="0.2">
      <c r="A67" s="222"/>
      <c r="B67" s="222"/>
      <c r="C67" s="222"/>
      <c r="D67" s="222"/>
      <c r="E67" s="222"/>
      <c r="F67" s="28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</row>
    <row r="68" spans="1:35" s="6" customFormat="1" x14ac:dyDescent="0.2">
      <c r="A68" s="222"/>
      <c r="B68" s="222"/>
      <c r="C68" s="222"/>
      <c r="D68" s="222"/>
      <c r="E68" s="222"/>
      <c r="F68" s="28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</row>
    <row r="69" spans="1:35" s="6" customFormat="1" x14ac:dyDescent="0.2">
      <c r="A69" s="222"/>
      <c r="B69" s="222"/>
      <c r="C69" s="222"/>
      <c r="D69" s="222"/>
      <c r="E69" s="222"/>
      <c r="F69" s="28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</row>
    <row r="70" spans="1:35" s="6" customFormat="1" x14ac:dyDescent="0.2">
      <c r="A70" s="222" t="s">
        <v>170</v>
      </c>
      <c r="B70" s="222" t="s">
        <v>22</v>
      </c>
      <c r="C70" s="222" t="s">
        <v>147</v>
      </c>
      <c r="D70" s="222" t="str">
        <f>A70&amp;B70</f>
        <v>Option 5NPV</v>
      </c>
      <c r="E70" s="214"/>
      <c r="F70" s="28">
        <f t="shared" ref="F70:F79" si="8">SUMPRODUCT($H70:$AG70, $H$5:$AG$5)</f>
        <v>0</v>
      </c>
      <c r="G70" s="217"/>
      <c r="H70" s="28">
        <f>(INDEX(Option5!H$106:H$117, MATCH($D70, Option5!$G$106:$G$117,0)))*conv_2026*H$7</f>
        <v>0</v>
      </c>
      <c r="I70" s="28">
        <f>(INDEX(Option5!I$106:I$117, MATCH($D70, Option5!$G$106:$G$117,0)))*conv_2026*I$7</f>
        <v>0</v>
      </c>
      <c r="J70" s="28">
        <f>(INDEX(Option5!J$106:J$117, MATCH($D70, Option5!$G$106:$G$117,0)))*conv_2026*J$7</f>
        <v>0</v>
      </c>
      <c r="K70" s="28">
        <f>(INDEX(Option5!K$106:K$117, MATCH($D70, Option5!$G$106:$G$117,0)))*conv_2026*K$7</f>
        <v>0</v>
      </c>
      <c r="L70" s="28">
        <f>(INDEX(Option5!L$106:L$117, MATCH($D70, Option5!$G$106:$G$117,0)))*conv_2026*L$7</f>
        <v>0</v>
      </c>
      <c r="M70" s="28">
        <f>(INDEX(Option5!M$106:M$117, MATCH($D70, Option5!$G$106:$G$117,0)))*conv_2026*M$7</f>
        <v>0</v>
      </c>
      <c r="N70" s="28">
        <f>(INDEX(Option5!N$106:N$117, MATCH($D70, Option5!$G$106:$G$117,0)))*conv_2026*N$7</f>
        <v>0</v>
      </c>
      <c r="O70" s="28">
        <f>(INDEX(Option5!O$106:O$117, MATCH($D70, Option5!$G$106:$G$117,0)))*conv_2026*O$7</f>
        <v>0</v>
      </c>
      <c r="P70" s="28">
        <f>(INDEX(Option5!P$106:P$117, MATCH($D70, Option5!$G$106:$G$117,0)))*conv_2026*P$7</f>
        <v>0</v>
      </c>
      <c r="Q70" s="28">
        <f>(INDEX(Option5!Q$106:Q$117, MATCH($D70, Option5!$G$106:$G$117,0)))*conv_2026*Q$7</f>
        <v>0</v>
      </c>
      <c r="R70" s="28">
        <f>(INDEX(Option5!R$106:R$117, MATCH($D70, Option5!$G$106:$G$117,0)))*conv_2026*R$7</f>
        <v>0</v>
      </c>
      <c r="S70" s="28">
        <f>(INDEX(Option5!S$106:S$117, MATCH($D70, Option5!$G$106:$G$117,0)))*conv_2026*S$7</f>
        <v>0</v>
      </c>
      <c r="T70" s="28">
        <f>(INDEX(Option5!T$106:T$117, MATCH($D70, Option5!$G$106:$G$117,0)))*conv_2026*T$7</f>
        <v>0</v>
      </c>
      <c r="U70" s="28">
        <f>(INDEX(Option5!U$106:U$117, MATCH($D70, Option5!$G$106:$G$117,0)))*conv_2026*U$7</f>
        <v>0</v>
      </c>
      <c r="V70" s="28">
        <f>(INDEX(Option5!V$106:V$117, MATCH($D70, Option5!$G$106:$G$117,0)))*conv_2026*V$7</f>
        <v>0</v>
      </c>
      <c r="W70" s="28">
        <f>(INDEX(Option5!W$106:W$117, MATCH($D70, Option5!$G$106:$G$117,0)))*conv_2026*W$7</f>
        <v>0</v>
      </c>
      <c r="X70" s="28">
        <f>(INDEX(Option5!X$106:X$117, MATCH($D70, Option5!$G$106:$G$117,0)))*conv_2026*X$7</f>
        <v>0</v>
      </c>
      <c r="Y70" s="28">
        <f>(INDEX(Option5!Y$106:Y$117, MATCH($D70, Option5!$G$106:$G$117,0)))*conv_2026*Y$7</f>
        <v>0</v>
      </c>
      <c r="Z70" s="28">
        <f>(INDEX(Option5!Z$106:Z$117, MATCH($D70, Option5!$G$106:$G$117,0)))*conv_2026*Z$7</f>
        <v>0</v>
      </c>
      <c r="AA70" s="28">
        <f>(INDEX(Option5!AA$106:AA$117, MATCH($D70, Option5!$G$106:$G$117,0)))*conv_2026*AA$7</f>
        <v>0</v>
      </c>
      <c r="AB70" s="28">
        <f>(INDEX(Option5!AB$106:AB$117, MATCH($D70, Option5!$G$106:$G$117,0)))*conv_2026*AB$7</f>
        <v>0</v>
      </c>
      <c r="AC70" s="28">
        <f>(INDEX(Option5!AC$106:AC$117, MATCH($D70, Option5!$G$106:$G$117,0)))*conv_2026*AC$7</f>
        <v>0</v>
      </c>
      <c r="AD70" s="28">
        <f>(INDEX(Option5!AD$106:AD$117, MATCH($D70, Option5!$G$106:$G$117,0)))*conv_2026*AD$7</f>
        <v>0</v>
      </c>
      <c r="AE70" s="28">
        <f>(INDEX(Option5!AE$106:AE$117, MATCH($D70, Option5!$G$106:$G$117,0)))*conv_2026*AE$7</f>
        <v>0</v>
      </c>
      <c r="AF70" s="28">
        <f>(INDEX(Option5!AF$106:AF$117, MATCH($D70, Option5!$G$106:$G$117,0)))*conv_2026*AF$7</f>
        <v>0</v>
      </c>
      <c r="AG70" s="28">
        <f>(INDEX(Option5!AG$106:AG$117, MATCH($D70, Option5!$G$106:$G$117,0)))*conv_2026*AG$7</f>
        <v>0</v>
      </c>
      <c r="AH70" s="2"/>
      <c r="AI70" s="2"/>
    </row>
    <row r="71" spans="1:35" s="6" customFormat="1" x14ac:dyDescent="0.2">
      <c r="A71" s="216"/>
      <c r="B71" s="216"/>
      <c r="C71" s="216"/>
      <c r="D71" s="216"/>
      <c r="E71" s="216"/>
      <c r="F71" s="216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"/>
      <c r="AI71" s="2"/>
    </row>
    <row r="72" spans="1:35" s="6" customFormat="1" x14ac:dyDescent="0.2">
      <c r="A72" s="222" t="s">
        <v>170</v>
      </c>
      <c r="B72" s="222" t="str">
        <f>Option5!A110</f>
        <v>sens1</v>
      </c>
      <c r="C72" s="222" t="str">
        <f>Option5!C110</f>
        <v>Capex 10% higher</v>
      </c>
      <c r="D72" s="222" t="str">
        <f t="shared" ref="D72:D79" si="9">A72&amp;B72</f>
        <v>Option 5sens1</v>
      </c>
      <c r="E72" s="214"/>
      <c r="F72" s="28">
        <f t="shared" si="8"/>
        <v>0</v>
      </c>
      <c r="G72" s="217"/>
      <c r="H72" s="28">
        <f>(INDEX(Option5!H$106:H$117, MATCH($D72, Option5!$G$106:$G$117,0)))*conv_2026*H$7</f>
        <v>0</v>
      </c>
      <c r="I72" s="28">
        <f>(INDEX(Option5!I$106:I$117, MATCH($D72, Option5!$G$106:$G$117,0)))*conv_2026*I$7</f>
        <v>0</v>
      </c>
      <c r="J72" s="28">
        <f>(INDEX(Option5!J$106:J$117, MATCH($D72, Option5!$G$106:$G$117,0)))*conv_2026*J$7</f>
        <v>0</v>
      </c>
      <c r="K72" s="28">
        <f>(INDEX(Option5!K$106:K$117, MATCH($D72, Option5!$G$106:$G$117,0)))*conv_2026*K$7</f>
        <v>0</v>
      </c>
      <c r="L72" s="28">
        <f>(INDEX(Option5!L$106:L$117, MATCH($D72, Option5!$G$106:$G$117,0)))*conv_2026*L$7</f>
        <v>0</v>
      </c>
      <c r="M72" s="28">
        <f>(INDEX(Option5!M$106:M$117, MATCH($D72, Option5!$G$106:$G$117,0)))*conv_2026*M$7</f>
        <v>0</v>
      </c>
      <c r="N72" s="28">
        <f>(INDEX(Option5!N$106:N$117, MATCH($D72, Option5!$G$106:$G$117,0)))*conv_2026*N$7</f>
        <v>0</v>
      </c>
      <c r="O72" s="28">
        <f>(INDEX(Option5!O$106:O$117, MATCH($D72, Option5!$G$106:$G$117,0)))*conv_2026*O$7</f>
        <v>0</v>
      </c>
      <c r="P72" s="28">
        <f>(INDEX(Option5!P$106:P$117, MATCH($D72, Option5!$G$106:$G$117,0)))*conv_2026*P$7</f>
        <v>0</v>
      </c>
      <c r="Q72" s="28">
        <f>(INDEX(Option5!Q$106:Q$117, MATCH($D72, Option5!$G$106:$G$117,0)))*conv_2026*Q$7</f>
        <v>0</v>
      </c>
      <c r="R72" s="28">
        <f>(INDEX(Option5!R$106:R$117, MATCH($D72, Option5!$G$106:$G$117,0)))*conv_2026*R$7</f>
        <v>0</v>
      </c>
      <c r="S72" s="28">
        <f>(INDEX(Option5!S$106:S$117, MATCH($D72, Option5!$G$106:$G$117,0)))*conv_2026*S$7</f>
        <v>0</v>
      </c>
      <c r="T72" s="28">
        <f>(INDEX(Option5!T$106:T$117, MATCH($D72, Option5!$G$106:$G$117,0)))*conv_2026*T$7</f>
        <v>0</v>
      </c>
      <c r="U72" s="28">
        <f>(INDEX(Option5!U$106:U$117, MATCH($D72, Option5!$G$106:$G$117,0)))*conv_2026*U$7</f>
        <v>0</v>
      </c>
      <c r="V72" s="28">
        <f>(INDEX(Option5!V$106:V$117, MATCH($D72, Option5!$G$106:$G$117,0)))*conv_2026*V$7</f>
        <v>0</v>
      </c>
      <c r="W72" s="28">
        <f>(INDEX(Option5!W$106:W$117, MATCH($D72, Option5!$G$106:$G$117,0)))*conv_2026*W$7</f>
        <v>0</v>
      </c>
      <c r="X72" s="28">
        <f>(INDEX(Option5!X$106:X$117, MATCH($D72, Option5!$G$106:$G$117,0)))*conv_2026*X$7</f>
        <v>0</v>
      </c>
      <c r="Y72" s="28">
        <f>(INDEX(Option5!Y$106:Y$117, MATCH($D72, Option5!$G$106:$G$117,0)))*conv_2026*Y$7</f>
        <v>0</v>
      </c>
      <c r="Z72" s="28">
        <f>(INDEX(Option5!Z$106:Z$117, MATCH($D72, Option5!$G$106:$G$117,0)))*conv_2026*Z$7</f>
        <v>0</v>
      </c>
      <c r="AA72" s="28">
        <f>(INDEX(Option5!AA$106:AA$117, MATCH($D72, Option5!$G$106:$G$117,0)))*conv_2026*AA$7</f>
        <v>0</v>
      </c>
      <c r="AB72" s="28">
        <f>(INDEX(Option5!AB$106:AB$117, MATCH($D72, Option5!$G$106:$G$117,0)))*conv_2026*AB$7</f>
        <v>0</v>
      </c>
      <c r="AC72" s="28">
        <f>(INDEX(Option5!AC$106:AC$117, MATCH($D72, Option5!$G$106:$G$117,0)))*conv_2026*AC$7</f>
        <v>0</v>
      </c>
      <c r="AD72" s="28">
        <f>(INDEX(Option5!AD$106:AD$117, MATCH($D72, Option5!$G$106:$G$117,0)))*conv_2026*AD$7</f>
        <v>0</v>
      </c>
      <c r="AE72" s="28">
        <f>(INDEX(Option5!AE$106:AE$117, MATCH($D72, Option5!$G$106:$G$117,0)))*conv_2026*AE$7</f>
        <v>0</v>
      </c>
      <c r="AF72" s="28">
        <f>(INDEX(Option5!AF$106:AF$117, MATCH($D72, Option5!$G$106:$G$117,0)))*conv_2026*AF$7</f>
        <v>0</v>
      </c>
      <c r="AG72" s="28">
        <f>(INDEX(Option5!AG$106:AG$117, MATCH($D72, Option5!$G$106:$G$117,0)))*conv_2026*AG$7</f>
        <v>0</v>
      </c>
      <c r="AH72" s="2"/>
      <c r="AI72" s="2"/>
    </row>
    <row r="73" spans="1:35" s="6" customFormat="1" x14ac:dyDescent="0.2">
      <c r="A73" s="222" t="s">
        <v>170</v>
      </c>
      <c r="B73" s="222" t="str">
        <f>Option5!A111</f>
        <v>sens2</v>
      </c>
      <c r="C73" s="222" t="str">
        <f>Option5!C111</f>
        <v>Capex 10% lower</v>
      </c>
      <c r="D73" s="222" t="str">
        <f t="shared" si="9"/>
        <v>Option 5sens2</v>
      </c>
      <c r="E73" s="214"/>
      <c r="F73" s="28">
        <f t="shared" si="8"/>
        <v>0</v>
      </c>
      <c r="G73" s="222"/>
      <c r="H73" s="28">
        <f>(INDEX(Option5!H$106:H$117, MATCH($D73, Option5!$G$106:$G$117,0)))*conv_2026*H$7</f>
        <v>0</v>
      </c>
      <c r="I73" s="28">
        <f>(INDEX(Option5!I$106:I$117, MATCH($D73, Option5!$G$106:$G$117,0)))*conv_2026*I$7</f>
        <v>0</v>
      </c>
      <c r="J73" s="28">
        <f>(INDEX(Option5!J$106:J$117, MATCH($D73, Option5!$G$106:$G$117,0)))*conv_2026*J$7</f>
        <v>0</v>
      </c>
      <c r="K73" s="28">
        <f>(INDEX(Option5!K$106:K$117, MATCH($D73, Option5!$G$106:$G$117,0)))*conv_2026*K$7</f>
        <v>0</v>
      </c>
      <c r="L73" s="28">
        <f>(INDEX(Option5!L$106:L$117, MATCH($D73, Option5!$G$106:$G$117,0)))*conv_2026*L$7</f>
        <v>0</v>
      </c>
      <c r="M73" s="28">
        <f>(INDEX(Option5!M$106:M$117, MATCH($D73, Option5!$G$106:$G$117,0)))*conv_2026*M$7</f>
        <v>0</v>
      </c>
      <c r="N73" s="28">
        <f>(INDEX(Option5!N$106:N$117, MATCH($D73, Option5!$G$106:$G$117,0)))*conv_2026*N$7</f>
        <v>0</v>
      </c>
      <c r="O73" s="28">
        <f>(INDEX(Option5!O$106:O$117, MATCH($D73, Option5!$G$106:$G$117,0)))*conv_2026*O$7</f>
        <v>0</v>
      </c>
      <c r="P73" s="28">
        <f>(INDEX(Option5!P$106:P$117, MATCH($D73, Option5!$G$106:$G$117,0)))*conv_2026*P$7</f>
        <v>0</v>
      </c>
      <c r="Q73" s="28">
        <f>(INDEX(Option5!Q$106:Q$117, MATCH($D73, Option5!$G$106:$G$117,0)))*conv_2026*Q$7</f>
        <v>0</v>
      </c>
      <c r="R73" s="28">
        <f>(INDEX(Option5!R$106:R$117, MATCH($D73, Option5!$G$106:$G$117,0)))*conv_2026*R$7</f>
        <v>0</v>
      </c>
      <c r="S73" s="28">
        <f>(INDEX(Option5!S$106:S$117, MATCH($D73, Option5!$G$106:$G$117,0)))*conv_2026*S$7</f>
        <v>0</v>
      </c>
      <c r="T73" s="28">
        <f>(INDEX(Option5!T$106:T$117, MATCH($D73, Option5!$G$106:$G$117,0)))*conv_2026*T$7</f>
        <v>0</v>
      </c>
      <c r="U73" s="28">
        <f>(INDEX(Option5!U$106:U$117, MATCH($D73, Option5!$G$106:$G$117,0)))*conv_2026*U$7</f>
        <v>0</v>
      </c>
      <c r="V73" s="28">
        <f>(INDEX(Option5!V$106:V$117, MATCH($D73, Option5!$G$106:$G$117,0)))*conv_2026*V$7</f>
        <v>0</v>
      </c>
      <c r="W73" s="28">
        <f>(INDEX(Option5!W$106:W$117, MATCH($D73, Option5!$G$106:$G$117,0)))*conv_2026*W$7</f>
        <v>0</v>
      </c>
      <c r="X73" s="28">
        <f>(INDEX(Option5!X$106:X$117, MATCH($D73, Option5!$G$106:$G$117,0)))*conv_2026*X$7</f>
        <v>0</v>
      </c>
      <c r="Y73" s="28">
        <f>(INDEX(Option5!Y$106:Y$117, MATCH($D73, Option5!$G$106:$G$117,0)))*conv_2026*Y$7</f>
        <v>0</v>
      </c>
      <c r="Z73" s="28">
        <f>(INDEX(Option5!Z$106:Z$117, MATCH($D73, Option5!$G$106:$G$117,0)))*conv_2026*Z$7</f>
        <v>0</v>
      </c>
      <c r="AA73" s="28">
        <f>(INDEX(Option5!AA$106:AA$117, MATCH($D73, Option5!$G$106:$G$117,0)))*conv_2026*AA$7</f>
        <v>0</v>
      </c>
      <c r="AB73" s="28">
        <f>(INDEX(Option5!AB$106:AB$117, MATCH($D73, Option5!$G$106:$G$117,0)))*conv_2026*AB$7</f>
        <v>0</v>
      </c>
      <c r="AC73" s="28">
        <f>(INDEX(Option5!AC$106:AC$117, MATCH($D73, Option5!$G$106:$G$117,0)))*conv_2026*AC$7</f>
        <v>0</v>
      </c>
      <c r="AD73" s="28">
        <f>(INDEX(Option5!AD$106:AD$117, MATCH($D73, Option5!$G$106:$G$117,0)))*conv_2026*AD$7</f>
        <v>0</v>
      </c>
      <c r="AE73" s="28">
        <f>(INDEX(Option5!AE$106:AE$117, MATCH($D73, Option5!$G$106:$G$117,0)))*conv_2026*AE$7</f>
        <v>0</v>
      </c>
      <c r="AF73" s="28">
        <f>(INDEX(Option5!AF$106:AF$117, MATCH($D73, Option5!$G$106:$G$117,0)))*conv_2026*AF$7</f>
        <v>0</v>
      </c>
      <c r="AG73" s="28">
        <f>(INDEX(Option5!AG$106:AG$117, MATCH($D73, Option5!$G$106:$G$117,0)))*conv_2026*AG$7</f>
        <v>0</v>
      </c>
    </row>
    <row r="74" spans="1:35" s="6" customFormat="1" x14ac:dyDescent="0.2">
      <c r="A74" s="222" t="s">
        <v>170</v>
      </c>
      <c r="B74" s="222" t="str">
        <f>Option5!A112</f>
        <v>sens3</v>
      </c>
      <c r="C74" s="222" t="str">
        <f>Option5!C112</f>
        <v>Total benefits 10% higher</v>
      </c>
      <c r="D74" s="222" t="str">
        <f t="shared" si="9"/>
        <v>Option 5sens3</v>
      </c>
      <c r="E74" s="214"/>
      <c r="F74" s="28">
        <f t="shared" si="8"/>
        <v>0</v>
      </c>
      <c r="H74" s="28">
        <f>(INDEX(Option5!H$106:H$117, MATCH($D74, Option5!$G$106:$G$117,0)))*conv_2026*H$7</f>
        <v>0</v>
      </c>
      <c r="I74" s="28">
        <f>(INDEX(Option5!I$106:I$117, MATCH($D74, Option5!$G$106:$G$117,0)))*conv_2026*I$7</f>
        <v>0</v>
      </c>
      <c r="J74" s="28">
        <f>(INDEX(Option5!J$106:J$117, MATCH($D74, Option5!$G$106:$G$117,0)))*conv_2026*J$7</f>
        <v>0</v>
      </c>
      <c r="K74" s="28">
        <f>(INDEX(Option5!K$106:K$117, MATCH($D74, Option5!$G$106:$G$117,0)))*conv_2026*K$7</f>
        <v>0</v>
      </c>
      <c r="L74" s="28">
        <f>(INDEX(Option5!L$106:L$117, MATCH($D74, Option5!$G$106:$G$117,0)))*conv_2026*L$7</f>
        <v>0</v>
      </c>
      <c r="M74" s="28">
        <f>(INDEX(Option5!M$106:M$117, MATCH($D74, Option5!$G$106:$G$117,0)))*conv_2026*M$7</f>
        <v>0</v>
      </c>
      <c r="N74" s="28">
        <f>(INDEX(Option5!N$106:N$117, MATCH($D74, Option5!$G$106:$G$117,0)))*conv_2026*N$7</f>
        <v>0</v>
      </c>
      <c r="O74" s="28">
        <f>(INDEX(Option5!O$106:O$117, MATCH($D74, Option5!$G$106:$G$117,0)))*conv_2026*O$7</f>
        <v>0</v>
      </c>
      <c r="P74" s="28">
        <f>(INDEX(Option5!P$106:P$117, MATCH($D74, Option5!$G$106:$G$117,0)))*conv_2026*P$7</f>
        <v>0</v>
      </c>
      <c r="Q74" s="28">
        <f>(INDEX(Option5!Q$106:Q$117, MATCH($D74, Option5!$G$106:$G$117,0)))*conv_2026*Q$7</f>
        <v>0</v>
      </c>
      <c r="R74" s="28">
        <f>(INDEX(Option5!R$106:R$117, MATCH($D74, Option5!$G$106:$G$117,0)))*conv_2026*R$7</f>
        <v>0</v>
      </c>
      <c r="S74" s="28">
        <f>(INDEX(Option5!S$106:S$117, MATCH($D74, Option5!$G$106:$G$117,0)))*conv_2026*S$7</f>
        <v>0</v>
      </c>
      <c r="T74" s="28">
        <f>(INDEX(Option5!T$106:T$117, MATCH($D74, Option5!$G$106:$G$117,0)))*conv_2026*T$7</f>
        <v>0</v>
      </c>
      <c r="U74" s="28">
        <f>(INDEX(Option5!U$106:U$117, MATCH($D74, Option5!$G$106:$G$117,0)))*conv_2026*U$7</f>
        <v>0</v>
      </c>
      <c r="V74" s="28">
        <f>(INDEX(Option5!V$106:V$117, MATCH($D74, Option5!$G$106:$G$117,0)))*conv_2026*V$7</f>
        <v>0</v>
      </c>
      <c r="W74" s="28">
        <f>(INDEX(Option5!W$106:W$117, MATCH($D74, Option5!$G$106:$G$117,0)))*conv_2026*W$7</f>
        <v>0</v>
      </c>
      <c r="X74" s="28">
        <f>(INDEX(Option5!X$106:X$117, MATCH($D74, Option5!$G$106:$G$117,0)))*conv_2026*X$7</f>
        <v>0</v>
      </c>
      <c r="Y74" s="28">
        <f>(INDEX(Option5!Y$106:Y$117, MATCH($D74, Option5!$G$106:$G$117,0)))*conv_2026*Y$7</f>
        <v>0</v>
      </c>
      <c r="Z74" s="28">
        <f>(INDEX(Option5!Z$106:Z$117, MATCH($D74, Option5!$G$106:$G$117,0)))*conv_2026*Z$7</f>
        <v>0</v>
      </c>
      <c r="AA74" s="28">
        <f>(INDEX(Option5!AA$106:AA$117, MATCH($D74, Option5!$G$106:$G$117,0)))*conv_2026*AA$7</f>
        <v>0</v>
      </c>
      <c r="AB74" s="28">
        <f>(INDEX(Option5!AB$106:AB$117, MATCH($D74, Option5!$G$106:$G$117,0)))*conv_2026*AB$7</f>
        <v>0</v>
      </c>
      <c r="AC74" s="28">
        <f>(INDEX(Option5!AC$106:AC$117, MATCH($D74, Option5!$G$106:$G$117,0)))*conv_2026*AC$7</f>
        <v>0</v>
      </c>
      <c r="AD74" s="28">
        <f>(INDEX(Option5!AD$106:AD$117, MATCH($D74, Option5!$G$106:$G$117,0)))*conv_2026*AD$7</f>
        <v>0</v>
      </c>
      <c r="AE74" s="28">
        <f>(INDEX(Option5!AE$106:AE$117, MATCH($D74, Option5!$G$106:$G$117,0)))*conv_2026*AE$7</f>
        <v>0</v>
      </c>
      <c r="AF74" s="28">
        <f>(INDEX(Option5!AF$106:AF$117, MATCH($D74, Option5!$G$106:$G$117,0)))*conv_2026*AF$7</f>
        <v>0</v>
      </c>
      <c r="AG74" s="28">
        <f>(INDEX(Option5!AG$106:AG$117, MATCH($D74, Option5!$G$106:$G$117,0)))*conv_2026*AG$7</f>
        <v>0</v>
      </c>
    </row>
    <row r="75" spans="1:35" s="6" customFormat="1" x14ac:dyDescent="0.2">
      <c r="A75" s="222" t="s">
        <v>170</v>
      </c>
      <c r="B75" s="222" t="str">
        <f>Option5!A113</f>
        <v>sens4</v>
      </c>
      <c r="C75" s="222" t="str">
        <f>Option5!C113</f>
        <v>Total benefits 10% lower</v>
      </c>
      <c r="D75" s="222" t="str">
        <f t="shared" si="9"/>
        <v>Option 5sens4</v>
      </c>
      <c r="E75" s="214"/>
      <c r="F75" s="28">
        <f t="shared" si="8"/>
        <v>0</v>
      </c>
      <c r="H75" s="28">
        <f>(INDEX(Option5!H$106:H$117, MATCH($D75, Option5!$G$106:$G$117,0)))*conv_2026*H$7</f>
        <v>0</v>
      </c>
      <c r="I75" s="28">
        <f>(INDEX(Option5!I$106:I$117, MATCH($D75, Option5!$G$106:$G$117,0)))*conv_2026*I$7</f>
        <v>0</v>
      </c>
      <c r="J75" s="28">
        <f>(INDEX(Option5!J$106:J$117, MATCH($D75, Option5!$G$106:$G$117,0)))*conv_2026*J$7</f>
        <v>0</v>
      </c>
      <c r="K75" s="28">
        <f>(INDEX(Option5!K$106:K$117, MATCH($D75, Option5!$G$106:$G$117,0)))*conv_2026*K$7</f>
        <v>0</v>
      </c>
      <c r="L75" s="28">
        <f>(INDEX(Option5!L$106:L$117, MATCH($D75, Option5!$G$106:$G$117,0)))*conv_2026*L$7</f>
        <v>0</v>
      </c>
      <c r="M75" s="28">
        <f>(INDEX(Option5!M$106:M$117, MATCH($D75, Option5!$G$106:$G$117,0)))*conv_2026*M$7</f>
        <v>0</v>
      </c>
      <c r="N75" s="28">
        <f>(INDEX(Option5!N$106:N$117, MATCH($D75, Option5!$G$106:$G$117,0)))*conv_2026*N$7</f>
        <v>0</v>
      </c>
      <c r="O75" s="28">
        <f>(INDEX(Option5!O$106:O$117, MATCH($D75, Option5!$G$106:$G$117,0)))*conv_2026*O$7</f>
        <v>0</v>
      </c>
      <c r="P75" s="28">
        <f>(INDEX(Option5!P$106:P$117, MATCH($D75, Option5!$G$106:$G$117,0)))*conv_2026*P$7</f>
        <v>0</v>
      </c>
      <c r="Q75" s="28">
        <f>(INDEX(Option5!Q$106:Q$117, MATCH($D75, Option5!$G$106:$G$117,0)))*conv_2026*Q$7</f>
        <v>0</v>
      </c>
      <c r="R75" s="28">
        <f>(INDEX(Option5!R$106:R$117, MATCH($D75, Option5!$G$106:$G$117,0)))*conv_2026*R$7</f>
        <v>0</v>
      </c>
      <c r="S75" s="28">
        <f>(INDEX(Option5!S$106:S$117, MATCH($D75, Option5!$G$106:$G$117,0)))*conv_2026*S$7</f>
        <v>0</v>
      </c>
      <c r="T75" s="28">
        <f>(INDEX(Option5!T$106:T$117, MATCH($D75, Option5!$G$106:$G$117,0)))*conv_2026*T$7</f>
        <v>0</v>
      </c>
      <c r="U75" s="28">
        <f>(INDEX(Option5!U$106:U$117, MATCH($D75, Option5!$G$106:$G$117,0)))*conv_2026*U$7</f>
        <v>0</v>
      </c>
      <c r="V75" s="28">
        <f>(INDEX(Option5!V$106:V$117, MATCH($D75, Option5!$G$106:$G$117,0)))*conv_2026*V$7</f>
        <v>0</v>
      </c>
      <c r="W75" s="28">
        <f>(INDEX(Option5!W$106:W$117, MATCH($D75, Option5!$G$106:$G$117,0)))*conv_2026*W$7</f>
        <v>0</v>
      </c>
      <c r="X75" s="28">
        <f>(INDEX(Option5!X$106:X$117, MATCH($D75, Option5!$G$106:$G$117,0)))*conv_2026*X$7</f>
        <v>0</v>
      </c>
      <c r="Y75" s="28">
        <f>(INDEX(Option5!Y$106:Y$117, MATCH($D75, Option5!$G$106:$G$117,0)))*conv_2026*Y$7</f>
        <v>0</v>
      </c>
      <c r="Z75" s="28">
        <f>(INDEX(Option5!Z$106:Z$117, MATCH($D75, Option5!$G$106:$G$117,0)))*conv_2026*Z$7</f>
        <v>0</v>
      </c>
      <c r="AA75" s="28">
        <f>(INDEX(Option5!AA$106:AA$117, MATCH($D75, Option5!$G$106:$G$117,0)))*conv_2026*AA$7</f>
        <v>0</v>
      </c>
      <c r="AB75" s="28">
        <f>(INDEX(Option5!AB$106:AB$117, MATCH($D75, Option5!$G$106:$G$117,0)))*conv_2026*AB$7</f>
        <v>0</v>
      </c>
      <c r="AC75" s="28">
        <f>(INDEX(Option5!AC$106:AC$117, MATCH($D75, Option5!$G$106:$G$117,0)))*conv_2026*AC$7</f>
        <v>0</v>
      </c>
      <c r="AD75" s="28">
        <f>(INDEX(Option5!AD$106:AD$117, MATCH($D75, Option5!$G$106:$G$117,0)))*conv_2026*AD$7</f>
        <v>0</v>
      </c>
      <c r="AE75" s="28">
        <f>(INDEX(Option5!AE$106:AE$117, MATCH($D75, Option5!$G$106:$G$117,0)))*conv_2026*AE$7</f>
        <v>0</v>
      </c>
      <c r="AF75" s="28">
        <f>(INDEX(Option5!AF$106:AF$117, MATCH($D75, Option5!$G$106:$G$117,0)))*conv_2026*AF$7</f>
        <v>0</v>
      </c>
      <c r="AG75" s="28">
        <f>(INDEX(Option5!AG$106:AG$117, MATCH($D75, Option5!$G$106:$G$117,0)))*conv_2026*AG$7</f>
        <v>0</v>
      </c>
    </row>
    <row r="76" spans="1:35" s="6" customFormat="1" x14ac:dyDescent="0.2">
      <c r="A76" s="222" t="s">
        <v>170</v>
      </c>
      <c r="B76" s="222" t="str">
        <f>Option5!A114</f>
        <v>sens5</v>
      </c>
      <c r="C76" s="222" t="str">
        <f>Option5!C114</f>
        <v>Capex 10% higher &amp; Total benefits 10% lower</v>
      </c>
      <c r="D76" s="222" t="str">
        <f t="shared" si="9"/>
        <v>Option 5sens5</v>
      </c>
      <c r="E76" s="214"/>
      <c r="F76" s="28">
        <f t="shared" si="8"/>
        <v>0</v>
      </c>
      <c r="H76" s="28">
        <f>(INDEX(Option5!H$106:H$117, MATCH($D76, Option5!$G$106:$G$117,0)))*conv_2026*H$7</f>
        <v>0</v>
      </c>
      <c r="I76" s="28">
        <f>(INDEX(Option5!I$106:I$117, MATCH($D76, Option5!$G$106:$G$117,0)))*conv_2026*I$7</f>
        <v>0</v>
      </c>
      <c r="J76" s="28">
        <f>(INDEX(Option5!J$106:J$117, MATCH($D76, Option5!$G$106:$G$117,0)))*conv_2026*J$7</f>
        <v>0</v>
      </c>
      <c r="K76" s="28">
        <f>(INDEX(Option5!K$106:K$117, MATCH($D76, Option5!$G$106:$G$117,0)))*conv_2026*K$7</f>
        <v>0</v>
      </c>
      <c r="L76" s="28">
        <f>(INDEX(Option5!L$106:L$117, MATCH($D76, Option5!$G$106:$G$117,0)))*conv_2026*L$7</f>
        <v>0</v>
      </c>
      <c r="M76" s="28">
        <f>(INDEX(Option5!M$106:M$117, MATCH($D76, Option5!$G$106:$G$117,0)))*conv_2026*M$7</f>
        <v>0</v>
      </c>
      <c r="N76" s="28">
        <f>(INDEX(Option5!N$106:N$117, MATCH($D76, Option5!$G$106:$G$117,0)))*conv_2026*N$7</f>
        <v>0</v>
      </c>
      <c r="O76" s="28">
        <f>(INDEX(Option5!O$106:O$117, MATCH($D76, Option5!$G$106:$G$117,0)))*conv_2026*O$7</f>
        <v>0</v>
      </c>
      <c r="P76" s="28">
        <f>(INDEX(Option5!P$106:P$117, MATCH($D76, Option5!$G$106:$G$117,0)))*conv_2026*P$7</f>
        <v>0</v>
      </c>
      <c r="Q76" s="28">
        <f>(INDEX(Option5!Q$106:Q$117, MATCH($D76, Option5!$G$106:$G$117,0)))*conv_2026*Q$7</f>
        <v>0</v>
      </c>
      <c r="R76" s="28">
        <f>(INDEX(Option5!R$106:R$117, MATCH($D76, Option5!$G$106:$G$117,0)))*conv_2026*R$7</f>
        <v>0</v>
      </c>
      <c r="S76" s="28">
        <f>(INDEX(Option5!S$106:S$117, MATCH($D76, Option5!$G$106:$G$117,0)))*conv_2026*S$7</f>
        <v>0</v>
      </c>
      <c r="T76" s="28">
        <f>(INDEX(Option5!T$106:T$117, MATCH($D76, Option5!$G$106:$G$117,0)))*conv_2026*T$7</f>
        <v>0</v>
      </c>
      <c r="U76" s="28">
        <f>(INDEX(Option5!U$106:U$117, MATCH($D76, Option5!$G$106:$G$117,0)))*conv_2026*U$7</f>
        <v>0</v>
      </c>
      <c r="V76" s="28">
        <f>(INDEX(Option5!V$106:V$117, MATCH($D76, Option5!$G$106:$G$117,0)))*conv_2026*V$7</f>
        <v>0</v>
      </c>
      <c r="W76" s="28">
        <f>(INDEX(Option5!W$106:W$117, MATCH($D76, Option5!$G$106:$G$117,0)))*conv_2026*W$7</f>
        <v>0</v>
      </c>
      <c r="X76" s="28">
        <f>(INDEX(Option5!X$106:X$117, MATCH($D76, Option5!$G$106:$G$117,0)))*conv_2026*X$7</f>
        <v>0</v>
      </c>
      <c r="Y76" s="28">
        <f>(INDEX(Option5!Y$106:Y$117, MATCH($D76, Option5!$G$106:$G$117,0)))*conv_2026*Y$7</f>
        <v>0</v>
      </c>
      <c r="Z76" s="28">
        <f>(INDEX(Option5!Z$106:Z$117, MATCH($D76, Option5!$G$106:$G$117,0)))*conv_2026*Z$7</f>
        <v>0</v>
      </c>
      <c r="AA76" s="28">
        <f>(INDEX(Option5!AA$106:AA$117, MATCH($D76, Option5!$G$106:$G$117,0)))*conv_2026*AA$7</f>
        <v>0</v>
      </c>
      <c r="AB76" s="28">
        <f>(INDEX(Option5!AB$106:AB$117, MATCH($D76, Option5!$G$106:$G$117,0)))*conv_2026*AB$7</f>
        <v>0</v>
      </c>
      <c r="AC76" s="28">
        <f>(INDEX(Option5!AC$106:AC$117, MATCH($D76, Option5!$G$106:$G$117,0)))*conv_2026*AC$7</f>
        <v>0</v>
      </c>
      <c r="AD76" s="28">
        <f>(INDEX(Option5!AD$106:AD$117, MATCH($D76, Option5!$G$106:$G$117,0)))*conv_2026*AD$7</f>
        <v>0</v>
      </c>
      <c r="AE76" s="28">
        <f>(INDEX(Option5!AE$106:AE$117, MATCH($D76, Option5!$G$106:$G$117,0)))*conv_2026*AE$7</f>
        <v>0</v>
      </c>
      <c r="AF76" s="28">
        <f>(INDEX(Option5!AF$106:AF$117, MATCH($D76, Option5!$G$106:$G$117,0)))*conv_2026*AF$7</f>
        <v>0</v>
      </c>
      <c r="AG76" s="28">
        <f>(INDEX(Option5!AG$106:AG$117, MATCH($D76, Option5!$G$106:$G$117,0)))*conv_2026*AG$7</f>
        <v>0</v>
      </c>
    </row>
    <row r="77" spans="1:35" s="6" customFormat="1" x14ac:dyDescent="0.2">
      <c r="A77" s="222" t="s">
        <v>170</v>
      </c>
      <c r="B77" s="222" t="str">
        <f>Option5!A115</f>
        <v>sens</v>
      </c>
      <c r="C77" s="222">
        <f>Option5!C115</f>
        <v>0</v>
      </c>
      <c r="D77" s="222" t="str">
        <f t="shared" si="9"/>
        <v>Option 5sens</v>
      </c>
      <c r="E77" s="214"/>
      <c r="F77" s="28">
        <f t="shared" si="8"/>
        <v>0</v>
      </c>
      <c r="H77" s="28">
        <f>(INDEX(Option5!H$106:H$117, MATCH($D77, Option5!$G$106:$G$117,0)))*conv_2026*H$7</f>
        <v>0</v>
      </c>
      <c r="I77" s="28">
        <f>(INDEX(Option5!I$106:I$117, MATCH($D77, Option5!$G$106:$G$117,0)))*conv_2026*I$7</f>
        <v>0</v>
      </c>
      <c r="J77" s="28">
        <f>(INDEX(Option5!J$106:J$117, MATCH($D77, Option5!$G$106:$G$117,0)))*conv_2026*J$7</f>
        <v>0</v>
      </c>
      <c r="K77" s="28">
        <f>(INDEX(Option5!K$106:K$117, MATCH($D77, Option5!$G$106:$G$117,0)))*conv_2026*K$7</f>
        <v>0</v>
      </c>
      <c r="L77" s="28">
        <f>(INDEX(Option5!L$106:L$117, MATCH($D77, Option5!$G$106:$G$117,0)))*conv_2026*L$7</f>
        <v>0</v>
      </c>
      <c r="M77" s="28">
        <f>(INDEX(Option5!M$106:M$117, MATCH($D77, Option5!$G$106:$G$117,0)))*conv_2026*M$7</f>
        <v>0</v>
      </c>
      <c r="N77" s="28">
        <f>(INDEX(Option5!N$106:N$117, MATCH($D77, Option5!$G$106:$G$117,0)))*conv_2026*N$7</f>
        <v>0</v>
      </c>
      <c r="O77" s="28">
        <f>(INDEX(Option5!O$106:O$117, MATCH($D77, Option5!$G$106:$G$117,0)))*conv_2026*O$7</f>
        <v>0</v>
      </c>
      <c r="P77" s="28">
        <f>(INDEX(Option5!P$106:P$117, MATCH($D77, Option5!$G$106:$G$117,0)))*conv_2026*P$7</f>
        <v>0</v>
      </c>
      <c r="Q77" s="28">
        <f>(INDEX(Option5!Q$106:Q$117, MATCH($D77, Option5!$G$106:$G$117,0)))*conv_2026*Q$7</f>
        <v>0</v>
      </c>
      <c r="R77" s="28">
        <f>(INDEX(Option5!R$106:R$117, MATCH($D77, Option5!$G$106:$G$117,0)))*conv_2026*R$7</f>
        <v>0</v>
      </c>
      <c r="S77" s="28">
        <f>(INDEX(Option5!S$106:S$117, MATCH($D77, Option5!$G$106:$G$117,0)))*conv_2026*S$7</f>
        <v>0</v>
      </c>
      <c r="T77" s="28">
        <f>(INDEX(Option5!T$106:T$117, MATCH($D77, Option5!$G$106:$G$117,0)))*conv_2026*T$7</f>
        <v>0</v>
      </c>
      <c r="U77" s="28">
        <f>(INDEX(Option5!U$106:U$117, MATCH($D77, Option5!$G$106:$G$117,0)))*conv_2026*U$7</f>
        <v>0</v>
      </c>
      <c r="V77" s="28">
        <f>(INDEX(Option5!V$106:V$117, MATCH($D77, Option5!$G$106:$G$117,0)))*conv_2026*V$7</f>
        <v>0</v>
      </c>
      <c r="W77" s="28">
        <f>(INDEX(Option5!W$106:W$117, MATCH($D77, Option5!$G$106:$G$117,0)))*conv_2026*W$7</f>
        <v>0</v>
      </c>
      <c r="X77" s="28">
        <f>(INDEX(Option5!X$106:X$117, MATCH($D77, Option5!$G$106:$G$117,0)))*conv_2026*X$7</f>
        <v>0</v>
      </c>
      <c r="Y77" s="28">
        <f>(INDEX(Option5!Y$106:Y$117, MATCH($D77, Option5!$G$106:$G$117,0)))*conv_2026*Y$7</f>
        <v>0</v>
      </c>
      <c r="Z77" s="28">
        <f>(INDEX(Option5!Z$106:Z$117, MATCH($D77, Option5!$G$106:$G$117,0)))*conv_2026*Z$7</f>
        <v>0</v>
      </c>
      <c r="AA77" s="28">
        <f>(INDEX(Option5!AA$106:AA$117, MATCH($D77, Option5!$G$106:$G$117,0)))*conv_2026*AA$7</f>
        <v>0</v>
      </c>
      <c r="AB77" s="28">
        <f>(INDEX(Option5!AB$106:AB$117, MATCH($D77, Option5!$G$106:$G$117,0)))*conv_2026*AB$7</f>
        <v>0</v>
      </c>
      <c r="AC77" s="28">
        <f>(INDEX(Option5!AC$106:AC$117, MATCH($D77, Option5!$G$106:$G$117,0)))*conv_2026*AC$7</f>
        <v>0</v>
      </c>
      <c r="AD77" s="28">
        <f>(INDEX(Option5!AD$106:AD$117, MATCH($D77, Option5!$G$106:$G$117,0)))*conv_2026*AD$7</f>
        <v>0</v>
      </c>
      <c r="AE77" s="28">
        <f>(INDEX(Option5!AE$106:AE$117, MATCH($D77, Option5!$G$106:$G$117,0)))*conv_2026*AE$7</f>
        <v>0</v>
      </c>
      <c r="AF77" s="28">
        <f>(INDEX(Option5!AF$106:AF$117, MATCH($D77, Option5!$G$106:$G$117,0)))*conv_2026*AF$7</f>
        <v>0</v>
      </c>
      <c r="AG77" s="28">
        <f>(INDEX(Option5!AG$106:AG$117, MATCH($D77, Option5!$G$106:$G$117,0)))*conv_2026*AG$7</f>
        <v>0</v>
      </c>
    </row>
    <row r="78" spans="1:35" s="6" customFormat="1" x14ac:dyDescent="0.2">
      <c r="A78" s="222" t="s">
        <v>170</v>
      </c>
      <c r="B78" s="222" t="str">
        <f>Option5!A116</f>
        <v>sens</v>
      </c>
      <c r="C78" s="222">
        <f>Option5!C116</f>
        <v>0</v>
      </c>
      <c r="D78" s="222" t="str">
        <f t="shared" si="9"/>
        <v>Option 5sens</v>
      </c>
      <c r="E78" s="214"/>
      <c r="F78" s="28">
        <f t="shared" si="8"/>
        <v>0</v>
      </c>
      <c r="H78" s="28">
        <f>(INDEX(Option5!H$106:H$117, MATCH($D78, Option5!$G$106:$G$117,0)))*conv_2026*H$7</f>
        <v>0</v>
      </c>
      <c r="I78" s="28">
        <f>(INDEX(Option5!I$106:I$117, MATCH($D78, Option5!$G$106:$G$117,0)))*conv_2026*I$7</f>
        <v>0</v>
      </c>
      <c r="J78" s="28">
        <f>(INDEX(Option5!J$106:J$117, MATCH($D78, Option5!$G$106:$G$117,0)))*conv_2026*J$7</f>
        <v>0</v>
      </c>
      <c r="K78" s="28">
        <f>(INDEX(Option5!K$106:K$117, MATCH($D78, Option5!$G$106:$G$117,0)))*conv_2026*K$7</f>
        <v>0</v>
      </c>
      <c r="L78" s="28">
        <f>(INDEX(Option5!L$106:L$117, MATCH($D78, Option5!$G$106:$G$117,0)))*conv_2026*L$7</f>
        <v>0</v>
      </c>
      <c r="M78" s="28">
        <f>(INDEX(Option5!M$106:M$117, MATCH($D78, Option5!$G$106:$G$117,0)))*conv_2026*M$7</f>
        <v>0</v>
      </c>
      <c r="N78" s="28">
        <f>(INDEX(Option5!N$106:N$117, MATCH($D78, Option5!$G$106:$G$117,0)))*conv_2026*N$7</f>
        <v>0</v>
      </c>
      <c r="O78" s="28">
        <f>(INDEX(Option5!O$106:O$117, MATCH($D78, Option5!$G$106:$G$117,0)))*conv_2026*O$7</f>
        <v>0</v>
      </c>
      <c r="P78" s="28">
        <f>(INDEX(Option5!P$106:P$117, MATCH($D78, Option5!$G$106:$G$117,0)))*conv_2026*P$7</f>
        <v>0</v>
      </c>
      <c r="Q78" s="28">
        <f>(INDEX(Option5!Q$106:Q$117, MATCH($D78, Option5!$G$106:$G$117,0)))*conv_2026*Q$7</f>
        <v>0</v>
      </c>
      <c r="R78" s="28">
        <f>(INDEX(Option5!R$106:R$117, MATCH($D78, Option5!$G$106:$G$117,0)))*conv_2026*R$7</f>
        <v>0</v>
      </c>
      <c r="S78" s="28">
        <f>(INDEX(Option5!S$106:S$117, MATCH($D78, Option5!$G$106:$G$117,0)))*conv_2026*S$7</f>
        <v>0</v>
      </c>
      <c r="T78" s="28">
        <f>(INDEX(Option5!T$106:T$117, MATCH($D78, Option5!$G$106:$G$117,0)))*conv_2026*T$7</f>
        <v>0</v>
      </c>
      <c r="U78" s="28">
        <f>(INDEX(Option5!U$106:U$117, MATCH($D78, Option5!$G$106:$G$117,0)))*conv_2026*U$7</f>
        <v>0</v>
      </c>
      <c r="V78" s="28">
        <f>(INDEX(Option5!V$106:V$117, MATCH($D78, Option5!$G$106:$G$117,0)))*conv_2026*V$7</f>
        <v>0</v>
      </c>
      <c r="W78" s="28">
        <f>(INDEX(Option5!W$106:W$117, MATCH($D78, Option5!$G$106:$G$117,0)))*conv_2026*W$7</f>
        <v>0</v>
      </c>
      <c r="X78" s="28">
        <f>(INDEX(Option5!X$106:X$117, MATCH($D78, Option5!$G$106:$G$117,0)))*conv_2026*X$7</f>
        <v>0</v>
      </c>
      <c r="Y78" s="28">
        <f>(INDEX(Option5!Y$106:Y$117, MATCH($D78, Option5!$G$106:$G$117,0)))*conv_2026*Y$7</f>
        <v>0</v>
      </c>
      <c r="Z78" s="28">
        <f>(INDEX(Option5!Z$106:Z$117, MATCH($D78, Option5!$G$106:$G$117,0)))*conv_2026*Z$7</f>
        <v>0</v>
      </c>
      <c r="AA78" s="28">
        <f>(INDEX(Option5!AA$106:AA$117, MATCH($D78, Option5!$G$106:$G$117,0)))*conv_2026*AA$7</f>
        <v>0</v>
      </c>
      <c r="AB78" s="28">
        <f>(INDEX(Option5!AB$106:AB$117, MATCH($D78, Option5!$G$106:$G$117,0)))*conv_2026*AB$7</f>
        <v>0</v>
      </c>
      <c r="AC78" s="28">
        <f>(INDEX(Option5!AC$106:AC$117, MATCH($D78, Option5!$G$106:$G$117,0)))*conv_2026*AC$7</f>
        <v>0</v>
      </c>
      <c r="AD78" s="28">
        <f>(INDEX(Option5!AD$106:AD$117, MATCH($D78, Option5!$G$106:$G$117,0)))*conv_2026*AD$7</f>
        <v>0</v>
      </c>
      <c r="AE78" s="28">
        <f>(INDEX(Option5!AE$106:AE$117, MATCH($D78, Option5!$G$106:$G$117,0)))*conv_2026*AE$7</f>
        <v>0</v>
      </c>
      <c r="AF78" s="28">
        <f>(INDEX(Option5!AF$106:AF$117, MATCH($D78, Option5!$G$106:$G$117,0)))*conv_2026*AF$7</f>
        <v>0</v>
      </c>
      <c r="AG78" s="28">
        <f>(INDEX(Option5!AG$106:AG$117, MATCH($D78, Option5!$G$106:$G$117,0)))*conv_2026*AG$7</f>
        <v>0</v>
      </c>
    </row>
    <row r="79" spans="1:35" s="6" customFormat="1" x14ac:dyDescent="0.2">
      <c r="A79" s="222" t="s">
        <v>170</v>
      </c>
      <c r="B79" s="222" t="str">
        <f>Option5!A117</f>
        <v>sens</v>
      </c>
      <c r="C79" s="222">
        <f>Option5!C117</f>
        <v>0</v>
      </c>
      <c r="D79" s="222" t="str">
        <f t="shared" si="9"/>
        <v>Option 5sens</v>
      </c>
      <c r="E79" s="214"/>
      <c r="F79" s="28">
        <f t="shared" si="8"/>
        <v>0</v>
      </c>
      <c r="H79" s="28">
        <f>(INDEX(Option5!H$106:H$117, MATCH($D79, Option5!$G$106:$G$117,0)))*conv_2026*H$7</f>
        <v>0</v>
      </c>
      <c r="I79" s="28">
        <f>(INDEX(Option5!I$106:I$117, MATCH($D79, Option5!$G$106:$G$117,0)))*conv_2026*I$7</f>
        <v>0</v>
      </c>
      <c r="J79" s="28">
        <f>(INDEX(Option5!J$106:J$117, MATCH($D79, Option5!$G$106:$G$117,0)))*conv_2026*J$7</f>
        <v>0</v>
      </c>
      <c r="K79" s="28">
        <f>(INDEX(Option5!K$106:K$117, MATCH($D79, Option5!$G$106:$G$117,0)))*conv_2026*K$7</f>
        <v>0</v>
      </c>
      <c r="L79" s="28">
        <f>(INDEX(Option5!L$106:L$117, MATCH($D79, Option5!$G$106:$G$117,0)))*conv_2026*L$7</f>
        <v>0</v>
      </c>
      <c r="M79" s="28">
        <f>(INDEX(Option5!M$106:M$117, MATCH($D79, Option5!$G$106:$G$117,0)))*conv_2026*M$7</f>
        <v>0</v>
      </c>
      <c r="N79" s="28">
        <f>(INDEX(Option5!N$106:N$117, MATCH($D79, Option5!$G$106:$G$117,0)))*conv_2026*N$7</f>
        <v>0</v>
      </c>
      <c r="O79" s="28">
        <f>(INDEX(Option5!O$106:O$117, MATCH($D79, Option5!$G$106:$G$117,0)))*conv_2026*O$7</f>
        <v>0</v>
      </c>
      <c r="P79" s="28">
        <f>(INDEX(Option5!P$106:P$117, MATCH($D79, Option5!$G$106:$G$117,0)))*conv_2026*P$7</f>
        <v>0</v>
      </c>
      <c r="Q79" s="28">
        <f>(INDEX(Option5!Q$106:Q$117, MATCH($D79, Option5!$G$106:$G$117,0)))*conv_2026*Q$7</f>
        <v>0</v>
      </c>
      <c r="R79" s="28">
        <f>(INDEX(Option5!R$106:R$117, MATCH($D79, Option5!$G$106:$G$117,0)))*conv_2026*R$7</f>
        <v>0</v>
      </c>
      <c r="S79" s="28">
        <f>(INDEX(Option5!S$106:S$117, MATCH($D79, Option5!$G$106:$G$117,0)))*conv_2026*S$7</f>
        <v>0</v>
      </c>
      <c r="T79" s="28">
        <f>(INDEX(Option5!T$106:T$117, MATCH($D79, Option5!$G$106:$G$117,0)))*conv_2026*T$7</f>
        <v>0</v>
      </c>
      <c r="U79" s="28">
        <f>(INDEX(Option5!U$106:U$117, MATCH($D79, Option5!$G$106:$G$117,0)))*conv_2026*U$7</f>
        <v>0</v>
      </c>
      <c r="V79" s="28">
        <f>(INDEX(Option5!V$106:V$117, MATCH($D79, Option5!$G$106:$G$117,0)))*conv_2026*V$7</f>
        <v>0</v>
      </c>
      <c r="W79" s="28">
        <f>(INDEX(Option5!W$106:W$117, MATCH($D79, Option5!$G$106:$G$117,0)))*conv_2026*W$7</f>
        <v>0</v>
      </c>
      <c r="X79" s="28">
        <f>(INDEX(Option5!X$106:X$117, MATCH($D79, Option5!$G$106:$G$117,0)))*conv_2026*X$7</f>
        <v>0</v>
      </c>
      <c r="Y79" s="28">
        <f>(INDEX(Option5!Y$106:Y$117, MATCH($D79, Option5!$G$106:$G$117,0)))*conv_2026*Y$7</f>
        <v>0</v>
      </c>
      <c r="Z79" s="28">
        <f>(INDEX(Option5!Z$106:Z$117, MATCH($D79, Option5!$G$106:$G$117,0)))*conv_2026*Z$7</f>
        <v>0</v>
      </c>
      <c r="AA79" s="28">
        <f>(INDEX(Option5!AA$106:AA$117, MATCH($D79, Option5!$G$106:$G$117,0)))*conv_2026*AA$7</f>
        <v>0</v>
      </c>
      <c r="AB79" s="28">
        <f>(INDEX(Option5!AB$106:AB$117, MATCH($D79, Option5!$G$106:$G$117,0)))*conv_2026*AB$7</f>
        <v>0</v>
      </c>
      <c r="AC79" s="28">
        <f>(INDEX(Option5!AC$106:AC$117, MATCH($D79, Option5!$G$106:$G$117,0)))*conv_2026*AC$7</f>
        <v>0</v>
      </c>
      <c r="AD79" s="28">
        <f>(INDEX(Option5!AD$106:AD$117, MATCH($D79, Option5!$G$106:$G$117,0)))*conv_2026*AD$7</f>
        <v>0</v>
      </c>
      <c r="AE79" s="28">
        <f>(INDEX(Option5!AE$106:AE$117, MATCH($D79, Option5!$G$106:$G$117,0)))*conv_2026*AE$7</f>
        <v>0</v>
      </c>
      <c r="AF79" s="28">
        <f>(INDEX(Option5!AF$106:AF$117, MATCH($D79, Option5!$G$106:$G$117,0)))*conv_2026*AF$7</f>
        <v>0</v>
      </c>
      <c r="AG79" s="28">
        <f>(INDEX(Option5!AG$106:AG$117, MATCH($D79, Option5!$G$106:$G$117,0)))*conv_2026*AG$7</f>
        <v>0</v>
      </c>
    </row>
    <row r="80" spans="1:35" s="6" customFormat="1" x14ac:dyDescent="0.2">
      <c r="F80" s="219"/>
    </row>
    <row r="81" spans="1:34" s="6" customFormat="1" x14ac:dyDescent="0.2">
      <c r="F81" s="219"/>
    </row>
    <row r="82" spans="1:34" s="6" customFormat="1" x14ac:dyDescent="0.2">
      <c r="F82" s="219"/>
    </row>
    <row r="83" spans="1:34" s="6" customFormat="1" x14ac:dyDescent="0.2">
      <c r="F83" s="219"/>
    </row>
    <row r="84" spans="1:34" s="6" customFormat="1" ht="15" x14ac:dyDescent="0.25">
      <c r="A84" s="176" t="s">
        <v>24</v>
      </c>
      <c r="B84" s="48"/>
      <c r="C84" s="17"/>
      <c r="D84" s="17"/>
      <c r="E84" s="73"/>
      <c r="F84" s="17"/>
      <c r="G84" s="196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174"/>
      <c r="AE84" s="174"/>
      <c r="AF84" s="174"/>
      <c r="AG84" s="8"/>
      <c r="AH84" s="8"/>
    </row>
    <row r="85" spans="1:34" s="6" customFormat="1" x14ac:dyDescent="0.2">
      <c r="F85" s="219"/>
    </row>
    <row r="86" spans="1:34" s="6" customFormat="1" x14ac:dyDescent="0.2">
      <c r="F86" s="219"/>
    </row>
    <row r="87" spans="1:34" s="6" customFormat="1" x14ac:dyDescent="0.2">
      <c r="E87" s="219"/>
    </row>
    <row r="88" spans="1:34" s="6" customFormat="1" x14ac:dyDescent="0.2">
      <c r="C88" s="233" t="b" cm="1">
        <f t="array" ref="C88:G88">TRANSPOSE(Data!F9:F13)</f>
        <v>0</v>
      </c>
      <c r="D88" s="233" t="b">
        <v>0</v>
      </c>
      <c r="E88" s="234" t="b">
        <v>0</v>
      </c>
      <c r="F88" s="233" t="b">
        <v>1</v>
      </c>
      <c r="G88" s="233" t="b">
        <v>1</v>
      </c>
      <c r="K88" s="6" t="b">
        <f>AND(_xlfn.ANCHORARRAY(C88))</f>
        <v>0</v>
      </c>
    </row>
    <row r="89" spans="1:34" s="6" customFormat="1" x14ac:dyDescent="0.2">
      <c r="A89" s="53"/>
      <c r="B89" s="53"/>
      <c r="C89" s="235" t="str" cm="1">
        <f t="array" ref="C89:G89">TRANSPOSE(options)</f>
        <v>Option 1 (base case)</v>
      </c>
      <c r="D89" s="235" t="str">
        <v>Option 2</v>
      </c>
      <c r="E89" s="235" t="str">
        <v>Option 3</v>
      </c>
      <c r="F89" s="235" t="str">
        <v>Option 4</v>
      </c>
      <c r="G89" s="235" t="str">
        <v>Option 5</v>
      </c>
      <c r="I89" s="235" t="s">
        <v>171</v>
      </c>
      <c r="K89" s="53" t="s">
        <v>172</v>
      </c>
    </row>
    <row r="90" spans="1:34" s="6" customFormat="1" x14ac:dyDescent="0.2">
      <c r="A90" s="225" t="s">
        <v>22</v>
      </c>
      <c r="B90" s="225" t="s">
        <v>173</v>
      </c>
      <c r="C90" s="92">
        <f t="shared" ref="C90:G98" si="10">IF(OR($B90=0,C$88),"", INDEX($F$14:$F$81, MATCH(C$89&amp;$A90,$D$14:$D$81,0))/10^6)</f>
        <v>0</v>
      </c>
      <c r="D90" s="92">
        <f t="shared" si="10"/>
        <v>10.734172344034899</v>
      </c>
      <c r="E90" s="92">
        <f t="shared" si="10"/>
        <v>-0.11846671075698446</v>
      </c>
      <c r="F90" s="92" t="str">
        <f t="shared" si="10"/>
        <v/>
      </c>
      <c r="G90" s="92" t="str">
        <f t="shared" si="10"/>
        <v/>
      </c>
      <c r="H90" s="161"/>
      <c r="I90" s="92">
        <f t="shared" ref="I90:I98" si="11">_xlfn.MAXIFS(C90:G90,_xlfn.ANCHORARRAY( C$88),FALSE)</f>
        <v>10.734172344034899</v>
      </c>
      <c r="K90" s="6" t="str">
        <f t="shared" ref="K90:K98" si="12">IF(OR(B90=0,$K$88),"", INDEX(_xlfn.ANCHORARRAY($C$89), MATCH(I90, $C90:$G90,0)))</f>
        <v>Option 2</v>
      </c>
    </row>
    <row r="91" spans="1:34" s="6" customFormat="1" x14ac:dyDescent="0.2">
      <c r="A91" s="225" t="str">
        <f>"sens"&amp;Assumptions!B111</f>
        <v>sens1</v>
      </c>
      <c r="B91" s="225" t="str">
        <f>Assumptions!C111</f>
        <v>Capex 10% higher</v>
      </c>
      <c r="C91" s="92">
        <f t="shared" si="10"/>
        <v>0</v>
      </c>
      <c r="D91" s="92">
        <f t="shared" si="10"/>
        <v>10.262315993396578</v>
      </c>
      <c r="E91" s="92">
        <f t="shared" si="10"/>
        <v>-0.17408261181036758</v>
      </c>
      <c r="F91" s="92" t="str">
        <f t="shared" si="10"/>
        <v/>
      </c>
      <c r="G91" s="92" t="str">
        <f t="shared" si="10"/>
        <v/>
      </c>
      <c r="H91" s="161"/>
      <c r="I91" s="92">
        <f t="shared" si="11"/>
        <v>10.262315993396578</v>
      </c>
      <c r="K91" s="6" t="str">
        <f t="shared" si="12"/>
        <v>Option 2</v>
      </c>
    </row>
    <row r="92" spans="1:34" s="6" customFormat="1" x14ac:dyDescent="0.2">
      <c r="A92" s="225" t="str">
        <f>"sens"&amp;Assumptions!B112</f>
        <v>sens2</v>
      </c>
      <c r="B92" s="225" t="str">
        <f>Assumptions!C112</f>
        <v>Capex 10% lower</v>
      </c>
      <c r="C92" s="92">
        <f t="shared" si="10"/>
        <v>0</v>
      </c>
      <c r="D92" s="92">
        <f t="shared" si="10"/>
        <v>11.20602869467322</v>
      </c>
      <c r="E92" s="92">
        <f t="shared" si="10"/>
        <v>-6.2850809703601337E-2</v>
      </c>
      <c r="F92" s="92" t="str">
        <f t="shared" si="10"/>
        <v/>
      </c>
      <c r="G92" s="92" t="str">
        <f t="shared" si="10"/>
        <v/>
      </c>
      <c r="H92" s="161"/>
      <c r="I92" s="92">
        <f t="shared" si="11"/>
        <v>11.20602869467322</v>
      </c>
      <c r="K92" s="6" t="str">
        <f t="shared" si="12"/>
        <v>Option 2</v>
      </c>
    </row>
    <row r="93" spans="1:34" s="6" customFormat="1" x14ac:dyDescent="0.2">
      <c r="A93" s="225" t="str">
        <f>"sens"&amp;Assumptions!B113</f>
        <v>sens3</v>
      </c>
      <c r="B93" s="225" t="str">
        <f>Assumptions!C113</f>
        <v>Total benefits 10% higher</v>
      </c>
      <c r="C93" s="92">
        <f t="shared" si="10"/>
        <v>0</v>
      </c>
      <c r="D93" s="92">
        <f t="shared" si="10"/>
        <v>12.27944592907671</v>
      </c>
      <c r="E93" s="92">
        <f t="shared" si="10"/>
        <v>-7.469748077929976E-2</v>
      </c>
      <c r="F93" s="92" t="str">
        <f t="shared" si="10"/>
        <v/>
      </c>
      <c r="G93" s="92" t="str">
        <f t="shared" si="10"/>
        <v/>
      </c>
      <c r="H93" s="161"/>
      <c r="I93" s="92">
        <f t="shared" si="11"/>
        <v>12.27944592907671</v>
      </c>
      <c r="K93" s="6" t="str">
        <f t="shared" si="12"/>
        <v>Option 2</v>
      </c>
    </row>
    <row r="94" spans="1:34" s="6" customFormat="1" x14ac:dyDescent="0.2">
      <c r="A94" s="225" t="str">
        <f>"sens"&amp;Assumptions!B114</f>
        <v>sens4</v>
      </c>
      <c r="B94" s="225" t="str">
        <f>Assumptions!C114</f>
        <v>Total benefits 10% lower</v>
      </c>
      <c r="C94" s="92">
        <f t="shared" si="10"/>
        <v>0</v>
      </c>
      <c r="D94" s="92">
        <f t="shared" si="10"/>
        <v>9.1888987589930888</v>
      </c>
      <c r="E94" s="92">
        <f t="shared" si="10"/>
        <v>-0.1622359407346691</v>
      </c>
      <c r="F94" s="92" t="str">
        <f t="shared" si="10"/>
        <v/>
      </c>
      <c r="G94" s="92" t="str">
        <f t="shared" si="10"/>
        <v/>
      </c>
      <c r="H94" s="161"/>
      <c r="I94" s="92">
        <f t="shared" si="11"/>
        <v>9.1888987589930888</v>
      </c>
      <c r="K94" s="6" t="str">
        <f t="shared" si="12"/>
        <v>Option 2</v>
      </c>
    </row>
    <row r="95" spans="1:34" s="6" customFormat="1" x14ac:dyDescent="0.2">
      <c r="A95" s="225" t="str">
        <f>"sens"&amp;Assumptions!B115</f>
        <v>sens5</v>
      </c>
      <c r="B95" s="225" t="str">
        <f>Assumptions!C115</f>
        <v>Capex 10% higher &amp; Total benefits 10% lower</v>
      </c>
      <c r="C95" s="92">
        <f t="shared" si="10"/>
        <v>0</v>
      </c>
      <c r="D95" s="92">
        <f t="shared" si="10"/>
        <v>8.7170424083547697</v>
      </c>
      <c r="E95" s="92">
        <f t="shared" si="10"/>
        <v>-0.2178518417880522</v>
      </c>
      <c r="F95" s="92" t="str">
        <f t="shared" si="10"/>
        <v/>
      </c>
      <c r="G95" s="92" t="str">
        <f t="shared" si="10"/>
        <v/>
      </c>
      <c r="H95" s="161"/>
      <c r="I95" s="92">
        <f t="shared" si="11"/>
        <v>8.7170424083547697</v>
      </c>
      <c r="K95" s="6" t="str">
        <f t="shared" si="12"/>
        <v>Option 2</v>
      </c>
    </row>
    <row r="96" spans="1:34" s="6" customFormat="1" x14ac:dyDescent="0.2">
      <c r="A96" s="225" t="str">
        <f>"sens"&amp;Assumptions!B116</f>
        <v>sens</v>
      </c>
      <c r="B96" s="225">
        <f>Assumptions!C116</f>
        <v>0</v>
      </c>
      <c r="C96" s="92" t="str">
        <f t="shared" si="10"/>
        <v/>
      </c>
      <c r="D96" s="92" t="str">
        <f t="shared" si="10"/>
        <v/>
      </c>
      <c r="E96" s="92" t="str">
        <f t="shared" si="10"/>
        <v/>
      </c>
      <c r="F96" s="92" t="str">
        <f t="shared" si="10"/>
        <v/>
      </c>
      <c r="G96" s="92" t="str">
        <f t="shared" si="10"/>
        <v/>
      </c>
      <c r="H96" s="161"/>
      <c r="I96" s="92">
        <f t="shared" si="11"/>
        <v>0</v>
      </c>
      <c r="K96" s="6" t="str">
        <f t="shared" si="12"/>
        <v/>
      </c>
    </row>
    <row r="97" spans="1:11" x14ac:dyDescent="0.2">
      <c r="A97" s="225" t="str">
        <f>"sens"&amp;Assumptions!B117</f>
        <v>sens</v>
      </c>
      <c r="B97" s="225">
        <f>Assumptions!C117</f>
        <v>0</v>
      </c>
      <c r="C97" s="92" t="str">
        <f t="shared" si="10"/>
        <v/>
      </c>
      <c r="D97" s="92" t="str">
        <f t="shared" si="10"/>
        <v/>
      </c>
      <c r="E97" s="92" t="str">
        <f t="shared" si="10"/>
        <v/>
      </c>
      <c r="F97" s="92" t="str">
        <f t="shared" si="10"/>
        <v/>
      </c>
      <c r="G97" s="92" t="str">
        <f t="shared" si="10"/>
        <v/>
      </c>
      <c r="H97" s="238"/>
      <c r="I97" s="92">
        <f t="shared" si="11"/>
        <v>0</v>
      </c>
      <c r="K97" s="6" t="str">
        <f t="shared" si="12"/>
        <v/>
      </c>
    </row>
    <row r="98" spans="1:11" x14ac:dyDescent="0.2">
      <c r="A98" s="225" t="str">
        <f>"sens"&amp;Assumptions!B118</f>
        <v>sens</v>
      </c>
      <c r="B98" s="225">
        <f>Assumptions!C118</f>
        <v>0</v>
      </c>
      <c r="C98" s="92" t="str">
        <f t="shared" si="10"/>
        <v/>
      </c>
      <c r="D98" s="92" t="str">
        <f t="shared" si="10"/>
        <v/>
      </c>
      <c r="E98" s="92" t="str">
        <f t="shared" si="10"/>
        <v/>
      </c>
      <c r="F98" s="92" t="str">
        <f t="shared" si="10"/>
        <v/>
      </c>
      <c r="G98" s="92" t="str">
        <f t="shared" si="10"/>
        <v/>
      </c>
      <c r="H98" s="238"/>
      <c r="I98" s="92">
        <f t="shared" si="11"/>
        <v>0</v>
      </c>
      <c r="K98" s="6" t="str">
        <f t="shared" si="12"/>
        <v/>
      </c>
    </row>
    <row r="99" spans="1:11" x14ac:dyDescent="0.2">
      <c r="C99" s="28"/>
      <c r="E99"/>
      <c r="F99" s="8"/>
    </row>
    <row r="100" spans="1:11" x14ac:dyDescent="0.2">
      <c r="E100"/>
      <c r="F100" s="8"/>
    </row>
    <row r="101" spans="1:11" x14ac:dyDescent="0.2">
      <c r="E101"/>
      <c r="F101" s="8"/>
    </row>
    <row r="102" spans="1:11" x14ac:dyDescent="0.2">
      <c r="E102"/>
      <c r="F102" s="8"/>
    </row>
    <row r="103" spans="1:11" x14ac:dyDescent="0.2">
      <c r="E103"/>
      <c r="F103" s="8"/>
    </row>
    <row r="104" spans="1:11" x14ac:dyDescent="0.2">
      <c r="E104"/>
      <c r="F104" s="8"/>
    </row>
    <row r="105" spans="1:11" x14ac:dyDescent="0.2">
      <c r="E105"/>
      <c r="F105" s="8"/>
    </row>
    <row r="106" spans="1:11" x14ac:dyDescent="0.2"/>
    <row r="107" spans="1:11" x14ac:dyDescent="0.2"/>
    <row r="108" spans="1:11" x14ac:dyDescent="0.2"/>
    <row r="109" spans="1:11" x14ac:dyDescent="0.2"/>
    <row r="110" spans="1:11" x14ac:dyDescent="0.2"/>
    <row r="111" spans="1:11" x14ac:dyDescent="0.2"/>
    <row r="112" spans="1:11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  <row r="122" x14ac:dyDescent="0.2"/>
    <row r="123" x14ac:dyDescent="0.2"/>
    <row r="124" x14ac:dyDescent="0.2"/>
    <row r="125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  <row r="811" x14ac:dyDescent="0.2"/>
    <row r="812" x14ac:dyDescent="0.2"/>
    <row r="813" x14ac:dyDescent="0.2"/>
    <row r="814" x14ac:dyDescent="0.2"/>
    <row r="815" x14ac:dyDescent="0.2"/>
    <row r="816" x14ac:dyDescent="0.2"/>
    <row r="817" x14ac:dyDescent="0.2"/>
    <row r="818" x14ac:dyDescent="0.2"/>
    <row r="819" x14ac:dyDescent="0.2"/>
    <row r="820" x14ac:dyDescent="0.2"/>
    <row r="821" x14ac:dyDescent="0.2"/>
    <row r="822" x14ac:dyDescent="0.2"/>
    <row r="823" x14ac:dyDescent="0.2"/>
    <row r="824" x14ac:dyDescent="0.2"/>
    <row r="825" x14ac:dyDescent="0.2"/>
    <row r="826" x14ac:dyDescent="0.2"/>
    <row r="827" x14ac:dyDescent="0.2"/>
    <row r="828" x14ac:dyDescent="0.2"/>
    <row r="829" x14ac:dyDescent="0.2"/>
    <row r="830" x14ac:dyDescent="0.2"/>
    <row r="831" x14ac:dyDescent="0.2"/>
    <row r="832" x14ac:dyDescent="0.2"/>
    <row r="833" x14ac:dyDescent="0.2"/>
    <row r="834" x14ac:dyDescent="0.2"/>
    <row r="835" x14ac:dyDescent="0.2"/>
    <row r="836" x14ac:dyDescent="0.2"/>
    <row r="837" x14ac:dyDescent="0.2"/>
    <row r="838" x14ac:dyDescent="0.2"/>
    <row r="839" x14ac:dyDescent="0.2"/>
    <row r="840" x14ac:dyDescent="0.2"/>
    <row r="841" x14ac:dyDescent="0.2"/>
    <row r="842" x14ac:dyDescent="0.2"/>
    <row r="843" x14ac:dyDescent="0.2"/>
    <row r="844" x14ac:dyDescent="0.2"/>
    <row r="845" x14ac:dyDescent="0.2"/>
    <row r="846" x14ac:dyDescent="0.2"/>
    <row r="847" x14ac:dyDescent="0.2"/>
    <row r="848" x14ac:dyDescent="0.2"/>
    <row r="849" x14ac:dyDescent="0.2"/>
    <row r="850" x14ac:dyDescent="0.2"/>
    <row r="851" x14ac:dyDescent="0.2"/>
    <row r="852" x14ac:dyDescent="0.2"/>
    <row r="853" x14ac:dyDescent="0.2"/>
    <row r="854" x14ac:dyDescent="0.2"/>
    <row r="855" x14ac:dyDescent="0.2"/>
    <row r="856" x14ac:dyDescent="0.2"/>
    <row r="857" x14ac:dyDescent="0.2"/>
    <row r="858" x14ac:dyDescent="0.2"/>
    <row r="859" x14ac:dyDescent="0.2"/>
    <row r="860" x14ac:dyDescent="0.2"/>
    <row r="861" x14ac:dyDescent="0.2"/>
    <row r="862" x14ac:dyDescent="0.2"/>
    <row r="863" x14ac:dyDescent="0.2"/>
    <row r="864" x14ac:dyDescent="0.2"/>
    <row r="865" x14ac:dyDescent="0.2"/>
    <row r="866" x14ac:dyDescent="0.2"/>
    <row r="867" x14ac:dyDescent="0.2"/>
    <row r="868" x14ac:dyDescent="0.2"/>
    <row r="869" x14ac:dyDescent="0.2"/>
    <row r="870" x14ac:dyDescent="0.2"/>
    <row r="871" x14ac:dyDescent="0.2"/>
    <row r="872" x14ac:dyDescent="0.2"/>
    <row r="873" x14ac:dyDescent="0.2"/>
    <row r="874" x14ac:dyDescent="0.2"/>
    <row r="875" x14ac:dyDescent="0.2"/>
    <row r="876" x14ac:dyDescent="0.2"/>
    <row r="877" x14ac:dyDescent="0.2"/>
    <row r="878" x14ac:dyDescent="0.2"/>
    <row r="879" x14ac:dyDescent="0.2"/>
    <row r="880" x14ac:dyDescent="0.2"/>
    <row r="881" x14ac:dyDescent="0.2"/>
    <row r="882" x14ac:dyDescent="0.2"/>
    <row r="883" x14ac:dyDescent="0.2"/>
    <row r="884" x14ac:dyDescent="0.2"/>
    <row r="885" x14ac:dyDescent="0.2"/>
    <row r="886" x14ac:dyDescent="0.2"/>
    <row r="887" x14ac:dyDescent="0.2"/>
    <row r="888" x14ac:dyDescent="0.2"/>
    <row r="889" x14ac:dyDescent="0.2"/>
    <row r="890" x14ac:dyDescent="0.2"/>
    <row r="891" x14ac:dyDescent="0.2"/>
    <row r="892" x14ac:dyDescent="0.2"/>
    <row r="893" x14ac:dyDescent="0.2"/>
    <row r="894" x14ac:dyDescent="0.2"/>
    <row r="895" x14ac:dyDescent="0.2"/>
    <row r="896" x14ac:dyDescent="0.2"/>
    <row r="897" x14ac:dyDescent="0.2"/>
    <row r="898" x14ac:dyDescent="0.2"/>
    <row r="899" x14ac:dyDescent="0.2"/>
    <row r="900" x14ac:dyDescent="0.2"/>
    <row r="901" x14ac:dyDescent="0.2"/>
    <row r="902" x14ac:dyDescent="0.2"/>
    <row r="903" x14ac:dyDescent="0.2"/>
    <row r="904" x14ac:dyDescent="0.2"/>
    <row r="905" x14ac:dyDescent="0.2"/>
    <row r="906" x14ac:dyDescent="0.2"/>
    <row r="907" x14ac:dyDescent="0.2"/>
    <row r="908" x14ac:dyDescent="0.2"/>
    <row r="909" x14ac:dyDescent="0.2"/>
    <row r="910" x14ac:dyDescent="0.2"/>
    <row r="911" x14ac:dyDescent="0.2"/>
    <row r="912" x14ac:dyDescent="0.2"/>
    <row r="913" x14ac:dyDescent="0.2"/>
    <row r="914" x14ac:dyDescent="0.2"/>
    <row r="915" x14ac:dyDescent="0.2"/>
    <row r="916" x14ac:dyDescent="0.2"/>
    <row r="917" x14ac:dyDescent="0.2"/>
    <row r="918" x14ac:dyDescent="0.2"/>
    <row r="919" x14ac:dyDescent="0.2"/>
    <row r="920" x14ac:dyDescent="0.2"/>
    <row r="921" x14ac:dyDescent="0.2"/>
    <row r="922" x14ac:dyDescent="0.2"/>
    <row r="923" x14ac:dyDescent="0.2"/>
    <row r="924" x14ac:dyDescent="0.2"/>
    <row r="925" x14ac:dyDescent="0.2"/>
    <row r="926" x14ac:dyDescent="0.2"/>
    <row r="927" x14ac:dyDescent="0.2"/>
    <row r="928" x14ac:dyDescent="0.2"/>
    <row r="929" x14ac:dyDescent="0.2"/>
    <row r="930" x14ac:dyDescent="0.2"/>
    <row r="931" x14ac:dyDescent="0.2"/>
    <row r="932" x14ac:dyDescent="0.2"/>
    <row r="933" x14ac:dyDescent="0.2"/>
    <row r="934" x14ac:dyDescent="0.2"/>
    <row r="935" x14ac:dyDescent="0.2"/>
    <row r="936" x14ac:dyDescent="0.2"/>
    <row r="937" x14ac:dyDescent="0.2"/>
    <row r="938" x14ac:dyDescent="0.2"/>
    <row r="939" x14ac:dyDescent="0.2"/>
    <row r="940" x14ac:dyDescent="0.2"/>
    <row r="941" x14ac:dyDescent="0.2"/>
    <row r="942" x14ac:dyDescent="0.2"/>
    <row r="943" x14ac:dyDescent="0.2"/>
    <row r="944" x14ac:dyDescent="0.2"/>
    <row r="945" x14ac:dyDescent="0.2"/>
    <row r="946" x14ac:dyDescent="0.2"/>
    <row r="947" x14ac:dyDescent="0.2"/>
    <row r="948" x14ac:dyDescent="0.2"/>
    <row r="949" x14ac:dyDescent="0.2"/>
    <row r="950" x14ac:dyDescent="0.2"/>
    <row r="951" x14ac:dyDescent="0.2"/>
    <row r="952" x14ac:dyDescent="0.2"/>
    <row r="953" x14ac:dyDescent="0.2"/>
    <row r="954" x14ac:dyDescent="0.2"/>
    <row r="955" x14ac:dyDescent="0.2"/>
    <row r="956" x14ac:dyDescent="0.2"/>
    <row r="957" x14ac:dyDescent="0.2"/>
    <row r="958" x14ac:dyDescent="0.2"/>
    <row r="959" x14ac:dyDescent="0.2"/>
    <row r="960" x14ac:dyDescent="0.2"/>
    <row r="961" x14ac:dyDescent="0.2"/>
    <row r="962" x14ac:dyDescent="0.2"/>
    <row r="963" x14ac:dyDescent="0.2"/>
    <row r="964" x14ac:dyDescent="0.2"/>
    <row r="965" x14ac:dyDescent="0.2"/>
    <row r="966" x14ac:dyDescent="0.2"/>
    <row r="967" x14ac:dyDescent="0.2"/>
    <row r="968" x14ac:dyDescent="0.2"/>
    <row r="969" x14ac:dyDescent="0.2"/>
    <row r="970" x14ac:dyDescent="0.2"/>
    <row r="971" x14ac:dyDescent="0.2"/>
    <row r="972" x14ac:dyDescent="0.2"/>
    <row r="973" x14ac:dyDescent="0.2"/>
    <row r="974" x14ac:dyDescent="0.2"/>
    <row r="975" x14ac:dyDescent="0.2"/>
    <row r="976" x14ac:dyDescent="0.2"/>
    <row r="977" x14ac:dyDescent="0.2"/>
    <row r="978" x14ac:dyDescent="0.2"/>
    <row r="979" x14ac:dyDescent="0.2"/>
    <row r="980" x14ac:dyDescent="0.2"/>
    <row r="981" x14ac:dyDescent="0.2"/>
    <row r="982" x14ac:dyDescent="0.2"/>
    <row r="983" x14ac:dyDescent="0.2"/>
    <row r="984" x14ac:dyDescent="0.2"/>
    <row r="985" x14ac:dyDescent="0.2"/>
    <row r="986" x14ac:dyDescent="0.2"/>
    <row r="987" x14ac:dyDescent="0.2"/>
    <row r="988" x14ac:dyDescent="0.2"/>
    <row r="989" x14ac:dyDescent="0.2"/>
    <row r="990" x14ac:dyDescent="0.2"/>
    <row r="991" x14ac:dyDescent="0.2"/>
    <row r="992" x14ac:dyDescent="0.2"/>
    <row r="993" x14ac:dyDescent="0.2"/>
    <row r="994" x14ac:dyDescent="0.2"/>
    <row r="995" x14ac:dyDescent="0.2"/>
    <row r="996" x14ac:dyDescent="0.2"/>
    <row r="997" x14ac:dyDescent="0.2"/>
    <row r="998" x14ac:dyDescent="0.2"/>
    <row r="999" x14ac:dyDescent="0.2"/>
    <row r="1000" x14ac:dyDescent="0.2"/>
    <row r="1001" x14ac:dyDescent="0.2"/>
    <row r="1002" x14ac:dyDescent="0.2"/>
    <row r="1003" x14ac:dyDescent="0.2"/>
    <row r="1004" x14ac:dyDescent="0.2"/>
    <row r="1005" x14ac:dyDescent="0.2"/>
    <row r="1006" x14ac:dyDescent="0.2"/>
    <row r="1007" x14ac:dyDescent="0.2"/>
    <row r="1008" x14ac:dyDescent="0.2"/>
    <row r="1009" x14ac:dyDescent="0.2"/>
    <row r="1010" x14ac:dyDescent="0.2"/>
    <row r="1011" x14ac:dyDescent="0.2"/>
    <row r="1012" x14ac:dyDescent="0.2"/>
    <row r="1013" x14ac:dyDescent="0.2"/>
    <row r="1014" x14ac:dyDescent="0.2"/>
    <row r="1015" x14ac:dyDescent="0.2"/>
    <row r="1016" x14ac:dyDescent="0.2"/>
    <row r="1017" x14ac:dyDescent="0.2"/>
    <row r="1018" x14ac:dyDescent="0.2"/>
    <row r="1019" x14ac:dyDescent="0.2"/>
    <row r="1020" x14ac:dyDescent="0.2"/>
    <row r="1021" x14ac:dyDescent="0.2"/>
    <row r="1022" x14ac:dyDescent="0.2"/>
    <row r="1023" x14ac:dyDescent="0.2"/>
    <row r="1024" x14ac:dyDescent="0.2"/>
    <row r="1025" x14ac:dyDescent="0.2"/>
    <row r="1026" x14ac:dyDescent="0.2"/>
    <row r="1027" x14ac:dyDescent="0.2"/>
    <row r="1028" x14ac:dyDescent="0.2"/>
    <row r="1029" x14ac:dyDescent="0.2"/>
    <row r="1030" x14ac:dyDescent="0.2"/>
    <row r="1031" x14ac:dyDescent="0.2"/>
    <row r="1032" x14ac:dyDescent="0.2"/>
    <row r="1033" x14ac:dyDescent="0.2"/>
    <row r="1034" x14ac:dyDescent="0.2"/>
    <row r="1035" x14ac:dyDescent="0.2"/>
    <row r="1036" x14ac:dyDescent="0.2"/>
    <row r="1037" x14ac:dyDescent="0.2"/>
    <row r="1038" x14ac:dyDescent="0.2"/>
    <row r="1039" x14ac:dyDescent="0.2"/>
    <row r="1040" x14ac:dyDescent="0.2"/>
    <row r="1041" x14ac:dyDescent="0.2"/>
    <row r="1042" x14ac:dyDescent="0.2"/>
    <row r="1043" x14ac:dyDescent="0.2"/>
    <row r="1044" x14ac:dyDescent="0.2"/>
    <row r="1045" x14ac:dyDescent="0.2"/>
    <row r="1046" x14ac:dyDescent="0.2"/>
    <row r="1047" x14ac:dyDescent="0.2"/>
    <row r="1048" x14ac:dyDescent="0.2"/>
    <row r="1049" x14ac:dyDescent="0.2"/>
    <row r="1050" x14ac:dyDescent="0.2"/>
    <row r="1051" x14ac:dyDescent="0.2"/>
    <row r="1052" x14ac:dyDescent="0.2"/>
    <row r="1053" x14ac:dyDescent="0.2"/>
    <row r="1054" x14ac:dyDescent="0.2"/>
    <row r="1055" x14ac:dyDescent="0.2"/>
    <row r="1056" x14ac:dyDescent="0.2"/>
    <row r="1057" x14ac:dyDescent="0.2"/>
    <row r="1058" x14ac:dyDescent="0.2"/>
    <row r="1059" x14ac:dyDescent="0.2"/>
    <row r="1060" x14ac:dyDescent="0.2"/>
    <row r="1061" x14ac:dyDescent="0.2"/>
    <row r="1062" x14ac:dyDescent="0.2"/>
    <row r="1063" x14ac:dyDescent="0.2"/>
    <row r="1064" x14ac:dyDescent="0.2"/>
    <row r="1065" x14ac:dyDescent="0.2"/>
    <row r="1066" x14ac:dyDescent="0.2"/>
    <row r="1067" x14ac:dyDescent="0.2"/>
    <row r="1068" x14ac:dyDescent="0.2"/>
    <row r="1069" x14ac:dyDescent="0.2"/>
    <row r="1070" x14ac:dyDescent="0.2"/>
    <row r="1071" x14ac:dyDescent="0.2"/>
    <row r="1072" x14ac:dyDescent="0.2"/>
    <row r="1073" x14ac:dyDescent="0.2"/>
    <row r="1074" x14ac:dyDescent="0.2"/>
    <row r="1075" x14ac:dyDescent="0.2"/>
    <row r="1076" x14ac:dyDescent="0.2"/>
    <row r="1077" x14ac:dyDescent="0.2"/>
    <row r="1078" x14ac:dyDescent="0.2"/>
    <row r="1079" x14ac:dyDescent="0.2"/>
    <row r="1080" x14ac:dyDescent="0.2"/>
    <row r="1081" x14ac:dyDescent="0.2"/>
    <row r="1082" x14ac:dyDescent="0.2"/>
    <row r="1083" x14ac:dyDescent="0.2"/>
    <row r="1084" x14ac:dyDescent="0.2"/>
    <row r="1085" x14ac:dyDescent="0.2"/>
    <row r="1086" x14ac:dyDescent="0.2"/>
    <row r="1087" x14ac:dyDescent="0.2"/>
    <row r="1088" x14ac:dyDescent="0.2"/>
    <row r="1089" x14ac:dyDescent="0.2"/>
    <row r="1090" x14ac:dyDescent="0.2"/>
    <row r="1091" x14ac:dyDescent="0.2"/>
    <row r="1092" x14ac:dyDescent="0.2"/>
    <row r="1093" x14ac:dyDescent="0.2"/>
    <row r="1094" x14ac:dyDescent="0.2"/>
    <row r="1095" x14ac:dyDescent="0.2"/>
    <row r="1096" x14ac:dyDescent="0.2"/>
    <row r="1097" x14ac:dyDescent="0.2"/>
    <row r="1098" x14ac:dyDescent="0.2"/>
    <row r="1099" x14ac:dyDescent="0.2"/>
    <row r="1100" x14ac:dyDescent="0.2"/>
    <row r="1101" x14ac:dyDescent="0.2"/>
    <row r="1102" x14ac:dyDescent="0.2"/>
    <row r="1103" x14ac:dyDescent="0.2"/>
    <row r="1104" x14ac:dyDescent="0.2"/>
    <row r="1105" x14ac:dyDescent="0.2"/>
    <row r="1106" x14ac:dyDescent="0.2"/>
    <row r="1107" x14ac:dyDescent="0.2"/>
    <row r="1108" x14ac:dyDescent="0.2"/>
    <row r="1109" x14ac:dyDescent="0.2"/>
    <row r="1110" x14ac:dyDescent="0.2"/>
    <row r="1111" x14ac:dyDescent="0.2"/>
    <row r="1112" x14ac:dyDescent="0.2"/>
    <row r="1113" x14ac:dyDescent="0.2"/>
    <row r="1114" x14ac:dyDescent="0.2"/>
    <row r="1115" x14ac:dyDescent="0.2"/>
    <row r="1116" x14ac:dyDescent="0.2"/>
    <row r="1117" x14ac:dyDescent="0.2"/>
    <row r="1118" x14ac:dyDescent="0.2"/>
    <row r="1119" x14ac:dyDescent="0.2"/>
    <row r="1120" x14ac:dyDescent="0.2"/>
    <row r="1121" x14ac:dyDescent="0.2"/>
    <row r="1122" x14ac:dyDescent="0.2"/>
    <row r="1123" x14ac:dyDescent="0.2"/>
    <row r="1124" x14ac:dyDescent="0.2"/>
    <row r="1125" x14ac:dyDescent="0.2"/>
    <row r="1126" x14ac:dyDescent="0.2"/>
    <row r="1127" x14ac:dyDescent="0.2"/>
    <row r="1128" x14ac:dyDescent="0.2"/>
    <row r="1129" x14ac:dyDescent="0.2"/>
    <row r="1130" x14ac:dyDescent="0.2"/>
    <row r="1131" x14ac:dyDescent="0.2"/>
    <row r="1132" x14ac:dyDescent="0.2"/>
    <row r="1133" x14ac:dyDescent="0.2"/>
    <row r="1134" x14ac:dyDescent="0.2"/>
    <row r="1135" x14ac:dyDescent="0.2"/>
    <row r="1136" x14ac:dyDescent="0.2"/>
    <row r="1137" x14ac:dyDescent="0.2"/>
    <row r="1138" x14ac:dyDescent="0.2"/>
    <row r="1139" x14ac:dyDescent="0.2"/>
    <row r="1140" x14ac:dyDescent="0.2"/>
    <row r="1141" x14ac:dyDescent="0.2"/>
    <row r="1142" x14ac:dyDescent="0.2"/>
    <row r="1143" x14ac:dyDescent="0.2"/>
    <row r="1144" x14ac:dyDescent="0.2"/>
    <row r="1145" x14ac:dyDescent="0.2"/>
    <row r="1146" x14ac:dyDescent="0.2"/>
    <row r="1147" x14ac:dyDescent="0.2"/>
    <row r="1148" x14ac:dyDescent="0.2"/>
    <row r="1149" x14ac:dyDescent="0.2"/>
    <row r="1150" x14ac:dyDescent="0.2"/>
    <row r="1151" x14ac:dyDescent="0.2"/>
    <row r="1152" x14ac:dyDescent="0.2"/>
    <row r="1153" x14ac:dyDescent="0.2"/>
    <row r="1154" x14ac:dyDescent="0.2"/>
    <row r="1155" x14ac:dyDescent="0.2"/>
    <row r="1156" x14ac:dyDescent="0.2"/>
    <row r="1157" x14ac:dyDescent="0.2"/>
    <row r="1158" x14ac:dyDescent="0.2"/>
    <row r="1159" x14ac:dyDescent="0.2"/>
    <row r="1160" x14ac:dyDescent="0.2"/>
    <row r="1161" x14ac:dyDescent="0.2"/>
    <row r="1162" x14ac:dyDescent="0.2"/>
    <row r="1163" x14ac:dyDescent="0.2"/>
    <row r="1164" x14ac:dyDescent="0.2"/>
    <row r="1165" x14ac:dyDescent="0.2"/>
    <row r="1166" x14ac:dyDescent="0.2"/>
    <row r="1167" x14ac:dyDescent="0.2"/>
    <row r="1168" x14ac:dyDescent="0.2"/>
    <row r="1169" x14ac:dyDescent="0.2"/>
    <row r="1170" x14ac:dyDescent="0.2"/>
    <row r="1171" x14ac:dyDescent="0.2"/>
    <row r="1172" x14ac:dyDescent="0.2"/>
    <row r="1173" x14ac:dyDescent="0.2"/>
    <row r="1174" x14ac:dyDescent="0.2"/>
    <row r="1175" x14ac:dyDescent="0.2"/>
    <row r="1176" x14ac:dyDescent="0.2"/>
    <row r="1177" x14ac:dyDescent="0.2"/>
    <row r="1178" x14ac:dyDescent="0.2"/>
    <row r="1179" x14ac:dyDescent="0.2"/>
    <row r="1180" x14ac:dyDescent="0.2"/>
    <row r="1181" x14ac:dyDescent="0.2"/>
    <row r="1182" x14ac:dyDescent="0.2"/>
    <row r="1183" x14ac:dyDescent="0.2"/>
    <row r="1184" x14ac:dyDescent="0.2"/>
    <row r="1185" x14ac:dyDescent="0.2"/>
    <row r="1186" x14ac:dyDescent="0.2"/>
    <row r="1187" x14ac:dyDescent="0.2"/>
    <row r="1188" x14ac:dyDescent="0.2"/>
    <row r="1189" x14ac:dyDescent="0.2"/>
    <row r="1190" x14ac:dyDescent="0.2"/>
    <row r="1191" x14ac:dyDescent="0.2"/>
    <row r="1192" x14ac:dyDescent="0.2"/>
    <row r="1193" x14ac:dyDescent="0.2"/>
    <row r="1194" x14ac:dyDescent="0.2"/>
    <row r="1195" x14ac:dyDescent="0.2"/>
    <row r="1196" x14ac:dyDescent="0.2"/>
    <row r="1197" x14ac:dyDescent="0.2"/>
    <row r="1198" x14ac:dyDescent="0.2"/>
    <row r="1199" x14ac:dyDescent="0.2"/>
    <row r="1200" x14ac:dyDescent="0.2"/>
    <row r="1201" x14ac:dyDescent="0.2"/>
    <row r="1202" x14ac:dyDescent="0.2"/>
    <row r="1203" x14ac:dyDescent="0.2"/>
    <row r="1204" x14ac:dyDescent="0.2"/>
    <row r="1205" x14ac:dyDescent="0.2"/>
    <row r="1206" x14ac:dyDescent="0.2"/>
    <row r="1207" x14ac:dyDescent="0.2"/>
    <row r="1208" x14ac:dyDescent="0.2"/>
    <row r="1209" x14ac:dyDescent="0.2"/>
    <row r="1210" x14ac:dyDescent="0.2"/>
    <row r="1211" x14ac:dyDescent="0.2"/>
    <row r="1212" x14ac:dyDescent="0.2"/>
    <row r="1213" x14ac:dyDescent="0.2"/>
    <row r="1214" x14ac:dyDescent="0.2"/>
    <row r="1215" x14ac:dyDescent="0.2"/>
    <row r="1216" x14ac:dyDescent="0.2"/>
    <row r="1217" x14ac:dyDescent="0.2"/>
    <row r="1218" x14ac:dyDescent="0.2"/>
    <row r="1219" x14ac:dyDescent="0.2"/>
    <row r="1220" x14ac:dyDescent="0.2"/>
    <row r="1221" x14ac:dyDescent="0.2"/>
    <row r="1222" x14ac:dyDescent="0.2"/>
    <row r="1223" x14ac:dyDescent="0.2"/>
    <row r="1224" x14ac:dyDescent="0.2"/>
    <row r="1225" x14ac:dyDescent="0.2"/>
    <row r="1226" x14ac:dyDescent="0.2"/>
    <row r="1227" x14ac:dyDescent="0.2"/>
    <row r="1228" x14ac:dyDescent="0.2"/>
    <row r="1229" x14ac:dyDescent="0.2"/>
    <row r="1230" x14ac:dyDescent="0.2"/>
    <row r="1231" x14ac:dyDescent="0.2"/>
    <row r="1232" x14ac:dyDescent="0.2"/>
    <row r="1233" x14ac:dyDescent="0.2"/>
    <row r="1234" x14ac:dyDescent="0.2"/>
    <row r="1235" x14ac:dyDescent="0.2"/>
    <row r="1236" x14ac:dyDescent="0.2"/>
    <row r="1237" x14ac:dyDescent="0.2"/>
    <row r="1238" x14ac:dyDescent="0.2"/>
    <row r="1239" x14ac:dyDescent="0.2"/>
    <row r="1240" x14ac:dyDescent="0.2"/>
    <row r="1241" x14ac:dyDescent="0.2"/>
    <row r="1242" x14ac:dyDescent="0.2"/>
    <row r="1243" x14ac:dyDescent="0.2"/>
    <row r="1244" x14ac:dyDescent="0.2"/>
    <row r="1245" x14ac:dyDescent="0.2"/>
    <row r="1246" x14ac:dyDescent="0.2"/>
    <row r="1247" x14ac:dyDescent="0.2"/>
    <row r="1248" x14ac:dyDescent="0.2"/>
    <row r="1249" x14ac:dyDescent="0.2"/>
    <row r="1250" x14ac:dyDescent="0.2"/>
    <row r="1251" x14ac:dyDescent="0.2"/>
    <row r="1252" x14ac:dyDescent="0.2"/>
    <row r="1253" x14ac:dyDescent="0.2"/>
    <row r="1254" x14ac:dyDescent="0.2"/>
    <row r="1255" x14ac:dyDescent="0.2"/>
    <row r="1256" x14ac:dyDescent="0.2"/>
    <row r="1257" x14ac:dyDescent="0.2"/>
    <row r="1258" x14ac:dyDescent="0.2"/>
    <row r="1259" x14ac:dyDescent="0.2"/>
    <row r="1260" x14ac:dyDescent="0.2"/>
    <row r="1261" x14ac:dyDescent="0.2"/>
    <row r="1262" x14ac:dyDescent="0.2"/>
    <row r="1263" x14ac:dyDescent="0.2"/>
    <row r="1264" x14ac:dyDescent="0.2"/>
    <row r="1265" x14ac:dyDescent="0.2"/>
    <row r="1266" x14ac:dyDescent="0.2"/>
    <row r="1267" x14ac:dyDescent="0.2"/>
    <row r="1268" x14ac:dyDescent="0.2"/>
    <row r="1269" x14ac:dyDescent="0.2"/>
    <row r="1270" x14ac:dyDescent="0.2"/>
    <row r="1271" x14ac:dyDescent="0.2"/>
    <row r="1272" x14ac:dyDescent="0.2"/>
    <row r="1273" x14ac:dyDescent="0.2"/>
    <row r="1274" x14ac:dyDescent="0.2"/>
    <row r="1275" x14ac:dyDescent="0.2"/>
    <row r="1276" x14ac:dyDescent="0.2"/>
    <row r="1277" x14ac:dyDescent="0.2"/>
    <row r="1278" x14ac:dyDescent="0.2"/>
    <row r="1279" x14ac:dyDescent="0.2"/>
    <row r="1280" x14ac:dyDescent="0.2"/>
    <row r="1281" x14ac:dyDescent="0.2"/>
    <row r="1282" x14ac:dyDescent="0.2"/>
    <row r="1283" x14ac:dyDescent="0.2"/>
    <row r="1284" x14ac:dyDescent="0.2"/>
    <row r="1285" x14ac:dyDescent="0.2"/>
    <row r="1286" x14ac:dyDescent="0.2"/>
    <row r="1287" x14ac:dyDescent="0.2"/>
    <row r="1288" x14ac:dyDescent="0.2"/>
    <row r="1289" x14ac:dyDescent="0.2"/>
    <row r="1290" x14ac:dyDescent="0.2"/>
    <row r="1291" x14ac:dyDescent="0.2"/>
    <row r="1292" x14ac:dyDescent="0.2"/>
    <row r="1293" x14ac:dyDescent="0.2"/>
    <row r="1294" x14ac:dyDescent="0.2"/>
    <row r="1295" x14ac:dyDescent="0.2"/>
    <row r="1296" x14ac:dyDescent="0.2"/>
    <row r="1297" x14ac:dyDescent="0.2"/>
    <row r="1298" x14ac:dyDescent="0.2"/>
    <row r="1299" x14ac:dyDescent="0.2"/>
    <row r="1300" x14ac:dyDescent="0.2"/>
    <row r="1301" x14ac:dyDescent="0.2"/>
    <row r="1302" x14ac:dyDescent="0.2"/>
    <row r="1303" x14ac:dyDescent="0.2"/>
    <row r="1304" x14ac:dyDescent="0.2"/>
    <row r="1305" x14ac:dyDescent="0.2"/>
    <row r="1306" x14ac:dyDescent="0.2"/>
    <row r="1307" x14ac:dyDescent="0.2"/>
    <row r="1308" x14ac:dyDescent="0.2"/>
    <row r="1309" x14ac:dyDescent="0.2"/>
    <row r="1310" x14ac:dyDescent="0.2"/>
    <row r="1311" x14ac:dyDescent="0.2"/>
    <row r="1312" x14ac:dyDescent="0.2"/>
    <row r="1313" x14ac:dyDescent="0.2"/>
    <row r="1314" x14ac:dyDescent="0.2"/>
    <row r="1315" x14ac:dyDescent="0.2"/>
    <row r="1316" x14ac:dyDescent="0.2"/>
    <row r="1317" x14ac:dyDescent="0.2"/>
    <row r="1318" x14ac:dyDescent="0.2"/>
    <row r="1319" x14ac:dyDescent="0.2"/>
    <row r="1320" x14ac:dyDescent="0.2"/>
    <row r="1321" x14ac:dyDescent="0.2"/>
    <row r="1322" x14ac:dyDescent="0.2"/>
    <row r="1323" x14ac:dyDescent="0.2"/>
    <row r="1324" x14ac:dyDescent="0.2"/>
    <row r="1325" x14ac:dyDescent="0.2"/>
    <row r="1326" x14ac:dyDescent="0.2"/>
    <row r="1327" x14ac:dyDescent="0.2"/>
    <row r="1328" x14ac:dyDescent="0.2"/>
  </sheetData>
  <pageMargins left="0.25" right="0.25" top="0.75" bottom="0.75" header="0.3" footer="0.3"/>
  <pageSetup paperSize="9" scale="3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F5163-69F2-4B23-A1D3-4374371C1F1C}">
  <sheetPr codeName="Sheet4">
    <tabColor rgb="FFFFFF00"/>
  </sheetPr>
  <dimension ref="A1:AR47"/>
  <sheetViews>
    <sheetView showGridLines="0" zoomScale="90" zoomScaleNormal="90" workbookViewId="0">
      <pane xSplit="4" ySplit="5" topLeftCell="E6" activePane="bottomRight" state="frozen"/>
      <selection activeCell="A3" sqref="A3"/>
      <selection pane="topRight" activeCell="A3" sqref="A3"/>
      <selection pane="bottomLeft" activeCell="A3" sqref="A3"/>
      <selection pane="bottomRight" activeCell="A3" sqref="A3"/>
    </sheetView>
  </sheetViews>
  <sheetFormatPr defaultColWidth="8" defaultRowHeight="12.75" x14ac:dyDescent="0.2"/>
  <cols>
    <col min="1" max="1" width="2.625" style="1" customWidth="1"/>
    <col min="2" max="2" width="5.25" style="1" customWidth="1"/>
    <col min="3" max="3" width="10.75" style="1" customWidth="1"/>
    <col min="4" max="4" width="31.75" style="1" bestFit="1" customWidth="1"/>
    <col min="5" max="5" width="25" style="1" customWidth="1"/>
    <col min="6" max="6" width="15.125" style="1" customWidth="1"/>
    <col min="7" max="7" width="14" style="1" customWidth="1"/>
    <col min="8" max="8" width="14.75" style="1" customWidth="1"/>
    <col min="9" max="28" width="8.625" style="1" customWidth="1"/>
    <col min="29" max="16384" width="8" style="1"/>
  </cols>
  <sheetData>
    <row r="1" spans="1:44" ht="18.75" x14ac:dyDescent="0.3">
      <c r="A1" s="13" t="str">
        <f>bus</f>
        <v>CitiPower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44" ht="18.75" x14ac:dyDescent="0.3">
      <c r="A2" s="50" t="str">
        <f>proj</f>
        <v>NC transformer replacement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44" ht="18.75" x14ac:dyDescent="0.3">
      <c r="A3" s="5" t="s">
        <v>174</v>
      </c>
      <c r="B3" s="280"/>
      <c r="C3" s="5"/>
      <c r="D3" s="5"/>
    </row>
    <row r="5" spans="1:44" ht="15" x14ac:dyDescent="0.2">
      <c r="A5" s="281"/>
      <c r="B5" s="281"/>
      <c r="C5" s="281"/>
      <c r="D5" s="281"/>
      <c r="E5" s="281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</row>
    <row r="6" spans="1:44" x14ac:dyDescent="0.2">
      <c r="C6" s="3"/>
      <c r="D6" s="3"/>
    </row>
    <row r="7" spans="1:44" x14ac:dyDescent="0.2">
      <c r="A7" s="282"/>
      <c r="B7" s="283" t="s">
        <v>175</v>
      </c>
      <c r="C7" s="284"/>
      <c r="D7" s="284"/>
      <c r="E7" s="284"/>
      <c r="F7" s="284"/>
      <c r="G7" s="284"/>
      <c r="H7" s="284"/>
      <c r="I7" s="284"/>
      <c r="J7" s="284"/>
      <c r="K7" s="284"/>
      <c r="L7" s="284"/>
      <c r="M7" s="284"/>
      <c r="N7" s="284"/>
      <c r="O7" s="284"/>
      <c r="P7" s="284"/>
      <c r="Q7" s="284"/>
      <c r="R7" s="284"/>
      <c r="S7" s="284"/>
      <c r="T7" s="284"/>
      <c r="U7" s="284"/>
      <c r="V7" s="284"/>
      <c r="W7" s="284"/>
      <c r="X7" s="284"/>
      <c r="Y7" s="284"/>
      <c r="Z7" s="284"/>
      <c r="AA7" s="284"/>
      <c r="AB7" s="284"/>
      <c r="AC7" s="284"/>
      <c r="AD7" s="284"/>
      <c r="AE7" s="284"/>
      <c r="AF7" s="284"/>
      <c r="AG7" s="284"/>
      <c r="AH7" s="284"/>
      <c r="AI7" s="284"/>
      <c r="AJ7" s="284"/>
      <c r="AK7" s="284"/>
      <c r="AL7" s="284"/>
      <c r="AM7" s="284"/>
      <c r="AN7" s="284"/>
      <c r="AO7" s="284"/>
      <c r="AP7" s="284"/>
      <c r="AQ7" s="284"/>
      <c r="AR7" s="282"/>
    </row>
    <row r="8" spans="1:44" x14ac:dyDescent="0.2">
      <c r="A8" s="285"/>
      <c r="B8" s="285"/>
      <c r="C8" s="285"/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  <c r="X8" s="285"/>
      <c r="Y8" s="285"/>
      <c r="Z8" s="285"/>
      <c r="AA8" s="285"/>
      <c r="AB8" s="285"/>
      <c r="AC8" s="285"/>
      <c r="AD8" s="285"/>
      <c r="AE8" s="285"/>
      <c r="AF8" s="285"/>
      <c r="AG8" s="285"/>
      <c r="AH8" s="285"/>
      <c r="AI8" s="285"/>
      <c r="AJ8" s="285"/>
      <c r="AK8" s="285"/>
      <c r="AL8" s="285"/>
      <c r="AM8" s="285"/>
      <c r="AN8" s="285"/>
      <c r="AO8" s="285"/>
      <c r="AP8" s="285"/>
      <c r="AQ8" s="285"/>
      <c r="AR8" s="285"/>
    </row>
    <row r="9" spans="1:44" x14ac:dyDescent="0.2">
      <c r="A9" s="285"/>
      <c r="B9" s="285"/>
      <c r="C9" s="285"/>
      <c r="D9" s="286"/>
      <c r="E9" s="285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  <c r="AH9" s="285"/>
      <c r="AI9" s="285"/>
      <c r="AJ9" s="285"/>
      <c r="AK9" s="285"/>
      <c r="AL9" s="285"/>
      <c r="AM9" s="285"/>
      <c r="AN9" s="285"/>
      <c r="AO9" s="285"/>
      <c r="AP9" s="285"/>
      <c r="AQ9" s="285"/>
      <c r="AR9" s="285"/>
    </row>
    <row r="10" spans="1:44" x14ac:dyDescent="0.2">
      <c r="A10" s="285"/>
      <c r="B10" s="285"/>
      <c r="C10" s="285"/>
      <c r="D10" s="285"/>
      <c r="E10" s="287" t="s">
        <v>52</v>
      </c>
      <c r="F10" s="287" t="s">
        <v>91</v>
      </c>
      <c r="G10" s="287" t="s">
        <v>92</v>
      </c>
      <c r="H10" s="287" t="s">
        <v>93</v>
      </c>
      <c r="I10" s="287" t="s">
        <v>94</v>
      </c>
      <c r="J10" s="287" t="s">
        <v>95</v>
      </c>
      <c r="K10" s="287" t="s">
        <v>176</v>
      </c>
      <c r="L10" s="287" t="s">
        <v>177</v>
      </c>
      <c r="M10" s="287" t="s">
        <v>178</v>
      </c>
      <c r="N10" s="287" t="s">
        <v>179</v>
      </c>
      <c r="O10" s="287" t="s">
        <v>180</v>
      </c>
      <c r="P10" s="287" t="s">
        <v>181</v>
      </c>
      <c r="Q10" s="287" t="s">
        <v>182</v>
      </c>
      <c r="R10" s="287" t="s">
        <v>183</v>
      </c>
      <c r="S10" s="287" t="s">
        <v>184</v>
      </c>
      <c r="T10" s="287" t="s">
        <v>185</v>
      </c>
      <c r="U10" s="287" t="s">
        <v>186</v>
      </c>
      <c r="V10" s="287" t="s">
        <v>187</v>
      </c>
      <c r="W10" s="287" t="s">
        <v>188</v>
      </c>
      <c r="X10" s="287" t="s">
        <v>189</v>
      </c>
      <c r="Y10" s="287" t="s">
        <v>190</v>
      </c>
      <c r="Z10" s="287" t="s">
        <v>191</v>
      </c>
      <c r="AA10" s="287" t="s">
        <v>192</v>
      </c>
      <c r="AB10" s="287" t="s">
        <v>193</v>
      </c>
      <c r="AC10" s="287" t="s">
        <v>194</v>
      </c>
      <c r="AD10" s="285"/>
      <c r="AE10" s="285"/>
      <c r="AF10" s="285"/>
      <c r="AG10" s="285"/>
      <c r="AH10" s="285"/>
      <c r="AI10" s="285"/>
      <c r="AJ10" s="285"/>
      <c r="AK10" s="285"/>
      <c r="AL10" s="285"/>
      <c r="AM10" s="285"/>
      <c r="AN10" s="285"/>
      <c r="AO10" s="285"/>
      <c r="AP10" s="285"/>
      <c r="AQ10" s="285"/>
      <c r="AR10" s="285"/>
    </row>
    <row r="11" spans="1:44" x14ac:dyDescent="0.2">
      <c r="A11" s="285"/>
      <c r="B11" s="285"/>
      <c r="C11" s="285"/>
      <c r="D11" s="288" t="s">
        <v>195</v>
      </c>
      <c r="E11" s="285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  <c r="AG11" s="285"/>
      <c r="AH11" s="285"/>
      <c r="AI11" s="285"/>
      <c r="AJ11" s="285"/>
      <c r="AK11" s="285"/>
      <c r="AL11" s="285"/>
      <c r="AM11" s="285"/>
      <c r="AN11" s="285"/>
      <c r="AO11" s="285"/>
      <c r="AP11" s="285"/>
      <c r="AQ11" s="285"/>
      <c r="AR11" s="285"/>
    </row>
    <row r="12" spans="1:44" x14ac:dyDescent="0.2">
      <c r="A12" s="285"/>
      <c r="B12" s="285"/>
      <c r="C12" s="285"/>
      <c r="D12" s="289" t="s">
        <v>196</v>
      </c>
      <c r="E12" s="290"/>
      <c r="F12" s="290"/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  <c r="U12" s="290"/>
      <c r="V12" s="290"/>
      <c r="W12" s="290"/>
      <c r="X12" s="290"/>
      <c r="Y12" s="290"/>
      <c r="Z12" s="290"/>
      <c r="AA12" s="290"/>
      <c r="AB12" s="290"/>
      <c r="AC12" s="290"/>
      <c r="AD12" s="285"/>
      <c r="AE12" s="285"/>
      <c r="AF12" s="285"/>
      <c r="AG12" s="285"/>
      <c r="AH12" s="285"/>
      <c r="AI12" s="285"/>
      <c r="AJ12" s="285"/>
      <c r="AK12" s="285"/>
      <c r="AL12" s="285"/>
      <c r="AM12" s="285"/>
      <c r="AN12" s="285"/>
      <c r="AO12" s="285"/>
      <c r="AP12" s="285"/>
      <c r="AQ12" s="285"/>
      <c r="AR12" s="285"/>
    </row>
    <row r="13" spans="1:44" x14ac:dyDescent="0.2">
      <c r="A13" s="285"/>
      <c r="B13" s="285"/>
      <c r="C13" s="285"/>
      <c r="D13" s="291" t="s">
        <v>197</v>
      </c>
      <c r="E13" s="292">
        <f>E12</f>
        <v>0</v>
      </c>
      <c r="F13" s="292">
        <f t="shared" ref="F13:AC13" si="0">F12</f>
        <v>0</v>
      </c>
      <c r="G13" s="292">
        <f t="shared" si="0"/>
        <v>0</v>
      </c>
      <c r="H13" s="292">
        <f t="shared" si="0"/>
        <v>0</v>
      </c>
      <c r="I13" s="292">
        <f t="shared" si="0"/>
        <v>0</v>
      </c>
      <c r="J13" s="292">
        <f t="shared" si="0"/>
        <v>0</v>
      </c>
      <c r="K13" s="292">
        <f t="shared" si="0"/>
        <v>0</v>
      </c>
      <c r="L13" s="292">
        <f t="shared" si="0"/>
        <v>0</v>
      </c>
      <c r="M13" s="292">
        <f t="shared" si="0"/>
        <v>0</v>
      </c>
      <c r="N13" s="292">
        <f t="shared" si="0"/>
        <v>0</v>
      </c>
      <c r="O13" s="292">
        <f t="shared" si="0"/>
        <v>0</v>
      </c>
      <c r="P13" s="292">
        <f t="shared" si="0"/>
        <v>0</v>
      </c>
      <c r="Q13" s="292">
        <f t="shared" si="0"/>
        <v>0</v>
      </c>
      <c r="R13" s="292">
        <f t="shared" si="0"/>
        <v>0</v>
      </c>
      <c r="S13" s="292">
        <f t="shared" si="0"/>
        <v>0</v>
      </c>
      <c r="T13" s="292">
        <f t="shared" si="0"/>
        <v>0</v>
      </c>
      <c r="U13" s="292">
        <f t="shared" si="0"/>
        <v>0</v>
      </c>
      <c r="V13" s="292">
        <f t="shared" si="0"/>
        <v>0</v>
      </c>
      <c r="W13" s="292">
        <f t="shared" si="0"/>
        <v>0</v>
      </c>
      <c r="X13" s="292">
        <f t="shared" si="0"/>
        <v>0</v>
      </c>
      <c r="Y13" s="292">
        <f t="shared" si="0"/>
        <v>0</v>
      </c>
      <c r="Z13" s="292">
        <f t="shared" si="0"/>
        <v>0</v>
      </c>
      <c r="AA13" s="292">
        <f t="shared" si="0"/>
        <v>0</v>
      </c>
      <c r="AB13" s="292">
        <f t="shared" si="0"/>
        <v>0</v>
      </c>
      <c r="AC13" s="292">
        <f t="shared" si="0"/>
        <v>0</v>
      </c>
      <c r="AD13" s="285"/>
      <c r="AE13" s="285"/>
      <c r="AF13" s="285"/>
      <c r="AG13" s="285"/>
      <c r="AH13" s="285"/>
      <c r="AI13" s="285"/>
      <c r="AJ13" s="285"/>
      <c r="AK13" s="285"/>
      <c r="AL13" s="285"/>
      <c r="AM13" s="285"/>
      <c r="AN13" s="285"/>
      <c r="AO13" s="285"/>
      <c r="AP13" s="285"/>
      <c r="AQ13" s="285"/>
      <c r="AR13" s="285"/>
    </row>
    <row r="14" spans="1:44" x14ac:dyDescent="0.2">
      <c r="A14" s="285"/>
      <c r="B14" s="285"/>
      <c r="C14" s="285"/>
      <c r="D14" s="285"/>
      <c r="E14" s="285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285"/>
      <c r="AA14" s="285"/>
      <c r="AB14" s="285"/>
      <c r="AC14" s="285"/>
      <c r="AD14" s="285"/>
      <c r="AE14" s="285"/>
      <c r="AF14" s="285"/>
      <c r="AG14" s="285"/>
      <c r="AH14" s="285"/>
      <c r="AI14" s="285"/>
      <c r="AJ14" s="285"/>
      <c r="AK14" s="285"/>
      <c r="AL14" s="285"/>
      <c r="AM14" s="285"/>
      <c r="AN14" s="285"/>
      <c r="AO14" s="285"/>
      <c r="AP14" s="285"/>
      <c r="AQ14" s="285"/>
      <c r="AR14" s="285"/>
    </row>
    <row r="15" spans="1:44" x14ac:dyDescent="0.2">
      <c r="A15" s="285"/>
      <c r="B15" s="285"/>
      <c r="C15" s="285"/>
      <c r="D15" s="285"/>
      <c r="E15" s="285"/>
      <c r="F15" s="285"/>
      <c r="G15" s="285"/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5"/>
      <c r="S15" s="285"/>
      <c r="T15" s="285"/>
      <c r="U15" s="285"/>
      <c r="V15" s="285"/>
      <c r="W15" s="285"/>
      <c r="X15" s="285"/>
      <c r="Y15" s="285"/>
      <c r="Z15" s="285"/>
      <c r="AA15" s="285"/>
      <c r="AB15" s="285"/>
      <c r="AC15" s="285"/>
      <c r="AD15" s="285"/>
      <c r="AE15" s="285"/>
      <c r="AF15" s="285"/>
      <c r="AG15" s="285"/>
      <c r="AH15" s="285"/>
      <c r="AI15" s="285"/>
      <c r="AJ15" s="285"/>
      <c r="AK15" s="285"/>
      <c r="AL15" s="285"/>
      <c r="AM15" s="285"/>
      <c r="AN15" s="285"/>
      <c r="AO15" s="285"/>
      <c r="AP15" s="285"/>
      <c r="AQ15" s="285"/>
      <c r="AR15" s="285"/>
    </row>
    <row r="16" spans="1:44" x14ac:dyDescent="0.2">
      <c r="A16" s="293"/>
      <c r="B16" s="283" t="str">
        <f>Assumptions!C15&amp;" - "&amp;Assumptions!E15</f>
        <v>Option 2 - Replace #1 transformer completed in 2027-2028</v>
      </c>
      <c r="C16" s="293"/>
      <c r="D16" s="293"/>
      <c r="E16" s="293"/>
      <c r="F16" s="293"/>
      <c r="G16" s="293"/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93"/>
      <c r="T16" s="293"/>
      <c r="U16" s="293"/>
      <c r="V16" s="293"/>
      <c r="W16" s="293"/>
      <c r="X16" s="293"/>
      <c r="Y16" s="293"/>
      <c r="Z16" s="293"/>
      <c r="AA16" s="293"/>
      <c r="AB16" s="293"/>
      <c r="AC16" s="293"/>
      <c r="AD16" s="293"/>
      <c r="AE16" s="293"/>
      <c r="AF16" s="293"/>
      <c r="AG16" s="293"/>
      <c r="AH16" s="293"/>
      <c r="AI16" s="293"/>
      <c r="AJ16" s="293"/>
      <c r="AK16" s="293"/>
      <c r="AL16" s="293"/>
      <c r="AM16" s="293"/>
      <c r="AN16" s="293"/>
      <c r="AO16" s="293"/>
      <c r="AP16" s="293"/>
      <c r="AQ16" s="293"/>
      <c r="AR16" s="293"/>
    </row>
    <row r="17" spans="1:44" x14ac:dyDescent="0.2">
      <c r="A17" s="285"/>
      <c r="B17" s="285"/>
      <c r="C17" s="285"/>
      <c r="D17" s="285"/>
      <c r="E17" s="285"/>
      <c r="F17" s="285"/>
      <c r="G17" s="285"/>
      <c r="H17" s="285"/>
      <c r="I17" s="285"/>
      <c r="J17" s="285"/>
      <c r="K17" s="285"/>
      <c r="L17" s="285"/>
      <c r="M17" s="285"/>
      <c r="N17" s="285"/>
      <c r="O17" s="285"/>
      <c r="P17" s="285"/>
      <c r="Q17" s="285"/>
      <c r="R17" s="285"/>
      <c r="S17" s="285"/>
      <c r="T17" s="285"/>
      <c r="U17" s="285"/>
      <c r="V17" s="285"/>
      <c r="W17" s="285"/>
      <c r="X17" s="285"/>
      <c r="Y17" s="285"/>
      <c r="Z17" s="285"/>
      <c r="AA17" s="285"/>
      <c r="AB17" s="285"/>
      <c r="AC17" s="285"/>
      <c r="AD17" s="285"/>
      <c r="AE17" s="285"/>
      <c r="AF17" s="285"/>
      <c r="AG17" s="285"/>
      <c r="AH17" s="285"/>
      <c r="AI17" s="285"/>
      <c r="AJ17" s="285"/>
      <c r="AK17" s="285"/>
      <c r="AL17" s="285"/>
      <c r="AM17" s="285"/>
      <c r="AN17" s="285"/>
      <c r="AO17" s="285"/>
      <c r="AP17" s="285"/>
      <c r="AQ17" s="285"/>
      <c r="AR17" s="285"/>
    </row>
    <row r="18" spans="1:44" x14ac:dyDescent="0.2">
      <c r="A18" s="285"/>
      <c r="B18" s="285"/>
      <c r="C18" s="285"/>
      <c r="D18" s="285"/>
      <c r="E18" s="285"/>
      <c r="F18" s="285"/>
      <c r="G18" s="285"/>
      <c r="H18" s="285"/>
      <c r="I18" s="285"/>
      <c r="J18" s="285"/>
      <c r="K18" s="285"/>
      <c r="L18" s="285"/>
      <c r="M18" s="285"/>
      <c r="N18" s="285"/>
      <c r="O18" s="285"/>
      <c r="P18" s="285"/>
      <c r="Q18" s="285"/>
      <c r="R18" s="285"/>
      <c r="S18" s="285"/>
      <c r="T18" s="285"/>
      <c r="U18" s="285"/>
      <c r="V18" s="285"/>
      <c r="W18" s="285"/>
      <c r="X18" s="285"/>
      <c r="Y18" s="285"/>
      <c r="Z18" s="285"/>
      <c r="AA18" s="285"/>
      <c r="AB18" s="285"/>
      <c r="AC18" s="285"/>
      <c r="AD18" s="285"/>
      <c r="AE18" s="285"/>
      <c r="AF18" s="285"/>
      <c r="AG18" s="285"/>
      <c r="AH18" s="285"/>
      <c r="AI18" s="285"/>
      <c r="AJ18" s="285"/>
      <c r="AK18" s="285"/>
      <c r="AL18" s="285"/>
      <c r="AM18" s="285"/>
      <c r="AN18" s="285"/>
      <c r="AO18" s="285"/>
      <c r="AP18" s="285"/>
      <c r="AQ18" s="285"/>
      <c r="AR18" s="285"/>
    </row>
    <row r="19" spans="1:44" x14ac:dyDescent="0.2">
      <c r="A19" s="285"/>
      <c r="B19" s="285"/>
      <c r="C19" s="285"/>
      <c r="D19" s="285"/>
      <c r="E19" s="287" t="s">
        <v>52</v>
      </c>
      <c r="F19" s="287" t="s">
        <v>91</v>
      </c>
      <c r="G19" s="287" t="s">
        <v>92</v>
      </c>
      <c r="H19" s="287" t="s">
        <v>93</v>
      </c>
      <c r="I19" s="287" t="s">
        <v>94</v>
      </c>
      <c r="J19" s="287" t="s">
        <v>95</v>
      </c>
      <c r="K19" s="287" t="s">
        <v>176</v>
      </c>
      <c r="L19" s="287" t="s">
        <v>177</v>
      </c>
      <c r="M19" s="287" t="s">
        <v>178</v>
      </c>
      <c r="N19" s="287" t="s">
        <v>179</v>
      </c>
      <c r="O19" s="287" t="s">
        <v>180</v>
      </c>
      <c r="P19" s="287" t="s">
        <v>181</v>
      </c>
      <c r="Q19" s="287" t="s">
        <v>182</v>
      </c>
      <c r="R19" s="287" t="s">
        <v>183</v>
      </c>
      <c r="S19" s="287" t="s">
        <v>184</v>
      </c>
      <c r="T19" s="287" t="s">
        <v>185</v>
      </c>
      <c r="U19" s="287" t="s">
        <v>186</v>
      </c>
      <c r="V19" s="287" t="s">
        <v>187</v>
      </c>
      <c r="W19" s="287" t="s">
        <v>188</v>
      </c>
      <c r="X19" s="287" t="s">
        <v>189</v>
      </c>
      <c r="Y19" s="287" t="s">
        <v>190</v>
      </c>
      <c r="Z19" s="287" t="s">
        <v>191</v>
      </c>
      <c r="AA19" s="287" t="s">
        <v>192</v>
      </c>
      <c r="AB19" s="287" t="s">
        <v>193</v>
      </c>
      <c r="AC19" s="287" t="s">
        <v>194</v>
      </c>
      <c r="AD19" s="285"/>
      <c r="AE19" s="285"/>
      <c r="AF19" s="285"/>
      <c r="AG19" s="285"/>
      <c r="AH19" s="285"/>
      <c r="AI19" s="285"/>
      <c r="AJ19" s="285"/>
      <c r="AK19" s="285"/>
      <c r="AL19" s="285"/>
      <c r="AM19" s="285"/>
      <c r="AN19" s="285"/>
      <c r="AO19" s="285"/>
      <c r="AP19" s="285"/>
      <c r="AQ19" s="285"/>
      <c r="AR19" s="285"/>
    </row>
    <row r="20" spans="1:44" x14ac:dyDescent="0.2">
      <c r="A20" s="285"/>
      <c r="B20" s="285"/>
      <c r="C20" s="285"/>
      <c r="D20" s="288" t="s">
        <v>198</v>
      </c>
      <c r="E20" s="290">
        <v>5066390.3999999994</v>
      </c>
      <c r="F20" s="290">
        <v>2533195.1999999997</v>
      </c>
      <c r="G20" s="290"/>
      <c r="H20" s="290"/>
      <c r="I20" s="290"/>
      <c r="J20" s="290"/>
      <c r="K20" s="290"/>
      <c r="L20" s="290"/>
      <c r="M20" s="290"/>
      <c r="N20" s="290"/>
      <c r="O20" s="290"/>
      <c r="P20" s="290"/>
      <c r="Q20" s="290"/>
      <c r="R20" s="290"/>
      <c r="S20" s="290"/>
      <c r="T20" s="290"/>
      <c r="U20" s="290"/>
      <c r="V20" s="290"/>
      <c r="W20" s="290"/>
      <c r="X20" s="290"/>
      <c r="Y20" s="290"/>
      <c r="Z20" s="290"/>
      <c r="AA20" s="290"/>
      <c r="AB20" s="290"/>
      <c r="AC20" s="290"/>
      <c r="AD20" s="285"/>
      <c r="AE20" s="285"/>
      <c r="AF20" s="285"/>
      <c r="AG20" s="285"/>
      <c r="AH20" s="285"/>
      <c r="AI20" s="285"/>
      <c r="AJ20" s="285"/>
      <c r="AK20" s="285"/>
      <c r="AL20" s="285"/>
      <c r="AM20" s="285"/>
      <c r="AN20" s="285"/>
      <c r="AO20" s="285"/>
      <c r="AP20" s="285"/>
      <c r="AQ20" s="285"/>
      <c r="AR20" s="285"/>
    </row>
    <row r="21" spans="1:44" x14ac:dyDescent="0.2">
      <c r="A21" s="285"/>
      <c r="B21" s="285"/>
      <c r="C21" s="285"/>
      <c r="D21" s="294" t="s">
        <v>199</v>
      </c>
      <c r="E21" s="295">
        <f>E20</f>
        <v>5066390.3999999994</v>
      </c>
      <c r="F21" s="295">
        <f t="shared" ref="F21:AC21" si="1">F20</f>
        <v>2533195.1999999997</v>
      </c>
      <c r="G21" s="295">
        <f t="shared" si="1"/>
        <v>0</v>
      </c>
      <c r="H21" s="295">
        <f t="shared" si="1"/>
        <v>0</v>
      </c>
      <c r="I21" s="295">
        <f t="shared" si="1"/>
        <v>0</v>
      </c>
      <c r="J21" s="295">
        <f t="shared" si="1"/>
        <v>0</v>
      </c>
      <c r="K21" s="295">
        <f t="shared" si="1"/>
        <v>0</v>
      </c>
      <c r="L21" s="295">
        <f t="shared" si="1"/>
        <v>0</v>
      </c>
      <c r="M21" s="295">
        <f t="shared" si="1"/>
        <v>0</v>
      </c>
      <c r="N21" s="295">
        <f t="shared" si="1"/>
        <v>0</v>
      </c>
      <c r="O21" s="295">
        <f t="shared" si="1"/>
        <v>0</v>
      </c>
      <c r="P21" s="295">
        <f t="shared" si="1"/>
        <v>0</v>
      </c>
      <c r="Q21" s="295">
        <f t="shared" si="1"/>
        <v>0</v>
      </c>
      <c r="R21" s="295">
        <f t="shared" si="1"/>
        <v>0</v>
      </c>
      <c r="S21" s="295">
        <f t="shared" si="1"/>
        <v>0</v>
      </c>
      <c r="T21" s="295">
        <f t="shared" si="1"/>
        <v>0</v>
      </c>
      <c r="U21" s="295">
        <f t="shared" si="1"/>
        <v>0</v>
      </c>
      <c r="V21" s="295">
        <f t="shared" si="1"/>
        <v>0</v>
      </c>
      <c r="W21" s="295">
        <f t="shared" si="1"/>
        <v>0</v>
      </c>
      <c r="X21" s="295">
        <f t="shared" si="1"/>
        <v>0</v>
      </c>
      <c r="Y21" s="295">
        <f t="shared" si="1"/>
        <v>0</v>
      </c>
      <c r="Z21" s="295">
        <f t="shared" si="1"/>
        <v>0</v>
      </c>
      <c r="AA21" s="295">
        <f t="shared" si="1"/>
        <v>0</v>
      </c>
      <c r="AB21" s="295">
        <f t="shared" si="1"/>
        <v>0</v>
      </c>
      <c r="AC21" s="295">
        <f t="shared" si="1"/>
        <v>0</v>
      </c>
      <c r="AD21" s="285"/>
      <c r="AE21" s="285"/>
      <c r="AF21" s="285"/>
      <c r="AG21" s="285"/>
      <c r="AH21" s="285"/>
      <c r="AI21" s="285"/>
      <c r="AJ21" s="285"/>
      <c r="AK21" s="285"/>
      <c r="AL21" s="285"/>
      <c r="AM21" s="285"/>
      <c r="AN21" s="285"/>
      <c r="AO21" s="285"/>
      <c r="AP21" s="285"/>
      <c r="AQ21" s="285"/>
      <c r="AR21" s="285"/>
    </row>
    <row r="22" spans="1:44" x14ac:dyDescent="0.2">
      <c r="A22" s="285"/>
      <c r="B22" s="285"/>
      <c r="C22" s="285"/>
      <c r="D22" s="285"/>
      <c r="E22" s="285"/>
      <c r="F22" s="285"/>
      <c r="G22" s="285"/>
      <c r="H22" s="285"/>
      <c r="I22" s="285"/>
      <c r="J22" s="285"/>
      <c r="K22" s="285"/>
      <c r="L22" s="285"/>
      <c r="M22" s="285"/>
      <c r="N22" s="285"/>
      <c r="O22" s="285"/>
      <c r="P22" s="285"/>
      <c r="Q22" s="285"/>
      <c r="R22" s="285"/>
      <c r="S22" s="285"/>
      <c r="T22" s="285"/>
      <c r="U22" s="285"/>
      <c r="V22" s="285"/>
      <c r="W22" s="285"/>
      <c r="X22" s="285"/>
      <c r="Y22" s="285"/>
      <c r="Z22" s="285"/>
      <c r="AA22" s="285"/>
      <c r="AB22" s="285"/>
      <c r="AC22" s="285"/>
      <c r="AD22" s="285"/>
      <c r="AE22" s="285"/>
      <c r="AF22" s="285"/>
      <c r="AG22" s="285"/>
      <c r="AH22" s="285"/>
      <c r="AI22" s="285"/>
      <c r="AJ22" s="285"/>
      <c r="AK22" s="285"/>
      <c r="AL22" s="285"/>
      <c r="AM22" s="285"/>
      <c r="AN22" s="285"/>
      <c r="AO22" s="285"/>
      <c r="AP22" s="285"/>
      <c r="AQ22" s="285"/>
      <c r="AR22" s="285"/>
    </row>
    <row r="23" spans="1:44" x14ac:dyDescent="0.2">
      <c r="A23" s="285"/>
      <c r="B23" s="285"/>
      <c r="C23" s="285"/>
      <c r="D23" s="285"/>
      <c r="E23" s="287" t="s">
        <v>52</v>
      </c>
      <c r="F23" s="287" t="s">
        <v>91</v>
      </c>
      <c r="G23" s="287" t="s">
        <v>92</v>
      </c>
      <c r="H23" s="287" t="s">
        <v>93</v>
      </c>
      <c r="I23" s="287" t="s">
        <v>94</v>
      </c>
      <c r="J23" s="287" t="s">
        <v>95</v>
      </c>
      <c r="K23" s="287" t="s">
        <v>176</v>
      </c>
      <c r="L23" s="287" t="s">
        <v>177</v>
      </c>
      <c r="M23" s="287" t="s">
        <v>178</v>
      </c>
      <c r="N23" s="287" t="s">
        <v>179</v>
      </c>
      <c r="O23" s="287" t="s">
        <v>180</v>
      </c>
      <c r="P23" s="287" t="s">
        <v>181</v>
      </c>
      <c r="Q23" s="287" t="s">
        <v>182</v>
      </c>
      <c r="R23" s="287" t="s">
        <v>183</v>
      </c>
      <c r="S23" s="287" t="s">
        <v>184</v>
      </c>
      <c r="T23" s="287" t="s">
        <v>185</v>
      </c>
      <c r="U23" s="287" t="s">
        <v>186</v>
      </c>
      <c r="V23" s="287" t="s">
        <v>187</v>
      </c>
      <c r="W23" s="287" t="s">
        <v>188</v>
      </c>
      <c r="X23" s="287" t="s">
        <v>189</v>
      </c>
      <c r="Y23" s="287" t="s">
        <v>190</v>
      </c>
      <c r="Z23" s="287" t="s">
        <v>191</v>
      </c>
      <c r="AA23" s="287" t="s">
        <v>192</v>
      </c>
      <c r="AB23" s="287" t="s">
        <v>193</v>
      </c>
      <c r="AC23" s="287" t="s">
        <v>194</v>
      </c>
      <c r="AD23" s="285"/>
      <c r="AE23" s="285"/>
      <c r="AF23" s="285"/>
      <c r="AG23" s="285"/>
      <c r="AH23" s="285"/>
      <c r="AI23" s="285"/>
      <c r="AJ23" s="285"/>
      <c r="AK23" s="285"/>
      <c r="AL23" s="285"/>
      <c r="AM23" s="285"/>
      <c r="AN23" s="285"/>
      <c r="AO23" s="285"/>
      <c r="AP23" s="285"/>
      <c r="AQ23" s="285"/>
      <c r="AR23" s="285"/>
    </row>
    <row r="24" spans="1:44" x14ac:dyDescent="0.2">
      <c r="A24" s="285"/>
      <c r="B24" s="285"/>
      <c r="C24" s="285"/>
      <c r="D24" s="288" t="s">
        <v>195</v>
      </c>
      <c r="E24" s="285"/>
      <c r="F24" s="285"/>
      <c r="G24" s="285"/>
      <c r="H24" s="285"/>
      <c r="I24" s="285"/>
      <c r="J24" s="285"/>
      <c r="K24" s="285"/>
      <c r="L24" s="285"/>
      <c r="M24" s="285"/>
      <c r="N24" s="285"/>
      <c r="O24" s="285"/>
      <c r="P24" s="285"/>
      <c r="Q24" s="285"/>
      <c r="R24" s="285"/>
      <c r="S24" s="285"/>
      <c r="T24" s="285"/>
      <c r="U24" s="285"/>
      <c r="V24" s="285"/>
      <c r="W24" s="285"/>
      <c r="X24" s="285"/>
      <c r="Y24" s="285"/>
      <c r="Z24" s="285"/>
      <c r="AA24" s="285"/>
      <c r="AB24" s="285"/>
      <c r="AC24" s="285"/>
      <c r="AD24" s="285"/>
      <c r="AE24" s="285"/>
      <c r="AF24" s="285"/>
      <c r="AG24" s="285"/>
      <c r="AH24" s="285"/>
      <c r="AI24" s="285"/>
      <c r="AJ24" s="285"/>
      <c r="AK24" s="285"/>
      <c r="AL24" s="285"/>
      <c r="AM24" s="285"/>
      <c r="AN24" s="285"/>
      <c r="AO24" s="285"/>
      <c r="AP24" s="285"/>
      <c r="AQ24" s="285"/>
      <c r="AR24" s="285"/>
    </row>
    <row r="25" spans="1:44" x14ac:dyDescent="0.2">
      <c r="A25" s="285"/>
      <c r="B25" s="285"/>
      <c r="C25" s="285"/>
      <c r="D25" s="289" t="s">
        <v>200</v>
      </c>
      <c r="E25" s="296"/>
      <c r="F25" s="296"/>
      <c r="G25" s="296"/>
      <c r="H25" s="296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  <c r="T25" s="296"/>
      <c r="U25" s="296"/>
      <c r="V25" s="296"/>
      <c r="W25" s="296"/>
      <c r="X25" s="296"/>
      <c r="Y25" s="296"/>
      <c r="Z25" s="296"/>
      <c r="AA25" s="296"/>
      <c r="AB25" s="296"/>
      <c r="AC25" s="296"/>
      <c r="AD25" s="285"/>
      <c r="AE25" s="285"/>
      <c r="AF25" s="285"/>
      <c r="AG25" s="285"/>
      <c r="AH25" s="285"/>
      <c r="AI25" s="285"/>
      <c r="AJ25" s="285"/>
      <c r="AK25" s="285"/>
      <c r="AL25" s="285"/>
      <c r="AM25" s="285"/>
      <c r="AN25" s="285"/>
      <c r="AO25" s="285"/>
      <c r="AP25" s="285"/>
      <c r="AQ25" s="285"/>
      <c r="AR25" s="285"/>
    </row>
    <row r="26" spans="1:44" x14ac:dyDescent="0.2">
      <c r="A26" s="285"/>
      <c r="B26" s="285"/>
      <c r="C26" s="285"/>
      <c r="D26" s="291" t="s">
        <v>197</v>
      </c>
      <c r="E26" s="292">
        <f>E25</f>
        <v>0</v>
      </c>
      <c r="F26" s="292">
        <f t="shared" ref="F26:AC26" si="2">F25</f>
        <v>0</v>
      </c>
      <c r="G26" s="292">
        <f t="shared" si="2"/>
        <v>0</v>
      </c>
      <c r="H26" s="292">
        <f t="shared" si="2"/>
        <v>0</v>
      </c>
      <c r="I26" s="292">
        <f t="shared" si="2"/>
        <v>0</v>
      </c>
      <c r="J26" s="292">
        <f t="shared" si="2"/>
        <v>0</v>
      </c>
      <c r="K26" s="292">
        <f t="shared" si="2"/>
        <v>0</v>
      </c>
      <c r="L26" s="292">
        <f t="shared" si="2"/>
        <v>0</v>
      </c>
      <c r="M26" s="292">
        <f t="shared" si="2"/>
        <v>0</v>
      </c>
      <c r="N26" s="292">
        <f t="shared" si="2"/>
        <v>0</v>
      </c>
      <c r="O26" s="292">
        <f t="shared" si="2"/>
        <v>0</v>
      </c>
      <c r="P26" s="292">
        <f t="shared" si="2"/>
        <v>0</v>
      </c>
      <c r="Q26" s="292">
        <f t="shared" si="2"/>
        <v>0</v>
      </c>
      <c r="R26" s="292">
        <f t="shared" si="2"/>
        <v>0</v>
      </c>
      <c r="S26" s="292">
        <f t="shared" si="2"/>
        <v>0</v>
      </c>
      <c r="T26" s="292">
        <f t="shared" si="2"/>
        <v>0</v>
      </c>
      <c r="U26" s="292">
        <f t="shared" si="2"/>
        <v>0</v>
      </c>
      <c r="V26" s="292">
        <f t="shared" si="2"/>
        <v>0</v>
      </c>
      <c r="W26" s="292">
        <f t="shared" si="2"/>
        <v>0</v>
      </c>
      <c r="X26" s="292">
        <f t="shared" si="2"/>
        <v>0</v>
      </c>
      <c r="Y26" s="292">
        <f t="shared" si="2"/>
        <v>0</v>
      </c>
      <c r="Z26" s="292">
        <f t="shared" si="2"/>
        <v>0</v>
      </c>
      <c r="AA26" s="292">
        <f t="shared" si="2"/>
        <v>0</v>
      </c>
      <c r="AB26" s="292">
        <f t="shared" si="2"/>
        <v>0</v>
      </c>
      <c r="AC26" s="292">
        <f t="shared" si="2"/>
        <v>0</v>
      </c>
      <c r="AD26" s="285"/>
      <c r="AE26" s="285"/>
      <c r="AF26" s="285"/>
      <c r="AG26" s="285"/>
      <c r="AH26" s="285"/>
      <c r="AI26" s="285"/>
      <c r="AJ26" s="285"/>
      <c r="AK26" s="285"/>
      <c r="AL26" s="285"/>
      <c r="AM26" s="285"/>
      <c r="AN26" s="285"/>
      <c r="AO26" s="285"/>
      <c r="AP26" s="285"/>
      <c r="AQ26" s="285"/>
      <c r="AR26" s="285"/>
    </row>
    <row r="27" spans="1:44" x14ac:dyDescent="0.2">
      <c r="A27" s="285"/>
      <c r="B27" s="285"/>
      <c r="C27" s="285"/>
      <c r="D27" s="285"/>
      <c r="E27" s="285"/>
      <c r="F27" s="285"/>
      <c r="G27" s="285"/>
      <c r="H27" s="285"/>
      <c r="I27" s="285"/>
      <c r="J27" s="285"/>
      <c r="K27" s="285"/>
      <c r="L27" s="285"/>
      <c r="M27" s="285"/>
      <c r="N27" s="285"/>
      <c r="O27" s="285"/>
      <c r="P27" s="285"/>
      <c r="Q27" s="285"/>
      <c r="R27" s="285"/>
      <c r="S27" s="285"/>
      <c r="T27" s="285"/>
      <c r="U27" s="285"/>
      <c r="V27" s="285"/>
      <c r="W27" s="285"/>
      <c r="X27" s="285"/>
      <c r="Y27" s="285"/>
      <c r="Z27" s="285"/>
      <c r="AA27" s="285"/>
      <c r="AB27" s="285"/>
      <c r="AC27" s="285"/>
      <c r="AD27" s="285"/>
      <c r="AE27" s="285"/>
      <c r="AF27" s="285"/>
      <c r="AG27" s="285"/>
      <c r="AH27" s="285"/>
      <c r="AI27" s="285"/>
      <c r="AJ27" s="285"/>
      <c r="AK27" s="285"/>
      <c r="AL27" s="285"/>
      <c r="AM27" s="285"/>
      <c r="AN27" s="285"/>
      <c r="AO27" s="285"/>
      <c r="AP27" s="285"/>
      <c r="AQ27" s="285"/>
      <c r="AR27" s="285"/>
    </row>
    <row r="28" spans="1:44" x14ac:dyDescent="0.2">
      <c r="A28" s="285"/>
      <c r="B28" s="285"/>
      <c r="C28" s="285"/>
      <c r="D28" s="285"/>
      <c r="E28" s="285"/>
      <c r="F28" s="285"/>
      <c r="G28" s="285"/>
      <c r="H28" s="285"/>
      <c r="I28" s="285"/>
      <c r="J28" s="285"/>
      <c r="K28" s="285"/>
      <c r="L28" s="285"/>
      <c r="M28" s="285"/>
      <c r="N28" s="285"/>
      <c r="O28" s="285"/>
      <c r="P28" s="285"/>
      <c r="Q28" s="285"/>
      <c r="R28" s="285"/>
      <c r="S28" s="285"/>
      <c r="T28" s="285"/>
      <c r="U28" s="285"/>
      <c r="V28" s="285"/>
      <c r="W28" s="285"/>
      <c r="X28" s="285"/>
      <c r="Y28" s="285"/>
      <c r="Z28" s="285"/>
      <c r="AA28" s="285"/>
      <c r="AB28" s="285"/>
      <c r="AC28" s="285"/>
      <c r="AD28" s="285"/>
      <c r="AE28" s="285"/>
      <c r="AF28" s="285"/>
      <c r="AG28" s="285"/>
      <c r="AH28" s="285"/>
      <c r="AI28" s="285"/>
      <c r="AJ28" s="285"/>
      <c r="AK28" s="285"/>
      <c r="AL28" s="285"/>
      <c r="AM28" s="285"/>
      <c r="AN28" s="285"/>
      <c r="AO28" s="285"/>
      <c r="AP28" s="285"/>
      <c r="AQ28" s="285"/>
      <c r="AR28" s="285"/>
    </row>
    <row r="29" spans="1:44" x14ac:dyDescent="0.2">
      <c r="A29" s="285"/>
      <c r="B29" s="285"/>
      <c r="C29" s="285"/>
      <c r="D29" s="285"/>
      <c r="E29" s="285"/>
      <c r="F29" s="285"/>
      <c r="G29" s="285"/>
      <c r="H29" s="285"/>
      <c r="I29" s="285"/>
      <c r="J29" s="285"/>
      <c r="K29" s="285"/>
      <c r="L29" s="285"/>
      <c r="M29" s="285"/>
      <c r="N29" s="285"/>
      <c r="O29" s="285"/>
      <c r="P29" s="285"/>
      <c r="Q29" s="285"/>
      <c r="R29" s="285"/>
      <c r="S29" s="285"/>
      <c r="T29" s="285"/>
      <c r="U29" s="285"/>
      <c r="V29" s="285"/>
      <c r="W29" s="285"/>
      <c r="X29" s="285"/>
      <c r="Y29" s="285"/>
      <c r="Z29" s="285"/>
      <c r="AA29" s="285"/>
      <c r="AB29" s="285"/>
      <c r="AC29" s="285"/>
      <c r="AD29" s="285"/>
      <c r="AE29" s="285"/>
      <c r="AF29" s="285"/>
      <c r="AG29" s="285"/>
      <c r="AH29" s="285"/>
      <c r="AI29" s="285"/>
      <c r="AJ29" s="285"/>
      <c r="AK29" s="285"/>
      <c r="AL29" s="285"/>
      <c r="AM29" s="285"/>
      <c r="AN29" s="285"/>
      <c r="AO29" s="285"/>
      <c r="AP29" s="285"/>
      <c r="AQ29" s="285"/>
      <c r="AR29" s="285"/>
    </row>
    <row r="30" spans="1:44" x14ac:dyDescent="0.2">
      <c r="A30" s="293"/>
      <c r="B30" s="283" t="str">
        <f>Assumptions!C16&amp;" - "&amp;Assumptions!E16</f>
        <v>Option 3 - Refurbish #1 transformer completed in 2026-2027</v>
      </c>
      <c r="C30" s="293"/>
      <c r="D30" s="293"/>
      <c r="E30" s="293"/>
      <c r="F30" s="293"/>
      <c r="G30" s="293"/>
      <c r="H30" s="293"/>
      <c r="I30" s="293"/>
      <c r="J30" s="293"/>
      <c r="K30" s="293"/>
      <c r="L30" s="293"/>
      <c r="M30" s="293"/>
      <c r="N30" s="293"/>
      <c r="O30" s="293"/>
      <c r="P30" s="293"/>
      <c r="Q30" s="293"/>
      <c r="R30" s="293"/>
      <c r="S30" s="293"/>
      <c r="T30" s="293"/>
      <c r="U30" s="293"/>
      <c r="V30" s="293"/>
      <c r="W30" s="293"/>
      <c r="X30" s="293"/>
      <c r="Y30" s="293"/>
      <c r="Z30" s="293"/>
      <c r="AA30" s="293"/>
      <c r="AB30" s="293"/>
      <c r="AC30" s="293"/>
      <c r="AD30" s="293"/>
      <c r="AE30" s="293"/>
      <c r="AF30" s="293"/>
      <c r="AG30" s="293"/>
      <c r="AH30" s="293"/>
      <c r="AI30" s="293"/>
      <c r="AJ30" s="293"/>
      <c r="AK30" s="293"/>
      <c r="AL30" s="293"/>
      <c r="AM30" s="293"/>
      <c r="AN30" s="293"/>
      <c r="AO30" s="293"/>
      <c r="AP30" s="293"/>
      <c r="AQ30" s="293"/>
      <c r="AR30" s="293"/>
    </row>
    <row r="31" spans="1:44" x14ac:dyDescent="0.2">
      <c r="A31" s="285"/>
      <c r="B31" s="285"/>
      <c r="C31" s="285"/>
      <c r="D31" s="285"/>
      <c r="E31" s="285"/>
      <c r="F31" s="285"/>
      <c r="G31" s="285"/>
      <c r="H31" s="285"/>
      <c r="I31" s="285"/>
      <c r="J31" s="285"/>
      <c r="K31" s="285"/>
      <c r="L31" s="285"/>
      <c r="M31" s="285"/>
      <c r="N31" s="285"/>
      <c r="O31" s="285"/>
      <c r="P31" s="285"/>
      <c r="Q31" s="285"/>
      <c r="R31" s="285"/>
      <c r="S31" s="285"/>
      <c r="T31" s="285"/>
      <c r="U31" s="285"/>
      <c r="V31" s="285"/>
      <c r="W31" s="285"/>
      <c r="X31" s="285"/>
      <c r="Y31" s="285"/>
      <c r="Z31" s="285"/>
      <c r="AA31" s="285"/>
      <c r="AB31" s="285"/>
      <c r="AC31" s="285"/>
      <c r="AD31" s="285"/>
      <c r="AE31" s="285"/>
      <c r="AF31" s="285"/>
      <c r="AG31" s="285"/>
      <c r="AH31" s="285"/>
      <c r="AI31" s="285"/>
      <c r="AJ31" s="285"/>
      <c r="AK31" s="285"/>
      <c r="AL31" s="285"/>
      <c r="AM31" s="285"/>
      <c r="AN31" s="285"/>
      <c r="AO31" s="285"/>
      <c r="AP31" s="285"/>
      <c r="AQ31" s="285"/>
      <c r="AR31" s="285"/>
    </row>
    <row r="32" spans="1:44" x14ac:dyDescent="0.2">
      <c r="A32" s="285"/>
      <c r="B32" s="285"/>
      <c r="C32" s="285"/>
      <c r="D32" s="285"/>
      <c r="E32" s="285"/>
      <c r="F32" s="285"/>
      <c r="G32" s="285"/>
      <c r="H32" s="285"/>
      <c r="I32" s="285"/>
      <c r="J32" s="285"/>
      <c r="K32" s="285"/>
      <c r="L32" s="285"/>
      <c r="M32" s="285"/>
      <c r="N32" s="285"/>
      <c r="O32" s="285"/>
      <c r="P32" s="285"/>
      <c r="Q32" s="285"/>
      <c r="R32" s="285"/>
      <c r="S32" s="285"/>
      <c r="T32" s="285"/>
      <c r="U32" s="285"/>
      <c r="V32" s="285"/>
      <c r="W32" s="285"/>
      <c r="X32" s="285"/>
      <c r="Y32" s="285"/>
      <c r="Z32" s="285"/>
      <c r="AA32" s="285"/>
      <c r="AB32" s="285"/>
      <c r="AC32" s="285"/>
      <c r="AD32" s="285"/>
      <c r="AE32" s="285"/>
      <c r="AF32" s="285"/>
      <c r="AG32" s="285"/>
      <c r="AH32" s="285"/>
      <c r="AI32" s="285"/>
      <c r="AJ32" s="285"/>
      <c r="AK32" s="285"/>
      <c r="AL32" s="285"/>
      <c r="AM32" s="285"/>
      <c r="AN32" s="285"/>
      <c r="AO32" s="285"/>
      <c r="AP32" s="285"/>
      <c r="AQ32" s="285"/>
      <c r="AR32" s="285"/>
    </row>
    <row r="33" spans="1:44" x14ac:dyDescent="0.2">
      <c r="A33" s="285"/>
      <c r="B33" s="285"/>
      <c r="C33" s="285"/>
      <c r="D33" s="285"/>
      <c r="E33" s="287" t="s">
        <v>52</v>
      </c>
      <c r="F33" s="287" t="s">
        <v>91</v>
      </c>
      <c r="G33" s="287" t="s">
        <v>92</v>
      </c>
      <c r="H33" s="287" t="s">
        <v>93</v>
      </c>
      <c r="I33" s="287" t="s">
        <v>94</v>
      </c>
      <c r="J33" s="287" t="s">
        <v>95</v>
      </c>
      <c r="K33" s="287" t="s">
        <v>176</v>
      </c>
      <c r="L33" s="287" t="s">
        <v>177</v>
      </c>
      <c r="M33" s="287" t="s">
        <v>178</v>
      </c>
      <c r="N33" s="287" t="s">
        <v>179</v>
      </c>
      <c r="O33" s="287" t="s">
        <v>180</v>
      </c>
      <c r="P33" s="287" t="s">
        <v>181</v>
      </c>
      <c r="Q33" s="287" t="s">
        <v>182</v>
      </c>
      <c r="R33" s="287" t="s">
        <v>183</v>
      </c>
      <c r="S33" s="287" t="s">
        <v>184</v>
      </c>
      <c r="T33" s="287" t="s">
        <v>185</v>
      </c>
      <c r="U33" s="287" t="s">
        <v>186</v>
      </c>
      <c r="V33" s="287" t="s">
        <v>187</v>
      </c>
      <c r="W33" s="287" t="s">
        <v>188</v>
      </c>
      <c r="X33" s="287" t="s">
        <v>189</v>
      </c>
      <c r="Y33" s="287" t="s">
        <v>190</v>
      </c>
      <c r="Z33" s="287" t="s">
        <v>191</v>
      </c>
      <c r="AA33" s="287" t="s">
        <v>192</v>
      </c>
      <c r="AB33" s="287" t="s">
        <v>193</v>
      </c>
      <c r="AC33" s="287" t="s">
        <v>194</v>
      </c>
      <c r="AD33" s="285"/>
      <c r="AE33" s="285"/>
      <c r="AF33" s="285"/>
      <c r="AG33" s="285"/>
      <c r="AH33" s="285"/>
      <c r="AI33" s="285"/>
      <c r="AJ33" s="285"/>
      <c r="AK33" s="285"/>
      <c r="AL33" s="285"/>
      <c r="AM33" s="285"/>
      <c r="AN33" s="285"/>
      <c r="AO33" s="285"/>
      <c r="AP33" s="285"/>
      <c r="AQ33" s="285"/>
      <c r="AR33" s="285"/>
    </row>
    <row r="34" spans="1:44" x14ac:dyDescent="0.2">
      <c r="A34" s="285"/>
      <c r="B34" s="285"/>
      <c r="C34" s="285"/>
      <c r="D34" s="288" t="s">
        <v>198</v>
      </c>
      <c r="E34" s="290">
        <v>530000</v>
      </c>
      <c r="F34" s="290"/>
      <c r="G34" s="290"/>
      <c r="H34" s="290"/>
      <c r="I34" s="290"/>
      <c r="J34" s="290"/>
      <c r="K34" s="290"/>
      <c r="L34" s="290"/>
      <c r="M34" s="290"/>
      <c r="N34" s="290"/>
      <c r="O34" s="290"/>
      <c r="P34" s="290"/>
      <c r="Q34" s="290"/>
      <c r="R34" s="290"/>
      <c r="S34" s="290"/>
      <c r="T34" s="290"/>
      <c r="U34" s="290"/>
      <c r="V34" s="290"/>
      <c r="W34" s="290"/>
      <c r="X34" s="290"/>
      <c r="Y34" s="290"/>
      <c r="Z34" s="290"/>
      <c r="AA34" s="290"/>
      <c r="AB34" s="290"/>
      <c r="AC34" s="290"/>
      <c r="AD34" s="285"/>
      <c r="AE34" s="285"/>
      <c r="AF34" s="285"/>
      <c r="AG34" s="285"/>
      <c r="AH34" s="285"/>
      <c r="AI34" s="285"/>
      <c r="AJ34" s="285"/>
      <c r="AK34" s="285"/>
      <c r="AL34" s="285"/>
      <c r="AM34" s="285"/>
      <c r="AN34" s="285"/>
      <c r="AO34" s="285"/>
      <c r="AP34" s="285"/>
      <c r="AQ34" s="285"/>
      <c r="AR34" s="285"/>
    </row>
    <row r="35" spans="1:44" x14ac:dyDescent="0.2">
      <c r="A35" s="285"/>
      <c r="B35" s="285"/>
      <c r="C35" s="285"/>
      <c r="D35" s="294" t="s">
        <v>199</v>
      </c>
      <c r="E35" s="295">
        <f>E34</f>
        <v>530000</v>
      </c>
      <c r="F35" s="295">
        <f t="shared" ref="F35:AC35" si="3">F34</f>
        <v>0</v>
      </c>
      <c r="G35" s="295">
        <f t="shared" si="3"/>
        <v>0</v>
      </c>
      <c r="H35" s="295">
        <f t="shared" si="3"/>
        <v>0</v>
      </c>
      <c r="I35" s="295">
        <f t="shared" si="3"/>
        <v>0</v>
      </c>
      <c r="J35" s="295">
        <f t="shared" si="3"/>
        <v>0</v>
      </c>
      <c r="K35" s="295">
        <f t="shared" si="3"/>
        <v>0</v>
      </c>
      <c r="L35" s="295">
        <f t="shared" si="3"/>
        <v>0</v>
      </c>
      <c r="M35" s="295">
        <f t="shared" si="3"/>
        <v>0</v>
      </c>
      <c r="N35" s="295">
        <f t="shared" si="3"/>
        <v>0</v>
      </c>
      <c r="O35" s="295">
        <f t="shared" si="3"/>
        <v>0</v>
      </c>
      <c r="P35" s="295">
        <f t="shared" si="3"/>
        <v>0</v>
      </c>
      <c r="Q35" s="295">
        <f t="shared" si="3"/>
        <v>0</v>
      </c>
      <c r="R35" s="295">
        <f t="shared" si="3"/>
        <v>0</v>
      </c>
      <c r="S35" s="295">
        <f t="shared" si="3"/>
        <v>0</v>
      </c>
      <c r="T35" s="295">
        <f t="shared" si="3"/>
        <v>0</v>
      </c>
      <c r="U35" s="295">
        <f t="shared" si="3"/>
        <v>0</v>
      </c>
      <c r="V35" s="295">
        <f t="shared" si="3"/>
        <v>0</v>
      </c>
      <c r="W35" s="295">
        <f t="shared" si="3"/>
        <v>0</v>
      </c>
      <c r="X35" s="295">
        <f t="shared" si="3"/>
        <v>0</v>
      </c>
      <c r="Y35" s="295">
        <f t="shared" si="3"/>
        <v>0</v>
      </c>
      <c r="Z35" s="295">
        <f t="shared" si="3"/>
        <v>0</v>
      </c>
      <c r="AA35" s="295">
        <f t="shared" si="3"/>
        <v>0</v>
      </c>
      <c r="AB35" s="295">
        <f t="shared" si="3"/>
        <v>0</v>
      </c>
      <c r="AC35" s="295">
        <f t="shared" si="3"/>
        <v>0</v>
      </c>
      <c r="AD35" s="285"/>
      <c r="AE35" s="285"/>
      <c r="AF35" s="285"/>
      <c r="AG35" s="285"/>
      <c r="AH35" s="285"/>
      <c r="AI35" s="285"/>
      <c r="AJ35" s="285"/>
      <c r="AK35" s="285"/>
      <c r="AL35" s="285"/>
      <c r="AM35" s="285"/>
      <c r="AN35" s="285"/>
      <c r="AO35" s="285"/>
      <c r="AP35" s="285"/>
      <c r="AQ35" s="285"/>
      <c r="AR35" s="285"/>
    </row>
    <row r="36" spans="1:44" x14ac:dyDescent="0.2">
      <c r="A36" s="285"/>
      <c r="B36" s="285"/>
      <c r="C36" s="285"/>
      <c r="D36" s="285"/>
      <c r="E36" s="285"/>
      <c r="F36" s="285"/>
      <c r="G36" s="285"/>
      <c r="H36" s="285"/>
      <c r="I36" s="285"/>
      <c r="J36" s="285"/>
      <c r="K36" s="285"/>
      <c r="L36" s="285"/>
      <c r="M36" s="285"/>
      <c r="N36" s="285"/>
      <c r="O36" s="285"/>
      <c r="P36" s="285"/>
      <c r="Q36" s="285"/>
      <c r="R36" s="285"/>
      <c r="S36" s="285"/>
      <c r="T36" s="285"/>
      <c r="U36" s="285"/>
      <c r="V36" s="285"/>
      <c r="W36" s="285"/>
      <c r="X36" s="285"/>
      <c r="Y36" s="285"/>
      <c r="Z36" s="285"/>
      <c r="AA36" s="285"/>
      <c r="AB36" s="285"/>
      <c r="AC36" s="285"/>
      <c r="AD36" s="285"/>
      <c r="AE36" s="285"/>
      <c r="AF36" s="285"/>
      <c r="AG36" s="285"/>
      <c r="AH36" s="285"/>
      <c r="AI36" s="285"/>
      <c r="AJ36" s="285"/>
      <c r="AK36" s="285"/>
      <c r="AL36" s="285"/>
      <c r="AM36" s="285"/>
      <c r="AN36" s="285"/>
      <c r="AO36" s="285"/>
      <c r="AP36" s="285"/>
      <c r="AQ36" s="285"/>
      <c r="AR36" s="285"/>
    </row>
    <row r="37" spans="1:44" x14ac:dyDescent="0.2">
      <c r="A37" s="285"/>
      <c r="B37" s="285"/>
      <c r="C37" s="285"/>
      <c r="D37" s="285"/>
      <c r="E37" s="287" t="s">
        <v>52</v>
      </c>
      <c r="F37" s="287" t="s">
        <v>91</v>
      </c>
      <c r="G37" s="287" t="s">
        <v>92</v>
      </c>
      <c r="H37" s="287" t="s">
        <v>93</v>
      </c>
      <c r="I37" s="287" t="s">
        <v>94</v>
      </c>
      <c r="J37" s="287" t="s">
        <v>95</v>
      </c>
      <c r="K37" s="287" t="s">
        <v>176</v>
      </c>
      <c r="L37" s="287" t="s">
        <v>177</v>
      </c>
      <c r="M37" s="287" t="s">
        <v>178</v>
      </c>
      <c r="N37" s="287" t="s">
        <v>179</v>
      </c>
      <c r="O37" s="287" t="s">
        <v>180</v>
      </c>
      <c r="P37" s="287" t="s">
        <v>181</v>
      </c>
      <c r="Q37" s="287" t="s">
        <v>182</v>
      </c>
      <c r="R37" s="287" t="s">
        <v>183</v>
      </c>
      <c r="S37" s="287" t="s">
        <v>184</v>
      </c>
      <c r="T37" s="287" t="s">
        <v>185</v>
      </c>
      <c r="U37" s="287" t="s">
        <v>186</v>
      </c>
      <c r="V37" s="287" t="s">
        <v>187</v>
      </c>
      <c r="W37" s="287" t="s">
        <v>188</v>
      </c>
      <c r="X37" s="287" t="s">
        <v>189</v>
      </c>
      <c r="Y37" s="287" t="s">
        <v>190</v>
      </c>
      <c r="Z37" s="287" t="s">
        <v>191</v>
      </c>
      <c r="AA37" s="287" t="s">
        <v>192</v>
      </c>
      <c r="AB37" s="287" t="s">
        <v>193</v>
      </c>
      <c r="AC37" s="287" t="s">
        <v>194</v>
      </c>
      <c r="AD37" s="285"/>
      <c r="AE37" s="285"/>
      <c r="AF37" s="285"/>
      <c r="AG37" s="285"/>
      <c r="AH37" s="285"/>
      <c r="AI37" s="285"/>
      <c r="AJ37" s="285"/>
      <c r="AK37" s="285"/>
      <c r="AL37" s="285"/>
      <c r="AM37" s="285"/>
      <c r="AN37" s="285"/>
      <c r="AO37" s="285"/>
      <c r="AP37" s="285"/>
      <c r="AQ37" s="285"/>
      <c r="AR37" s="285"/>
    </row>
    <row r="38" spans="1:44" x14ac:dyDescent="0.2">
      <c r="A38" s="285"/>
      <c r="B38" s="285"/>
      <c r="C38" s="285"/>
      <c r="D38" s="288" t="s">
        <v>195</v>
      </c>
      <c r="E38" s="285"/>
      <c r="F38" s="285"/>
      <c r="G38" s="285"/>
      <c r="H38" s="285"/>
      <c r="I38" s="285"/>
      <c r="J38" s="285"/>
      <c r="K38" s="285"/>
      <c r="L38" s="285"/>
      <c r="M38" s="285"/>
      <c r="N38" s="285"/>
      <c r="O38" s="285"/>
      <c r="P38" s="285"/>
      <c r="Q38" s="285"/>
      <c r="R38" s="285"/>
      <c r="S38" s="285"/>
      <c r="T38" s="285"/>
      <c r="U38" s="285"/>
      <c r="V38" s="285"/>
      <c r="W38" s="285"/>
      <c r="X38" s="285"/>
      <c r="Y38" s="285"/>
      <c r="Z38" s="285"/>
      <c r="AA38" s="285"/>
      <c r="AB38" s="285"/>
      <c r="AC38" s="285"/>
      <c r="AD38" s="285"/>
      <c r="AE38" s="285"/>
      <c r="AF38" s="285"/>
      <c r="AG38" s="285"/>
      <c r="AH38" s="285"/>
      <c r="AI38" s="285"/>
      <c r="AJ38" s="285"/>
      <c r="AK38" s="285"/>
      <c r="AL38" s="285"/>
      <c r="AM38" s="285"/>
      <c r="AN38" s="285"/>
      <c r="AO38" s="285"/>
      <c r="AP38" s="285"/>
      <c r="AQ38" s="285"/>
      <c r="AR38" s="285"/>
    </row>
    <row r="39" spans="1:44" x14ac:dyDescent="0.2">
      <c r="A39" s="285"/>
      <c r="B39" s="285"/>
      <c r="C39" s="285"/>
      <c r="D39" s="289" t="s">
        <v>200</v>
      </c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6"/>
      <c r="AB39" s="296"/>
      <c r="AC39" s="296"/>
      <c r="AD39" s="285"/>
      <c r="AE39" s="285"/>
      <c r="AF39" s="285"/>
      <c r="AG39" s="285"/>
      <c r="AH39" s="285"/>
      <c r="AI39" s="285"/>
      <c r="AJ39" s="285"/>
      <c r="AK39" s="285"/>
      <c r="AL39" s="285"/>
      <c r="AM39" s="285"/>
      <c r="AN39" s="285"/>
      <c r="AO39" s="285"/>
      <c r="AP39" s="285"/>
      <c r="AQ39" s="285"/>
      <c r="AR39" s="285"/>
    </row>
    <row r="40" spans="1:44" x14ac:dyDescent="0.2">
      <c r="A40" s="285"/>
      <c r="B40" s="285"/>
      <c r="C40" s="285"/>
      <c r="D40" s="291" t="s">
        <v>197</v>
      </c>
      <c r="E40" s="292">
        <v>0</v>
      </c>
      <c r="F40" s="292">
        <v>0</v>
      </c>
      <c r="G40" s="292">
        <v>0</v>
      </c>
      <c r="H40" s="292">
        <v>0</v>
      </c>
      <c r="I40" s="292">
        <v>0</v>
      </c>
      <c r="J40" s="292">
        <v>0</v>
      </c>
      <c r="K40" s="292">
        <v>0</v>
      </c>
      <c r="L40" s="292">
        <v>0</v>
      </c>
      <c r="M40" s="292">
        <v>0</v>
      </c>
      <c r="N40" s="292">
        <v>0</v>
      </c>
      <c r="O40" s="292">
        <v>0</v>
      </c>
      <c r="P40" s="292">
        <v>0</v>
      </c>
      <c r="Q40" s="292">
        <v>0</v>
      </c>
      <c r="R40" s="292">
        <v>0</v>
      </c>
      <c r="S40" s="292">
        <v>0</v>
      </c>
      <c r="T40" s="292">
        <v>0</v>
      </c>
      <c r="U40" s="292">
        <v>0</v>
      </c>
      <c r="V40" s="292">
        <v>0</v>
      </c>
      <c r="W40" s="292">
        <v>0</v>
      </c>
      <c r="X40" s="292">
        <v>0</v>
      </c>
      <c r="Y40" s="292">
        <v>0</v>
      </c>
      <c r="Z40" s="292">
        <v>0</v>
      </c>
      <c r="AA40" s="292">
        <v>0</v>
      </c>
      <c r="AB40" s="292">
        <v>0</v>
      </c>
      <c r="AC40" s="292">
        <v>0</v>
      </c>
      <c r="AD40" s="285"/>
      <c r="AE40" s="285"/>
      <c r="AF40" s="285"/>
      <c r="AG40" s="285"/>
      <c r="AH40" s="285"/>
      <c r="AI40" s="285"/>
      <c r="AJ40" s="285"/>
      <c r="AK40" s="285"/>
      <c r="AL40" s="285"/>
      <c r="AM40" s="285"/>
      <c r="AN40" s="285"/>
      <c r="AO40" s="285"/>
      <c r="AP40" s="285"/>
      <c r="AQ40" s="285"/>
      <c r="AR40" s="285"/>
    </row>
    <row r="41" spans="1:44" x14ac:dyDescent="0.2">
      <c r="A41" s="285"/>
      <c r="B41" s="285"/>
      <c r="C41" s="285"/>
      <c r="D41" s="285"/>
      <c r="E41" s="285"/>
      <c r="F41" s="285"/>
      <c r="G41" s="285"/>
      <c r="H41" s="285"/>
      <c r="I41" s="285"/>
      <c r="J41" s="285"/>
      <c r="K41" s="285"/>
      <c r="L41" s="285"/>
      <c r="M41" s="285"/>
      <c r="N41" s="285"/>
      <c r="O41" s="285"/>
      <c r="P41" s="285"/>
      <c r="Q41" s="285"/>
      <c r="R41" s="285"/>
      <c r="S41" s="285"/>
      <c r="T41" s="285"/>
      <c r="U41" s="285"/>
      <c r="V41" s="285"/>
      <c r="W41" s="285"/>
      <c r="X41" s="285"/>
      <c r="Y41" s="285"/>
      <c r="Z41" s="285"/>
      <c r="AA41" s="285"/>
      <c r="AB41" s="285"/>
      <c r="AC41" s="285"/>
      <c r="AD41" s="285"/>
      <c r="AE41" s="285"/>
      <c r="AF41" s="285"/>
      <c r="AG41" s="285"/>
      <c r="AH41" s="285"/>
      <c r="AI41" s="285"/>
      <c r="AJ41" s="285"/>
      <c r="AK41" s="285"/>
      <c r="AL41" s="285"/>
      <c r="AM41" s="285"/>
      <c r="AN41" s="285"/>
      <c r="AO41" s="285"/>
      <c r="AP41" s="285"/>
      <c r="AQ41" s="285"/>
      <c r="AR41" s="285"/>
    </row>
    <row r="42" spans="1:44" x14ac:dyDescent="0.2">
      <c r="A42" s="285"/>
      <c r="B42" s="285"/>
      <c r="C42" s="285"/>
      <c r="D42" s="285"/>
      <c r="E42" s="285"/>
      <c r="F42" s="285"/>
      <c r="G42" s="285"/>
      <c r="H42" s="285"/>
      <c r="I42" s="285"/>
      <c r="J42" s="285"/>
      <c r="K42" s="285"/>
      <c r="L42" s="285"/>
      <c r="M42" s="285"/>
      <c r="N42" s="285"/>
      <c r="O42" s="285"/>
      <c r="P42" s="285"/>
      <c r="Q42" s="285"/>
      <c r="R42" s="285"/>
      <c r="S42" s="285"/>
      <c r="T42" s="285"/>
      <c r="U42" s="285"/>
      <c r="V42" s="285"/>
      <c r="W42" s="285"/>
      <c r="X42" s="285"/>
      <c r="Y42" s="285"/>
      <c r="Z42" s="285"/>
      <c r="AA42" s="285"/>
      <c r="AB42" s="285"/>
      <c r="AC42" s="285"/>
      <c r="AD42" s="285"/>
      <c r="AE42" s="285"/>
      <c r="AF42" s="285"/>
      <c r="AG42" s="285"/>
      <c r="AH42" s="285"/>
      <c r="AI42" s="285"/>
      <c r="AJ42" s="285"/>
      <c r="AK42" s="285"/>
      <c r="AL42" s="285"/>
      <c r="AM42" s="285"/>
      <c r="AN42" s="285"/>
      <c r="AO42" s="285"/>
      <c r="AP42" s="285"/>
      <c r="AQ42" s="285"/>
      <c r="AR42" s="285"/>
    </row>
    <row r="43" spans="1:44" x14ac:dyDescent="0.2">
      <c r="A43" s="285"/>
      <c r="B43" s="285"/>
      <c r="C43" s="285"/>
      <c r="D43" s="285"/>
      <c r="E43" s="285"/>
      <c r="F43" s="297"/>
      <c r="G43" s="285"/>
      <c r="H43" s="285"/>
      <c r="I43" s="285"/>
      <c r="J43" s="298"/>
      <c r="K43" s="298"/>
      <c r="L43" s="298"/>
      <c r="M43" s="298"/>
      <c r="N43" s="298"/>
      <c r="O43" s="298"/>
      <c r="P43" s="298"/>
      <c r="Q43" s="298"/>
      <c r="R43" s="298"/>
      <c r="S43" s="298"/>
      <c r="T43" s="298"/>
      <c r="U43" s="298"/>
      <c r="V43" s="298"/>
      <c r="W43" s="298"/>
      <c r="X43" s="298"/>
      <c r="Y43" s="298"/>
      <c r="Z43" s="298"/>
      <c r="AA43" s="298"/>
      <c r="AB43" s="298"/>
      <c r="AC43" s="298"/>
      <c r="AD43" s="285"/>
      <c r="AE43" s="285"/>
      <c r="AF43" s="285"/>
      <c r="AG43" s="285"/>
      <c r="AH43" s="285"/>
      <c r="AI43" s="285"/>
      <c r="AJ43" s="285"/>
      <c r="AK43" s="285"/>
      <c r="AL43" s="285"/>
      <c r="AM43" s="285"/>
      <c r="AN43" s="285"/>
      <c r="AO43" s="285"/>
      <c r="AP43" s="285"/>
      <c r="AQ43" s="285"/>
      <c r="AR43" s="285"/>
    </row>
    <row r="44" spans="1:44" x14ac:dyDescent="0.2">
      <c r="A44" s="285"/>
      <c r="B44" s="285"/>
      <c r="C44" s="285"/>
      <c r="D44" s="285"/>
      <c r="E44" s="285"/>
      <c r="F44" s="297"/>
      <c r="G44" s="285"/>
      <c r="H44" s="285"/>
      <c r="I44" s="285"/>
      <c r="J44" s="298"/>
      <c r="K44" s="298"/>
      <c r="L44" s="298"/>
      <c r="M44" s="298"/>
      <c r="N44" s="298"/>
      <c r="O44" s="298"/>
      <c r="P44" s="298"/>
      <c r="Q44" s="298"/>
      <c r="R44" s="298"/>
      <c r="S44" s="298"/>
      <c r="T44" s="298"/>
      <c r="U44" s="298"/>
      <c r="V44" s="298"/>
      <c r="W44" s="298"/>
      <c r="X44" s="298"/>
      <c r="Y44" s="298"/>
      <c r="Z44" s="298"/>
      <c r="AA44" s="298"/>
      <c r="AB44" s="298"/>
      <c r="AC44" s="298"/>
      <c r="AD44" s="285"/>
      <c r="AE44" s="285"/>
      <c r="AF44" s="285"/>
      <c r="AG44" s="285"/>
      <c r="AH44" s="285"/>
      <c r="AI44" s="285"/>
      <c r="AJ44" s="285"/>
      <c r="AK44" s="285"/>
      <c r="AL44" s="285"/>
      <c r="AM44" s="285"/>
      <c r="AN44" s="285"/>
      <c r="AO44" s="285"/>
      <c r="AP44" s="285"/>
      <c r="AQ44" s="285"/>
      <c r="AR44" s="285"/>
    </row>
    <row r="45" spans="1:44" x14ac:dyDescent="0.2">
      <c r="A45" s="285"/>
      <c r="B45" s="285"/>
      <c r="C45" s="285"/>
      <c r="D45" s="285"/>
      <c r="E45" s="285"/>
      <c r="F45" s="297"/>
      <c r="G45" s="285"/>
      <c r="H45" s="285"/>
      <c r="I45" s="285"/>
      <c r="J45" s="298"/>
      <c r="K45" s="298"/>
      <c r="L45" s="298"/>
      <c r="M45" s="298"/>
      <c r="N45" s="298"/>
      <c r="O45" s="298"/>
      <c r="P45" s="298"/>
      <c r="Q45" s="298"/>
      <c r="R45" s="298"/>
      <c r="S45" s="298"/>
      <c r="T45" s="298"/>
      <c r="U45" s="298"/>
      <c r="V45" s="298"/>
      <c r="W45" s="298"/>
      <c r="X45" s="298"/>
      <c r="Y45" s="298"/>
      <c r="Z45" s="298"/>
      <c r="AA45" s="298"/>
      <c r="AB45" s="298"/>
      <c r="AC45" s="298"/>
      <c r="AD45" s="285"/>
      <c r="AE45" s="285"/>
      <c r="AF45" s="285"/>
      <c r="AG45" s="285"/>
      <c r="AH45" s="285"/>
      <c r="AI45" s="285"/>
      <c r="AJ45" s="285"/>
      <c r="AK45" s="285"/>
      <c r="AL45" s="285"/>
      <c r="AM45" s="285"/>
      <c r="AN45" s="285"/>
      <c r="AO45" s="285"/>
      <c r="AP45" s="285"/>
      <c r="AQ45" s="285"/>
      <c r="AR45" s="285"/>
    </row>
    <row r="46" spans="1:44" x14ac:dyDescent="0.2">
      <c r="A46" s="285"/>
      <c r="B46" s="285"/>
      <c r="C46" s="285"/>
      <c r="D46" s="285"/>
      <c r="E46" s="285"/>
      <c r="F46" s="297"/>
      <c r="G46" s="285"/>
      <c r="H46" s="285"/>
      <c r="I46" s="285"/>
      <c r="J46" s="298"/>
      <c r="K46" s="298"/>
      <c r="L46" s="298"/>
      <c r="M46" s="298"/>
      <c r="N46" s="298"/>
      <c r="O46" s="298"/>
      <c r="P46" s="298"/>
      <c r="Q46" s="298"/>
      <c r="R46" s="298"/>
      <c r="S46" s="298"/>
      <c r="T46" s="298"/>
      <c r="U46" s="298"/>
      <c r="V46" s="298"/>
      <c r="W46" s="298"/>
      <c r="X46" s="298"/>
      <c r="Y46" s="298"/>
      <c r="Z46" s="298"/>
      <c r="AA46" s="298"/>
      <c r="AB46" s="298"/>
      <c r="AC46" s="298"/>
      <c r="AD46" s="285"/>
      <c r="AE46" s="285"/>
      <c r="AF46" s="285"/>
      <c r="AG46" s="285"/>
      <c r="AH46" s="285"/>
      <c r="AI46" s="285"/>
      <c r="AJ46" s="285"/>
      <c r="AK46" s="285"/>
      <c r="AL46" s="285"/>
      <c r="AM46" s="285"/>
      <c r="AN46" s="285"/>
      <c r="AO46" s="285"/>
      <c r="AP46" s="285"/>
      <c r="AQ46" s="285"/>
      <c r="AR46" s="285"/>
    </row>
    <row r="47" spans="1:44" x14ac:dyDescent="0.2">
      <c r="A47" s="285"/>
      <c r="B47" s="285"/>
      <c r="C47" s="285"/>
      <c r="D47" s="285"/>
      <c r="E47" s="285"/>
      <c r="F47" s="297"/>
      <c r="G47" s="285"/>
      <c r="H47" s="285"/>
      <c r="I47" s="285"/>
      <c r="J47" s="298"/>
      <c r="K47" s="298"/>
      <c r="L47" s="298"/>
      <c r="M47" s="298"/>
      <c r="N47" s="298"/>
      <c r="O47" s="298"/>
      <c r="P47" s="298"/>
      <c r="Q47" s="298"/>
      <c r="R47" s="298"/>
      <c r="S47" s="298"/>
      <c r="T47" s="298"/>
      <c r="U47" s="298"/>
      <c r="V47" s="298"/>
      <c r="W47" s="298"/>
      <c r="X47" s="298"/>
      <c r="Y47" s="298"/>
      <c r="Z47" s="298"/>
      <c r="AA47" s="298"/>
      <c r="AB47" s="298"/>
      <c r="AC47" s="298"/>
      <c r="AD47" s="285"/>
      <c r="AE47" s="285"/>
      <c r="AF47" s="285"/>
      <c r="AG47" s="285"/>
      <c r="AH47" s="285"/>
      <c r="AI47" s="285"/>
      <c r="AJ47" s="285"/>
      <c r="AK47" s="285"/>
      <c r="AL47" s="285"/>
      <c r="AM47" s="285"/>
      <c r="AN47" s="285"/>
      <c r="AO47" s="285"/>
      <c r="AP47" s="285"/>
      <c r="AQ47" s="285"/>
      <c r="AR47" s="285"/>
    </row>
  </sheetData>
  <pageMargins left="0.7" right="0.7" top="0.75" bottom="0.75" header="0.3" footer="0.3"/>
  <pageSetup paperSize="9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D5710-E35D-4694-9BC6-D8FD8F8BE172}">
  <sheetPr codeName="Sheet10">
    <tabColor rgb="FFFFFF00"/>
  </sheetPr>
  <dimension ref="A1:AR40"/>
  <sheetViews>
    <sheetView showGridLines="0" zoomScale="90" zoomScaleNormal="90" workbookViewId="0">
      <pane xSplit="4" ySplit="5" topLeftCell="E6" activePane="bottomRight" state="frozen"/>
      <selection activeCell="A3" sqref="A3"/>
      <selection pane="topRight" activeCell="A3" sqref="A3"/>
      <selection pane="bottomLeft" activeCell="A3" sqref="A3"/>
      <selection pane="bottomRight" activeCell="A3" sqref="A3"/>
    </sheetView>
  </sheetViews>
  <sheetFormatPr defaultColWidth="8" defaultRowHeight="12.75" x14ac:dyDescent="0.2"/>
  <cols>
    <col min="1" max="1" width="2.625" style="1" customWidth="1"/>
    <col min="2" max="2" width="5.25" style="1" customWidth="1"/>
    <col min="3" max="3" width="10.75" style="1" customWidth="1"/>
    <col min="4" max="4" width="23.875" style="1" bestFit="1" customWidth="1"/>
    <col min="5" max="5" width="12.125" style="1" customWidth="1"/>
    <col min="6" max="6" width="15.125" style="1" customWidth="1"/>
    <col min="7" max="7" width="14" style="1" customWidth="1"/>
    <col min="8" max="8" width="14.75" style="1" customWidth="1"/>
    <col min="9" max="28" width="8.625" style="1" customWidth="1"/>
    <col min="29" max="16384" width="8" style="1"/>
  </cols>
  <sheetData>
    <row r="1" spans="1:44" ht="18.75" x14ac:dyDescent="0.3">
      <c r="A1" s="13" t="str">
        <f>bus</f>
        <v>CitiPower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44" ht="18.75" x14ac:dyDescent="0.3">
      <c r="A2" s="50" t="str">
        <f>proj</f>
        <v>NC transformer replacement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44" ht="18.75" x14ac:dyDescent="0.3">
      <c r="A3" s="5" t="s">
        <v>201</v>
      </c>
      <c r="B3" s="280"/>
      <c r="C3" s="5"/>
      <c r="D3" s="5"/>
    </row>
    <row r="5" spans="1:44" ht="15" x14ac:dyDescent="0.2">
      <c r="A5" s="281"/>
      <c r="B5" s="281"/>
      <c r="C5" s="281"/>
      <c r="D5" s="281"/>
      <c r="E5" s="281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</row>
    <row r="6" spans="1:44" x14ac:dyDescent="0.2">
      <c r="C6" s="3"/>
      <c r="D6" s="3"/>
    </row>
    <row r="7" spans="1:44" x14ac:dyDescent="0.2">
      <c r="A7" s="282"/>
      <c r="B7" s="283" t="s">
        <v>175</v>
      </c>
      <c r="C7" s="284"/>
      <c r="D7" s="284"/>
      <c r="E7" s="284"/>
      <c r="F7" s="284"/>
      <c r="G7" s="284"/>
      <c r="H7" s="284"/>
      <c r="I7" s="284"/>
      <c r="J7" s="284"/>
      <c r="K7" s="284"/>
      <c r="L7" s="284"/>
      <c r="M7" s="284"/>
      <c r="N7" s="284"/>
      <c r="O7" s="284"/>
      <c r="P7" s="284"/>
      <c r="Q7" s="284"/>
      <c r="R7" s="284"/>
      <c r="S7" s="284"/>
      <c r="T7" s="284"/>
      <c r="U7" s="284"/>
      <c r="V7" s="284"/>
      <c r="W7" s="284"/>
      <c r="X7" s="284"/>
      <c r="Y7" s="284"/>
      <c r="Z7" s="284"/>
      <c r="AA7" s="284"/>
      <c r="AB7" s="284"/>
      <c r="AC7" s="284"/>
      <c r="AD7" s="284"/>
      <c r="AE7" s="284"/>
      <c r="AF7" s="284"/>
      <c r="AG7" s="284"/>
      <c r="AH7" s="284"/>
      <c r="AI7" s="284"/>
      <c r="AJ7" s="284"/>
      <c r="AK7" s="284"/>
      <c r="AL7" s="284"/>
      <c r="AM7" s="284"/>
      <c r="AN7" s="284"/>
      <c r="AO7" s="284"/>
      <c r="AP7" s="284"/>
      <c r="AQ7" s="284"/>
      <c r="AR7" s="282"/>
    </row>
    <row r="8" spans="1:44" x14ac:dyDescent="0.2">
      <c r="A8" s="285"/>
      <c r="B8" s="285"/>
      <c r="C8" s="285"/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  <c r="X8" s="285"/>
      <c r="Y8" s="285"/>
      <c r="Z8" s="285"/>
      <c r="AA8" s="285"/>
      <c r="AB8" s="285"/>
      <c r="AC8" s="285"/>
      <c r="AD8" s="285"/>
      <c r="AE8" s="285"/>
      <c r="AF8" s="285"/>
      <c r="AG8" s="285"/>
      <c r="AH8" s="285"/>
      <c r="AI8" s="285"/>
      <c r="AJ8" s="285"/>
      <c r="AK8" s="285"/>
      <c r="AL8" s="285"/>
      <c r="AM8" s="285"/>
      <c r="AN8" s="285"/>
      <c r="AO8" s="285"/>
      <c r="AP8" s="285"/>
      <c r="AQ8" s="285"/>
      <c r="AR8" s="285"/>
    </row>
    <row r="9" spans="1:44" x14ac:dyDescent="0.2">
      <c r="A9" s="285"/>
      <c r="B9" s="285"/>
      <c r="C9" s="285"/>
      <c r="D9" s="285"/>
      <c r="E9" s="287" t="s">
        <v>52</v>
      </c>
      <c r="F9" s="287" t="s">
        <v>91</v>
      </c>
      <c r="G9" s="287" t="s">
        <v>92</v>
      </c>
      <c r="H9" s="287" t="s">
        <v>93</v>
      </c>
      <c r="I9" s="287" t="s">
        <v>94</v>
      </c>
      <c r="J9" s="287" t="s">
        <v>95</v>
      </c>
      <c r="K9" s="287" t="s">
        <v>176</v>
      </c>
      <c r="L9" s="287" t="s">
        <v>177</v>
      </c>
      <c r="M9" s="287" t="s">
        <v>178</v>
      </c>
      <c r="N9" s="287" t="s">
        <v>179</v>
      </c>
      <c r="O9" s="287" t="s">
        <v>180</v>
      </c>
      <c r="P9" s="287" t="s">
        <v>181</v>
      </c>
      <c r="Q9" s="287" t="s">
        <v>182</v>
      </c>
      <c r="R9" s="287" t="s">
        <v>183</v>
      </c>
      <c r="S9" s="287" t="s">
        <v>184</v>
      </c>
      <c r="T9" s="287" t="s">
        <v>185</v>
      </c>
      <c r="U9" s="287" t="s">
        <v>186</v>
      </c>
      <c r="V9" s="287" t="s">
        <v>187</v>
      </c>
      <c r="W9" s="287" t="s">
        <v>188</v>
      </c>
      <c r="X9" s="287" t="s">
        <v>189</v>
      </c>
      <c r="Y9" s="287" t="s">
        <v>190</v>
      </c>
      <c r="Z9" s="287" t="s">
        <v>191</v>
      </c>
      <c r="AA9" s="287" t="s">
        <v>192</v>
      </c>
      <c r="AB9" s="287" t="s">
        <v>193</v>
      </c>
      <c r="AC9" s="287" t="s">
        <v>194</v>
      </c>
      <c r="AD9" s="285"/>
      <c r="AE9" s="285"/>
      <c r="AF9" s="285"/>
      <c r="AG9" s="285"/>
      <c r="AH9" s="285"/>
      <c r="AI9" s="285"/>
      <c r="AJ9" s="285"/>
      <c r="AK9" s="285"/>
      <c r="AL9" s="285"/>
      <c r="AM9" s="285"/>
      <c r="AN9" s="285"/>
      <c r="AO9" s="285"/>
      <c r="AP9" s="285"/>
      <c r="AQ9" s="285"/>
      <c r="AR9" s="285"/>
    </row>
    <row r="10" spans="1:44" x14ac:dyDescent="0.2">
      <c r="A10" s="285"/>
      <c r="B10" s="285"/>
      <c r="C10" s="285"/>
      <c r="D10" s="299" t="s">
        <v>202</v>
      </c>
      <c r="E10" s="289"/>
      <c r="F10" s="289"/>
      <c r="G10" s="289"/>
      <c r="H10" s="289"/>
      <c r="I10" s="289"/>
      <c r="J10" s="289"/>
      <c r="K10" s="289"/>
      <c r="L10" s="289"/>
      <c r="M10" s="289"/>
      <c r="N10" s="289"/>
      <c r="O10" s="289"/>
      <c r="P10" s="289"/>
      <c r="Q10" s="289"/>
      <c r="R10" s="289"/>
      <c r="S10" s="289"/>
      <c r="T10" s="289"/>
      <c r="U10" s="289"/>
      <c r="V10" s="289"/>
      <c r="W10" s="289"/>
      <c r="X10" s="289"/>
      <c r="Y10" s="289"/>
      <c r="Z10" s="289"/>
      <c r="AA10" s="289"/>
      <c r="AB10" s="289"/>
      <c r="AC10" s="289"/>
      <c r="AD10" s="285"/>
      <c r="AE10" s="285"/>
      <c r="AF10" s="285"/>
      <c r="AG10" s="285"/>
      <c r="AH10" s="285"/>
      <c r="AI10" s="285"/>
      <c r="AJ10" s="285"/>
      <c r="AK10" s="285"/>
      <c r="AL10" s="285"/>
      <c r="AM10" s="285"/>
      <c r="AN10" s="285"/>
      <c r="AO10" s="285"/>
      <c r="AP10" s="285"/>
      <c r="AQ10" s="285"/>
      <c r="AR10" s="285"/>
    </row>
    <row r="11" spans="1:44" x14ac:dyDescent="0.2">
      <c r="A11" s="285"/>
      <c r="B11" s="285"/>
      <c r="C11" s="285"/>
      <c r="D11" s="285" t="s">
        <v>203</v>
      </c>
      <c r="E11" s="300">
        <f>'Tx risks'!F16</f>
        <v>897865.0488590746</v>
      </c>
      <c r="F11" s="300">
        <f>'Tx risks'!G16</f>
        <v>945320.30286267668</v>
      </c>
      <c r="G11" s="300">
        <f>'Tx risks'!H16</f>
        <v>990981.44929698983</v>
      </c>
      <c r="H11" s="300">
        <f>'Tx risks'!I16</f>
        <v>1035761.9128066786</v>
      </c>
      <c r="I11" s="300">
        <f>'Tx risks'!J16</f>
        <v>1079683.1994604259</v>
      </c>
      <c r="J11" s="300">
        <f>'Tx risks'!K16</f>
        <v>1127349.6145756773</v>
      </c>
      <c r="K11" s="300">
        <f>'Tx risks'!L16</f>
        <v>1185892.6492483215</v>
      </c>
      <c r="L11" s="300">
        <f>'Tx risks'!M16</f>
        <v>1247351.3014829247</v>
      </c>
      <c r="M11" s="300">
        <f>'Tx risks'!N16</f>
        <v>1297933.6618674165</v>
      </c>
      <c r="N11" s="300">
        <f>'Tx risks'!O16</f>
        <v>1331224.3152799844</v>
      </c>
      <c r="O11" s="300">
        <f>'Tx risks'!P16</f>
        <v>1364868.8723433157</v>
      </c>
      <c r="P11" s="300">
        <f>'Tx risks'!Q16</f>
        <v>1398866.0846836667</v>
      </c>
      <c r="Q11" s="300">
        <f>'Tx risks'!R16</f>
        <v>1433214.7798658847</v>
      </c>
      <c r="R11" s="300">
        <f>'Tx risks'!S16</f>
        <v>1467913.8166081712</v>
      </c>
      <c r="S11" s="300">
        <f>'Tx risks'!T16</f>
        <v>1502962.0249674185</v>
      </c>
      <c r="T11" s="300">
        <f>'Tx risks'!U16</f>
        <v>1538358.3259230594</v>
      </c>
      <c r="U11" s="300">
        <f>'Tx risks'!V16</f>
        <v>1574101.6416911341</v>
      </c>
      <c r="V11" s="300">
        <f>'Tx risks'!W16</f>
        <v>1610190.9256206912</v>
      </c>
      <c r="W11" s="300">
        <f>'Tx risks'!X16</f>
        <v>1646625.1322565437</v>
      </c>
      <c r="X11" s="300">
        <f>'Tx risks'!Y16</f>
        <v>1683403.2622316729</v>
      </c>
      <c r="Y11" s="300">
        <f>'Tx risks'!Z16</f>
        <v>1720524.3323366472</v>
      </c>
      <c r="Z11" s="300">
        <f>'Tx risks'!AA16</f>
        <v>1757987.4054787722</v>
      </c>
      <c r="AA11" s="300">
        <f>'Tx risks'!AB16</f>
        <v>1795791.5157641307</v>
      </c>
      <c r="AB11" s="300">
        <f>'Tx risks'!AC16</f>
        <v>1833935.7583882266</v>
      </c>
      <c r="AC11" s="300">
        <f>'Tx risks'!AD16</f>
        <v>1872419.2296963504</v>
      </c>
      <c r="AD11" s="285"/>
      <c r="AE11" s="285"/>
      <c r="AF11" s="285"/>
      <c r="AG11" s="285"/>
      <c r="AH11" s="285"/>
      <c r="AI11" s="285"/>
      <c r="AJ11" s="285"/>
      <c r="AK11" s="285"/>
      <c r="AL11" s="285"/>
      <c r="AM11" s="285"/>
      <c r="AN11" s="285"/>
      <c r="AO11" s="285"/>
      <c r="AP11" s="285"/>
      <c r="AQ11" s="285"/>
      <c r="AR11" s="285"/>
    </row>
    <row r="12" spans="1:44" x14ac:dyDescent="0.2">
      <c r="A12" s="285"/>
      <c r="B12" s="285"/>
      <c r="C12" s="285"/>
      <c r="D12" s="285" t="s">
        <v>204</v>
      </c>
      <c r="E12" s="300">
        <f>'Tx risks'!F17</f>
        <v>509.34510415978644</v>
      </c>
      <c r="F12" s="300">
        <f>'Tx risks'!G17</f>
        <v>524.10805974729431</v>
      </c>
      <c r="G12" s="300">
        <f>'Tx risks'!H17</f>
        <v>539.04427428359986</v>
      </c>
      <c r="H12" s="300">
        <f>'Tx risks'!I17</f>
        <v>554.15287265045276</v>
      </c>
      <c r="I12" s="300">
        <f>'Tx risks'!J17</f>
        <v>569.43302312389608</v>
      </c>
      <c r="J12" s="300">
        <f>'Tx risks'!K17</f>
        <v>584.88390844473759</v>
      </c>
      <c r="K12" s="300">
        <f>'Tx risks'!L17</f>
        <v>600.50471135378461</v>
      </c>
      <c r="L12" s="300">
        <f>'Tx risks'!M17</f>
        <v>616.29465798613819</v>
      </c>
      <c r="M12" s="300">
        <f>'Tx risks'!N17</f>
        <v>632.25297447689923</v>
      </c>
      <c r="N12" s="300">
        <f>'Tx risks'!O17</f>
        <v>648.37888696116886</v>
      </c>
      <c r="O12" s="300">
        <f>'Tx risks'!P17</f>
        <v>664.67167220072349</v>
      </c>
      <c r="P12" s="300">
        <f>'Tx risks'!Q17</f>
        <v>681.13058526019313</v>
      </c>
      <c r="Q12" s="300">
        <f>'Tx risks'!R17</f>
        <v>697.75491736611889</v>
      </c>
      <c r="R12" s="300">
        <f>'Tx risks'!S17</f>
        <v>714.54397420980615</v>
      </c>
      <c r="S12" s="300">
        <f>'Tx risks'!T17</f>
        <v>731.49704701779626</v>
      </c>
      <c r="T12" s="300">
        <f>'Tx risks'!U17</f>
        <v>748.61347041092324</v>
      </c>
      <c r="U12" s="300">
        <f>'Tx risks'!V17</f>
        <v>765.89257901002202</v>
      </c>
      <c r="V12" s="300">
        <f>'Tx risks'!W17</f>
        <v>783.3337219006911</v>
      </c>
      <c r="W12" s="300">
        <f>'Tx risks'!X17</f>
        <v>800.93624816852969</v>
      </c>
      <c r="X12" s="300">
        <f>'Tx risks'!Y17</f>
        <v>818.69952859628359</v>
      </c>
      <c r="Y12" s="300">
        <f>'Tx risks'!Z17</f>
        <v>836.6229411990804</v>
      </c>
      <c r="Z12" s="300">
        <f>'Tx risks'!AA17</f>
        <v>854.70588568919459</v>
      </c>
      <c r="AA12" s="300">
        <f>'Tx risks'!AB17</f>
        <v>854.70588568919459</v>
      </c>
      <c r="AB12" s="300">
        <f>'Tx risks'!AC17</f>
        <v>854.70588568919459</v>
      </c>
      <c r="AC12" s="300">
        <f>'Tx risks'!AD17</f>
        <v>854.70588568919459</v>
      </c>
      <c r="AD12" s="285"/>
      <c r="AE12" s="285"/>
      <c r="AF12" s="285"/>
      <c r="AG12" s="285"/>
      <c r="AH12" s="285"/>
      <c r="AI12" s="285"/>
      <c r="AJ12" s="285"/>
      <c r="AK12" s="285"/>
      <c r="AL12" s="285"/>
      <c r="AM12" s="285"/>
      <c r="AN12" s="285"/>
      <c r="AO12" s="285"/>
      <c r="AP12" s="285"/>
      <c r="AQ12" s="285"/>
      <c r="AR12" s="285"/>
    </row>
    <row r="13" spans="1:44" x14ac:dyDescent="0.2">
      <c r="A13" s="285"/>
      <c r="B13" s="285"/>
      <c r="C13" s="285"/>
      <c r="D13" s="285" t="s">
        <v>205</v>
      </c>
      <c r="E13" s="300">
        <f>'Tx risks'!F18</f>
        <v>25689.870432828979</v>
      </c>
      <c r="F13" s="300">
        <f>'Tx risks'!G18</f>
        <v>26434.470534314798</v>
      </c>
      <c r="G13" s="300">
        <f>'Tx risks'!H18</f>
        <v>27187.809308087039</v>
      </c>
      <c r="H13" s="300">
        <f>'Tx risks'!I18</f>
        <v>27949.842615752521</v>
      </c>
      <c r="I13" s="300">
        <f>'Tx risks'!J18</f>
        <v>28720.528507598741</v>
      </c>
      <c r="J13" s="300">
        <f>'Tx risks'!K18</f>
        <v>29499.825763473407</v>
      </c>
      <c r="K13" s="300">
        <f>'Tx risks'!L18</f>
        <v>30287.693163224216</v>
      </c>
      <c r="L13" s="300">
        <f>'Tx risks'!M18</f>
        <v>31084.091675379532</v>
      </c>
      <c r="M13" s="300">
        <f>'Tx risks'!N18</f>
        <v>31888.982268467706</v>
      </c>
      <c r="N13" s="300">
        <f>'Tx risks'!O18</f>
        <v>32702.325911017106</v>
      </c>
      <c r="O13" s="300">
        <f>'Tx risks'!P18</f>
        <v>33524.086125016853</v>
      </c>
      <c r="P13" s="300">
        <f>'Tx risks'!Q18</f>
        <v>34354.225338115735</v>
      </c>
      <c r="Q13" s="300">
        <f>'Tx risks'!R18</f>
        <v>35192.707801863085</v>
      </c>
      <c r="R13" s="300">
        <f>'Tx risks'!S18</f>
        <v>36039.49849736847</v>
      </c>
      <c r="S13" s="300">
        <f>'Tx risks'!T18</f>
        <v>36894.56167618122</v>
      </c>
      <c r="T13" s="300">
        <f>'Tx risks'!U18</f>
        <v>37757.863778531326</v>
      </c>
      <c r="U13" s="300">
        <f>'Tx risks'!V18</f>
        <v>38629.371244648784</v>
      </c>
      <c r="V13" s="300">
        <f>'Tx risks'!W18</f>
        <v>39509.051244323789</v>
      </c>
      <c r="W13" s="300">
        <f>'Tx risks'!X18</f>
        <v>40396.870947346557</v>
      </c>
      <c r="X13" s="300">
        <f>'Tx risks'!Y18</f>
        <v>41292.798617847628</v>
      </c>
      <c r="Y13" s="300">
        <f>'Tx risks'!Z18</f>
        <v>42196.802884737641</v>
      </c>
      <c r="Z13" s="300">
        <f>'Tx risks'!AA18</f>
        <v>43108.853471267554</v>
      </c>
      <c r="AA13" s="300">
        <f>'Tx risks'!AB18</f>
        <v>43108.853471267554</v>
      </c>
      <c r="AB13" s="300">
        <f>'Tx risks'!AC18</f>
        <v>43108.853471267554</v>
      </c>
      <c r="AC13" s="300">
        <f>'Tx risks'!AD18</f>
        <v>43108.853471267554</v>
      </c>
      <c r="AD13" s="285"/>
      <c r="AE13" s="285"/>
      <c r="AF13" s="285"/>
      <c r="AG13" s="285"/>
      <c r="AH13" s="285"/>
      <c r="AI13" s="285"/>
      <c r="AJ13" s="285"/>
      <c r="AK13" s="285"/>
      <c r="AL13" s="285"/>
      <c r="AM13" s="285"/>
      <c r="AN13" s="285"/>
      <c r="AO13" s="285"/>
      <c r="AP13" s="285"/>
      <c r="AQ13" s="285"/>
      <c r="AR13" s="285"/>
    </row>
    <row r="14" spans="1:44" x14ac:dyDescent="0.2">
      <c r="A14" s="285"/>
      <c r="B14" s="285"/>
      <c r="C14" s="285"/>
      <c r="D14" s="285" t="s">
        <v>206</v>
      </c>
      <c r="E14" s="300">
        <f>'Tx risks'!F19</f>
        <v>1880.6461303360002</v>
      </c>
      <c r="F14" s="300">
        <f>'Tx risks'!G19</f>
        <v>1935.1551362559999</v>
      </c>
      <c r="G14" s="300">
        <f>'Tx risks'!H19</f>
        <v>1990.3038632</v>
      </c>
      <c r="H14" s="300">
        <f>'Tx risks'!I19</f>
        <v>2046.0890799839999</v>
      </c>
      <c r="I14" s="300">
        <f>'Tx risks'!J19</f>
        <v>2102.5077156480002</v>
      </c>
      <c r="J14" s="300">
        <f>'Tx risks'!K19</f>
        <v>2159.5567526400005</v>
      </c>
      <c r="K14" s="300">
        <f>'Tx risks'!L19</f>
        <v>2217.2331734080003</v>
      </c>
      <c r="L14" s="300">
        <f>'Tx risks'!M19</f>
        <v>2275.534120624</v>
      </c>
      <c r="M14" s="300">
        <f>'Tx risks'!N19</f>
        <v>2334.4567369599999</v>
      </c>
      <c r="N14" s="300">
        <f>'Tx risks'!O19</f>
        <v>2393.998165088</v>
      </c>
      <c r="O14" s="300">
        <f>'Tx risks'!P19</f>
        <v>2454.1557346079999</v>
      </c>
      <c r="P14" s="300">
        <f>'Tx risks'!Q19</f>
        <v>2514.926695008</v>
      </c>
      <c r="Q14" s="300">
        <f>'Tx risks'!R19</f>
        <v>2576.3084292959998</v>
      </c>
      <c r="R14" s="300">
        <f>'Tx risks'!S19</f>
        <v>2638.2983738879998</v>
      </c>
      <c r="S14" s="300">
        <f>'Tx risks'!T19</f>
        <v>2700.8939117920004</v>
      </c>
      <c r="T14" s="300">
        <f>'Tx risks'!U19</f>
        <v>2764.0925862399999</v>
      </c>
      <c r="U14" s="300">
        <f>'Tx risks'!V19</f>
        <v>2827.8919404640005</v>
      </c>
      <c r="V14" s="300">
        <f>'Tx risks'!W19</f>
        <v>2892.2895711040005</v>
      </c>
      <c r="W14" s="300">
        <f>'Tx risks'!X19</f>
        <v>2957.2830748000001</v>
      </c>
      <c r="X14" s="300">
        <f>'Tx risks'!Y19</f>
        <v>3022.870128304</v>
      </c>
      <c r="Y14" s="300">
        <f>'Tx risks'!Z19</f>
        <v>3089.0484350720003</v>
      </c>
      <c r="Z14" s="300">
        <f>'Tx risks'!AA19</f>
        <v>3155.8157786720003</v>
      </c>
      <c r="AA14" s="300">
        <f>'Tx risks'!AB19</f>
        <v>3155.8157786720003</v>
      </c>
      <c r="AB14" s="300">
        <f>'Tx risks'!AC19</f>
        <v>3155.8157786720003</v>
      </c>
      <c r="AC14" s="300">
        <f>'Tx risks'!AD19</f>
        <v>3155.8157786720003</v>
      </c>
      <c r="AD14" s="285"/>
      <c r="AE14" s="285"/>
      <c r="AF14" s="285"/>
      <c r="AG14" s="285"/>
      <c r="AH14" s="285"/>
      <c r="AI14" s="285"/>
      <c r="AJ14" s="285"/>
      <c r="AK14" s="285"/>
      <c r="AL14" s="285"/>
      <c r="AM14" s="285"/>
      <c r="AN14" s="285"/>
      <c r="AO14" s="285"/>
      <c r="AP14" s="285"/>
      <c r="AQ14" s="285"/>
      <c r="AR14" s="285"/>
    </row>
    <row r="15" spans="1:44" x14ac:dyDescent="0.2">
      <c r="A15" s="285"/>
      <c r="B15" s="285"/>
      <c r="C15" s="285"/>
      <c r="D15" s="285" t="s">
        <v>345</v>
      </c>
      <c r="E15" s="300">
        <f>'Tx risks'!F20</f>
        <v>1998.2833333333333</v>
      </c>
      <c r="F15" s="300">
        <f>'Tx risks'!G20</f>
        <v>1998.2833333333333</v>
      </c>
      <c r="G15" s="300">
        <f>'Tx risks'!H20</f>
        <v>1998.2833333333333</v>
      </c>
      <c r="H15" s="300">
        <f>'Tx risks'!I20</f>
        <v>1998.2833333333333</v>
      </c>
      <c r="I15" s="300">
        <f>'Tx risks'!J20</f>
        <v>1998.2833333333333</v>
      </c>
      <c r="J15" s="300">
        <f>'Tx risks'!K20</f>
        <v>1998.2833333333333</v>
      </c>
      <c r="K15" s="300">
        <f>'Tx risks'!L20</f>
        <v>1998.2833333333333</v>
      </c>
      <c r="L15" s="300">
        <f>'Tx risks'!M20</f>
        <v>1998.2833333333333</v>
      </c>
      <c r="M15" s="300">
        <f>'Tx risks'!N20</f>
        <v>1998.2833333333333</v>
      </c>
      <c r="N15" s="300">
        <f>'Tx risks'!O20</f>
        <v>1998.2833333333333</v>
      </c>
      <c r="O15" s="300">
        <f>'Tx risks'!P20</f>
        <v>1998.2833333333333</v>
      </c>
      <c r="P15" s="300">
        <f>'Tx risks'!Q20</f>
        <v>1998.2833333333333</v>
      </c>
      <c r="Q15" s="300">
        <f>'Tx risks'!R20</f>
        <v>1998.2833333333333</v>
      </c>
      <c r="R15" s="300">
        <f>'Tx risks'!S20</f>
        <v>1998.2833333333333</v>
      </c>
      <c r="S15" s="300">
        <f>'Tx risks'!T20</f>
        <v>1998.2833333333333</v>
      </c>
      <c r="T15" s="300">
        <f>'Tx risks'!U20</f>
        <v>1998.2833333333333</v>
      </c>
      <c r="U15" s="300">
        <f>'Tx risks'!V20</f>
        <v>1998.2833333333333</v>
      </c>
      <c r="V15" s="300">
        <f>'Tx risks'!W20</f>
        <v>1998.2833333333333</v>
      </c>
      <c r="W15" s="300">
        <f>'Tx risks'!X20</f>
        <v>1998.2833333333333</v>
      </c>
      <c r="X15" s="300">
        <f>'Tx risks'!Y20</f>
        <v>1998.2833333333333</v>
      </c>
      <c r="Y15" s="300">
        <f>'Tx risks'!Z20</f>
        <v>1998.2833333333333</v>
      </c>
      <c r="Z15" s="300">
        <f>'Tx risks'!AA20</f>
        <v>1998.2833333333333</v>
      </c>
      <c r="AA15" s="300">
        <f>'Tx risks'!AB20</f>
        <v>1998.2833333333333</v>
      </c>
      <c r="AB15" s="300">
        <f>'Tx risks'!AC20</f>
        <v>1998.2833333333333</v>
      </c>
      <c r="AC15" s="300">
        <f>'Tx risks'!AD20</f>
        <v>1998.2833333333333</v>
      </c>
      <c r="AD15" s="285"/>
      <c r="AE15" s="285"/>
      <c r="AF15" s="285"/>
      <c r="AG15" s="285"/>
      <c r="AH15" s="285"/>
      <c r="AI15" s="285"/>
      <c r="AJ15" s="285"/>
      <c r="AK15" s="285"/>
      <c r="AL15" s="285"/>
      <c r="AM15" s="285"/>
      <c r="AN15" s="285"/>
      <c r="AO15" s="285"/>
      <c r="AP15" s="285"/>
      <c r="AQ15" s="285"/>
      <c r="AR15" s="285"/>
    </row>
    <row r="16" spans="1:44" x14ac:dyDescent="0.2">
      <c r="A16" s="285"/>
      <c r="B16" s="285"/>
      <c r="C16" s="285"/>
      <c r="D16" s="301" t="s">
        <v>207</v>
      </c>
      <c r="E16" s="295">
        <f>SUM(E11:E15)</f>
        <v>927943.19385973271</v>
      </c>
      <c r="F16" s="295">
        <f t="shared" ref="F16:AC16" si="0">SUM(F11:F15)</f>
        <v>976212.31992632803</v>
      </c>
      <c r="G16" s="295">
        <f t="shared" si="0"/>
        <v>1022696.8900758937</v>
      </c>
      <c r="H16" s="295">
        <f t="shared" si="0"/>
        <v>1068310.2807083989</v>
      </c>
      <c r="I16" s="295">
        <f t="shared" si="0"/>
        <v>1113073.95204013</v>
      </c>
      <c r="J16" s="295">
        <f t="shared" si="0"/>
        <v>1161592.1643335691</v>
      </c>
      <c r="K16" s="295">
        <f t="shared" si="0"/>
        <v>1220996.363629641</v>
      </c>
      <c r="L16" s="295">
        <f t="shared" si="0"/>
        <v>1283325.5052702478</v>
      </c>
      <c r="M16" s="295">
        <f t="shared" si="0"/>
        <v>1334787.6371806546</v>
      </c>
      <c r="N16" s="295">
        <f t="shared" si="0"/>
        <v>1368967.3015763841</v>
      </c>
      <c r="O16" s="295">
        <f t="shared" si="0"/>
        <v>1403510.0692084748</v>
      </c>
      <c r="P16" s="295">
        <f t="shared" si="0"/>
        <v>1438414.6506353843</v>
      </c>
      <c r="Q16" s="295">
        <f t="shared" si="0"/>
        <v>1473679.8343477433</v>
      </c>
      <c r="R16" s="295">
        <f t="shared" si="0"/>
        <v>1509304.440786971</v>
      </c>
      <c r="S16" s="295">
        <f t="shared" si="0"/>
        <v>1545287.2609357429</v>
      </c>
      <c r="T16" s="295">
        <f t="shared" si="0"/>
        <v>1581627.1790915751</v>
      </c>
      <c r="U16" s="295">
        <f t="shared" si="0"/>
        <v>1618323.0807885902</v>
      </c>
      <c r="V16" s="295">
        <f t="shared" si="0"/>
        <v>1655373.8834913531</v>
      </c>
      <c r="W16" s="295">
        <f t="shared" si="0"/>
        <v>1692778.5058601922</v>
      </c>
      <c r="X16" s="295">
        <f t="shared" si="0"/>
        <v>1730535.9138397544</v>
      </c>
      <c r="Y16" s="295">
        <f t="shared" si="0"/>
        <v>1768645.0899309893</v>
      </c>
      <c r="Z16" s="295">
        <f t="shared" si="0"/>
        <v>1807105.0639477344</v>
      </c>
      <c r="AA16" s="295">
        <f t="shared" si="0"/>
        <v>1844909.1742330929</v>
      </c>
      <c r="AB16" s="295">
        <f t="shared" si="0"/>
        <v>1883053.4168571888</v>
      </c>
      <c r="AC16" s="295">
        <f t="shared" si="0"/>
        <v>1921536.8881653126</v>
      </c>
      <c r="AD16" s="285"/>
      <c r="AE16" s="285"/>
      <c r="AF16" s="285"/>
      <c r="AG16" s="285"/>
      <c r="AH16" s="285"/>
      <c r="AI16" s="285"/>
      <c r="AJ16" s="285"/>
      <c r="AK16" s="285"/>
      <c r="AL16" s="285"/>
      <c r="AM16" s="285"/>
      <c r="AN16" s="285"/>
      <c r="AO16" s="285"/>
      <c r="AP16" s="285"/>
      <c r="AQ16" s="285"/>
      <c r="AR16" s="285"/>
    </row>
    <row r="17" spans="1:44" x14ac:dyDescent="0.2">
      <c r="A17" s="285"/>
      <c r="B17" s="285"/>
      <c r="C17" s="285"/>
      <c r="D17" s="285"/>
      <c r="E17" s="285"/>
      <c r="F17" s="285"/>
      <c r="G17" s="285"/>
      <c r="H17" s="285"/>
      <c r="I17" s="285"/>
      <c r="J17" s="285"/>
      <c r="K17" s="285"/>
      <c r="L17" s="285"/>
      <c r="M17" s="285"/>
      <c r="N17" s="285"/>
      <c r="O17" s="285"/>
      <c r="P17" s="285"/>
      <c r="Q17" s="285"/>
      <c r="R17" s="285"/>
      <c r="S17" s="285"/>
      <c r="T17" s="285"/>
      <c r="U17" s="285"/>
      <c r="V17" s="285"/>
      <c r="W17" s="285"/>
      <c r="X17" s="285"/>
      <c r="Y17" s="285"/>
      <c r="Z17" s="285"/>
      <c r="AA17" s="285"/>
      <c r="AB17" s="285"/>
      <c r="AC17" s="285"/>
      <c r="AD17" s="285"/>
      <c r="AE17" s="285"/>
      <c r="AF17" s="285"/>
      <c r="AG17" s="285"/>
      <c r="AH17" s="285"/>
      <c r="AI17" s="285"/>
      <c r="AJ17" s="285"/>
      <c r="AK17" s="285"/>
      <c r="AL17" s="285"/>
      <c r="AM17" s="285"/>
      <c r="AN17" s="285"/>
      <c r="AO17" s="285"/>
      <c r="AP17" s="285"/>
      <c r="AQ17" s="285"/>
      <c r="AR17" s="285"/>
    </row>
    <row r="18" spans="1:44" x14ac:dyDescent="0.2">
      <c r="A18" s="285"/>
      <c r="B18" s="285"/>
      <c r="C18" s="285"/>
      <c r="D18" s="285"/>
      <c r="E18" s="285"/>
      <c r="F18" s="285"/>
      <c r="G18" s="285"/>
      <c r="H18" s="285"/>
      <c r="I18" s="285"/>
      <c r="J18" s="285"/>
      <c r="K18" s="285"/>
      <c r="L18" s="285"/>
      <c r="M18" s="285"/>
      <c r="N18" s="285"/>
      <c r="O18" s="285"/>
      <c r="P18" s="285"/>
      <c r="Q18" s="285"/>
      <c r="R18" s="285"/>
      <c r="S18" s="285"/>
      <c r="T18" s="285"/>
      <c r="U18" s="285"/>
      <c r="V18" s="285"/>
      <c r="W18" s="285"/>
      <c r="X18" s="285"/>
      <c r="Y18" s="285"/>
      <c r="Z18" s="285"/>
      <c r="AA18" s="285"/>
      <c r="AB18" s="285"/>
      <c r="AC18" s="285"/>
      <c r="AD18" s="285"/>
      <c r="AE18" s="285"/>
      <c r="AF18" s="285"/>
      <c r="AG18" s="285"/>
      <c r="AH18" s="285"/>
      <c r="AI18" s="285"/>
      <c r="AJ18" s="285"/>
      <c r="AK18" s="285"/>
      <c r="AL18" s="285"/>
      <c r="AM18" s="285"/>
      <c r="AN18" s="285"/>
      <c r="AO18" s="285"/>
      <c r="AP18" s="285"/>
      <c r="AQ18" s="285"/>
      <c r="AR18" s="285"/>
    </row>
    <row r="19" spans="1:44" x14ac:dyDescent="0.2">
      <c r="A19" s="282"/>
      <c r="B19" s="283" t="str">
        <f>"Option 2 - "&amp;Assumptions!E15</f>
        <v>Option 2 - Replace #1 transformer completed in 2027-2028</v>
      </c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  <c r="V19" s="284"/>
      <c r="W19" s="284"/>
      <c r="X19" s="284"/>
      <c r="Y19" s="284"/>
      <c r="Z19" s="284"/>
      <c r="AA19" s="284"/>
      <c r="AB19" s="284"/>
      <c r="AC19" s="284"/>
      <c r="AD19" s="284"/>
      <c r="AE19" s="284"/>
      <c r="AF19" s="284"/>
      <c r="AG19" s="284"/>
      <c r="AH19" s="284"/>
      <c r="AI19" s="284"/>
      <c r="AJ19" s="284"/>
      <c r="AK19" s="284"/>
      <c r="AL19" s="284"/>
      <c r="AM19" s="284"/>
      <c r="AN19" s="284"/>
      <c r="AO19" s="284"/>
      <c r="AP19" s="284"/>
      <c r="AQ19" s="284"/>
      <c r="AR19" s="282"/>
    </row>
    <row r="20" spans="1:44" x14ac:dyDescent="0.2">
      <c r="A20" s="285"/>
      <c r="B20" s="285"/>
      <c r="C20" s="285"/>
      <c r="D20" s="285"/>
      <c r="E20" s="285"/>
      <c r="F20" s="285"/>
      <c r="G20" s="285"/>
      <c r="H20" s="285"/>
      <c r="I20" s="285"/>
      <c r="J20" s="285"/>
      <c r="K20" s="285"/>
      <c r="L20" s="285"/>
      <c r="M20" s="285"/>
      <c r="N20" s="285"/>
      <c r="O20" s="285"/>
      <c r="P20" s="285"/>
      <c r="Q20" s="285"/>
      <c r="R20" s="285"/>
      <c r="S20" s="285"/>
      <c r="T20" s="285"/>
      <c r="U20" s="285"/>
      <c r="V20" s="285"/>
      <c r="W20" s="285"/>
      <c r="X20" s="285"/>
      <c r="Y20" s="285"/>
      <c r="Z20" s="285"/>
      <c r="AA20" s="285"/>
      <c r="AB20" s="285"/>
      <c r="AC20" s="285"/>
      <c r="AD20" s="285"/>
      <c r="AE20" s="285"/>
      <c r="AF20" s="285"/>
      <c r="AG20" s="285"/>
      <c r="AH20" s="285"/>
      <c r="AI20" s="285"/>
      <c r="AJ20" s="285"/>
      <c r="AK20" s="285"/>
      <c r="AL20" s="285"/>
      <c r="AM20" s="285"/>
      <c r="AN20" s="285"/>
      <c r="AO20" s="285"/>
      <c r="AP20" s="285"/>
      <c r="AQ20" s="285"/>
      <c r="AR20" s="285"/>
    </row>
    <row r="21" spans="1:44" x14ac:dyDescent="0.2">
      <c r="A21" s="285"/>
      <c r="B21" s="285"/>
      <c r="C21" s="285"/>
      <c r="D21" s="285"/>
      <c r="E21" s="287" t="s">
        <v>52</v>
      </c>
      <c r="F21" s="287" t="s">
        <v>91</v>
      </c>
      <c r="G21" s="287" t="s">
        <v>92</v>
      </c>
      <c r="H21" s="287" t="s">
        <v>93</v>
      </c>
      <c r="I21" s="287" t="s">
        <v>94</v>
      </c>
      <c r="J21" s="287" t="s">
        <v>95</v>
      </c>
      <c r="K21" s="287" t="s">
        <v>176</v>
      </c>
      <c r="L21" s="287" t="s">
        <v>177</v>
      </c>
      <c r="M21" s="287" t="s">
        <v>178</v>
      </c>
      <c r="N21" s="287" t="s">
        <v>179</v>
      </c>
      <c r="O21" s="287" t="s">
        <v>180</v>
      </c>
      <c r="P21" s="287" t="s">
        <v>181</v>
      </c>
      <c r="Q21" s="287" t="s">
        <v>182</v>
      </c>
      <c r="R21" s="287" t="s">
        <v>183</v>
      </c>
      <c r="S21" s="287" t="s">
        <v>184</v>
      </c>
      <c r="T21" s="287" t="s">
        <v>185</v>
      </c>
      <c r="U21" s="287" t="s">
        <v>186</v>
      </c>
      <c r="V21" s="287" t="s">
        <v>187</v>
      </c>
      <c r="W21" s="287" t="s">
        <v>188</v>
      </c>
      <c r="X21" s="287" t="s">
        <v>189</v>
      </c>
      <c r="Y21" s="287" t="s">
        <v>190</v>
      </c>
      <c r="Z21" s="287" t="s">
        <v>191</v>
      </c>
      <c r="AA21" s="287" t="s">
        <v>192</v>
      </c>
      <c r="AB21" s="287" t="s">
        <v>193</v>
      </c>
      <c r="AC21" s="287" t="s">
        <v>194</v>
      </c>
      <c r="AD21" s="285"/>
      <c r="AE21" s="285"/>
      <c r="AF21" s="285"/>
      <c r="AG21" s="285"/>
      <c r="AH21" s="285"/>
      <c r="AI21" s="285"/>
      <c r="AJ21" s="285"/>
      <c r="AK21" s="285"/>
      <c r="AL21" s="285"/>
      <c r="AM21" s="285"/>
      <c r="AN21" s="285"/>
      <c r="AO21" s="285"/>
      <c r="AP21" s="285"/>
      <c r="AQ21" s="285"/>
      <c r="AR21" s="285"/>
    </row>
    <row r="22" spans="1:44" x14ac:dyDescent="0.2">
      <c r="A22" s="285"/>
      <c r="B22" s="285"/>
      <c r="C22" s="285"/>
      <c r="D22" s="299" t="s">
        <v>202</v>
      </c>
      <c r="E22" s="289"/>
      <c r="F22" s="289"/>
      <c r="G22" s="289"/>
      <c r="H22" s="289"/>
      <c r="I22" s="289"/>
      <c r="J22" s="289"/>
      <c r="K22" s="289"/>
      <c r="L22" s="289"/>
      <c r="M22" s="289"/>
      <c r="N22" s="289"/>
      <c r="O22" s="289"/>
      <c r="P22" s="289"/>
      <c r="Q22" s="289"/>
      <c r="R22" s="289"/>
      <c r="S22" s="289"/>
      <c r="T22" s="289"/>
      <c r="U22" s="289"/>
      <c r="V22" s="289"/>
      <c r="W22" s="289"/>
      <c r="X22" s="289"/>
      <c r="Y22" s="289"/>
      <c r="Z22" s="289"/>
      <c r="AA22" s="289"/>
      <c r="AB22" s="289"/>
      <c r="AC22" s="289"/>
      <c r="AD22" s="285"/>
      <c r="AE22" s="285"/>
      <c r="AF22" s="285"/>
      <c r="AG22" s="285"/>
      <c r="AH22" s="285"/>
      <c r="AI22" s="285"/>
      <c r="AJ22" s="285"/>
      <c r="AK22" s="285"/>
      <c r="AL22" s="285"/>
      <c r="AM22" s="285"/>
      <c r="AN22" s="285"/>
      <c r="AO22" s="285"/>
      <c r="AP22" s="285"/>
      <c r="AQ22" s="285"/>
      <c r="AR22" s="285"/>
    </row>
    <row r="23" spans="1:44" x14ac:dyDescent="0.2">
      <c r="A23" s="285"/>
      <c r="B23" s="285"/>
      <c r="C23" s="285"/>
      <c r="D23" s="285" t="s">
        <v>203</v>
      </c>
      <c r="E23" s="300">
        <f>E11</f>
        <v>897865.0488590746</v>
      </c>
      <c r="F23" s="300">
        <f>F11</f>
        <v>945320.30286267668</v>
      </c>
      <c r="G23" s="300">
        <f>'Tx risks'!H38</f>
        <v>29959.989676824425</v>
      </c>
      <c r="H23" s="300">
        <f>'Tx risks'!I38</f>
        <v>55667.735295576131</v>
      </c>
      <c r="I23" s="300">
        <f>'Tx risks'!J38</f>
        <v>80798.744619449542</v>
      </c>
      <c r="J23" s="300">
        <f>'Tx risks'!K38</f>
        <v>106302.40801755169</v>
      </c>
      <c r="K23" s="300">
        <f>'Tx risks'!L38</f>
        <v>133405.18183906464</v>
      </c>
      <c r="L23" s="300">
        <f>'Tx risks'!M38</f>
        <v>161725.02477451018</v>
      </c>
      <c r="M23" s="300">
        <f>'Tx risks'!N38</f>
        <v>189401.87122956483</v>
      </c>
      <c r="N23" s="300">
        <f>'Tx risks'!O38</f>
        <v>214878.81379719748</v>
      </c>
      <c r="O23" s="300">
        <f>'Tx risks'!P38</f>
        <v>240497.06220675437</v>
      </c>
      <c r="P23" s="300">
        <f>'Tx risks'!Q38</f>
        <v>266294.99990109733</v>
      </c>
      <c r="Q23" s="300">
        <f>'Tx risks'!R38</f>
        <v>292301.5665746599</v>
      </c>
      <c r="R23" s="300">
        <f>'Tx risks'!S38</f>
        <v>318539.23934864969</v>
      </c>
      <c r="S23" s="300">
        <f>'Tx risks'!T38</f>
        <v>345025.73915623123</v>
      </c>
      <c r="T23" s="300">
        <f>'Tx risks'!U38</f>
        <v>371775.21521984611</v>
      </c>
      <c r="U23" s="300">
        <f>'Tx risks'!V38</f>
        <v>398799.11582206941</v>
      </c>
      <c r="V23" s="300">
        <f>'Tx risks'!W38</f>
        <v>426106.8201599241</v>
      </c>
      <c r="W23" s="300">
        <f>'Tx risks'!X38</f>
        <v>453706.07088917523</v>
      </c>
      <c r="X23" s="300">
        <f>'Tx risks'!Y38</f>
        <v>481603.22479011089</v>
      </c>
      <c r="Y23" s="300">
        <f>'Tx risks'!Z38</f>
        <v>509803.6408879073</v>
      </c>
      <c r="Z23" s="300">
        <f>'Tx risks'!AA38</f>
        <v>538311.79238523485</v>
      </c>
      <c r="AA23" s="300">
        <f>'Tx risks'!AB38</f>
        <v>567131.38483434974</v>
      </c>
      <c r="AB23" s="300">
        <f>'Tx risks'!AC38</f>
        <v>596265.58953829866</v>
      </c>
      <c r="AC23" s="300">
        <f>'Tx risks'!AD38</f>
        <v>625717.0235985805</v>
      </c>
      <c r="AD23" s="285"/>
      <c r="AE23" s="285"/>
      <c r="AF23" s="285"/>
      <c r="AG23" s="285"/>
      <c r="AH23" s="285"/>
      <c r="AI23" s="285"/>
      <c r="AJ23" s="285"/>
      <c r="AK23" s="285"/>
      <c r="AL23" s="285"/>
      <c r="AM23" s="285"/>
      <c r="AN23" s="285"/>
      <c r="AO23" s="285"/>
      <c r="AP23" s="285"/>
      <c r="AQ23" s="285"/>
      <c r="AR23" s="285"/>
    </row>
    <row r="24" spans="1:44" x14ac:dyDescent="0.2">
      <c r="A24" s="285"/>
      <c r="B24" s="285"/>
      <c r="C24" s="285"/>
      <c r="D24" s="285" t="s">
        <v>204</v>
      </c>
      <c r="E24" s="300">
        <f t="shared" ref="E24:F27" si="1">E12</f>
        <v>509.34510415978644</v>
      </c>
      <c r="F24" s="300">
        <f t="shared" si="1"/>
        <v>524.10805974729431</v>
      </c>
      <c r="G24" s="300">
        <f>'Tx risks'!H39</f>
        <v>269.77075751347587</v>
      </c>
      <c r="H24" s="300">
        <f>'Tx risks'!I39</f>
        <v>277.88419939979514</v>
      </c>
      <c r="I24" s="300">
        <f>'Tx risks'!J39</f>
        <v>286.32582147855544</v>
      </c>
      <c r="J24" s="300">
        <f>'Tx risks'!K39</f>
        <v>295.06638684457596</v>
      </c>
      <c r="K24" s="300">
        <f>'Tx risks'!L39</f>
        <v>304.08750716602668</v>
      </c>
      <c r="L24" s="300">
        <f>'Tx risks'!M39</f>
        <v>313.37599419390386</v>
      </c>
      <c r="M24" s="300">
        <f>'Tx risks'!N39</f>
        <v>322.92165750163991</v>
      </c>
      <c r="N24" s="300">
        <f>'Tx risks'!O39</f>
        <v>332.71625578967905</v>
      </c>
      <c r="O24" s="300">
        <f>'Tx risks'!P39</f>
        <v>342.75291467870795</v>
      </c>
      <c r="P24" s="300">
        <f>'Tx risks'!Q39</f>
        <v>353.02574339339708</v>
      </c>
      <c r="Q24" s="300">
        <f>'Tx risks'!R39</f>
        <v>363.5296069423602</v>
      </c>
      <c r="R24" s="300">
        <f>'Tx risks'!S39</f>
        <v>374.25997062193653</v>
      </c>
      <c r="S24" s="300">
        <f>'Tx risks'!T39</f>
        <v>385.2127626009285</v>
      </c>
      <c r="T24" s="300">
        <f>'Tx risks'!U39</f>
        <v>396.38431244535218</v>
      </c>
      <c r="U24" s="300">
        <f>'Tx risks'!V39</f>
        <v>407.77126794604237</v>
      </c>
      <c r="V24" s="300">
        <f>'Tx risks'!W39</f>
        <v>419.37055534054934</v>
      </c>
      <c r="W24" s="300">
        <f>'Tx risks'!X39</f>
        <v>431.17933230265521</v>
      </c>
      <c r="X24" s="300">
        <f>'Tx risks'!Y39</f>
        <v>443.19495539665348</v>
      </c>
      <c r="Y24" s="300">
        <f>'Tx risks'!Z39</f>
        <v>455.41496561258469</v>
      </c>
      <c r="Z24" s="300">
        <f>'Tx risks'!AA39</f>
        <v>467.8370630528982</v>
      </c>
      <c r="AA24" s="300">
        <f>'Tx risks'!AB39</f>
        <v>467.8370630528982</v>
      </c>
      <c r="AB24" s="300">
        <f>'Tx risks'!AC39</f>
        <v>467.8370630528982</v>
      </c>
      <c r="AC24" s="300">
        <f>'Tx risks'!AD39</f>
        <v>467.8370630528982</v>
      </c>
      <c r="AD24" s="285"/>
      <c r="AE24" s="285"/>
      <c r="AF24" s="285"/>
      <c r="AG24" s="285"/>
      <c r="AH24" s="285"/>
      <c r="AI24" s="285"/>
      <c r="AJ24" s="285"/>
      <c r="AK24" s="285"/>
      <c r="AL24" s="285"/>
      <c r="AM24" s="285"/>
      <c r="AN24" s="285"/>
      <c r="AO24" s="285"/>
      <c r="AP24" s="285"/>
      <c r="AQ24" s="285"/>
      <c r="AR24" s="285"/>
    </row>
    <row r="25" spans="1:44" x14ac:dyDescent="0.2">
      <c r="A25" s="285"/>
      <c r="B25" s="285"/>
      <c r="C25" s="285"/>
      <c r="D25" s="285" t="s">
        <v>205</v>
      </c>
      <c r="E25" s="300">
        <f t="shared" si="1"/>
        <v>25689.870432828979</v>
      </c>
      <c r="F25" s="300">
        <f t="shared" si="1"/>
        <v>26434.470534314798</v>
      </c>
      <c r="G25" s="300">
        <f>'Tx risks'!H40</f>
        <v>13606.444335063627</v>
      </c>
      <c r="H25" s="300">
        <f>'Tx risks'!I40</f>
        <v>14015.662503887806</v>
      </c>
      <c r="I25" s="300">
        <f>'Tx risks'!J40</f>
        <v>14441.433117318948</v>
      </c>
      <c r="J25" s="300">
        <f>'Tx risks'!K40</f>
        <v>14882.281551767232</v>
      </c>
      <c r="K25" s="300">
        <f>'Tx risks'!L40</f>
        <v>15337.280353806027</v>
      </c>
      <c r="L25" s="300">
        <f>'Tx risks'!M40</f>
        <v>15805.764346906944</v>
      </c>
      <c r="M25" s="300">
        <f>'Tx risks'!N40</f>
        <v>16287.219555896676</v>
      </c>
      <c r="N25" s="300">
        <f>'Tx risks'!O40</f>
        <v>16781.230313841254</v>
      </c>
      <c r="O25" s="300">
        <f>'Tx risks'!P40</f>
        <v>17287.449897247254</v>
      </c>
      <c r="P25" s="300">
        <f>'Tx risks'!Q40</f>
        <v>17805.581192716068</v>
      </c>
      <c r="Q25" s="300">
        <f>'Tx risks'!R40</f>
        <v>18335.365206370443</v>
      </c>
      <c r="R25" s="300">
        <f>'Tx risks'!S40</f>
        <v>18876.573221082162</v>
      </c>
      <c r="S25" s="300">
        <f>'Tx risks'!T40</f>
        <v>19428.99986564997</v>
      </c>
      <c r="T25" s="300">
        <f>'Tx risks'!U40</f>
        <v>19992.46001416865</v>
      </c>
      <c r="U25" s="300">
        <f>'Tx risks'!V40</f>
        <v>20566.784591057778</v>
      </c>
      <c r="V25" s="300">
        <f>'Tx risks'!W40</f>
        <v>21151.818564771111</v>
      </c>
      <c r="W25" s="300">
        <f>'Tx risks'!X40</f>
        <v>21747.418576725886</v>
      </c>
      <c r="X25" s="300">
        <f>'Tx risks'!Y40</f>
        <v>22353.451299792341</v>
      </c>
      <c r="Y25" s="300">
        <f>'Tx risks'!Z40</f>
        <v>22969.79270873349</v>
      </c>
      <c r="Z25" s="300">
        <f>'Tx risks'!AA40</f>
        <v>23596.326803474723</v>
      </c>
      <c r="AA25" s="300">
        <f>'Tx risks'!AB40</f>
        <v>23596.326803474723</v>
      </c>
      <c r="AB25" s="300">
        <f>'Tx risks'!AC40</f>
        <v>23596.326803474723</v>
      </c>
      <c r="AC25" s="300">
        <f>'Tx risks'!AD40</f>
        <v>23596.326803474723</v>
      </c>
      <c r="AD25" s="285"/>
      <c r="AE25" s="285"/>
      <c r="AF25" s="285"/>
      <c r="AG25" s="285"/>
      <c r="AH25" s="285"/>
      <c r="AI25" s="285"/>
      <c r="AJ25" s="285"/>
      <c r="AK25" s="285"/>
      <c r="AL25" s="285"/>
      <c r="AM25" s="285"/>
      <c r="AN25" s="285"/>
      <c r="AO25" s="285"/>
      <c r="AP25" s="285"/>
      <c r="AQ25" s="285"/>
      <c r="AR25" s="285"/>
    </row>
    <row r="26" spans="1:44" x14ac:dyDescent="0.2">
      <c r="A26" s="285"/>
      <c r="B26" s="285"/>
      <c r="C26" s="285"/>
      <c r="D26" s="285" t="s">
        <v>206</v>
      </c>
      <c r="E26" s="300">
        <f t="shared" si="1"/>
        <v>1880.6461303360002</v>
      </c>
      <c r="F26" s="300">
        <f t="shared" si="1"/>
        <v>1935.1551362559999</v>
      </c>
      <c r="G26" s="300">
        <f>'Tx risks'!H41</f>
        <v>996.06990830399991</v>
      </c>
      <c r="H26" s="300">
        <f>'Tx risks'!I41</f>
        <v>1026.0270296399999</v>
      </c>
      <c r="I26" s="300">
        <f>'Tx risks'!J41</f>
        <v>1057.195885032</v>
      </c>
      <c r="J26" s="300">
        <f>'Tx risks'!K41</f>
        <v>1089.4685235600002</v>
      </c>
      <c r="K26" s="300">
        <f>'Tx risks'!L41</f>
        <v>1122.7770503040001</v>
      </c>
      <c r="L26" s="300">
        <f>'Tx risks'!M41</f>
        <v>1157.0727705200002</v>
      </c>
      <c r="M26" s="300">
        <f>'Tx risks'!N41</f>
        <v>1192.3180582719999</v>
      </c>
      <c r="N26" s="300">
        <f>'Tx risks'!O41</f>
        <v>1228.482484352</v>
      </c>
      <c r="O26" s="300">
        <f>'Tx risks'!P41</f>
        <v>1265.540666608</v>
      </c>
      <c r="P26" s="300">
        <f>'Tx risks'!Q41</f>
        <v>1303.4708546320001</v>
      </c>
      <c r="Q26" s="300">
        <f>'Tx risks'!R41</f>
        <v>1342.2540885840001</v>
      </c>
      <c r="R26" s="300">
        <f>'Tx risks'!S41</f>
        <v>1381.873625056</v>
      </c>
      <c r="S26" s="300">
        <f>'Tx risks'!T41</f>
        <v>1422.3144296960002</v>
      </c>
      <c r="T26" s="300">
        <f>'Tx risks'!U41</f>
        <v>1463.5629502239999</v>
      </c>
      <c r="U26" s="300">
        <f>'Tx risks'!V41</f>
        <v>1505.6068093360002</v>
      </c>
      <c r="V26" s="300">
        <f>'Tx risks'!W41</f>
        <v>1548.4346578320003</v>
      </c>
      <c r="W26" s="300">
        <f>'Tx risks'!X41</f>
        <v>1592.03600104</v>
      </c>
      <c r="X26" s="300">
        <f>'Tx risks'!Y41</f>
        <v>1636.4010786480001</v>
      </c>
      <c r="Y26" s="300">
        <f>'Tx risks'!Z41</f>
        <v>1681.5208112960001</v>
      </c>
      <c r="Z26" s="300">
        <f>'Tx risks'!AA41</f>
        <v>1727.3867071120001</v>
      </c>
      <c r="AA26" s="300">
        <f>'Tx risks'!AB41</f>
        <v>1727.3867071120001</v>
      </c>
      <c r="AB26" s="300">
        <f>'Tx risks'!AC41</f>
        <v>1727.3867071120001</v>
      </c>
      <c r="AC26" s="300">
        <f>'Tx risks'!AD41</f>
        <v>1727.3867071120001</v>
      </c>
      <c r="AD26" s="285"/>
      <c r="AE26" s="285"/>
      <c r="AF26" s="285"/>
      <c r="AG26" s="285"/>
      <c r="AH26" s="285"/>
      <c r="AI26" s="285"/>
      <c r="AJ26" s="285"/>
      <c r="AK26" s="285"/>
      <c r="AL26" s="285"/>
      <c r="AM26" s="285"/>
      <c r="AN26" s="285"/>
      <c r="AO26" s="285"/>
      <c r="AP26" s="285"/>
      <c r="AQ26" s="285"/>
      <c r="AR26" s="285"/>
    </row>
    <row r="27" spans="1:44" x14ac:dyDescent="0.2">
      <c r="A27" s="285"/>
      <c r="B27" s="285"/>
      <c r="C27" s="285"/>
      <c r="D27" s="285" t="s">
        <v>345</v>
      </c>
      <c r="E27" s="300">
        <f t="shared" si="1"/>
        <v>1998.2833333333333</v>
      </c>
      <c r="F27" s="300">
        <f t="shared" si="1"/>
        <v>1998.2833333333333</v>
      </c>
      <c r="G27" s="300">
        <f>'Tx risks'!H42</f>
        <v>392.45</v>
      </c>
      <c r="H27" s="300">
        <f>'Tx risks'!I42</f>
        <v>392.45</v>
      </c>
      <c r="I27" s="300">
        <f>'Tx risks'!J42</f>
        <v>392.45</v>
      </c>
      <c r="J27" s="300">
        <f>'Tx risks'!K42</f>
        <v>392.45</v>
      </c>
      <c r="K27" s="300">
        <f>'Tx risks'!L42</f>
        <v>392.45</v>
      </c>
      <c r="L27" s="300">
        <f>'Tx risks'!M42</f>
        <v>392.45</v>
      </c>
      <c r="M27" s="300">
        <f>'Tx risks'!N42</f>
        <v>392.45</v>
      </c>
      <c r="N27" s="300">
        <f>'Tx risks'!O42</f>
        <v>392.45</v>
      </c>
      <c r="O27" s="300">
        <f>'Tx risks'!P42</f>
        <v>392.45</v>
      </c>
      <c r="P27" s="300">
        <f>'Tx risks'!Q42</f>
        <v>392.45</v>
      </c>
      <c r="Q27" s="300">
        <f>'Tx risks'!R42</f>
        <v>392.45</v>
      </c>
      <c r="R27" s="300">
        <f>'Tx risks'!S42</f>
        <v>392.45</v>
      </c>
      <c r="S27" s="300">
        <f>'Tx risks'!T42</f>
        <v>392.45</v>
      </c>
      <c r="T27" s="300">
        <f>'Tx risks'!U42</f>
        <v>392.45</v>
      </c>
      <c r="U27" s="300">
        <f>'Tx risks'!V42</f>
        <v>392.45</v>
      </c>
      <c r="V27" s="300">
        <f>'Tx risks'!W42</f>
        <v>392.45</v>
      </c>
      <c r="W27" s="300">
        <f>'Tx risks'!X42</f>
        <v>392.45</v>
      </c>
      <c r="X27" s="300">
        <f>'Tx risks'!Y42</f>
        <v>392.45</v>
      </c>
      <c r="Y27" s="300">
        <f>'Tx risks'!Z42</f>
        <v>392.45</v>
      </c>
      <c r="Z27" s="300">
        <f>'Tx risks'!AA42</f>
        <v>392.45</v>
      </c>
      <c r="AA27" s="300">
        <f>'Tx risks'!AB42</f>
        <v>392.45</v>
      </c>
      <c r="AB27" s="300">
        <f>'Tx risks'!AC42</f>
        <v>392.45</v>
      </c>
      <c r="AC27" s="300">
        <f>'Tx risks'!AD42</f>
        <v>392.45</v>
      </c>
      <c r="AD27" s="285"/>
      <c r="AE27" s="285"/>
      <c r="AF27" s="285"/>
      <c r="AG27" s="285"/>
      <c r="AH27" s="285"/>
      <c r="AI27" s="285"/>
      <c r="AJ27" s="285"/>
      <c r="AK27" s="285"/>
      <c r="AL27" s="285"/>
      <c r="AM27" s="285"/>
      <c r="AN27" s="285"/>
      <c r="AO27" s="285"/>
      <c r="AP27" s="285"/>
      <c r="AQ27" s="285"/>
      <c r="AR27" s="285"/>
    </row>
    <row r="28" spans="1:44" x14ac:dyDescent="0.2">
      <c r="A28" s="285"/>
      <c r="B28" s="285"/>
      <c r="C28" s="285"/>
      <c r="D28" s="301" t="s">
        <v>207</v>
      </c>
      <c r="E28" s="295">
        <f>SUM(E23:E27)</f>
        <v>927943.19385973271</v>
      </c>
      <c r="F28" s="295">
        <f t="shared" ref="F28:AC28" si="2">SUM(F23:F27)</f>
        <v>976212.31992632803</v>
      </c>
      <c r="G28" s="295">
        <f t="shared" si="2"/>
        <v>45224.724677705526</v>
      </c>
      <c r="H28" s="295">
        <f t="shared" si="2"/>
        <v>71379.759028503729</v>
      </c>
      <c r="I28" s="295">
        <f t="shared" si="2"/>
        <v>96976.149443279035</v>
      </c>
      <c r="J28" s="295">
        <f t="shared" si="2"/>
        <v>122961.67447972349</v>
      </c>
      <c r="K28" s="295">
        <f t="shared" si="2"/>
        <v>150561.77675034071</v>
      </c>
      <c r="L28" s="295">
        <f t="shared" si="2"/>
        <v>179393.68788613103</v>
      </c>
      <c r="M28" s="295">
        <f t="shared" si="2"/>
        <v>207596.78050123516</v>
      </c>
      <c r="N28" s="295">
        <f t="shared" si="2"/>
        <v>233613.69285118041</v>
      </c>
      <c r="O28" s="295">
        <f t="shared" si="2"/>
        <v>259785.25568528834</v>
      </c>
      <c r="P28" s="295">
        <f t="shared" si="2"/>
        <v>286149.5276918388</v>
      </c>
      <c r="Q28" s="295">
        <f t="shared" si="2"/>
        <v>312735.16547655669</v>
      </c>
      <c r="R28" s="295">
        <f t="shared" si="2"/>
        <v>339564.39616540982</v>
      </c>
      <c r="S28" s="295">
        <f t="shared" si="2"/>
        <v>366654.71621417813</v>
      </c>
      <c r="T28" s="295">
        <f t="shared" si="2"/>
        <v>394020.07249668409</v>
      </c>
      <c r="U28" s="295">
        <f t="shared" si="2"/>
        <v>421671.72849040927</v>
      </c>
      <c r="V28" s="295">
        <f t="shared" si="2"/>
        <v>449618.89393786778</v>
      </c>
      <c r="W28" s="295">
        <f t="shared" si="2"/>
        <v>477869.15479924378</v>
      </c>
      <c r="X28" s="295">
        <f t="shared" si="2"/>
        <v>506428.72212394787</v>
      </c>
      <c r="Y28" s="295">
        <f t="shared" si="2"/>
        <v>535302.81937354931</v>
      </c>
      <c r="Z28" s="295">
        <f t="shared" si="2"/>
        <v>564495.79295887437</v>
      </c>
      <c r="AA28" s="295">
        <f t="shared" si="2"/>
        <v>593315.38540798926</v>
      </c>
      <c r="AB28" s="295">
        <f t="shared" si="2"/>
        <v>622449.59011193819</v>
      </c>
      <c r="AC28" s="295">
        <f t="shared" si="2"/>
        <v>651901.02417222003</v>
      </c>
      <c r="AD28" s="285"/>
      <c r="AE28" s="285"/>
      <c r="AF28" s="285"/>
      <c r="AG28" s="285"/>
      <c r="AH28" s="285"/>
      <c r="AI28" s="285"/>
      <c r="AJ28" s="285"/>
      <c r="AK28" s="285"/>
      <c r="AL28" s="285"/>
      <c r="AM28" s="285"/>
      <c r="AN28" s="285"/>
      <c r="AO28" s="285"/>
      <c r="AP28" s="285"/>
      <c r="AQ28" s="285"/>
      <c r="AR28" s="285"/>
    </row>
    <row r="31" spans="1:44" x14ac:dyDescent="0.2">
      <c r="A31" s="282"/>
      <c r="B31" s="283" t="str">
        <f>"Option 3 - "&amp;Assumptions!E16</f>
        <v>Option 3 - Refurbish #1 transformer completed in 2026-2027</v>
      </c>
      <c r="C31" s="284"/>
      <c r="D31" s="284"/>
      <c r="E31" s="284"/>
      <c r="F31" s="284"/>
      <c r="G31" s="284"/>
      <c r="H31" s="284"/>
      <c r="I31" s="284"/>
      <c r="J31" s="284"/>
      <c r="K31" s="284"/>
      <c r="L31" s="284"/>
      <c r="M31" s="284"/>
      <c r="N31" s="284"/>
      <c r="O31" s="284"/>
      <c r="P31" s="284"/>
      <c r="Q31" s="284"/>
      <c r="R31" s="284"/>
      <c r="S31" s="284"/>
      <c r="T31" s="284"/>
      <c r="U31" s="284"/>
      <c r="V31" s="284"/>
      <c r="W31" s="284"/>
      <c r="X31" s="284"/>
      <c r="Y31" s="284"/>
      <c r="Z31" s="284"/>
      <c r="AA31" s="284"/>
      <c r="AB31" s="284"/>
      <c r="AC31" s="284"/>
      <c r="AD31" s="284"/>
      <c r="AE31" s="284"/>
      <c r="AF31" s="284"/>
      <c r="AG31" s="284"/>
      <c r="AH31" s="284"/>
      <c r="AI31" s="284"/>
      <c r="AJ31" s="284"/>
      <c r="AK31" s="284"/>
      <c r="AL31" s="284"/>
      <c r="AM31" s="284"/>
      <c r="AN31" s="284"/>
      <c r="AO31" s="284"/>
      <c r="AP31" s="284"/>
      <c r="AQ31" s="284"/>
      <c r="AR31" s="282"/>
    </row>
    <row r="32" spans="1:44" x14ac:dyDescent="0.2">
      <c r="A32" s="285"/>
      <c r="B32" s="285"/>
      <c r="C32" s="285"/>
      <c r="D32" s="285"/>
      <c r="E32" s="285"/>
      <c r="F32" s="285"/>
      <c r="G32" s="285"/>
      <c r="H32" s="285"/>
      <c r="I32" s="285"/>
      <c r="J32" s="285"/>
      <c r="K32" s="285"/>
      <c r="L32" s="285"/>
      <c r="M32" s="285"/>
      <c r="N32" s="285"/>
      <c r="O32" s="285"/>
      <c r="P32" s="285"/>
      <c r="Q32" s="285"/>
      <c r="R32" s="285"/>
      <c r="S32" s="285"/>
      <c r="T32" s="285"/>
      <c r="U32" s="285"/>
      <c r="V32" s="285"/>
      <c r="W32" s="285"/>
      <c r="X32" s="285"/>
      <c r="Y32" s="285"/>
      <c r="Z32" s="285"/>
      <c r="AA32" s="285"/>
      <c r="AB32" s="285"/>
      <c r="AC32" s="285"/>
      <c r="AD32" s="285"/>
      <c r="AE32" s="285"/>
      <c r="AF32" s="285"/>
      <c r="AG32" s="285"/>
      <c r="AH32" s="285"/>
      <c r="AI32" s="285"/>
      <c r="AJ32" s="285"/>
      <c r="AK32" s="285"/>
      <c r="AL32" s="285"/>
      <c r="AM32" s="285"/>
      <c r="AN32" s="285"/>
      <c r="AO32" s="285"/>
      <c r="AP32" s="285"/>
      <c r="AQ32" s="285"/>
      <c r="AR32" s="285"/>
    </row>
    <row r="33" spans="1:44" x14ac:dyDescent="0.2">
      <c r="A33" s="285"/>
      <c r="B33" s="285"/>
      <c r="C33" s="285"/>
      <c r="D33" s="285"/>
      <c r="E33" s="287" t="s">
        <v>52</v>
      </c>
      <c r="F33" s="287" t="s">
        <v>91</v>
      </c>
      <c r="G33" s="287" t="s">
        <v>92</v>
      </c>
      <c r="H33" s="287" t="s">
        <v>93</v>
      </c>
      <c r="I33" s="287" t="s">
        <v>94</v>
      </c>
      <c r="J33" s="287" t="s">
        <v>95</v>
      </c>
      <c r="K33" s="287" t="s">
        <v>176</v>
      </c>
      <c r="L33" s="287" t="s">
        <v>177</v>
      </c>
      <c r="M33" s="287" t="s">
        <v>178</v>
      </c>
      <c r="N33" s="287" t="s">
        <v>179</v>
      </c>
      <c r="O33" s="287" t="s">
        <v>180</v>
      </c>
      <c r="P33" s="287" t="s">
        <v>181</v>
      </c>
      <c r="Q33" s="287" t="s">
        <v>182</v>
      </c>
      <c r="R33" s="287" t="s">
        <v>183</v>
      </c>
      <c r="S33" s="287" t="s">
        <v>184</v>
      </c>
      <c r="T33" s="287" t="s">
        <v>185</v>
      </c>
      <c r="U33" s="287" t="s">
        <v>186</v>
      </c>
      <c r="V33" s="287" t="s">
        <v>187</v>
      </c>
      <c r="W33" s="287" t="s">
        <v>188</v>
      </c>
      <c r="X33" s="287" t="s">
        <v>189</v>
      </c>
      <c r="Y33" s="287" t="s">
        <v>190</v>
      </c>
      <c r="Z33" s="287" t="s">
        <v>191</v>
      </c>
      <c r="AA33" s="287" t="s">
        <v>192</v>
      </c>
      <c r="AB33" s="287" t="s">
        <v>193</v>
      </c>
      <c r="AC33" s="287" t="s">
        <v>194</v>
      </c>
      <c r="AD33" s="285"/>
      <c r="AE33" s="285"/>
      <c r="AF33" s="285"/>
      <c r="AG33" s="285"/>
      <c r="AH33" s="285"/>
      <c r="AI33" s="285"/>
      <c r="AJ33" s="285"/>
      <c r="AK33" s="285"/>
      <c r="AL33" s="285"/>
      <c r="AM33" s="285"/>
      <c r="AN33" s="285"/>
      <c r="AO33" s="285"/>
      <c r="AP33" s="285"/>
      <c r="AQ33" s="285"/>
      <c r="AR33" s="285"/>
    </row>
    <row r="34" spans="1:44" x14ac:dyDescent="0.2">
      <c r="A34" s="285"/>
      <c r="B34" s="285"/>
      <c r="C34" s="285"/>
      <c r="D34" s="299" t="s">
        <v>202</v>
      </c>
      <c r="E34" s="289"/>
      <c r="F34" s="289"/>
      <c r="G34" s="289"/>
      <c r="H34" s="289"/>
      <c r="I34" s="289"/>
      <c r="J34" s="289"/>
      <c r="K34" s="289"/>
      <c r="L34" s="289"/>
      <c r="M34" s="289"/>
      <c r="N34" s="289"/>
      <c r="O34" s="289"/>
      <c r="P34" s="289"/>
      <c r="Q34" s="289"/>
      <c r="R34" s="289"/>
      <c r="S34" s="289"/>
      <c r="T34" s="289"/>
      <c r="U34" s="289"/>
      <c r="V34" s="289"/>
      <c r="W34" s="289"/>
      <c r="X34" s="289"/>
      <c r="Y34" s="289"/>
      <c r="Z34" s="289"/>
      <c r="AA34" s="289"/>
      <c r="AB34" s="289"/>
      <c r="AC34" s="289"/>
      <c r="AD34" s="285"/>
      <c r="AE34" s="285"/>
      <c r="AF34" s="285"/>
      <c r="AG34" s="285"/>
      <c r="AH34" s="285"/>
      <c r="AI34" s="285"/>
      <c r="AJ34" s="285"/>
      <c r="AK34" s="285"/>
      <c r="AL34" s="285"/>
      <c r="AM34" s="285"/>
      <c r="AN34" s="285"/>
      <c r="AO34" s="285"/>
      <c r="AP34" s="285"/>
      <c r="AQ34" s="285"/>
      <c r="AR34" s="285"/>
    </row>
    <row r="35" spans="1:44" x14ac:dyDescent="0.2">
      <c r="A35" s="285"/>
      <c r="B35" s="285"/>
      <c r="C35" s="285"/>
      <c r="D35" s="285" t="s">
        <v>203</v>
      </c>
      <c r="E35" s="300">
        <f>E11</f>
        <v>897865.0488590746</v>
      </c>
      <c r="F35" s="300">
        <f>'Tx risks'!G60</f>
        <v>926328.66113121528</v>
      </c>
      <c r="G35" s="300">
        <f>'Tx risks'!H60</f>
        <v>971070.01286631741</v>
      </c>
      <c r="H35" s="300">
        <f>'Tx risks'!I60</f>
        <v>1014948.1328586424</v>
      </c>
      <c r="I35" s="300">
        <f>'Tx risks'!J60</f>
        <v>1057984.1188091058</v>
      </c>
      <c r="J35" s="300">
        <f>'Tx risks'!K60</f>
        <v>1104689.7270437279</v>
      </c>
      <c r="K35" s="300">
        <f>'Tx risks'!L60</f>
        <v>1162053.1616432818</v>
      </c>
      <c r="L35" s="300">
        <f>'Tx risks'!M60</f>
        <v>1222273.3401106261</v>
      </c>
      <c r="M35" s="300">
        <f>'Tx risks'!N60</f>
        <v>1271835.430639415</v>
      </c>
      <c r="N35" s="300">
        <f>'Tx risks'!O60</f>
        <v>1304453.0737521735</v>
      </c>
      <c r="O35" s="300">
        <f>'Tx risks'!P60</f>
        <v>1337417.2604431899</v>
      </c>
      <c r="P35" s="300">
        <f>'Tx risks'!Q60</f>
        <v>1370726.805863013</v>
      </c>
      <c r="Q35" s="300">
        <f>'Tx risks'!R60</f>
        <v>1404380.5263744371</v>
      </c>
      <c r="R35" s="300">
        <f>'Tx risks'!S60</f>
        <v>1438377.2813606029</v>
      </c>
      <c r="S35" s="300">
        <f>'Tx risks'!T60</f>
        <v>1472715.9732440878</v>
      </c>
      <c r="T35" s="300">
        <f>'Tx risks'!U60</f>
        <v>1507395.5056346867</v>
      </c>
      <c r="U35" s="300">
        <f>'Tx risks'!V60</f>
        <v>1542414.8251766525</v>
      </c>
      <c r="V35" s="300">
        <f>'Tx risks'!W60</f>
        <v>1577772.8796745602</v>
      </c>
      <c r="W35" s="300">
        <f>'Tx risks'!X60</f>
        <v>1613468.6599667785</v>
      </c>
      <c r="X35" s="300">
        <f>'Tx risks'!Y60</f>
        <v>1649501.1999516834</v>
      </c>
      <c r="Y35" s="300">
        <f>'Tx risks'!Z60</f>
        <v>1685869.4927448428</v>
      </c>
      <c r="Z35" s="300">
        <f>'Tx risks'!AA60</f>
        <v>1722572.6164257242</v>
      </c>
      <c r="AA35" s="300">
        <f>'Tx risks'!AB60</f>
        <v>1759609.6292288443</v>
      </c>
      <c r="AB35" s="300">
        <f>'Tx risks'!AC60</f>
        <v>1796979.6534268553</v>
      </c>
      <c r="AC35" s="300">
        <f>'Tx risks'!AD60</f>
        <v>1834681.8124149938</v>
      </c>
      <c r="AD35" s="285"/>
      <c r="AE35" s="285"/>
      <c r="AF35" s="285"/>
      <c r="AG35" s="285"/>
      <c r="AH35" s="285"/>
      <c r="AI35" s="285"/>
      <c r="AJ35" s="285"/>
      <c r="AK35" s="285"/>
      <c r="AL35" s="285"/>
      <c r="AM35" s="285"/>
      <c r="AN35" s="285"/>
      <c r="AO35" s="285"/>
      <c r="AP35" s="285"/>
      <c r="AQ35" s="285"/>
      <c r="AR35" s="285"/>
    </row>
    <row r="36" spans="1:44" x14ac:dyDescent="0.2">
      <c r="A36" s="285"/>
      <c r="B36" s="285"/>
      <c r="C36" s="285"/>
      <c r="D36" s="285" t="s">
        <v>204</v>
      </c>
      <c r="E36" s="300">
        <f t="shared" ref="E36:E39" si="3">E12</f>
        <v>509.34510415978644</v>
      </c>
      <c r="F36" s="300">
        <f>'Tx risks'!G61</f>
        <v>366.87564326958244</v>
      </c>
      <c r="G36" s="300">
        <f>'Tx risks'!H61</f>
        <v>377.33099199851983</v>
      </c>
      <c r="H36" s="300">
        <f>'Tx risks'!I61</f>
        <v>387.90700579264933</v>
      </c>
      <c r="I36" s="300">
        <f>'Tx risks'!J61</f>
        <v>398.6031132937743</v>
      </c>
      <c r="J36" s="300">
        <f>'Tx risks'!K61</f>
        <v>409.41873591131633</v>
      </c>
      <c r="K36" s="300">
        <f>'Tx risks'!L61</f>
        <v>420.35330228707852</v>
      </c>
      <c r="L36" s="300">
        <f>'Tx risks'!M61</f>
        <v>431.40626276001137</v>
      </c>
      <c r="M36" s="300">
        <f>'Tx risks'!N61</f>
        <v>442.57708213382955</v>
      </c>
      <c r="N36" s="300">
        <f>'Tx risks'!O61</f>
        <v>453.86522521224754</v>
      </c>
      <c r="O36" s="300">
        <f>'Tx risks'!P61</f>
        <v>465.27017126374471</v>
      </c>
      <c r="P36" s="300">
        <f>'Tx risks'!Q61</f>
        <v>476.79141402156455</v>
      </c>
      <c r="Q36" s="300">
        <f>'Tx risks'!R61</f>
        <v>488.42844721895079</v>
      </c>
      <c r="R36" s="300">
        <f>'Tx risks'!S61</f>
        <v>500.18077905391141</v>
      </c>
      <c r="S36" s="300">
        <f>'Tx risks'!T61</f>
        <v>512.04793218921907</v>
      </c>
      <c r="T36" s="300">
        <f>'Tx risks'!U61</f>
        <v>524.02942928764628</v>
      </c>
      <c r="U36" s="300">
        <f>'Tx risks'!V61</f>
        <v>536.12480747672998</v>
      </c>
      <c r="V36" s="300">
        <f>'Tx risks'!W61</f>
        <v>548.33360388400729</v>
      </c>
      <c r="W36" s="300">
        <f>'Tx risks'!X61</f>
        <v>560.65537010177968</v>
      </c>
      <c r="X36" s="300">
        <f>'Tx risks'!Y61</f>
        <v>573.08967218711314</v>
      </c>
      <c r="Y36" s="300">
        <f>'Tx risks'!Z61</f>
        <v>585.63606173230914</v>
      </c>
      <c r="Z36" s="300">
        <f>'Tx risks'!AA61</f>
        <v>598.29411925919806</v>
      </c>
      <c r="AA36" s="300">
        <f>'Tx risks'!AB61</f>
        <v>598.29411925919806</v>
      </c>
      <c r="AB36" s="300">
        <f>'Tx risks'!AC61</f>
        <v>598.29411925919806</v>
      </c>
      <c r="AC36" s="300">
        <f>'Tx risks'!AD61</f>
        <v>598.29411925919806</v>
      </c>
      <c r="AD36" s="285"/>
      <c r="AE36" s="285"/>
      <c r="AF36" s="285"/>
      <c r="AG36" s="285"/>
      <c r="AH36" s="285"/>
      <c r="AI36" s="285"/>
      <c r="AJ36" s="285"/>
      <c r="AK36" s="285"/>
      <c r="AL36" s="285"/>
      <c r="AM36" s="285"/>
      <c r="AN36" s="285"/>
      <c r="AO36" s="285"/>
      <c r="AP36" s="285"/>
      <c r="AQ36" s="285"/>
      <c r="AR36" s="285"/>
    </row>
    <row r="37" spans="1:44" x14ac:dyDescent="0.2">
      <c r="A37" s="285"/>
      <c r="B37" s="285"/>
      <c r="C37" s="285"/>
      <c r="D37" s="285" t="s">
        <v>205</v>
      </c>
      <c r="E37" s="300">
        <f t="shared" si="3"/>
        <v>25689.870432828979</v>
      </c>
      <c r="F37" s="300">
        <f>'Tx risks'!G62</f>
        <v>25905.781225766936</v>
      </c>
      <c r="G37" s="300">
        <f>'Tx risks'!H62</f>
        <v>26644.053121925299</v>
      </c>
      <c r="H37" s="300">
        <f>'Tx risks'!I62</f>
        <v>27390.845405952969</v>
      </c>
      <c r="I37" s="300">
        <f>'Tx risks'!J62</f>
        <v>28146.117733169904</v>
      </c>
      <c r="J37" s="300">
        <f>'Tx risks'!K62</f>
        <v>28909.82924820394</v>
      </c>
      <c r="K37" s="300">
        <f>'Tx risks'!L62</f>
        <v>29681.939606375021</v>
      </c>
      <c r="L37" s="300">
        <f>'Tx risks'!M62</f>
        <v>30462.409995079586</v>
      </c>
      <c r="M37" s="300">
        <f>'Tx risks'!N62</f>
        <v>31251.202623098357</v>
      </c>
      <c r="N37" s="300">
        <f>'Tx risks'!O62</f>
        <v>32048.279699212064</v>
      </c>
      <c r="O37" s="300">
        <f>'Tx risks'!P62</f>
        <v>32853.604453585736</v>
      </c>
      <c r="P37" s="300">
        <f>'Tx risks'!Q62</f>
        <v>33667.141137768711</v>
      </c>
      <c r="Q37" s="300">
        <f>'Tx risks'!R62</f>
        <v>34488.854003310335</v>
      </c>
      <c r="R37" s="300">
        <f>'Tx risks'!S62</f>
        <v>35318.708323144245</v>
      </c>
      <c r="S37" s="300">
        <f>'Tx risks'!T62</f>
        <v>36156.670391588377</v>
      </c>
      <c r="T37" s="300">
        <f>'Tx risks'!U62</f>
        <v>37002.706502960704</v>
      </c>
      <c r="U37" s="300">
        <f>'Tx risks'!V62</f>
        <v>37856.783972963451</v>
      </c>
      <c r="V37" s="300">
        <f>'Tx risks'!W62</f>
        <v>38718.87011729888</v>
      </c>
      <c r="W37" s="300">
        <f>'Tx risks'!X62</f>
        <v>39588.933273053546</v>
      </c>
      <c r="X37" s="300">
        <f>'Tx risks'!Y62</f>
        <v>40466.942798698321</v>
      </c>
      <c r="Y37" s="300">
        <f>'Tx risks'!Z62</f>
        <v>41352.867031319751</v>
      </c>
      <c r="Z37" s="300">
        <f>'Tx risks'!AA62</f>
        <v>42246.676350772992</v>
      </c>
      <c r="AA37" s="300">
        <f>'Tx risks'!AB62</f>
        <v>42246.676350772992</v>
      </c>
      <c r="AB37" s="300">
        <f>'Tx risks'!AC62</f>
        <v>42246.676350772992</v>
      </c>
      <c r="AC37" s="300">
        <f>'Tx risks'!AD62</f>
        <v>42246.676350772992</v>
      </c>
      <c r="AD37" s="285"/>
      <c r="AE37" s="285"/>
      <c r="AF37" s="285"/>
      <c r="AG37" s="285"/>
      <c r="AH37" s="285"/>
      <c r="AI37" s="285"/>
      <c r="AJ37" s="285"/>
      <c r="AK37" s="285"/>
      <c r="AL37" s="285"/>
      <c r="AM37" s="285"/>
      <c r="AN37" s="285"/>
      <c r="AO37" s="285"/>
      <c r="AP37" s="285"/>
      <c r="AQ37" s="285"/>
      <c r="AR37" s="285"/>
    </row>
    <row r="38" spans="1:44" x14ac:dyDescent="0.2">
      <c r="A38" s="285"/>
      <c r="B38" s="285"/>
      <c r="C38" s="285"/>
      <c r="D38" s="285" t="s">
        <v>206</v>
      </c>
      <c r="E38" s="300">
        <f t="shared" si="3"/>
        <v>1880.6461303360002</v>
      </c>
      <c r="F38" s="300">
        <f>'Tx risks'!G63</f>
        <v>1219.1477406479999</v>
      </c>
      <c r="G38" s="300">
        <f>'Tx risks'!H63</f>
        <v>1253.8914338159998</v>
      </c>
      <c r="H38" s="300">
        <f>'Tx risks'!I63</f>
        <v>1289.0361035663998</v>
      </c>
      <c r="I38" s="300">
        <f>'Tx risks'!J63</f>
        <v>1324.5798512447998</v>
      </c>
      <c r="J38" s="300">
        <f>'Tx risks'!K63</f>
        <v>1360.5207541631999</v>
      </c>
      <c r="K38" s="300">
        <f>'Tx risks'!L63</f>
        <v>1396.8569136671999</v>
      </c>
      <c r="L38" s="300">
        <f>'Tx risks'!M63</f>
        <v>1433.5865032031998</v>
      </c>
      <c r="M38" s="300">
        <f>'Tx risks'!N63</f>
        <v>1470.7077442847999</v>
      </c>
      <c r="N38" s="300">
        <f>'Tx risks'!O63</f>
        <v>1508.2188584256</v>
      </c>
      <c r="O38" s="300">
        <f>'Tx risks'!P63</f>
        <v>1546.1181152064</v>
      </c>
      <c r="P38" s="300">
        <f>'Tx risks'!Q63</f>
        <v>1584.4038322751999</v>
      </c>
      <c r="Q38" s="300">
        <f>'Tx risks'!R63</f>
        <v>1623.0743272799998</v>
      </c>
      <c r="R38" s="300">
        <f>'Tx risks'!S63</f>
        <v>1662.1279659359998</v>
      </c>
      <c r="S38" s="300">
        <f>'Tx risks'!T63</f>
        <v>1701.5631620255999</v>
      </c>
      <c r="T38" s="300">
        <f>'Tx risks'!U63</f>
        <v>1741.3783293311999</v>
      </c>
      <c r="U38" s="300">
        <f>'Tx risks'!V63</f>
        <v>1781.5719297023998</v>
      </c>
      <c r="V38" s="300">
        <f>'Tx risks'!W63</f>
        <v>1822.1424249888</v>
      </c>
      <c r="W38" s="300">
        <f>'Tx risks'!X63</f>
        <v>1863.0883251071998</v>
      </c>
      <c r="X38" s="300">
        <f>'Tx risks'!Y63</f>
        <v>1904.4081880415999</v>
      </c>
      <c r="Y38" s="300">
        <f>'Tx risks'!Z63</f>
        <v>1946.1005237088</v>
      </c>
      <c r="Z38" s="300">
        <f>'Tx risks'!AA63</f>
        <v>1988.1639381599998</v>
      </c>
      <c r="AA38" s="300">
        <f>'Tx risks'!AB63</f>
        <v>1988.1639381599998</v>
      </c>
      <c r="AB38" s="300">
        <f>'Tx risks'!AC63</f>
        <v>1988.1639381599998</v>
      </c>
      <c r="AC38" s="300">
        <f>'Tx risks'!AD63</f>
        <v>1988.1639381599998</v>
      </c>
      <c r="AD38" s="285"/>
      <c r="AE38" s="285"/>
      <c r="AF38" s="285"/>
      <c r="AG38" s="285"/>
      <c r="AH38" s="285"/>
      <c r="AI38" s="285"/>
      <c r="AJ38" s="285"/>
      <c r="AK38" s="285"/>
      <c r="AL38" s="285"/>
      <c r="AM38" s="285"/>
      <c r="AN38" s="285"/>
      <c r="AO38" s="285"/>
      <c r="AP38" s="285"/>
      <c r="AQ38" s="285"/>
      <c r="AR38" s="285"/>
    </row>
    <row r="39" spans="1:44" x14ac:dyDescent="0.2">
      <c r="A39" s="285"/>
      <c r="B39" s="285"/>
      <c r="C39" s="285"/>
      <c r="D39" s="285" t="s">
        <v>345</v>
      </c>
      <c r="E39" s="300">
        <f t="shared" si="3"/>
        <v>1998.2833333333333</v>
      </c>
      <c r="F39" s="300">
        <f>'Tx risks'!G64</f>
        <v>499.57083333333333</v>
      </c>
      <c r="G39" s="300">
        <f>'Tx risks'!H64</f>
        <v>499.57083333333333</v>
      </c>
      <c r="H39" s="300">
        <f>'Tx risks'!I64</f>
        <v>499.57083333333333</v>
      </c>
      <c r="I39" s="300">
        <f>'Tx risks'!J64</f>
        <v>499.57083333333333</v>
      </c>
      <c r="J39" s="300">
        <f>'Tx risks'!K64</f>
        <v>499.57083333333333</v>
      </c>
      <c r="K39" s="300">
        <f>'Tx risks'!L64</f>
        <v>499.57083333333333</v>
      </c>
      <c r="L39" s="300">
        <f>'Tx risks'!M64</f>
        <v>499.57083333333333</v>
      </c>
      <c r="M39" s="300">
        <f>'Tx risks'!N64</f>
        <v>499.57083333333333</v>
      </c>
      <c r="N39" s="300">
        <f>'Tx risks'!O64</f>
        <v>499.57083333333333</v>
      </c>
      <c r="O39" s="300">
        <f>'Tx risks'!P64</f>
        <v>499.57083333333333</v>
      </c>
      <c r="P39" s="300">
        <f>'Tx risks'!Q64</f>
        <v>499.57083333333333</v>
      </c>
      <c r="Q39" s="300">
        <f>'Tx risks'!R64</f>
        <v>499.57083333333333</v>
      </c>
      <c r="R39" s="300">
        <f>'Tx risks'!S64</f>
        <v>499.57083333333333</v>
      </c>
      <c r="S39" s="300">
        <f>'Tx risks'!T64</f>
        <v>499.57083333333333</v>
      </c>
      <c r="T39" s="300">
        <f>'Tx risks'!U64</f>
        <v>499.57083333333333</v>
      </c>
      <c r="U39" s="300">
        <f>'Tx risks'!V64</f>
        <v>499.57083333333333</v>
      </c>
      <c r="V39" s="300">
        <f>'Tx risks'!W64</f>
        <v>499.57083333333333</v>
      </c>
      <c r="W39" s="300">
        <f>'Tx risks'!X64</f>
        <v>499.57083333333333</v>
      </c>
      <c r="X39" s="300">
        <f>'Tx risks'!Y64</f>
        <v>499.57083333333333</v>
      </c>
      <c r="Y39" s="300">
        <f>'Tx risks'!Z64</f>
        <v>499.57083333333333</v>
      </c>
      <c r="Z39" s="300">
        <f>'Tx risks'!AA64</f>
        <v>499.57083333333333</v>
      </c>
      <c r="AA39" s="300">
        <f>'Tx risks'!AB64</f>
        <v>499.57083333333333</v>
      </c>
      <c r="AB39" s="300">
        <f>'Tx risks'!AC64</f>
        <v>499.57083333333333</v>
      </c>
      <c r="AC39" s="300">
        <f>'Tx risks'!AD64</f>
        <v>499.57083333333333</v>
      </c>
      <c r="AD39" s="285"/>
      <c r="AE39" s="285"/>
      <c r="AF39" s="285"/>
      <c r="AG39" s="285"/>
      <c r="AH39" s="285"/>
      <c r="AI39" s="285"/>
      <c r="AJ39" s="285"/>
      <c r="AK39" s="285"/>
      <c r="AL39" s="285"/>
      <c r="AM39" s="285"/>
      <c r="AN39" s="285"/>
      <c r="AO39" s="285"/>
      <c r="AP39" s="285"/>
      <c r="AQ39" s="285"/>
      <c r="AR39" s="285"/>
    </row>
    <row r="40" spans="1:44" x14ac:dyDescent="0.2">
      <c r="A40" s="285"/>
      <c r="B40" s="285"/>
      <c r="C40" s="285"/>
      <c r="D40" s="301" t="s">
        <v>207</v>
      </c>
      <c r="E40" s="295">
        <f t="shared" ref="E40:F40" si="4">SUM(E35:E39)</f>
        <v>927943.19385973271</v>
      </c>
      <c r="F40" s="295">
        <f t="shared" si="4"/>
        <v>954320.03657423321</v>
      </c>
      <c r="G40" s="295">
        <f>SUM(G35:G39)</f>
        <v>999844.85924739065</v>
      </c>
      <c r="H40" s="295">
        <f t="shared" ref="H40:AC40" si="5">SUM(H35:H39)</f>
        <v>1044515.4922072877</v>
      </c>
      <c r="I40" s="295">
        <f t="shared" si="5"/>
        <v>1088352.9903401476</v>
      </c>
      <c r="J40" s="295">
        <f t="shared" si="5"/>
        <v>1135869.0666153396</v>
      </c>
      <c r="K40" s="295">
        <f t="shared" si="5"/>
        <v>1194051.8822989445</v>
      </c>
      <c r="L40" s="295">
        <f t="shared" si="5"/>
        <v>1255100.3137050022</v>
      </c>
      <c r="M40" s="295">
        <f t="shared" si="5"/>
        <v>1305499.4889222654</v>
      </c>
      <c r="N40" s="295">
        <f t="shared" si="5"/>
        <v>1338963.0083683566</v>
      </c>
      <c r="O40" s="295">
        <f t="shared" si="5"/>
        <v>1372781.8240165792</v>
      </c>
      <c r="P40" s="295">
        <f t="shared" si="5"/>
        <v>1406954.7130804118</v>
      </c>
      <c r="Q40" s="295">
        <f t="shared" si="5"/>
        <v>1441480.4539855798</v>
      </c>
      <c r="R40" s="295">
        <f t="shared" si="5"/>
        <v>1476357.8692620704</v>
      </c>
      <c r="S40" s="295">
        <f t="shared" si="5"/>
        <v>1511585.8255632243</v>
      </c>
      <c r="T40" s="295">
        <f t="shared" si="5"/>
        <v>1547163.1907295997</v>
      </c>
      <c r="U40" s="295">
        <f t="shared" si="5"/>
        <v>1583088.8767201283</v>
      </c>
      <c r="V40" s="295">
        <f t="shared" si="5"/>
        <v>1619361.7966540651</v>
      </c>
      <c r="W40" s="295">
        <f t="shared" si="5"/>
        <v>1655980.9077683743</v>
      </c>
      <c r="X40" s="295">
        <f t="shared" si="5"/>
        <v>1692945.2114439437</v>
      </c>
      <c r="Y40" s="295">
        <f t="shared" si="5"/>
        <v>1730253.6671949371</v>
      </c>
      <c r="Z40" s="295">
        <f t="shared" si="5"/>
        <v>1767905.3216672498</v>
      </c>
      <c r="AA40" s="295">
        <f t="shared" si="5"/>
        <v>1804942.3344703699</v>
      </c>
      <c r="AB40" s="295">
        <f t="shared" si="5"/>
        <v>1842312.3586683809</v>
      </c>
      <c r="AC40" s="295">
        <f t="shared" si="5"/>
        <v>1880014.5176565193</v>
      </c>
      <c r="AD40" s="285"/>
      <c r="AE40" s="285"/>
      <c r="AF40" s="285"/>
      <c r="AG40" s="285"/>
      <c r="AH40" s="285"/>
      <c r="AI40" s="285"/>
      <c r="AJ40" s="285"/>
      <c r="AK40" s="285"/>
      <c r="AL40" s="285"/>
      <c r="AM40" s="285"/>
      <c r="AN40" s="285"/>
      <c r="AO40" s="285"/>
      <c r="AP40" s="285"/>
      <c r="AQ40" s="285"/>
      <c r="AR40" s="285"/>
    </row>
  </sheetData>
  <pageMargins left="0.7" right="0.7" top="0.75" bottom="0.75" header="0.3" footer="0.3"/>
  <pageSetup paperSize="9"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E5D41-0DA1-4029-A2C0-179BECD38DA6}">
  <sheetPr codeName="Sheet12"/>
  <dimension ref="A1:AK69"/>
  <sheetViews>
    <sheetView showGridLines="0" zoomScaleNormal="100" workbookViewId="0">
      <selection activeCell="A3" sqref="A3"/>
    </sheetView>
  </sheetViews>
  <sheetFormatPr defaultRowHeight="12.75" x14ac:dyDescent="0.2"/>
  <cols>
    <col min="1" max="1" width="27.875" bestFit="1" customWidth="1"/>
    <col min="3" max="3" width="19.125" bestFit="1" customWidth="1"/>
    <col min="4" max="4" width="9.875" bestFit="1" customWidth="1"/>
    <col min="5" max="5" width="10.125" bestFit="1" customWidth="1"/>
    <col min="6" max="6" width="12.125" bestFit="1" customWidth="1"/>
    <col min="7" max="7" width="9.875" bestFit="1" customWidth="1"/>
    <col min="37" max="37" width="13" bestFit="1" customWidth="1"/>
  </cols>
  <sheetData>
    <row r="1" spans="1:36" ht="18.75" x14ac:dyDescent="0.3">
      <c r="A1" s="13" t="str">
        <f>bus</f>
        <v>CitiPower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36" ht="18.75" x14ac:dyDescent="0.3">
      <c r="A2" s="50" t="str">
        <f>proj</f>
        <v>NC transformer replacement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5" spans="1:36" x14ac:dyDescent="0.2">
      <c r="A5" s="302" t="s">
        <v>208</v>
      </c>
      <c r="B5" s="302"/>
      <c r="C5" s="303" t="s">
        <v>209</v>
      </c>
      <c r="D5" s="303"/>
      <c r="E5" s="180"/>
      <c r="F5" s="304" t="s">
        <v>210</v>
      </c>
      <c r="G5" s="305" t="s">
        <v>211</v>
      </c>
      <c r="H5" s="303" t="s">
        <v>212</v>
      </c>
      <c r="I5" s="303" t="s">
        <v>213</v>
      </c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  <c r="AC5" s="180"/>
      <c r="AD5" s="180"/>
      <c r="AE5" s="180"/>
      <c r="AF5" s="180"/>
      <c r="AG5" s="180"/>
      <c r="AH5" s="180"/>
      <c r="AI5" s="180"/>
      <c r="AJ5" s="180"/>
    </row>
    <row r="6" spans="1:36" x14ac:dyDescent="0.2">
      <c r="A6" s="306" t="s">
        <v>214</v>
      </c>
      <c r="B6" s="307" t="s">
        <v>71</v>
      </c>
      <c r="C6" s="308" t="s">
        <v>215</v>
      </c>
      <c r="D6" s="309"/>
      <c r="E6" s="180"/>
      <c r="F6" s="308" t="s">
        <v>216</v>
      </c>
      <c r="G6" s="310">
        <v>1.3681695800000001E-3</v>
      </c>
      <c r="H6" s="305">
        <v>1</v>
      </c>
      <c r="I6" s="311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80"/>
      <c r="AA6" s="180"/>
      <c r="AB6" s="180"/>
      <c r="AC6" s="180"/>
      <c r="AD6" s="180"/>
      <c r="AE6" s="180"/>
      <c r="AF6" s="180"/>
      <c r="AG6" s="180"/>
      <c r="AH6" s="180"/>
      <c r="AI6" s="180"/>
      <c r="AJ6" s="180"/>
    </row>
    <row r="7" spans="1:36" x14ac:dyDescent="0.2">
      <c r="A7" s="306" t="s">
        <v>217</v>
      </c>
      <c r="B7" s="307" t="s">
        <v>218</v>
      </c>
      <c r="C7" s="308" t="s">
        <v>219</v>
      </c>
      <c r="D7" s="309"/>
      <c r="E7" s="180"/>
      <c r="F7" s="308" t="s">
        <v>220</v>
      </c>
      <c r="G7" s="310">
        <v>1.3681695800000001E-3</v>
      </c>
      <c r="H7" s="305">
        <v>1</v>
      </c>
      <c r="I7" s="311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36" x14ac:dyDescent="0.2">
      <c r="A8" s="312" t="s">
        <v>68</v>
      </c>
      <c r="B8" s="313">
        <v>44.330651153933509</v>
      </c>
      <c r="C8" s="312" t="s">
        <v>221</v>
      </c>
      <c r="D8" s="314">
        <v>9119502.7199999988</v>
      </c>
      <c r="E8" s="180"/>
      <c r="F8" s="308" t="s">
        <v>222</v>
      </c>
      <c r="G8" s="310" t="b">
        <v>1</v>
      </c>
      <c r="H8" s="305">
        <v>1</v>
      </c>
      <c r="I8" s="311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80"/>
      <c r="AC8" s="180"/>
      <c r="AD8" s="180"/>
      <c r="AE8" s="180"/>
      <c r="AF8" s="180"/>
      <c r="AG8" s="180"/>
      <c r="AH8" s="180"/>
      <c r="AI8" s="180"/>
      <c r="AJ8" s="180"/>
    </row>
    <row r="9" spans="1:36" x14ac:dyDescent="0.2">
      <c r="A9" s="312" t="s">
        <v>223</v>
      </c>
      <c r="B9" s="315">
        <v>0.5</v>
      </c>
      <c r="C9" s="312" t="s">
        <v>224</v>
      </c>
      <c r="D9" s="314">
        <v>166900</v>
      </c>
      <c r="E9" s="180"/>
      <c r="F9" s="308" t="s">
        <v>225</v>
      </c>
      <c r="G9" s="316">
        <v>0</v>
      </c>
      <c r="H9" s="305">
        <v>1</v>
      </c>
      <c r="I9" s="311"/>
      <c r="J9" s="180"/>
      <c r="K9" s="180"/>
      <c r="L9" s="180"/>
      <c r="M9" s="180"/>
      <c r="N9" s="180"/>
      <c r="O9" s="180"/>
      <c r="P9" s="180"/>
      <c r="Q9" s="180"/>
      <c r="R9" s="180"/>
      <c r="S9" s="180"/>
      <c r="T9" s="180"/>
      <c r="U9" s="180"/>
      <c r="V9" s="180"/>
      <c r="W9" s="180"/>
      <c r="X9" s="180"/>
      <c r="Y9" s="180"/>
      <c r="Z9" s="180"/>
      <c r="AA9" s="180"/>
      <c r="AB9" s="180"/>
      <c r="AC9" s="180"/>
      <c r="AD9" s="180"/>
      <c r="AE9" s="180"/>
      <c r="AF9" s="180"/>
      <c r="AG9" s="180"/>
      <c r="AH9" s="180"/>
      <c r="AI9" s="180"/>
      <c r="AJ9" s="180"/>
    </row>
    <row r="10" spans="1:36" ht="19.5" customHeight="1" x14ac:dyDescent="0.2">
      <c r="A10" s="317" t="s">
        <v>226</v>
      </c>
      <c r="B10" s="318" t="s">
        <v>227</v>
      </c>
      <c r="C10" s="303" t="s">
        <v>228</v>
      </c>
      <c r="D10" s="302" t="s">
        <v>229</v>
      </c>
      <c r="E10" s="303">
        <v>2025</v>
      </c>
      <c r="F10" s="303">
        <v>2026</v>
      </c>
      <c r="G10" s="303">
        <v>2027</v>
      </c>
      <c r="H10" s="303">
        <v>2028</v>
      </c>
      <c r="I10" s="303">
        <v>2029</v>
      </c>
      <c r="J10" s="303">
        <v>2030</v>
      </c>
      <c r="K10" s="303">
        <v>2031</v>
      </c>
      <c r="L10" s="303">
        <v>2032</v>
      </c>
      <c r="M10" s="303">
        <v>2033</v>
      </c>
      <c r="N10" s="303">
        <v>2034</v>
      </c>
      <c r="O10" s="303">
        <v>2035</v>
      </c>
      <c r="P10" s="303">
        <v>2036</v>
      </c>
      <c r="Q10" s="303">
        <v>2037</v>
      </c>
      <c r="R10" s="303">
        <v>2038</v>
      </c>
      <c r="S10" s="303">
        <v>2039</v>
      </c>
      <c r="T10" s="303">
        <v>2040</v>
      </c>
      <c r="U10" s="303">
        <v>2041</v>
      </c>
      <c r="V10" s="303">
        <v>2042</v>
      </c>
      <c r="W10" s="303">
        <v>2043</v>
      </c>
      <c r="X10" s="303">
        <v>2044</v>
      </c>
      <c r="Y10" s="303">
        <v>2045</v>
      </c>
      <c r="Z10" s="303">
        <v>2046</v>
      </c>
      <c r="AA10" s="303">
        <v>2047</v>
      </c>
      <c r="AB10" s="319">
        <v>2048</v>
      </c>
      <c r="AC10" s="319">
        <v>2049</v>
      </c>
      <c r="AD10" s="319">
        <v>2050</v>
      </c>
      <c r="AE10" s="319">
        <v>2051</v>
      </c>
      <c r="AF10" s="319">
        <v>2052</v>
      </c>
      <c r="AG10" s="319">
        <v>2053</v>
      </c>
      <c r="AH10" s="319">
        <v>2054</v>
      </c>
      <c r="AI10" s="319">
        <v>2055</v>
      </c>
      <c r="AJ10" s="319">
        <v>2056</v>
      </c>
    </row>
    <row r="11" spans="1:36" x14ac:dyDescent="0.2">
      <c r="A11" s="306" t="s">
        <v>230</v>
      </c>
      <c r="B11" s="320" t="b">
        <v>0</v>
      </c>
      <c r="C11" s="321">
        <v>2000000</v>
      </c>
      <c r="D11" s="306"/>
      <c r="E11" s="322"/>
      <c r="F11" s="322"/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2"/>
      <c r="Y11" s="322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</row>
    <row r="12" spans="1:36" x14ac:dyDescent="0.2">
      <c r="A12" s="306" t="s">
        <v>232</v>
      </c>
      <c r="B12" s="320" t="b">
        <v>0</v>
      </c>
      <c r="C12" s="321">
        <v>50000</v>
      </c>
      <c r="D12" s="306" t="s">
        <v>348</v>
      </c>
      <c r="E12" s="323">
        <v>18895.361274094939</v>
      </c>
      <c r="F12" s="323">
        <v>20253.820449001141</v>
      </c>
      <c r="G12" s="323">
        <v>21324.304476831428</v>
      </c>
      <c r="H12" s="323">
        <v>22354.317464363681</v>
      </c>
      <c r="I12" s="323">
        <v>23364.464221608308</v>
      </c>
      <c r="J12" s="323">
        <v>24355.229877209335</v>
      </c>
      <c r="K12" s="323">
        <v>25430.477225815492</v>
      </c>
      <c r="L12" s="323">
        <v>26751.076701545266</v>
      </c>
      <c r="M12" s="323">
        <v>28137.4459660344</v>
      </c>
      <c r="N12" s="323">
        <v>29278.470495740716</v>
      </c>
      <c r="O12" s="323">
        <v>30029.432923451732</v>
      </c>
      <c r="P12" s="323">
        <v>30788.378623267963</v>
      </c>
      <c r="Q12" s="323">
        <v>31555.279434679447</v>
      </c>
      <c r="R12" s="323">
        <v>32330.108910180395</v>
      </c>
      <c r="S12" s="323">
        <v>33112.841305014794</v>
      </c>
      <c r="T12" s="323">
        <v>33903.450227891793</v>
      </c>
      <c r="U12" s="323">
        <v>34701.911338529011</v>
      </c>
      <c r="V12" s="323">
        <v>35508.200324539161</v>
      </c>
      <c r="W12" s="323">
        <v>36322.293575825744</v>
      </c>
      <c r="X12" s="323">
        <v>37144.16750926603</v>
      </c>
      <c r="Y12" s="323">
        <v>37973.799581382926</v>
      </c>
      <c r="Z12" s="323">
        <v>38811.167613178251</v>
      </c>
      <c r="AA12" s="323">
        <v>39656.2504659439</v>
      </c>
      <c r="AB12" s="323">
        <v>40509.026351280838</v>
      </c>
      <c r="AC12" s="323">
        <v>41369.474858830254</v>
      </c>
      <c r="AD12" s="323">
        <v>42237.57560416995</v>
      </c>
      <c r="AE12" s="323">
        <v>43113.309243504489</v>
      </c>
      <c r="AF12" s="323">
        <v>43996.656458806021</v>
      </c>
      <c r="AG12" s="323">
        <v>43996.656458806021</v>
      </c>
      <c r="AH12" s="323">
        <v>43996.656458806021</v>
      </c>
      <c r="AI12" s="323">
        <v>43996.656458806021</v>
      </c>
      <c r="AJ12" s="323">
        <v>43996.656458806021</v>
      </c>
    </row>
    <row r="13" spans="1:36" x14ac:dyDescent="0.2">
      <c r="A13" s="306" t="s">
        <v>233</v>
      </c>
      <c r="B13" s="320" t="b">
        <v>0</v>
      </c>
      <c r="C13" s="321">
        <v>300000</v>
      </c>
      <c r="D13" s="306" t="s">
        <v>235</v>
      </c>
      <c r="E13" s="324">
        <v>2.7363391600000002E-3</v>
      </c>
      <c r="F13" s="324">
        <v>2.8170253600000002E-3</v>
      </c>
      <c r="G13" s="324">
        <v>2.8986745599999999E-3</v>
      </c>
      <c r="H13" s="324">
        <v>2.981282E-3</v>
      </c>
      <c r="I13" s="324">
        <v>3.06484284E-3</v>
      </c>
      <c r="J13" s="324">
        <v>3.14935248E-3</v>
      </c>
      <c r="K13" s="324">
        <v>3.2348064000000004E-3</v>
      </c>
      <c r="L13" s="324">
        <v>3.3212000800000004E-3</v>
      </c>
      <c r="M13" s="324">
        <v>3.4085292400000003E-3</v>
      </c>
      <c r="N13" s="324">
        <v>3.4967895999999999E-3</v>
      </c>
      <c r="O13" s="324">
        <v>3.5859768799999998E-3</v>
      </c>
      <c r="P13" s="324">
        <v>3.6760870799999999E-3</v>
      </c>
      <c r="Q13" s="324">
        <v>3.7671160800000002E-3</v>
      </c>
      <c r="R13" s="324">
        <v>3.8590599599999998E-3</v>
      </c>
      <c r="S13" s="324">
        <v>3.9519148799999999E-3</v>
      </c>
      <c r="T13" s="324">
        <v>4.0456769200000004E-3</v>
      </c>
      <c r="U13" s="324">
        <v>4.1403424000000001E-3</v>
      </c>
      <c r="V13" s="324">
        <v>4.2359076400000006E-3</v>
      </c>
      <c r="W13" s="324">
        <v>4.3323690400000007E-3</v>
      </c>
      <c r="X13" s="324">
        <v>4.429723E-3</v>
      </c>
      <c r="Y13" s="324">
        <v>4.5279660400000003E-3</v>
      </c>
      <c r="Z13" s="324">
        <v>4.6270947200000006E-3</v>
      </c>
      <c r="AA13" s="324">
        <v>4.7271057200000003E-3</v>
      </c>
      <c r="AB13" s="324">
        <v>4.7271057200000003E-3</v>
      </c>
      <c r="AC13" s="324">
        <v>4.7271057200000003E-3</v>
      </c>
      <c r="AD13" s="324">
        <v>4.7271057200000003E-3</v>
      </c>
      <c r="AE13" s="324">
        <v>4.7271057200000003E-3</v>
      </c>
      <c r="AF13" s="324">
        <v>4.7271057200000003E-3</v>
      </c>
      <c r="AG13" s="324">
        <v>4.7271057200000003E-3</v>
      </c>
      <c r="AH13" s="324">
        <v>4.7271057200000003E-3</v>
      </c>
      <c r="AI13" s="324">
        <v>4.7271057200000003E-3</v>
      </c>
      <c r="AJ13" s="324">
        <v>4.7271057200000003E-3</v>
      </c>
    </row>
    <row r="14" spans="1:36" x14ac:dyDescent="0.2">
      <c r="A14" s="306" t="s">
        <v>234</v>
      </c>
      <c r="B14" s="320" t="b">
        <v>0</v>
      </c>
      <c r="C14" s="321">
        <v>4000</v>
      </c>
      <c r="D14" s="306" t="s">
        <v>237</v>
      </c>
      <c r="E14" s="324">
        <v>1.0945356640000001E-2</v>
      </c>
      <c r="F14" s="324">
        <v>1.1268101440000001E-2</v>
      </c>
      <c r="G14" s="324">
        <v>1.159469824E-2</v>
      </c>
      <c r="H14" s="324">
        <v>1.1925128E-2</v>
      </c>
      <c r="I14" s="324">
        <v>1.225937136E-2</v>
      </c>
      <c r="J14" s="324">
        <v>1.259740992E-2</v>
      </c>
      <c r="K14" s="324">
        <v>1.2939225600000001E-2</v>
      </c>
      <c r="L14" s="324">
        <v>1.3284800320000002E-2</v>
      </c>
      <c r="M14" s="324">
        <v>1.3634116960000001E-2</v>
      </c>
      <c r="N14" s="324">
        <v>1.39871584E-2</v>
      </c>
      <c r="O14" s="324">
        <v>1.4343907519999999E-2</v>
      </c>
      <c r="P14" s="324">
        <v>1.4704348319999999E-2</v>
      </c>
      <c r="Q14" s="324">
        <v>1.5068464320000001E-2</v>
      </c>
      <c r="R14" s="324">
        <v>1.5436239839999999E-2</v>
      </c>
      <c r="S14" s="324">
        <v>1.580765952E-2</v>
      </c>
      <c r="T14" s="324">
        <v>1.6182707680000002E-2</v>
      </c>
      <c r="U14" s="324">
        <v>1.65613696E-2</v>
      </c>
      <c r="V14" s="324">
        <v>1.6943630560000002E-2</v>
      </c>
      <c r="W14" s="324">
        <v>1.7329476160000003E-2</v>
      </c>
      <c r="X14" s="324">
        <v>1.7718892E-2</v>
      </c>
      <c r="Y14" s="324">
        <v>1.8111864160000001E-2</v>
      </c>
      <c r="Z14" s="324">
        <v>1.8508378880000002E-2</v>
      </c>
      <c r="AA14" s="324">
        <v>1.8908422880000001E-2</v>
      </c>
      <c r="AB14" s="324">
        <v>1.8908422880000001E-2</v>
      </c>
      <c r="AC14" s="324">
        <v>1.8908422880000001E-2</v>
      </c>
      <c r="AD14" s="324">
        <v>1.8908422880000001E-2</v>
      </c>
      <c r="AE14" s="324">
        <v>1.8908422880000001E-2</v>
      </c>
      <c r="AF14" s="324">
        <v>1.8908422880000001E-2</v>
      </c>
      <c r="AG14" s="324">
        <v>1.8908422880000001E-2</v>
      </c>
      <c r="AH14" s="324">
        <v>1.8908422880000001E-2</v>
      </c>
      <c r="AI14" s="324">
        <v>1.8908422880000001E-2</v>
      </c>
      <c r="AJ14" s="324">
        <v>1.8908422880000001E-2</v>
      </c>
    </row>
    <row r="15" spans="1:36" x14ac:dyDescent="0.2">
      <c r="A15" s="306" t="s">
        <v>236</v>
      </c>
      <c r="B15" s="320" t="b">
        <v>0</v>
      </c>
      <c r="C15" s="321">
        <v>650</v>
      </c>
      <c r="D15" s="306"/>
      <c r="E15" s="306"/>
      <c r="F15" s="306"/>
      <c r="G15" s="306"/>
      <c r="H15" s="306"/>
      <c r="I15" s="306"/>
      <c r="J15" s="306"/>
      <c r="K15" s="306"/>
      <c r="L15" s="306"/>
      <c r="M15" s="306"/>
      <c r="N15" s="306"/>
      <c r="O15" s="306"/>
      <c r="P15" s="306"/>
      <c r="Q15" s="306"/>
      <c r="R15" s="306"/>
      <c r="S15" s="306"/>
      <c r="T15" s="306"/>
      <c r="U15" s="306"/>
      <c r="V15" s="306"/>
      <c r="W15" s="306"/>
      <c r="X15" s="306"/>
      <c r="Y15" s="306"/>
      <c r="Z15" s="306"/>
      <c r="AA15" s="306"/>
      <c r="AB15" s="306"/>
      <c r="AC15" s="306"/>
      <c r="AD15" s="306"/>
      <c r="AE15" s="306"/>
      <c r="AF15" s="306"/>
      <c r="AG15" s="306"/>
      <c r="AH15" s="306"/>
      <c r="AI15" s="306"/>
      <c r="AJ15" s="306"/>
    </row>
    <row r="16" spans="1:36" x14ac:dyDescent="0.2">
      <c r="A16" s="306" t="s">
        <v>238</v>
      </c>
      <c r="B16" s="325" t="b">
        <v>0</v>
      </c>
      <c r="C16" s="321">
        <v>300000</v>
      </c>
      <c r="D16" s="306" t="s">
        <v>203</v>
      </c>
      <c r="E16" s="326">
        <v>837643.66906944732</v>
      </c>
      <c r="F16" s="326">
        <v>897865.0488590746</v>
      </c>
      <c r="G16" s="326">
        <v>945320.30286267668</v>
      </c>
      <c r="H16" s="326">
        <v>990981.44929698983</v>
      </c>
      <c r="I16" s="326">
        <v>1035761.9128066786</v>
      </c>
      <c r="J16" s="326">
        <v>1079683.1994604259</v>
      </c>
      <c r="K16" s="326">
        <v>1127349.6145756773</v>
      </c>
      <c r="L16" s="326">
        <v>1185892.6492483215</v>
      </c>
      <c r="M16" s="326">
        <v>1247351.3014829247</v>
      </c>
      <c r="N16" s="326">
        <v>1297933.6618674165</v>
      </c>
      <c r="O16" s="326">
        <v>1331224.3152799844</v>
      </c>
      <c r="P16" s="326">
        <v>1364868.8723433157</v>
      </c>
      <c r="Q16" s="326">
        <v>1398866.0846836667</v>
      </c>
      <c r="R16" s="326">
        <v>1433214.7798658847</v>
      </c>
      <c r="S16" s="326">
        <v>1467913.8166081712</v>
      </c>
      <c r="T16" s="326">
        <v>1502962.0249674185</v>
      </c>
      <c r="U16" s="326">
        <v>1538358.3259230594</v>
      </c>
      <c r="V16" s="326">
        <v>1574101.6416911341</v>
      </c>
      <c r="W16" s="326">
        <v>1610190.9256206912</v>
      </c>
      <c r="X16" s="326">
        <v>1646625.1322565437</v>
      </c>
      <c r="Y16" s="326">
        <v>1683403.2622316729</v>
      </c>
      <c r="Z16" s="326">
        <v>1720524.3323366472</v>
      </c>
      <c r="AA16" s="326">
        <v>1757987.4054787722</v>
      </c>
      <c r="AB16" s="326">
        <v>1795791.5157641307</v>
      </c>
      <c r="AC16" s="326">
        <v>1833935.7583882266</v>
      </c>
      <c r="AD16" s="326">
        <v>1872419.2296963504</v>
      </c>
      <c r="AE16" s="326">
        <v>1911241.0721654545</v>
      </c>
      <c r="AF16" s="326">
        <v>1950400.4294147852</v>
      </c>
      <c r="AG16" s="326">
        <v>1950400.4294147852</v>
      </c>
      <c r="AH16" s="326">
        <v>1950400.4294147852</v>
      </c>
      <c r="AI16" s="326">
        <v>1950400.4294147852</v>
      </c>
      <c r="AJ16" s="326">
        <v>1950400.4294147852</v>
      </c>
    </row>
    <row r="17" spans="1:36" x14ac:dyDescent="0.2">
      <c r="A17" s="306" t="s">
        <v>239</v>
      </c>
      <c r="B17" s="325" t="b">
        <v>0</v>
      </c>
      <c r="C17" s="321">
        <v>530000</v>
      </c>
      <c r="D17" s="306" t="s">
        <v>241</v>
      </c>
      <c r="E17" s="326">
        <v>494.75626817456219</v>
      </c>
      <c r="F17" s="326">
        <v>509.34510415978644</v>
      </c>
      <c r="G17" s="326">
        <v>524.10805974729431</v>
      </c>
      <c r="H17" s="326">
        <v>539.04427428359986</v>
      </c>
      <c r="I17" s="326">
        <v>554.15287265045276</v>
      </c>
      <c r="J17" s="326">
        <v>569.43302312389608</v>
      </c>
      <c r="K17" s="326">
        <v>584.88390844473759</v>
      </c>
      <c r="L17" s="326">
        <v>600.50471135378461</v>
      </c>
      <c r="M17" s="326">
        <v>616.29465798613819</v>
      </c>
      <c r="N17" s="326">
        <v>632.25297447689923</v>
      </c>
      <c r="O17" s="326">
        <v>648.37888696116886</v>
      </c>
      <c r="P17" s="326">
        <v>664.67167220072349</v>
      </c>
      <c r="Q17" s="326">
        <v>681.13058526019313</v>
      </c>
      <c r="R17" s="326">
        <v>697.75491736611889</v>
      </c>
      <c r="S17" s="326">
        <v>714.54397420980615</v>
      </c>
      <c r="T17" s="326">
        <v>731.49704701779626</v>
      </c>
      <c r="U17" s="326">
        <v>748.61347041092324</v>
      </c>
      <c r="V17" s="326">
        <v>765.89257901002202</v>
      </c>
      <c r="W17" s="326">
        <v>783.3337219006911</v>
      </c>
      <c r="X17" s="326">
        <v>800.93624816852969</v>
      </c>
      <c r="Y17" s="326">
        <v>818.69952859628359</v>
      </c>
      <c r="Z17" s="326">
        <v>836.6229411990804</v>
      </c>
      <c r="AA17" s="326">
        <v>854.70588568919459</v>
      </c>
      <c r="AB17" s="326">
        <v>854.70588568919459</v>
      </c>
      <c r="AC17" s="326">
        <v>854.70588568919459</v>
      </c>
      <c r="AD17" s="326">
        <v>854.70588568919459</v>
      </c>
      <c r="AE17" s="326">
        <v>854.70588568919459</v>
      </c>
      <c r="AF17" s="326">
        <v>854.70588568919459</v>
      </c>
      <c r="AG17" s="326">
        <v>854.70588568919459</v>
      </c>
      <c r="AH17" s="326">
        <v>854.70588568919459</v>
      </c>
      <c r="AI17" s="326">
        <v>854.70588568919459</v>
      </c>
      <c r="AJ17" s="326">
        <v>854.70588568919459</v>
      </c>
    </row>
    <row r="18" spans="1:36" x14ac:dyDescent="0.2">
      <c r="A18" s="306" t="s">
        <v>240</v>
      </c>
      <c r="B18" s="320" t="b">
        <v>0</v>
      </c>
      <c r="C18" s="321">
        <v>7599585.5999999996</v>
      </c>
      <c r="D18" s="306" t="s">
        <v>243</v>
      </c>
      <c r="E18" s="326">
        <v>24954.052412462515</v>
      </c>
      <c r="F18" s="326">
        <v>25689.870432828979</v>
      </c>
      <c r="G18" s="326">
        <v>26434.470534314798</v>
      </c>
      <c r="H18" s="326">
        <v>27187.809308087039</v>
      </c>
      <c r="I18" s="326">
        <v>27949.842615752521</v>
      </c>
      <c r="J18" s="326">
        <v>28720.528507598741</v>
      </c>
      <c r="K18" s="326">
        <v>29499.825763473407</v>
      </c>
      <c r="L18" s="326">
        <v>30287.693163224216</v>
      </c>
      <c r="M18" s="326">
        <v>31084.091675379532</v>
      </c>
      <c r="N18" s="326">
        <v>31888.982268467706</v>
      </c>
      <c r="O18" s="326">
        <v>32702.325911017106</v>
      </c>
      <c r="P18" s="326">
        <v>33524.086125016853</v>
      </c>
      <c r="Q18" s="326">
        <v>34354.225338115735</v>
      </c>
      <c r="R18" s="326">
        <v>35192.707801863085</v>
      </c>
      <c r="S18" s="326">
        <v>36039.49849736847</v>
      </c>
      <c r="T18" s="326">
        <v>36894.56167618122</v>
      </c>
      <c r="U18" s="326">
        <v>37757.863778531326</v>
      </c>
      <c r="V18" s="326">
        <v>38629.371244648784</v>
      </c>
      <c r="W18" s="326">
        <v>39509.051244323789</v>
      </c>
      <c r="X18" s="326">
        <v>40396.870947346557</v>
      </c>
      <c r="Y18" s="326">
        <v>41292.798617847628</v>
      </c>
      <c r="Z18" s="326">
        <v>42196.802884737641</v>
      </c>
      <c r="AA18" s="326">
        <v>43108.853471267554</v>
      </c>
      <c r="AB18" s="326">
        <v>43108.853471267554</v>
      </c>
      <c r="AC18" s="326">
        <v>43108.853471267554</v>
      </c>
      <c r="AD18" s="326">
        <v>43108.853471267554</v>
      </c>
      <c r="AE18" s="326">
        <v>43108.853471267554</v>
      </c>
      <c r="AF18" s="326">
        <v>43108.853471267554</v>
      </c>
      <c r="AG18" s="326">
        <v>43108.853471267554</v>
      </c>
      <c r="AH18" s="326">
        <v>43108.853471267554</v>
      </c>
      <c r="AI18" s="326">
        <v>43108.853471267554</v>
      </c>
      <c r="AJ18" s="326">
        <v>43108.853471267554</v>
      </c>
    </row>
    <row r="19" spans="1:36" x14ac:dyDescent="0.2">
      <c r="A19" s="306" t="s">
        <v>242</v>
      </c>
      <c r="B19" s="320" t="b">
        <v>0</v>
      </c>
      <c r="C19" s="321">
        <v>0</v>
      </c>
      <c r="D19" s="306" t="s">
        <v>245</v>
      </c>
      <c r="E19" s="326">
        <v>1826.780023216</v>
      </c>
      <c r="F19" s="326">
        <v>1880.6461303360002</v>
      </c>
      <c r="G19" s="326">
        <v>1935.1551362559999</v>
      </c>
      <c r="H19" s="326">
        <v>1990.3038632</v>
      </c>
      <c r="I19" s="326">
        <v>2046.0890799839999</v>
      </c>
      <c r="J19" s="326">
        <v>2102.5077156480002</v>
      </c>
      <c r="K19" s="326">
        <v>2159.5567526400005</v>
      </c>
      <c r="L19" s="326">
        <v>2217.2331734080003</v>
      </c>
      <c r="M19" s="326">
        <v>2275.534120624</v>
      </c>
      <c r="N19" s="326">
        <v>2334.4567369599999</v>
      </c>
      <c r="O19" s="326">
        <v>2393.998165088</v>
      </c>
      <c r="P19" s="326">
        <v>2454.1557346079999</v>
      </c>
      <c r="Q19" s="326">
        <v>2514.926695008</v>
      </c>
      <c r="R19" s="326">
        <v>2576.3084292959998</v>
      </c>
      <c r="S19" s="326">
        <v>2638.2983738879998</v>
      </c>
      <c r="T19" s="326">
        <v>2700.8939117920004</v>
      </c>
      <c r="U19" s="326">
        <v>2764.0925862399999</v>
      </c>
      <c r="V19" s="326">
        <v>2827.8919404640005</v>
      </c>
      <c r="W19" s="326">
        <v>2892.2895711040005</v>
      </c>
      <c r="X19" s="326">
        <v>2957.2830748000001</v>
      </c>
      <c r="Y19" s="326">
        <v>3022.870128304</v>
      </c>
      <c r="Z19" s="326">
        <v>3089.0484350720003</v>
      </c>
      <c r="AA19" s="326">
        <v>3155.8157786720003</v>
      </c>
      <c r="AB19" s="326">
        <v>3155.8157786720003</v>
      </c>
      <c r="AC19" s="326">
        <v>3155.8157786720003</v>
      </c>
      <c r="AD19" s="326">
        <v>3155.8157786720003</v>
      </c>
      <c r="AE19" s="326">
        <v>3155.8157786720003</v>
      </c>
      <c r="AF19" s="326">
        <v>3155.8157786720003</v>
      </c>
      <c r="AG19" s="326">
        <v>3155.8157786720003</v>
      </c>
      <c r="AH19" s="326">
        <v>3155.8157786720003</v>
      </c>
      <c r="AI19" s="326">
        <v>3155.8157786720003</v>
      </c>
      <c r="AJ19" s="326">
        <v>3155.8157786720003</v>
      </c>
    </row>
    <row r="20" spans="1:36" x14ac:dyDescent="0.2">
      <c r="A20" s="306" t="s">
        <v>244</v>
      </c>
      <c r="B20" s="320" t="b">
        <v>0</v>
      </c>
      <c r="C20" s="321">
        <v>0</v>
      </c>
      <c r="D20" s="306" t="s">
        <v>248</v>
      </c>
      <c r="E20" s="327">
        <v>1998.2833333333333</v>
      </c>
      <c r="F20" s="327">
        <v>1998.2833333333333</v>
      </c>
      <c r="G20" s="327">
        <v>1998.2833333333333</v>
      </c>
      <c r="H20" s="327">
        <v>1998.2833333333333</v>
      </c>
      <c r="I20" s="327">
        <v>1998.2833333333333</v>
      </c>
      <c r="J20" s="327">
        <v>1998.2833333333333</v>
      </c>
      <c r="K20" s="327">
        <v>1998.2833333333333</v>
      </c>
      <c r="L20" s="327">
        <v>1998.2833333333333</v>
      </c>
      <c r="M20" s="327">
        <v>1998.2833333333333</v>
      </c>
      <c r="N20" s="327">
        <v>1998.2833333333333</v>
      </c>
      <c r="O20" s="327">
        <v>1998.2833333333333</v>
      </c>
      <c r="P20" s="327">
        <v>1998.2833333333333</v>
      </c>
      <c r="Q20" s="327">
        <v>1998.2833333333333</v>
      </c>
      <c r="R20" s="327">
        <v>1998.2833333333333</v>
      </c>
      <c r="S20" s="327">
        <v>1998.2833333333333</v>
      </c>
      <c r="T20" s="327">
        <v>1998.2833333333333</v>
      </c>
      <c r="U20" s="327">
        <v>1998.2833333333333</v>
      </c>
      <c r="V20" s="327">
        <v>1998.2833333333333</v>
      </c>
      <c r="W20" s="327">
        <v>1998.2833333333333</v>
      </c>
      <c r="X20" s="327">
        <v>1998.2833333333333</v>
      </c>
      <c r="Y20" s="327">
        <v>1998.2833333333333</v>
      </c>
      <c r="Z20" s="327">
        <v>1998.2833333333333</v>
      </c>
      <c r="AA20" s="327">
        <v>1998.2833333333333</v>
      </c>
      <c r="AB20" s="327">
        <v>1998.2833333333333</v>
      </c>
      <c r="AC20" s="327">
        <v>1998.2833333333333</v>
      </c>
      <c r="AD20" s="327">
        <v>1998.2833333333333</v>
      </c>
      <c r="AE20" s="327">
        <v>1998.2833333333333</v>
      </c>
      <c r="AF20" s="327">
        <v>1998.2833333333333</v>
      </c>
      <c r="AG20" s="327">
        <v>1998.2833333333333</v>
      </c>
      <c r="AH20" s="327">
        <v>1998.2833333333333</v>
      </c>
      <c r="AI20" s="327">
        <v>1998.2833333333333</v>
      </c>
      <c r="AJ20" s="327">
        <v>1998.2833333333333</v>
      </c>
    </row>
    <row r="21" spans="1:36" x14ac:dyDescent="0.2">
      <c r="A21" s="306" t="s">
        <v>246</v>
      </c>
      <c r="B21" s="320" t="b">
        <v>0</v>
      </c>
      <c r="C21" s="321" t="s">
        <v>247</v>
      </c>
      <c r="D21" s="306" t="s">
        <v>250</v>
      </c>
      <c r="E21" s="328">
        <v>0</v>
      </c>
      <c r="F21" s="328">
        <v>0</v>
      </c>
      <c r="G21" s="328">
        <v>0</v>
      </c>
      <c r="H21" s="328">
        <v>0</v>
      </c>
      <c r="I21" s="328">
        <v>0</v>
      </c>
      <c r="J21" s="328">
        <v>0</v>
      </c>
      <c r="K21" s="328">
        <v>0</v>
      </c>
      <c r="L21" s="328">
        <v>0</v>
      </c>
      <c r="M21" s="328">
        <v>0</v>
      </c>
      <c r="N21" s="328">
        <v>0</v>
      </c>
      <c r="O21" s="328">
        <v>0</v>
      </c>
      <c r="P21" s="328">
        <v>0</v>
      </c>
      <c r="Q21" s="328">
        <v>0</v>
      </c>
      <c r="R21" s="328">
        <v>0</v>
      </c>
      <c r="S21" s="328">
        <v>0</v>
      </c>
      <c r="T21" s="328">
        <v>0</v>
      </c>
      <c r="U21" s="328">
        <v>0</v>
      </c>
      <c r="V21" s="328">
        <v>0</v>
      </c>
      <c r="W21" s="328">
        <v>0</v>
      </c>
      <c r="X21" s="328">
        <v>0</v>
      </c>
      <c r="Y21" s="328">
        <v>0</v>
      </c>
      <c r="Z21" s="328">
        <v>0</v>
      </c>
      <c r="AA21" s="328">
        <v>0</v>
      </c>
      <c r="AB21" s="328">
        <v>0</v>
      </c>
      <c r="AC21" s="328">
        <v>0</v>
      </c>
      <c r="AD21" s="328">
        <v>0</v>
      </c>
      <c r="AE21" s="328">
        <v>0</v>
      </c>
      <c r="AF21" s="328">
        <v>0</v>
      </c>
      <c r="AG21" s="328">
        <v>0</v>
      </c>
      <c r="AH21" s="328">
        <v>0</v>
      </c>
      <c r="AI21" s="328">
        <v>0</v>
      </c>
      <c r="AJ21" s="328">
        <v>0</v>
      </c>
    </row>
    <row r="22" spans="1:36" x14ac:dyDescent="0.2">
      <c r="A22" s="306" t="s">
        <v>249</v>
      </c>
      <c r="B22" s="320" t="b">
        <v>1</v>
      </c>
      <c r="C22" s="321">
        <v>0</v>
      </c>
      <c r="D22" s="306" t="s">
        <v>252</v>
      </c>
      <c r="E22" s="327">
        <v>0</v>
      </c>
      <c r="F22" s="327">
        <v>0</v>
      </c>
      <c r="G22" s="327">
        <v>0</v>
      </c>
      <c r="H22" s="327">
        <v>0</v>
      </c>
      <c r="I22" s="327">
        <v>0</v>
      </c>
      <c r="J22" s="327">
        <v>0</v>
      </c>
      <c r="K22" s="327">
        <v>0</v>
      </c>
      <c r="L22" s="327">
        <v>0</v>
      </c>
      <c r="M22" s="327">
        <v>0</v>
      </c>
      <c r="N22" s="327">
        <v>0</v>
      </c>
      <c r="O22" s="327">
        <v>0</v>
      </c>
      <c r="P22" s="327">
        <v>0</v>
      </c>
      <c r="Q22" s="327">
        <v>0</v>
      </c>
      <c r="R22" s="327">
        <v>0</v>
      </c>
      <c r="S22" s="327">
        <v>0</v>
      </c>
      <c r="T22" s="327">
        <v>0</v>
      </c>
      <c r="U22" s="327">
        <v>0</v>
      </c>
      <c r="V22" s="327">
        <v>0</v>
      </c>
      <c r="W22" s="327">
        <v>0</v>
      </c>
      <c r="X22" s="327">
        <v>0</v>
      </c>
      <c r="Y22" s="327">
        <v>0</v>
      </c>
      <c r="Z22" s="327">
        <v>0</v>
      </c>
      <c r="AA22" s="327">
        <v>0</v>
      </c>
      <c r="AB22" s="327">
        <v>0</v>
      </c>
      <c r="AC22" s="327">
        <v>0</v>
      </c>
      <c r="AD22" s="327">
        <v>0</v>
      </c>
      <c r="AE22" s="327">
        <v>0</v>
      </c>
      <c r="AF22" s="327">
        <v>0</v>
      </c>
      <c r="AG22" s="327">
        <v>0</v>
      </c>
      <c r="AH22" s="327">
        <v>0</v>
      </c>
      <c r="AI22" s="327">
        <v>0</v>
      </c>
      <c r="AJ22" s="327">
        <v>0</v>
      </c>
    </row>
    <row r="23" spans="1:36" x14ac:dyDescent="0.2">
      <c r="A23" s="306" t="s">
        <v>251</v>
      </c>
      <c r="B23" s="325">
        <v>0</v>
      </c>
      <c r="C23" s="321">
        <v>0</v>
      </c>
      <c r="D23" s="330" t="s">
        <v>253</v>
      </c>
      <c r="E23" s="331">
        <v>0</v>
      </c>
      <c r="F23" s="331">
        <v>0</v>
      </c>
      <c r="G23" s="331">
        <v>0</v>
      </c>
      <c r="H23" s="331">
        <v>0</v>
      </c>
      <c r="I23" s="331">
        <v>0</v>
      </c>
      <c r="J23" s="331">
        <v>0</v>
      </c>
      <c r="K23" s="331">
        <v>0</v>
      </c>
      <c r="L23" s="331">
        <v>0</v>
      </c>
      <c r="M23" s="331">
        <v>0</v>
      </c>
      <c r="N23" s="331">
        <v>0</v>
      </c>
      <c r="O23" s="331">
        <v>0</v>
      </c>
      <c r="P23" s="331">
        <v>0</v>
      </c>
      <c r="Q23" s="331">
        <v>0</v>
      </c>
      <c r="R23" s="331">
        <v>0</v>
      </c>
      <c r="S23" s="331">
        <v>0</v>
      </c>
      <c r="T23" s="331">
        <v>0</v>
      </c>
      <c r="U23" s="331">
        <v>0</v>
      </c>
      <c r="V23" s="331">
        <v>0</v>
      </c>
      <c r="W23" s="331">
        <v>0</v>
      </c>
      <c r="X23" s="331">
        <v>0</v>
      </c>
      <c r="Y23" s="331">
        <v>0</v>
      </c>
      <c r="Z23" s="331">
        <v>0</v>
      </c>
      <c r="AA23" s="331">
        <v>0</v>
      </c>
      <c r="AB23" s="331">
        <v>0</v>
      </c>
      <c r="AC23" s="331">
        <v>0</v>
      </c>
      <c r="AD23" s="331">
        <v>0</v>
      </c>
      <c r="AE23" s="331">
        <v>0</v>
      </c>
      <c r="AF23" s="331">
        <v>0</v>
      </c>
      <c r="AG23" s="331">
        <v>0</v>
      </c>
      <c r="AH23" s="331">
        <v>0</v>
      </c>
      <c r="AI23" s="331">
        <v>0</v>
      </c>
      <c r="AJ23" s="331">
        <v>0</v>
      </c>
    </row>
    <row r="24" spans="1:36" x14ac:dyDescent="0.2">
      <c r="A24" s="329"/>
      <c r="B24" s="329"/>
      <c r="C24" s="321">
        <v>0</v>
      </c>
      <c r="D24" s="333" t="s">
        <v>254</v>
      </c>
      <c r="E24" s="334">
        <v>866917.54110663384</v>
      </c>
      <c r="F24" s="334">
        <v>927943.19385973271</v>
      </c>
      <c r="G24" s="334">
        <v>976212.31992632803</v>
      </c>
      <c r="H24" s="334">
        <v>1022696.8900758937</v>
      </c>
      <c r="I24" s="334">
        <v>1068310.2807083989</v>
      </c>
      <c r="J24" s="334">
        <v>1113073.95204013</v>
      </c>
      <c r="K24" s="334">
        <v>1161592.1643335691</v>
      </c>
      <c r="L24" s="334">
        <v>1220996.363629641</v>
      </c>
      <c r="M24" s="334">
        <v>1283325.5052702478</v>
      </c>
      <c r="N24" s="334">
        <v>1334787.6371806546</v>
      </c>
      <c r="O24" s="334">
        <v>1368967.3015763841</v>
      </c>
      <c r="P24" s="334">
        <v>1403510.0692084748</v>
      </c>
      <c r="Q24" s="334">
        <v>1438414.6506353843</v>
      </c>
      <c r="R24" s="334">
        <v>1473679.8343477433</v>
      </c>
      <c r="S24" s="334">
        <v>1509304.440786971</v>
      </c>
      <c r="T24" s="334">
        <v>1545287.2609357429</v>
      </c>
      <c r="U24" s="334">
        <v>1581627.1790915751</v>
      </c>
      <c r="V24" s="334">
        <v>1618323.0807885902</v>
      </c>
      <c r="W24" s="334">
        <v>1655373.8834913531</v>
      </c>
      <c r="X24" s="334">
        <v>1692778.5058601922</v>
      </c>
      <c r="Y24" s="334">
        <v>1730535.9138397544</v>
      </c>
      <c r="Z24" s="334">
        <v>1768645.0899309893</v>
      </c>
      <c r="AA24" s="334">
        <v>1807105.0639477344</v>
      </c>
      <c r="AB24" s="334">
        <v>1844909.1742330929</v>
      </c>
      <c r="AC24" s="334">
        <v>1883053.4168571888</v>
      </c>
      <c r="AD24" s="334">
        <v>1921536.8881653126</v>
      </c>
      <c r="AE24" s="334">
        <v>1960358.7306344167</v>
      </c>
      <c r="AF24" s="334">
        <v>1999518.0878837474</v>
      </c>
      <c r="AG24" s="334">
        <v>1999518.0878837474</v>
      </c>
      <c r="AH24" s="334">
        <v>1999518.0878837474</v>
      </c>
      <c r="AI24" s="334">
        <v>1999518.0878837474</v>
      </c>
      <c r="AJ24" s="334">
        <v>1999518.0878837474</v>
      </c>
    </row>
    <row r="25" spans="1:36" x14ac:dyDescent="0.2">
      <c r="A25" s="332"/>
      <c r="B25" s="332"/>
      <c r="C25" s="332"/>
    </row>
    <row r="27" spans="1:36" x14ac:dyDescent="0.2">
      <c r="A27" s="302" t="s">
        <v>208</v>
      </c>
      <c r="B27" s="302"/>
      <c r="C27" s="303" t="s">
        <v>209</v>
      </c>
      <c r="D27" s="303"/>
      <c r="F27" s="335" t="s">
        <v>210</v>
      </c>
      <c r="G27" s="336" t="s">
        <v>211</v>
      </c>
      <c r="H27" s="337" t="s">
        <v>212</v>
      </c>
      <c r="I27" s="337" t="s">
        <v>213</v>
      </c>
    </row>
    <row r="28" spans="1:36" x14ac:dyDescent="0.2">
      <c r="A28" s="306" t="s">
        <v>214</v>
      </c>
      <c r="B28" s="307" t="s">
        <v>71</v>
      </c>
      <c r="C28" s="308" t="s">
        <v>215</v>
      </c>
      <c r="D28" s="309"/>
      <c r="F28" s="338" t="s">
        <v>216</v>
      </c>
      <c r="G28" s="339">
        <v>1.3681695800000001E-3</v>
      </c>
      <c r="H28" s="336">
        <v>1</v>
      </c>
      <c r="I28" s="340"/>
    </row>
    <row r="29" spans="1:36" x14ac:dyDescent="0.2">
      <c r="A29" s="306" t="s">
        <v>217</v>
      </c>
      <c r="B29" s="307" t="s">
        <v>218</v>
      </c>
      <c r="C29" s="308" t="s">
        <v>219</v>
      </c>
      <c r="D29" s="309"/>
      <c r="F29" s="338" t="s">
        <v>220</v>
      </c>
      <c r="G29" s="339">
        <v>1.3681695800000001E-3</v>
      </c>
      <c r="H29" s="336">
        <v>1</v>
      </c>
      <c r="I29" s="340"/>
    </row>
    <row r="30" spans="1:36" x14ac:dyDescent="0.2">
      <c r="A30" s="312" t="s">
        <v>68</v>
      </c>
      <c r="B30" s="313">
        <v>44.330651153933509</v>
      </c>
      <c r="C30" s="312" t="s">
        <v>221</v>
      </c>
      <c r="D30" s="314">
        <v>9119502.7199999988</v>
      </c>
      <c r="F30" s="338" t="s">
        <v>222</v>
      </c>
      <c r="G30" s="339" t="b">
        <v>1</v>
      </c>
      <c r="H30" s="336">
        <v>1</v>
      </c>
      <c r="I30" s="340"/>
    </row>
    <row r="31" spans="1:36" x14ac:dyDescent="0.2">
      <c r="A31" s="312" t="s">
        <v>223</v>
      </c>
      <c r="B31" s="315">
        <v>0.5</v>
      </c>
      <c r="C31" s="312" t="s">
        <v>224</v>
      </c>
      <c r="D31" s="314">
        <v>166900</v>
      </c>
      <c r="F31" s="338" t="s">
        <v>225</v>
      </c>
      <c r="G31" s="341">
        <v>0</v>
      </c>
      <c r="H31" s="336">
        <v>1</v>
      </c>
      <c r="I31" s="340"/>
    </row>
    <row r="32" spans="1:36" x14ac:dyDescent="0.2">
      <c r="A32" s="342" t="s">
        <v>255</v>
      </c>
      <c r="B32" s="343" t="s">
        <v>227</v>
      </c>
      <c r="C32" s="344" t="s">
        <v>228</v>
      </c>
      <c r="D32" s="345" t="s">
        <v>229</v>
      </c>
      <c r="E32" s="344">
        <v>2025</v>
      </c>
      <c r="F32" s="344">
        <v>2026</v>
      </c>
      <c r="G32" s="344">
        <v>2027</v>
      </c>
      <c r="H32" s="344">
        <v>2028</v>
      </c>
      <c r="I32" s="344">
        <v>2029</v>
      </c>
      <c r="J32" s="344">
        <v>2030</v>
      </c>
      <c r="K32" s="344">
        <v>2031</v>
      </c>
      <c r="L32" s="344">
        <v>2032</v>
      </c>
      <c r="M32" s="344">
        <v>2033</v>
      </c>
      <c r="N32" s="344">
        <v>2034</v>
      </c>
      <c r="O32" s="344">
        <v>2035</v>
      </c>
      <c r="P32" s="344">
        <v>2036</v>
      </c>
      <c r="Q32" s="344">
        <v>2037</v>
      </c>
      <c r="R32" s="344">
        <v>2038</v>
      </c>
      <c r="S32" s="344">
        <v>2039</v>
      </c>
      <c r="T32" s="344">
        <v>2040</v>
      </c>
      <c r="U32" s="344">
        <v>2041</v>
      </c>
      <c r="V32" s="344">
        <v>2042</v>
      </c>
      <c r="W32" s="344">
        <v>2043</v>
      </c>
      <c r="X32" s="344">
        <v>2044</v>
      </c>
      <c r="Y32" s="344">
        <v>2045</v>
      </c>
      <c r="Z32" s="344">
        <v>2046</v>
      </c>
      <c r="AA32" s="344">
        <v>2047</v>
      </c>
      <c r="AB32" s="346">
        <v>2048</v>
      </c>
      <c r="AC32" s="346">
        <v>2049</v>
      </c>
      <c r="AD32" s="346">
        <v>2050</v>
      </c>
      <c r="AE32" s="346">
        <v>2051</v>
      </c>
      <c r="AF32" s="346">
        <v>2052</v>
      </c>
      <c r="AG32" s="346">
        <v>2053</v>
      </c>
      <c r="AH32" s="346">
        <v>2054</v>
      </c>
      <c r="AI32" s="346">
        <v>2055</v>
      </c>
      <c r="AJ32" s="346">
        <v>2056</v>
      </c>
    </row>
    <row r="33" spans="1:37" x14ac:dyDescent="0.2">
      <c r="A33" s="347" t="s">
        <v>230</v>
      </c>
      <c r="B33" s="348" t="b">
        <v>0</v>
      </c>
      <c r="C33" s="349">
        <v>2000000</v>
      </c>
      <c r="D33" s="347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0"/>
      <c r="U33" s="350"/>
      <c r="V33" s="350"/>
      <c r="W33" s="350"/>
      <c r="X33" s="350"/>
      <c r="Y33" s="350"/>
      <c r="Z33" s="350"/>
      <c r="AA33" s="350"/>
      <c r="AB33" s="350"/>
      <c r="AC33" s="350"/>
      <c r="AD33" s="350"/>
      <c r="AE33" s="350"/>
      <c r="AF33" s="350"/>
      <c r="AG33" s="350"/>
      <c r="AH33" s="350"/>
      <c r="AI33" s="350"/>
      <c r="AJ33" s="350"/>
    </row>
    <row r="34" spans="1:37" x14ac:dyDescent="0.2">
      <c r="A34" s="347" t="s">
        <v>232</v>
      </c>
      <c r="B34" s="348" t="b">
        <v>0</v>
      </c>
      <c r="C34" s="349">
        <v>50000</v>
      </c>
      <c r="D34" s="347" t="s">
        <v>348</v>
      </c>
      <c r="E34" s="351">
        <v>0</v>
      </c>
      <c r="F34" s="351">
        <v>0</v>
      </c>
      <c r="G34" s="351">
        <v>0</v>
      </c>
      <c r="H34" s="351">
        <v>675.8301287475233</v>
      </c>
      <c r="I34" s="351">
        <v>1255.73917473659</v>
      </c>
      <c r="J34" s="351">
        <v>1822.6383442662375</v>
      </c>
      <c r="K34" s="351">
        <v>2397.9437533734344</v>
      </c>
      <c r="L34" s="351">
        <v>3009.3215047942608</v>
      </c>
      <c r="M34" s="351">
        <v>3648.1536039914481</v>
      </c>
      <c r="N34" s="351">
        <v>4272.481145649921</v>
      </c>
      <c r="O34" s="351">
        <v>4847.1837927905335</v>
      </c>
      <c r="P34" s="351">
        <v>5425.0739825962337</v>
      </c>
      <c r="Q34" s="351">
        <v>6007.0175593951017</v>
      </c>
      <c r="R34" s="351">
        <v>6593.6673377450188</v>
      </c>
      <c r="S34" s="351">
        <v>7185.5303510556569</v>
      </c>
      <c r="T34" s="351">
        <v>7783.0063438086154</v>
      </c>
      <c r="U34" s="351">
        <v>8386.4144907074769</v>
      </c>
      <c r="V34" s="351">
        <v>8996.0130393140753</v>
      </c>
      <c r="W34" s="351">
        <v>9612.0135632637812</v>
      </c>
      <c r="X34" s="351">
        <v>10234.59071949403</v>
      </c>
      <c r="Y34" s="351">
        <v>10863.887902701779</v>
      </c>
      <c r="Z34" s="351">
        <v>11500.026000467891</v>
      </c>
      <c r="AA34" s="351">
        <v>12143.105918205531</v>
      </c>
      <c r="AB34" s="351">
        <v>12793.21124485733</v>
      </c>
      <c r="AC34" s="351">
        <v>13450.413517902754</v>
      </c>
      <c r="AD34" s="351">
        <v>14114.771773278135</v>
      </c>
      <c r="AE34" s="351">
        <v>14786.336073160719</v>
      </c>
      <c r="AF34" s="351">
        <v>15465.148046843799</v>
      </c>
      <c r="AG34" s="351">
        <v>15465.148046843799</v>
      </c>
      <c r="AH34" s="351">
        <v>15465.148046843799</v>
      </c>
      <c r="AI34" s="351">
        <v>15465.148046843799</v>
      </c>
      <c r="AJ34" s="351">
        <v>15465.148046843799</v>
      </c>
    </row>
    <row r="35" spans="1:37" x14ac:dyDescent="0.2">
      <c r="A35" s="347" t="s">
        <v>233</v>
      </c>
      <c r="B35" s="348" t="b">
        <v>0</v>
      </c>
      <c r="C35" s="349">
        <v>300000</v>
      </c>
      <c r="D35" s="347" t="s">
        <v>235</v>
      </c>
      <c r="E35" s="419">
        <v>0</v>
      </c>
      <c r="F35" s="419">
        <v>0</v>
      </c>
      <c r="G35" s="419">
        <v>0</v>
      </c>
      <c r="H35" s="419">
        <v>1.4920160399999999E-3</v>
      </c>
      <c r="I35" s="419">
        <v>1.5368889E-3</v>
      </c>
      <c r="J35" s="419">
        <v>1.5835768199999999E-3</v>
      </c>
      <c r="K35" s="419">
        <v>1.6319181000000002E-3</v>
      </c>
      <c r="L35" s="419">
        <v>1.6818110400000001E-3</v>
      </c>
      <c r="M35" s="419">
        <v>1.7331827000000002E-3</v>
      </c>
      <c r="N35" s="419">
        <v>1.78597672E-3</v>
      </c>
      <c r="O35" s="419">
        <v>1.84014752E-3</v>
      </c>
      <c r="P35" s="419">
        <v>1.8956570799999999E-3</v>
      </c>
      <c r="Q35" s="419">
        <v>1.95247282E-3</v>
      </c>
      <c r="R35" s="419">
        <v>2.01056634E-3</v>
      </c>
      <c r="S35" s="419">
        <v>2.0699125600000001E-3</v>
      </c>
      <c r="T35" s="419">
        <v>2.1304889600000003E-3</v>
      </c>
      <c r="U35" s="419">
        <v>2.1922752399999999E-3</v>
      </c>
      <c r="V35" s="419">
        <v>2.2552528600000002E-3</v>
      </c>
      <c r="W35" s="419">
        <v>2.3194048200000004E-3</v>
      </c>
      <c r="X35" s="419">
        <v>2.3847154000000001E-3</v>
      </c>
      <c r="Y35" s="419">
        <v>2.45116998E-3</v>
      </c>
      <c r="Z35" s="419">
        <v>2.5187549600000003E-3</v>
      </c>
      <c r="AA35" s="419">
        <v>2.5874576200000002E-3</v>
      </c>
      <c r="AB35" s="419">
        <v>2.5874576200000002E-3</v>
      </c>
      <c r="AC35" s="419">
        <v>2.5874576200000002E-3</v>
      </c>
      <c r="AD35" s="419">
        <v>2.5874576200000002E-3</v>
      </c>
      <c r="AE35" s="419">
        <v>2.5874576200000002E-3</v>
      </c>
      <c r="AF35" s="419">
        <v>2.5874576200000002E-3</v>
      </c>
      <c r="AG35" s="419">
        <v>2.5874576200000002E-3</v>
      </c>
      <c r="AH35" s="419">
        <v>2.5874576200000002E-3</v>
      </c>
      <c r="AI35" s="419">
        <v>2.5874576200000002E-3</v>
      </c>
      <c r="AJ35" s="419">
        <v>2.5874576200000002E-3</v>
      </c>
    </row>
    <row r="36" spans="1:37" x14ac:dyDescent="0.2">
      <c r="A36" s="347" t="s">
        <v>234</v>
      </c>
      <c r="B36" s="348" t="b">
        <v>0</v>
      </c>
      <c r="C36" s="349">
        <v>4000</v>
      </c>
      <c r="D36" s="347" t="s">
        <v>237</v>
      </c>
      <c r="E36" s="419">
        <v>0</v>
      </c>
      <c r="F36" s="419">
        <v>0</v>
      </c>
      <c r="G36" s="419">
        <v>0</v>
      </c>
      <c r="H36" s="419">
        <v>5.9680641599999997E-3</v>
      </c>
      <c r="I36" s="419">
        <v>6.1475556000000001E-3</v>
      </c>
      <c r="J36" s="419">
        <v>6.3343072799999997E-3</v>
      </c>
      <c r="K36" s="419">
        <v>6.527672400000001E-3</v>
      </c>
      <c r="L36" s="419">
        <v>6.7272441600000005E-3</v>
      </c>
      <c r="M36" s="419">
        <v>6.9327308000000009E-3</v>
      </c>
      <c r="N36" s="419">
        <v>7.1439068800000002E-3</v>
      </c>
      <c r="O36" s="419">
        <v>7.3605900799999999E-3</v>
      </c>
      <c r="P36" s="419">
        <v>7.5826283199999997E-3</v>
      </c>
      <c r="Q36" s="419">
        <v>7.80989128E-3</v>
      </c>
      <c r="R36" s="419">
        <v>8.0422653600000001E-3</v>
      </c>
      <c r="S36" s="419">
        <v>8.2796502400000003E-3</v>
      </c>
      <c r="T36" s="419">
        <v>8.5219558400000013E-3</v>
      </c>
      <c r="U36" s="419">
        <v>8.7691009599999998E-3</v>
      </c>
      <c r="V36" s="419">
        <v>9.0210114400000006E-3</v>
      </c>
      <c r="W36" s="419">
        <v>9.2776192800000015E-3</v>
      </c>
      <c r="X36" s="419">
        <v>9.5388616000000002E-3</v>
      </c>
      <c r="Y36" s="419">
        <v>9.80467992E-3</v>
      </c>
      <c r="Z36" s="419">
        <v>1.0075019840000001E-2</v>
      </c>
      <c r="AA36" s="419">
        <v>1.0349830480000001E-2</v>
      </c>
      <c r="AB36" s="419">
        <v>1.0349830480000001E-2</v>
      </c>
      <c r="AC36" s="419">
        <v>1.0349830480000001E-2</v>
      </c>
      <c r="AD36" s="419">
        <v>1.0349830480000001E-2</v>
      </c>
      <c r="AE36" s="419">
        <v>1.0349830480000001E-2</v>
      </c>
      <c r="AF36" s="419">
        <v>1.0349830480000001E-2</v>
      </c>
      <c r="AG36" s="419">
        <v>1.0349830480000001E-2</v>
      </c>
      <c r="AH36" s="419">
        <v>1.0349830480000001E-2</v>
      </c>
      <c r="AI36" s="419">
        <v>1.0349830480000001E-2</v>
      </c>
      <c r="AJ36" s="419">
        <v>1.0349830480000001E-2</v>
      </c>
    </row>
    <row r="37" spans="1:37" x14ac:dyDescent="0.2">
      <c r="A37" s="347" t="s">
        <v>236</v>
      </c>
      <c r="B37" s="348" t="b">
        <v>0</v>
      </c>
      <c r="C37" s="349">
        <v>650</v>
      </c>
      <c r="D37" s="347"/>
      <c r="E37" s="347"/>
      <c r="F37" s="347"/>
      <c r="G37" s="347"/>
      <c r="H37" s="347"/>
      <c r="I37" s="347"/>
      <c r="J37" s="347"/>
      <c r="K37" s="347"/>
      <c r="L37" s="347"/>
      <c r="M37" s="347"/>
      <c r="N37" s="347"/>
      <c r="O37" s="347"/>
      <c r="P37" s="347"/>
      <c r="Q37" s="347"/>
      <c r="R37" s="347"/>
      <c r="S37" s="347"/>
      <c r="T37" s="347"/>
      <c r="U37" s="347"/>
      <c r="V37" s="347"/>
      <c r="W37" s="347"/>
      <c r="X37" s="347"/>
      <c r="Y37" s="347"/>
      <c r="Z37" s="347"/>
      <c r="AA37" s="347"/>
      <c r="AB37" s="347"/>
      <c r="AC37" s="347"/>
      <c r="AD37" s="347"/>
      <c r="AE37" s="347"/>
      <c r="AF37" s="347"/>
      <c r="AG37" s="347"/>
      <c r="AH37" s="347"/>
      <c r="AI37" s="347"/>
      <c r="AJ37" s="347"/>
    </row>
    <row r="38" spans="1:37" x14ac:dyDescent="0.2">
      <c r="A38" s="347" t="s">
        <v>238</v>
      </c>
      <c r="B38" s="352" t="b">
        <v>0</v>
      </c>
      <c r="C38" s="349">
        <v>300000</v>
      </c>
      <c r="D38" s="347" t="s">
        <v>203</v>
      </c>
      <c r="E38" s="353">
        <v>0</v>
      </c>
      <c r="F38" s="353">
        <v>0</v>
      </c>
      <c r="G38" s="353">
        <v>0</v>
      </c>
      <c r="H38" s="353">
        <v>29959.989676824425</v>
      </c>
      <c r="I38" s="353">
        <v>55667.735295576131</v>
      </c>
      <c r="J38" s="353">
        <v>80798.744619449542</v>
      </c>
      <c r="K38" s="353">
        <v>106302.40801755169</v>
      </c>
      <c r="L38" s="353">
        <v>133405.18183906464</v>
      </c>
      <c r="M38" s="353">
        <v>161725.02477451018</v>
      </c>
      <c r="N38" s="353">
        <v>189401.87122956483</v>
      </c>
      <c r="O38" s="353">
        <v>214878.81379719748</v>
      </c>
      <c r="P38" s="353">
        <v>240497.06220675437</v>
      </c>
      <c r="Q38" s="353">
        <v>266294.99990109733</v>
      </c>
      <c r="R38" s="353">
        <v>292301.5665746599</v>
      </c>
      <c r="S38" s="353">
        <v>318539.23934864969</v>
      </c>
      <c r="T38" s="353">
        <v>345025.73915623123</v>
      </c>
      <c r="U38" s="353">
        <v>371775.21521984611</v>
      </c>
      <c r="V38" s="353">
        <v>398799.11582206941</v>
      </c>
      <c r="W38" s="353">
        <v>426106.8201599241</v>
      </c>
      <c r="X38" s="353">
        <v>453706.07088917523</v>
      </c>
      <c r="Y38" s="353">
        <v>481603.22479011089</v>
      </c>
      <c r="Z38" s="353">
        <v>509803.6408879073</v>
      </c>
      <c r="AA38" s="353">
        <v>538311.79238523485</v>
      </c>
      <c r="AB38" s="353">
        <v>567131.38483434974</v>
      </c>
      <c r="AC38" s="353">
        <v>596265.58953829866</v>
      </c>
      <c r="AD38" s="353">
        <v>625717.0235985805</v>
      </c>
      <c r="AE38" s="353">
        <v>655487.90630411089</v>
      </c>
      <c r="AF38" s="353">
        <v>685580.08310856856</v>
      </c>
      <c r="AG38" s="353">
        <v>685580.08310856856</v>
      </c>
      <c r="AH38" s="353">
        <v>685580.08310856856</v>
      </c>
      <c r="AI38" s="353">
        <v>685580.08310856856</v>
      </c>
      <c r="AJ38" s="353">
        <v>685580.08310856856</v>
      </c>
    </row>
    <row r="39" spans="1:37" x14ac:dyDescent="0.2">
      <c r="A39" s="347" t="s">
        <v>239</v>
      </c>
      <c r="B39" s="352" t="b">
        <v>0</v>
      </c>
      <c r="C39" s="349">
        <v>530000</v>
      </c>
      <c r="D39" s="347" t="s">
        <v>241</v>
      </c>
      <c r="E39" s="354">
        <v>0</v>
      </c>
      <c r="F39" s="354">
        <v>0</v>
      </c>
      <c r="G39" s="354">
        <v>0</v>
      </c>
      <c r="H39" s="354">
        <v>269.77075751347587</v>
      </c>
      <c r="I39" s="354">
        <v>277.88419939979514</v>
      </c>
      <c r="J39" s="354">
        <v>286.32582147855544</v>
      </c>
      <c r="K39" s="354">
        <v>295.06638684457596</v>
      </c>
      <c r="L39" s="354">
        <v>304.08750716602668</v>
      </c>
      <c r="M39" s="354">
        <v>313.37599419390386</v>
      </c>
      <c r="N39" s="354">
        <v>322.92165750163991</v>
      </c>
      <c r="O39" s="354">
        <v>332.71625578967905</v>
      </c>
      <c r="P39" s="354">
        <v>342.75291467870795</v>
      </c>
      <c r="Q39" s="354">
        <v>353.02574339339708</v>
      </c>
      <c r="R39" s="354">
        <v>363.5296069423602</v>
      </c>
      <c r="S39" s="354">
        <v>374.25997062193653</v>
      </c>
      <c r="T39" s="354">
        <v>385.2127626009285</v>
      </c>
      <c r="U39" s="354">
        <v>396.38431244535218</v>
      </c>
      <c r="V39" s="354">
        <v>407.77126794604237</v>
      </c>
      <c r="W39" s="354">
        <v>419.37055534054934</v>
      </c>
      <c r="X39" s="354">
        <v>431.17933230265521</v>
      </c>
      <c r="Y39" s="354">
        <v>443.19495539665348</v>
      </c>
      <c r="Z39" s="354">
        <v>455.41496561258469</v>
      </c>
      <c r="AA39" s="354">
        <v>467.8370630528982</v>
      </c>
      <c r="AB39" s="354">
        <v>467.8370630528982</v>
      </c>
      <c r="AC39" s="354">
        <v>467.8370630528982</v>
      </c>
      <c r="AD39" s="354">
        <v>467.8370630528982</v>
      </c>
      <c r="AE39" s="354">
        <v>467.8370630528982</v>
      </c>
      <c r="AF39" s="354">
        <v>467.8370630528982</v>
      </c>
      <c r="AG39" s="354">
        <v>467.8370630528982</v>
      </c>
      <c r="AH39" s="354">
        <v>467.8370630528982</v>
      </c>
      <c r="AI39" s="354">
        <v>467.8370630528982</v>
      </c>
      <c r="AJ39" s="354">
        <v>467.8370630528982</v>
      </c>
    </row>
    <row r="40" spans="1:37" x14ac:dyDescent="0.2">
      <c r="A40" s="347" t="s">
        <v>240</v>
      </c>
      <c r="B40" s="348" t="b">
        <v>1</v>
      </c>
      <c r="C40" s="349">
        <v>7599585.5999999996</v>
      </c>
      <c r="D40" s="347" t="s">
        <v>243</v>
      </c>
      <c r="E40" s="354">
        <v>0</v>
      </c>
      <c r="F40" s="354">
        <v>0</v>
      </c>
      <c r="G40" s="354">
        <v>0</v>
      </c>
      <c r="H40" s="354">
        <v>13606.444335063627</v>
      </c>
      <c r="I40" s="354">
        <v>14015.662503887806</v>
      </c>
      <c r="J40" s="354">
        <v>14441.433117318948</v>
      </c>
      <c r="K40" s="354">
        <v>14882.281551767232</v>
      </c>
      <c r="L40" s="354">
        <v>15337.280353806027</v>
      </c>
      <c r="M40" s="354">
        <v>15805.764346906944</v>
      </c>
      <c r="N40" s="354">
        <v>16287.219555896676</v>
      </c>
      <c r="O40" s="354">
        <v>16781.230313841254</v>
      </c>
      <c r="P40" s="354">
        <v>17287.449897247254</v>
      </c>
      <c r="Q40" s="354">
        <v>17805.581192716068</v>
      </c>
      <c r="R40" s="354">
        <v>18335.365206370443</v>
      </c>
      <c r="S40" s="354">
        <v>18876.573221082162</v>
      </c>
      <c r="T40" s="354">
        <v>19428.99986564997</v>
      </c>
      <c r="U40" s="354">
        <v>19992.46001416865</v>
      </c>
      <c r="V40" s="354">
        <v>20566.784591057778</v>
      </c>
      <c r="W40" s="354">
        <v>21151.818564771111</v>
      </c>
      <c r="X40" s="354">
        <v>21747.418576725886</v>
      </c>
      <c r="Y40" s="354">
        <v>22353.451299792341</v>
      </c>
      <c r="Z40" s="354">
        <v>22969.79270873349</v>
      </c>
      <c r="AA40" s="354">
        <v>23596.326803474723</v>
      </c>
      <c r="AB40" s="354">
        <v>23596.326803474723</v>
      </c>
      <c r="AC40" s="354">
        <v>23596.326803474723</v>
      </c>
      <c r="AD40" s="354">
        <v>23596.326803474723</v>
      </c>
      <c r="AE40" s="354">
        <v>23596.326803474723</v>
      </c>
      <c r="AF40" s="354">
        <v>23596.326803474723</v>
      </c>
      <c r="AG40" s="354">
        <v>23596.326803474723</v>
      </c>
      <c r="AH40" s="354">
        <v>23596.326803474723</v>
      </c>
      <c r="AI40" s="354">
        <v>23596.326803474723</v>
      </c>
      <c r="AJ40" s="354">
        <v>23596.326803474723</v>
      </c>
    </row>
    <row r="41" spans="1:37" x14ac:dyDescent="0.2">
      <c r="A41" s="347" t="s">
        <v>242</v>
      </c>
      <c r="B41" s="348" t="b">
        <v>0</v>
      </c>
      <c r="C41" s="349">
        <v>0</v>
      </c>
      <c r="D41" s="347" t="s">
        <v>245</v>
      </c>
      <c r="E41" s="354">
        <v>0</v>
      </c>
      <c r="F41" s="354">
        <v>0</v>
      </c>
      <c r="G41" s="354">
        <v>0</v>
      </c>
      <c r="H41" s="354">
        <v>996.06990830399991</v>
      </c>
      <c r="I41" s="354">
        <v>1026.0270296399999</v>
      </c>
      <c r="J41" s="354">
        <v>1057.195885032</v>
      </c>
      <c r="K41" s="354">
        <v>1089.4685235600002</v>
      </c>
      <c r="L41" s="354">
        <v>1122.7770503040001</v>
      </c>
      <c r="M41" s="354">
        <v>1157.0727705200002</v>
      </c>
      <c r="N41" s="354">
        <v>1192.3180582719999</v>
      </c>
      <c r="O41" s="354">
        <v>1228.482484352</v>
      </c>
      <c r="P41" s="354">
        <v>1265.540666608</v>
      </c>
      <c r="Q41" s="354">
        <v>1303.4708546320001</v>
      </c>
      <c r="R41" s="354">
        <v>1342.2540885840001</v>
      </c>
      <c r="S41" s="354">
        <v>1381.873625056</v>
      </c>
      <c r="T41" s="354">
        <v>1422.3144296960002</v>
      </c>
      <c r="U41" s="354">
        <v>1463.5629502239999</v>
      </c>
      <c r="V41" s="354">
        <v>1505.6068093360002</v>
      </c>
      <c r="W41" s="354">
        <v>1548.4346578320003</v>
      </c>
      <c r="X41" s="354">
        <v>1592.03600104</v>
      </c>
      <c r="Y41" s="354">
        <v>1636.4010786480001</v>
      </c>
      <c r="Z41" s="354">
        <v>1681.5208112960001</v>
      </c>
      <c r="AA41" s="354">
        <v>1727.3867071120001</v>
      </c>
      <c r="AB41" s="354">
        <v>1727.3867071120001</v>
      </c>
      <c r="AC41" s="354">
        <v>1727.3867071120001</v>
      </c>
      <c r="AD41" s="354">
        <v>1727.3867071120001</v>
      </c>
      <c r="AE41" s="354">
        <v>1727.3867071120001</v>
      </c>
      <c r="AF41" s="354">
        <v>1727.3867071120001</v>
      </c>
      <c r="AG41" s="354">
        <v>1727.3867071120001</v>
      </c>
      <c r="AH41" s="354">
        <v>1727.3867071120001</v>
      </c>
      <c r="AI41" s="354">
        <v>1727.3867071120001</v>
      </c>
      <c r="AJ41" s="354">
        <v>1727.3867071120001</v>
      </c>
    </row>
    <row r="42" spans="1:37" x14ac:dyDescent="0.2">
      <c r="A42" s="347" t="s">
        <v>244</v>
      </c>
      <c r="B42" s="348" t="b">
        <v>0</v>
      </c>
      <c r="C42" s="349">
        <v>0</v>
      </c>
      <c r="D42" s="347" t="s">
        <v>248</v>
      </c>
      <c r="E42" s="355">
        <v>0</v>
      </c>
      <c r="F42" s="355">
        <v>0</v>
      </c>
      <c r="G42" s="355">
        <v>0</v>
      </c>
      <c r="H42" s="355">
        <v>392.45</v>
      </c>
      <c r="I42" s="355">
        <v>392.45</v>
      </c>
      <c r="J42" s="355">
        <v>392.45</v>
      </c>
      <c r="K42" s="355">
        <v>392.45</v>
      </c>
      <c r="L42" s="355">
        <v>392.45</v>
      </c>
      <c r="M42" s="355">
        <v>392.45</v>
      </c>
      <c r="N42" s="355">
        <v>392.45</v>
      </c>
      <c r="O42" s="355">
        <v>392.45</v>
      </c>
      <c r="P42" s="355">
        <v>392.45</v>
      </c>
      <c r="Q42" s="355">
        <v>392.45</v>
      </c>
      <c r="R42" s="355">
        <v>392.45</v>
      </c>
      <c r="S42" s="355">
        <v>392.45</v>
      </c>
      <c r="T42" s="355">
        <v>392.45</v>
      </c>
      <c r="U42" s="355">
        <v>392.45</v>
      </c>
      <c r="V42" s="355">
        <v>392.45</v>
      </c>
      <c r="W42" s="355">
        <v>392.45</v>
      </c>
      <c r="X42" s="355">
        <v>392.45</v>
      </c>
      <c r="Y42" s="355">
        <v>392.45</v>
      </c>
      <c r="Z42" s="355">
        <v>392.45</v>
      </c>
      <c r="AA42" s="355">
        <v>392.45</v>
      </c>
      <c r="AB42" s="355">
        <v>392.45</v>
      </c>
      <c r="AC42" s="355">
        <v>392.45</v>
      </c>
      <c r="AD42" s="355">
        <v>392.45</v>
      </c>
      <c r="AE42" s="355">
        <v>392.45</v>
      </c>
      <c r="AF42" s="355">
        <v>392.45</v>
      </c>
      <c r="AG42" s="355">
        <v>392.45</v>
      </c>
      <c r="AH42" s="355">
        <v>392.45</v>
      </c>
      <c r="AI42" s="355">
        <v>392.45</v>
      </c>
      <c r="AJ42" s="355">
        <v>392.45</v>
      </c>
    </row>
    <row r="43" spans="1:37" x14ac:dyDescent="0.2">
      <c r="A43" s="347" t="s">
        <v>246</v>
      </c>
      <c r="B43" s="348" t="b">
        <v>0</v>
      </c>
      <c r="C43" s="349" t="s">
        <v>247</v>
      </c>
      <c r="D43" s="347" t="s">
        <v>250</v>
      </c>
      <c r="E43" s="356">
        <v>0</v>
      </c>
      <c r="F43" s="356">
        <v>0</v>
      </c>
      <c r="G43" s="356">
        <v>0</v>
      </c>
      <c r="H43" s="356">
        <v>0</v>
      </c>
      <c r="I43" s="356">
        <v>0</v>
      </c>
      <c r="J43" s="356">
        <v>0</v>
      </c>
      <c r="K43" s="356">
        <v>0</v>
      </c>
      <c r="L43" s="356">
        <v>0</v>
      </c>
      <c r="M43" s="356">
        <v>0</v>
      </c>
      <c r="N43" s="356">
        <v>0</v>
      </c>
      <c r="O43" s="356">
        <v>0</v>
      </c>
      <c r="P43" s="356">
        <v>0</v>
      </c>
      <c r="Q43" s="356">
        <v>0</v>
      </c>
      <c r="R43" s="356">
        <v>0</v>
      </c>
      <c r="S43" s="356">
        <v>0</v>
      </c>
      <c r="T43" s="356">
        <v>0</v>
      </c>
      <c r="U43" s="356">
        <v>0</v>
      </c>
      <c r="V43" s="356">
        <v>0</v>
      </c>
      <c r="W43" s="356">
        <v>0</v>
      </c>
      <c r="X43" s="356">
        <v>0</v>
      </c>
      <c r="Y43" s="356">
        <v>0</v>
      </c>
      <c r="Z43" s="356">
        <v>0</v>
      </c>
      <c r="AA43" s="356">
        <v>0</v>
      </c>
      <c r="AB43" s="356">
        <v>0</v>
      </c>
      <c r="AC43" s="356">
        <v>0</v>
      </c>
      <c r="AD43" s="356">
        <v>0</v>
      </c>
      <c r="AE43" s="356">
        <v>0</v>
      </c>
      <c r="AF43" s="356">
        <v>0</v>
      </c>
      <c r="AG43" s="356">
        <v>0</v>
      </c>
      <c r="AH43" s="356">
        <v>0</v>
      </c>
      <c r="AI43" s="356">
        <v>0</v>
      </c>
      <c r="AJ43" s="356">
        <v>0</v>
      </c>
    </row>
    <row r="44" spans="1:37" x14ac:dyDescent="0.2">
      <c r="A44" s="347" t="s">
        <v>249</v>
      </c>
      <c r="B44" s="348" t="b">
        <v>1</v>
      </c>
      <c r="C44" s="349">
        <v>0</v>
      </c>
      <c r="D44" s="347" t="s">
        <v>252</v>
      </c>
      <c r="E44" s="355">
        <v>0</v>
      </c>
      <c r="F44" s="355">
        <v>0</v>
      </c>
      <c r="G44" s="355">
        <v>0</v>
      </c>
      <c r="H44" s="355">
        <v>0</v>
      </c>
      <c r="I44" s="355">
        <v>0</v>
      </c>
      <c r="J44" s="355">
        <v>0</v>
      </c>
      <c r="K44" s="355">
        <v>0</v>
      </c>
      <c r="L44" s="355">
        <v>0</v>
      </c>
      <c r="M44" s="355">
        <v>0</v>
      </c>
      <c r="N44" s="355">
        <v>0</v>
      </c>
      <c r="O44" s="355">
        <v>0</v>
      </c>
      <c r="P44" s="355">
        <v>0</v>
      </c>
      <c r="Q44" s="355">
        <v>0</v>
      </c>
      <c r="R44" s="355">
        <v>0</v>
      </c>
      <c r="S44" s="355">
        <v>0</v>
      </c>
      <c r="T44" s="355">
        <v>0</v>
      </c>
      <c r="U44" s="355">
        <v>0</v>
      </c>
      <c r="V44" s="355">
        <v>0</v>
      </c>
      <c r="W44" s="355">
        <v>0</v>
      </c>
      <c r="X44" s="355">
        <v>0</v>
      </c>
      <c r="Y44" s="355">
        <v>0</v>
      </c>
      <c r="Z44" s="355">
        <v>0</v>
      </c>
      <c r="AA44" s="355">
        <v>0</v>
      </c>
      <c r="AB44" s="355">
        <v>0</v>
      </c>
      <c r="AC44" s="355">
        <v>0</v>
      </c>
      <c r="AD44" s="355">
        <v>0</v>
      </c>
      <c r="AE44" s="355">
        <v>0</v>
      </c>
      <c r="AF44" s="355">
        <v>0</v>
      </c>
      <c r="AG44" s="355">
        <v>0</v>
      </c>
      <c r="AH44" s="355">
        <v>0</v>
      </c>
      <c r="AI44" s="355">
        <v>0</v>
      </c>
      <c r="AJ44" s="355">
        <v>0</v>
      </c>
    </row>
    <row r="45" spans="1:37" x14ac:dyDescent="0.2">
      <c r="A45" s="347" t="s">
        <v>251</v>
      </c>
      <c r="B45" s="352">
        <v>0</v>
      </c>
      <c r="C45" s="349">
        <v>0</v>
      </c>
      <c r="D45" s="358" t="s">
        <v>253</v>
      </c>
      <c r="E45" s="359">
        <v>0</v>
      </c>
      <c r="F45" s="359">
        <v>0</v>
      </c>
      <c r="G45" s="359">
        <v>0</v>
      </c>
      <c r="H45" s="359">
        <v>323998.52529652027</v>
      </c>
      <c r="I45" s="359">
        <v>323998.52529652027</v>
      </c>
      <c r="J45" s="359">
        <v>323998.52529652027</v>
      </c>
      <c r="K45" s="359">
        <v>323998.52529652027</v>
      </c>
      <c r="L45" s="359">
        <v>323998.52529652027</v>
      </c>
      <c r="M45" s="359">
        <v>323998.52529652027</v>
      </c>
      <c r="N45" s="359">
        <v>323998.52529652027</v>
      </c>
      <c r="O45" s="359">
        <v>323998.52529652027</v>
      </c>
      <c r="P45" s="359">
        <v>323998.52529652027</v>
      </c>
      <c r="Q45" s="359">
        <v>323998.52529652027</v>
      </c>
      <c r="R45" s="359">
        <v>323998.52529652027</v>
      </c>
      <c r="S45" s="359">
        <v>323998.52529652027</v>
      </c>
      <c r="T45" s="359">
        <v>323998.52529652027</v>
      </c>
      <c r="U45" s="359">
        <v>323998.52529652027</v>
      </c>
      <c r="V45" s="359">
        <v>323998.52529652027</v>
      </c>
      <c r="W45" s="359">
        <v>323998.52529652027</v>
      </c>
      <c r="X45" s="359">
        <v>323998.52529652027</v>
      </c>
      <c r="Y45" s="359">
        <v>323998.52529652027</v>
      </c>
      <c r="Z45" s="359">
        <v>323998.52529652027</v>
      </c>
      <c r="AA45" s="359">
        <v>323998.52529652027</v>
      </c>
      <c r="AB45" s="359">
        <v>323998.52529652027</v>
      </c>
      <c r="AC45" s="359">
        <v>323998.52529652027</v>
      </c>
      <c r="AD45" s="359">
        <v>323998.52529652027</v>
      </c>
      <c r="AE45" s="359">
        <v>323998.52529652027</v>
      </c>
      <c r="AF45" s="359">
        <v>323998.52529652027</v>
      </c>
      <c r="AG45" s="359">
        <v>323998.52529652027</v>
      </c>
      <c r="AH45" s="359">
        <v>323998.52529652027</v>
      </c>
      <c r="AI45" s="359">
        <v>323998.52529652027</v>
      </c>
      <c r="AJ45" s="359">
        <v>323998.52529652027</v>
      </c>
    </row>
    <row r="46" spans="1:37" x14ac:dyDescent="0.2">
      <c r="A46" s="357"/>
      <c r="B46" s="357"/>
      <c r="C46" s="349">
        <v>0</v>
      </c>
      <c r="D46" s="360" t="s">
        <v>254</v>
      </c>
      <c r="E46" s="361">
        <v>0</v>
      </c>
      <c r="F46" s="361">
        <v>0</v>
      </c>
      <c r="G46" s="361">
        <v>0</v>
      </c>
      <c r="H46" s="361">
        <v>369223.24997422576</v>
      </c>
      <c r="I46" s="361">
        <v>395378.284325024</v>
      </c>
      <c r="J46" s="361">
        <v>420974.67473979929</v>
      </c>
      <c r="K46" s="361">
        <v>446960.19977624377</v>
      </c>
      <c r="L46" s="361">
        <v>474560.30204686098</v>
      </c>
      <c r="M46" s="361">
        <v>503392.21318265132</v>
      </c>
      <c r="N46" s="361">
        <v>531595.30579775549</v>
      </c>
      <c r="O46" s="361">
        <v>557612.21814770065</v>
      </c>
      <c r="P46" s="361">
        <v>583783.78098180867</v>
      </c>
      <c r="Q46" s="361">
        <v>610148.05298835901</v>
      </c>
      <c r="R46" s="361">
        <v>636733.69077307696</v>
      </c>
      <c r="S46" s="361">
        <v>663562.92146193003</v>
      </c>
      <c r="T46" s="361">
        <v>690653.24151069834</v>
      </c>
      <c r="U46" s="361">
        <v>718018.59779320436</v>
      </c>
      <c r="V46" s="361">
        <v>745670.25378692953</v>
      </c>
      <c r="W46" s="361">
        <v>773617.41923438804</v>
      </c>
      <c r="X46" s="361">
        <v>801867.68009576411</v>
      </c>
      <c r="Y46" s="361">
        <v>830427.24742046813</v>
      </c>
      <c r="Z46" s="361">
        <v>859301.34467006964</v>
      </c>
      <c r="AA46" s="361">
        <v>888494.3182553947</v>
      </c>
      <c r="AB46" s="361">
        <v>917313.91070450959</v>
      </c>
      <c r="AC46" s="361">
        <v>946448.11540845851</v>
      </c>
      <c r="AD46" s="361">
        <v>975899.54946874036</v>
      </c>
      <c r="AE46" s="361">
        <v>1005670.4321742707</v>
      </c>
      <c r="AF46" s="361">
        <v>1035762.6089787283</v>
      </c>
      <c r="AG46" s="361">
        <v>1035762.6089787283</v>
      </c>
      <c r="AH46" s="361">
        <v>1035762.6089787283</v>
      </c>
      <c r="AI46" s="361">
        <v>1035762.6089787283</v>
      </c>
      <c r="AJ46" s="361">
        <v>1035762.6089787283</v>
      </c>
    </row>
    <row r="47" spans="1:37" x14ac:dyDescent="0.2">
      <c r="A47" s="276"/>
      <c r="B47" s="276"/>
      <c r="C47" s="276"/>
      <c r="AK47" s="417"/>
    </row>
    <row r="49" spans="1:36" x14ac:dyDescent="0.2">
      <c r="A49" s="345" t="s">
        <v>208</v>
      </c>
      <c r="B49" s="345"/>
      <c r="C49" s="344" t="s">
        <v>209</v>
      </c>
      <c r="D49" s="344"/>
      <c r="F49" s="362" t="s">
        <v>210</v>
      </c>
      <c r="G49" s="363" t="s">
        <v>211</v>
      </c>
      <c r="H49" s="344" t="s">
        <v>212</v>
      </c>
      <c r="I49" s="344" t="s">
        <v>213</v>
      </c>
    </row>
    <row r="50" spans="1:36" x14ac:dyDescent="0.2">
      <c r="A50" s="347" t="s">
        <v>214</v>
      </c>
      <c r="B50" s="364" t="s">
        <v>71</v>
      </c>
      <c r="C50" s="365" t="s">
        <v>215</v>
      </c>
      <c r="D50" s="366"/>
      <c r="F50" s="365" t="s">
        <v>216</v>
      </c>
      <c r="G50" s="367">
        <v>1.3408061800000001E-3</v>
      </c>
      <c r="H50" s="363">
        <v>1</v>
      </c>
      <c r="I50" s="368"/>
    </row>
    <row r="51" spans="1:36" x14ac:dyDescent="0.2">
      <c r="A51" s="347" t="s">
        <v>217</v>
      </c>
      <c r="B51" s="364" t="s">
        <v>218</v>
      </c>
      <c r="C51" s="365" t="s">
        <v>219</v>
      </c>
      <c r="D51" s="366"/>
      <c r="F51" s="365" t="s">
        <v>220</v>
      </c>
      <c r="G51" s="367">
        <v>1.3408061800000001E-3</v>
      </c>
      <c r="H51" s="363">
        <v>1</v>
      </c>
      <c r="I51" s="368"/>
    </row>
    <row r="52" spans="1:36" x14ac:dyDescent="0.2">
      <c r="A52" s="369" t="s">
        <v>68</v>
      </c>
      <c r="B52" s="370">
        <v>44.330651153933509</v>
      </c>
      <c r="C52" s="369" t="s">
        <v>221</v>
      </c>
      <c r="D52" s="371">
        <v>9119502.7199999988</v>
      </c>
      <c r="F52" s="365" t="s">
        <v>222</v>
      </c>
      <c r="G52" s="367" t="b">
        <v>1</v>
      </c>
      <c r="H52" s="363">
        <v>1</v>
      </c>
      <c r="I52" s="368"/>
    </row>
    <row r="53" spans="1:36" x14ac:dyDescent="0.2">
      <c r="A53" s="369" t="s">
        <v>223</v>
      </c>
      <c r="B53" s="372">
        <v>0.5</v>
      </c>
      <c r="C53" s="369" t="s">
        <v>224</v>
      </c>
      <c r="D53" s="371">
        <v>166900</v>
      </c>
      <c r="F53" s="365" t="s">
        <v>225</v>
      </c>
      <c r="G53" s="373">
        <v>0</v>
      </c>
      <c r="H53" s="363">
        <v>1</v>
      </c>
      <c r="I53" s="368"/>
    </row>
    <row r="54" spans="1:36" x14ac:dyDescent="0.2">
      <c r="A54" s="342" t="s">
        <v>256</v>
      </c>
      <c r="B54" s="343" t="s">
        <v>227</v>
      </c>
      <c r="C54" s="344" t="s">
        <v>228</v>
      </c>
      <c r="D54" s="345" t="s">
        <v>229</v>
      </c>
      <c r="E54" s="344">
        <v>2025</v>
      </c>
      <c r="F54" s="344">
        <v>2026</v>
      </c>
      <c r="G54" s="344">
        <v>2027</v>
      </c>
      <c r="H54" s="344">
        <v>2028</v>
      </c>
      <c r="I54" s="344">
        <v>2029</v>
      </c>
      <c r="J54" s="344">
        <v>2030</v>
      </c>
      <c r="K54" s="344">
        <v>2031</v>
      </c>
      <c r="L54" s="344">
        <v>2032</v>
      </c>
      <c r="M54" s="344">
        <v>2033</v>
      </c>
      <c r="N54" s="344">
        <v>2034</v>
      </c>
      <c r="O54" s="344">
        <v>2035</v>
      </c>
      <c r="P54" s="344">
        <v>2036</v>
      </c>
      <c r="Q54" s="344">
        <v>2037</v>
      </c>
      <c r="R54" s="344">
        <v>2038</v>
      </c>
      <c r="S54" s="344">
        <v>2039</v>
      </c>
      <c r="T54" s="344">
        <v>2040</v>
      </c>
      <c r="U54" s="344">
        <v>2041</v>
      </c>
      <c r="V54" s="344">
        <v>2042</v>
      </c>
      <c r="W54" s="344">
        <v>2043</v>
      </c>
      <c r="X54" s="344">
        <v>2044</v>
      </c>
      <c r="Y54" s="344">
        <v>2045</v>
      </c>
      <c r="Z54" s="344">
        <v>2046</v>
      </c>
      <c r="AA54" s="344">
        <v>2047</v>
      </c>
      <c r="AB54" s="346">
        <v>2048</v>
      </c>
      <c r="AC54" s="346">
        <v>2049</v>
      </c>
      <c r="AD54" s="346">
        <v>2050</v>
      </c>
      <c r="AE54" s="346">
        <v>2051</v>
      </c>
      <c r="AF54" s="346">
        <v>2052</v>
      </c>
      <c r="AG54" s="346">
        <v>2053</v>
      </c>
      <c r="AH54" s="346">
        <v>2054</v>
      </c>
      <c r="AI54" s="346">
        <v>2055</v>
      </c>
      <c r="AJ54" s="346">
        <v>2056</v>
      </c>
    </row>
    <row r="55" spans="1:36" x14ac:dyDescent="0.2">
      <c r="A55" s="347" t="s">
        <v>230</v>
      </c>
      <c r="B55" s="348" t="b">
        <v>0</v>
      </c>
      <c r="C55" s="349">
        <v>2000000</v>
      </c>
      <c r="D55" s="347"/>
      <c r="E55" s="350"/>
      <c r="F55" s="350"/>
      <c r="G55" s="350"/>
      <c r="H55" s="350"/>
      <c r="I55" s="350"/>
      <c r="J55" s="350"/>
      <c r="K55" s="350"/>
      <c r="L55" s="350"/>
      <c r="M55" s="350"/>
      <c r="N55" s="350"/>
      <c r="O55" s="350"/>
      <c r="P55" s="350"/>
      <c r="Q55" s="350"/>
      <c r="R55" s="350"/>
      <c r="S55" s="350"/>
      <c r="T55" s="350"/>
      <c r="U55" s="350"/>
      <c r="V55" s="350"/>
      <c r="W55" s="350"/>
      <c r="X55" s="350"/>
      <c r="Y55" s="350"/>
      <c r="Z55" s="350"/>
      <c r="AA55" s="350"/>
      <c r="AB55" s="350"/>
      <c r="AC55" s="350"/>
      <c r="AD55" s="350"/>
      <c r="AE55" s="350"/>
      <c r="AF55" s="350"/>
      <c r="AG55" s="350"/>
      <c r="AH55" s="350"/>
      <c r="AI55" s="350"/>
      <c r="AJ55" s="350"/>
    </row>
    <row r="56" spans="1:36" x14ac:dyDescent="0.2">
      <c r="A56" s="347" t="s">
        <v>232</v>
      </c>
      <c r="B56" s="348" t="b">
        <v>0</v>
      </c>
      <c r="C56" s="349">
        <v>50000</v>
      </c>
      <c r="D56" s="347" t="s">
        <v>348</v>
      </c>
      <c r="E56" s="351"/>
      <c r="F56" s="351"/>
      <c r="G56" s="351">
        <v>20895.895661776696</v>
      </c>
      <c r="H56" s="351">
        <v>21905.160145164104</v>
      </c>
      <c r="I56" s="351">
        <v>22894.952057761166</v>
      </c>
      <c r="J56" s="351">
        <v>23865.747316351561</v>
      </c>
      <c r="K56" s="351">
        <v>24919.321018042556</v>
      </c>
      <c r="L56" s="351">
        <v>26213.311363466666</v>
      </c>
      <c r="M56" s="351">
        <v>27571.743439238257</v>
      </c>
      <c r="N56" s="351">
        <v>28689.752970762838</v>
      </c>
      <c r="O56" s="351">
        <v>29425.533796528223</v>
      </c>
      <c r="P56" s="351">
        <v>30169.131867681113</v>
      </c>
      <c r="Q56" s="351">
        <v>30920.520456677001</v>
      </c>
      <c r="R56" s="351">
        <v>31679.672863316937</v>
      </c>
      <c r="S56" s="351">
        <v>32446.563357844429</v>
      </c>
      <c r="T56" s="351">
        <v>33221.167181376084</v>
      </c>
      <c r="U56" s="351">
        <v>34003.459601809474</v>
      </c>
      <c r="V56" s="351">
        <v>34793.416857802964</v>
      </c>
      <c r="W56" s="351">
        <v>35591.015214189167</v>
      </c>
      <c r="X56" s="351">
        <v>36396.231906546527</v>
      </c>
      <c r="Y56" s="351">
        <v>37209.045141790601</v>
      </c>
      <c r="Z56" s="351">
        <v>38029.43220686831</v>
      </c>
      <c r="AA56" s="351">
        <v>38857.372305321493</v>
      </c>
      <c r="AB56" s="351">
        <v>39692.84419303442</v>
      </c>
      <c r="AC56" s="351">
        <v>40535.828070447984</v>
      </c>
      <c r="AD56" s="351">
        <v>41386.304163326065</v>
      </c>
      <c r="AE56" s="351">
        <v>42244.252248331679</v>
      </c>
      <c r="AF56" s="351">
        <v>43109.653073177462</v>
      </c>
      <c r="AG56" s="351">
        <v>43109.653073177462</v>
      </c>
      <c r="AH56" s="351">
        <v>43109.653073177462</v>
      </c>
      <c r="AI56" s="351">
        <v>43109.653073177462</v>
      </c>
      <c r="AJ56" s="351">
        <v>43109.653073177462</v>
      </c>
    </row>
    <row r="57" spans="1:36" x14ac:dyDescent="0.2">
      <c r="A57" s="347" t="s">
        <v>233</v>
      </c>
      <c r="B57" s="348" t="b">
        <v>0</v>
      </c>
      <c r="C57" s="349">
        <v>300000</v>
      </c>
      <c r="D57" s="347" t="s">
        <v>235</v>
      </c>
      <c r="E57" s="419">
        <v>0</v>
      </c>
      <c r="F57" s="419">
        <v>0</v>
      </c>
      <c r="G57" s="419">
        <v>2.8407010800000003E-3</v>
      </c>
      <c r="H57" s="419">
        <v>2.9216563600000002E-3</v>
      </c>
      <c r="I57" s="419">
        <v>3.0035459440000004E-3</v>
      </c>
      <c r="J57" s="419">
        <v>3.0863654079999999E-3</v>
      </c>
      <c r="K57" s="419">
        <v>3.1701102720000005E-3</v>
      </c>
      <c r="L57" s="419">
        <v>3.254776112E-3</v>
      </c>
      <c r="M57" s="419">
        <v>3.3403586720000002E-3</v>
      </c>
      <c r="N57" s="419">
        <v>3.4268538080000003E-3</v>
      </c>
      <c r="O57" s="419">
        <v>3.5142573760000005E-3</v>
      </c>
      <c r="P57" s="419">
        <v>3.6025653440000006E-3</v>
      </c>
      <c r="Q57" s="419">
        <v>3.6917737920000005E-3</v>
      </c>
      <c r="R57" s="419">
        <v>3.7818788000000005E-3</v>
      </c>
      <c r="S57" s="419">
        <v>3.8728765600000003E-3</v>
      </c>
      <c r="T57" s="419">
        <v>3.9647633759999999E-3</v>
      </c>
      <c r="U57" s="419">
        <v>4.0575355520000005E-3</v>
      </c>
      <c r="V57" s="419">
        <v>4.1511895040000002E-3</v>
      </c>
      <c r="W57" s="419">
        <v>4.2457216480000001E-3</v>
      </c>
      <c r="X57" s="419">
        <v>4.3411285120000002E-3</v>
      </c>
      <c r="Y57" s="419">
        <v>4.4374067360000002E-3</v>
      </c>
      <c r="Z57" s="419">
        <v>4.5345528480000008E-3</v>
      </c>
      <c r="AA57" s="419">
        <v>4.6325636000000003E-3</v>
      </c>
      <c r="AB57" s="419">
        <v>4.6325636000000003E-3</v>
      </c>
      <c r="AC57" s="419">
        <v>4.6325636000000003E-3</v>
      </c>
      <c r="AD57" s="419">
        <v>4.6325636000000003E-3</v>
      </c>
      <c r="AE57" s="419">
        <v>4.6325636000000003E-3</v>
      </c>
      <c r="AF57" s="419">
        <v>4.6325636000000003E-3</v>
      </c>
      <c r="AG57" s="419">
        <v>4.6325636000000003E-3</v>
      </c>
      <c r="AH57" s="419">
        <v>4.6325636000000003E-3</v>
      </c>
      <c r="AI57" s="419">
        <v>4.6325636000000003E-3</v>
      </c>
      <c r="AJ57" s="419">
        <v>4.6325636000000003E-3</v>
      </c>
    </row>
    <row r="58" spans="1:36" x14ac:dyDescent="0.2">
      <c r="A58" s="347" t="s">
        <v>234</v>
      </c>
      <c r="B58" s="348" t="b">
        <v>0</v>
      </c>
      <c r="C58" s="349">
        <v>4000</v>
      </c>
      <c r="D58" s="347" t="s">
        <v>237</v>
      </c>
      <c r="E58" s="419">
        <v>0</v>
      </c>
      <c r="F58" s="419">
        <v>0</v>
      </c>
      <c r="G58" s="419">
        <v>7.3046599199999996E-3</v>
      </c>
      <c r="H58" s="419">
        <v>7.512830639999999E-3</v>
      </c>
      <c r="I58" s="419">
        <v>7.7234038559999994E-3</v>
      </c>
      <c r="J58" s="419">
        <v>7.9363681919999984E-3</v>
      </c>
      <c r="K58" s="419">
        <v>8.1517121279999997E-3</v>
      </c>
      <c r="L58" s="419">
        <v>8.3694242879999992E-3</v>
      </c>
      <c r="M58" s="419">
        <v>8.589493727999999E-3</v>
      </c>
      <c r="N58" s="419">
        <v>8.811909792E-3</v>
      </c>
      <c r="O58" s="419">
        <v>9.0366618239999998E-3</v>
      </c>
      <c r="P58" s="419">
        <v>9.2637394559999999E-3</v>
      </c>
      <c r="Q58" s="419">
        <v>9.4931326079999989E-3</v>
      </c>
      <c r="R58" s="419">
        <v>9.724831199999999E-3</v>
      </c>
      <c r="S58" s="419">
        <v>9.9588254399999993E-3</v>
      </c>
      <c r="T58" s="419">
        <v>1.0195105824E-2</v>
      </c>
      <c r="U58" s="419">
        <v>1.0433662848E-2</v>
      </c>
      <c r="V58" s="419">
        <v>1.0674487295999999E-2</v>
      </c>
      <c r="W58" s="419">
        <v>1.0917569952E-2</v>
      </c>
      <c r="X58" s="419">
        <v>1.1162901887999999E-2</v>
      </c>
      <c r="Y58" s="419">
        <v>1.1410474464E-2</v>
      </c>
      <c r="Z58" s="419">
        <v>1.1660278752E-2</v>
      </c>
      <c r="AA58" s="419">
        <v>1.1912306399999999E-2</v>
      </c>
      <c r="AB58" s="419">
        <v>1.1912306399999999E-2</v>
      </c>
      <c r="AC58" s="419">
        <v>1.1912306399999999E-2</v>
      </c>
      <c r="AD58" s="419">
        <v>1.1912306399999999E-2</v>
      </c>
      <c r="AE58" s="419">
        <v>1.1912306399999999E-2</v>
      </c>
      <c r="AF58" s="419">
        <v>1.1912306399999999E-2</v>
      </c>
      <c r="AG58" s="419">
        <v>1.1912306399999999E-2</v>
      </c>
      <c r="AH58" s="419">
        <v>1.1912306399999999E-2</v>
      </c>
      <c r="AI58" s="419">
        <v>1.1912306399999999E-2</v>
      </c>
      <c r="AJ58" s="419">
        <v>1.1912306399999999E-2</v>
      </c>
    </row>
    <row r="59" spans="1:36" x14ac:dyDescent="0.2">
      <c r="A59" s="347" t="s">
        <v>236</v>
      </c>
      <c r="B59" s="348" t="b">
        <v>0</v>
      </c>
      <c r="C59" s="349">
        <v>650</v>
      </c>
      <c r="D59" s="347"/>
      <c r="E59" s="347"/>
      <c r="F59" s="347"/>
      <c r="G59" s="347"/>
      <c r="H59" s="347"/>
      <c r="I59" s="347"/>
      <c r="J59" s="347"/>
      <c r="K59" s="347"/>
      <c r="L59" s="347"/>
      <c r="M59" s="347"/>
      <c r="N59" s="347"/>
      <c r="O59" s="347"/>
      <c r="P59" s="347"/>
      <c r="Q59" s="347"/>
      <c r="R59" s="347"/>
      <c r="S59" s="347"/>
      <c r="T59" s="347"/>
      <c r="U59" s="347"/>
      <c r="V59" s="347"/>
      <c r="W59" s="347"/>
      <c r="X59" s="347"/>
      <c r="Y59" s="347"/>
      <c r="Z59" s="347"/>
      <c r="AA59" s="347"/>
      <c r="AB59" s="347"/>
      <c r="AC59" s="347"/>
      <c r="AD59" s="347"/>
      <c r="AE59" s="347"/>
      <c r="AF59" s="347"/>
      <c r="AG59" s="347"/>
      <c r="AH59" s="347"/>
      <c r="AI59" s="347"/>
      <c r="AJ59" s="347"/>
    </row>
    <row r="60" spans="1:36" x14ac:dyDescent="0.2">
      <c r="A60" s="347" t="s">
        <v>238</v>
      </c>
      <c r="B60" s="352" t="b">
        <v>0</v>
      </c>
      <c r="C60" s="349">
        <v>300000</v>
      </c>
      <c r="D60" s="347" t="s">
        <v>203</v>
      </c>
      <c r="E60" s="353">
        <v>0</v>
      </c>
      <c r="F60" s="353">
        <v>0</v>
      </c>
      <c r="G60" s="353">
        <v>926328.66113121528</v>
      </c>
      <c r="H60" s="353">
        <v>971070.01286631741</v>
      </c>
      <c r="I60" s="353">
        <v>1014948.1328586424</v>
      </c>
      <c r="J60" s="353">
        <v>1057984.1188091058</v>
      </c>
      <c r="K60" s="353">
        <v>1104689.7270437279</v>
      </c>
      <c r="L60" s="353">
        <v>1162053.1616432818</v>
      </c>
      <c r="M60" s="353">
        <v>1222273.3401106261</v>
      </c>
      <c r="N60" s="353">
        <v>1271835.430639415</v>
      </c>
      <c r="O60" s="353">
        <v>1304453.0737521735</v>
      </c>
      <c r="P60" s="353">
        <v>1337417.2604431899</v>
      </c>
      <c r="Q60" s="353">
        <v>1370726.805863013</v>
      </c>
      <c r="R60" s="353">
        <v>1404380.5263744371</v>
      </c>
      <c r="S60" s="353">
        <v>1438377.2813606029</v>
      </c>
      <c r="T60" s="353">
        <v>1472715.9732440878</v>
      </c>
      <c r="U60" s="353">
        <v>1507395.5056346867</v>
      </c>
      <c r="V60" s="353">
        <v>1542414.8251766525</v>
      </c>
      <c r="W60" s="353">
        <v>1577772.8796745602</v>
      </c>
      <c r="X60" s="353">
        <v>1613468.6599667785</v>
      </c>
      <c r="Y60" s="353">
        <v>1649501.1999516834</v>
      </c>
      <c r="Z60" s="353">
        <v>1685869.4927448428</v>
      </c>
      <c r="AA60" s="353">
        <v>1722572.6164257242</v>
      </c>
      <c r="AB60" s="353">
        <v>1759609.6292288443</v>
      </c>
      <c r="AC60" s="353">
        <v>1796979.6534268553</v>
      </c>
      <c r="AD60" s="353">
        <v>1834681.8124149938</v>
      </c>
      <c r="AE60" s="353">
        <v>1872715.2096795631</v>
      </c>
      <c r="AF60" s="353">
        <v>1911078.9917541277</v>
      </c>
      <c r="AG60" s="353">
        <v>1911078.9917541277</v>
      </c>
      <c r="AH60" s="353">
        <v>1911078.9917541277</v>
      </c>
      <c r="AI60" s="353">
        <v>1911078.9917541277</v>
      </c>
      <c r="AJ60" s="353">
        <v>1911078.9917541277</v>
      </c>
    </row>
    <row r="61" spans="1:36" x14ac:dyDescent="0.2">
      <c r="A61" s="347" t="s">
        <v>239</v>
      </c>
      <c r="B61" s="352" t="b">
        <v>1</v>
      </c>
      <c r="C61" s="349">
        <v>530000</v>
      </c>
      <c r="D61" s="347" t="s">
        <v>241</v>
      </c>
      <c r="E61" s="354">
        <v>0</v>
      </c>
      <c r="F61" s="354">
        <v>0</v>
      </c>
      <c r="G61" s="354">
        <v>366.87564326958244</v>
      </c>
      <c r="H61" s="354">
        <v>377.33099199851983</v>
      </c>
      <c r="I61" s="354">
        <v>387.90700579264933</v>
      </c>
      <c r="J61" s="354">
        <v>398.6031132937743</v>
      </c>
      <c r="K61" s="354">
        <v>409.41873591131633</v>
      </c>
      <c r="L61" s="354">
        <v>420.35330228707852</v>
      </c>
      <c r="M61" s="354">
        <v>431.40626276001137</v>
      </c>
      <c r="N61" s="354">
        <v>442.57708213382955</v>
      </c>
      <c r="O61" s="354">
        <v>453.86522521224754</v>
      </c>
      <c r="P61" s="354">
        <v>465.27017126374471</v>
      </c>
      <c r="Q61" s="354">
        <v>476.79141402156455</v>
      </c>
      <c r="R61" s="354">
        <v>488.42844721895079</v>
      </c>
      <c r="S61" s="354">
        <v>500.18077905391141</v>
      </c>
      <c r="T61" s="354">
        <v>512.04793218921907</v>
      </c>
      <c r="U61" s="354">
        <v>524.02942928764628</v>
      </c>
      <c r="V61" s="354">
        <v>536.12480747672998</v>
      </c>
      <c r="W61" s="354">
        <v>548.33360388400729</v>
      </c>
      <c r="X61" s="354">
        <v>560.65537010177968</v>
      </c>
      <c r="Y61" s="354">
        <v>573.08967218711314</v>
      </c>
      <c r="Z61" s="354">
        <v>585.63606173230914</v>
      </c>
      <c r="AA61" s="354">
        <v>598.29411925919806</v>
      </c>
      <c r="AB61" s="354">
        <v>598.29411925919806</v>
      </c>
      <c r="AC61" s="354">
        <v>598.29411925919806</v>
      </c>
      <c r="AD61" s="354">
        <v>598.29411925919806</v>
      </c>
      <c r="AE61" s="354">
        <v>598.29411925919806</v>
      </c>
      <c r="AF61" s="354">
        <v>598.29411925919806</v>
      </c>
      <c r="AG61" s="354">
        <v>598.29411925919806</v>
      </c>
      <c r="AH61" s="354">
        <v>598.29411925919806</v>
      </c>
      <c r="AI61" s="354">
        <v>598.29411925919806</v>
      </c>
      <c r="AJ61" s="354">
        <v>598.29411925919806</v>
      </c>
    </row>
    <row r="62" spans="1:36" x14ac:dyDescent="0.2">
      <c r="A62" s="347" t="s">
        <v>240</v>
      </c>
      <c r="B62" s="348" t="b">
        <v>0</v>
      </c>
      <c r="C62" s="349">
        <v>7599585.5999999996</v>
      </c>
      <c r="D62" s="347" t="s">
        <v>243</v>
      </c>
      <c r="E62" s="354">
        <v>0</v>
      </c>
      <c r="F62" s="354">
        <v>0</v>
      </c>
      <c r="G62" s="354">
        <v>25905.781225766936</v>
      </c>
      <c r="H62" s="354">
        <v>26644.053121925299</v>
      </c>
      <c r="I62" s="354">
        <v>27390.845405952969</v>
      </c>
      <c r="J62" s="354">
        <v>28146.117733169904</v>
      </c>
      <c r="K62" s="354">
        <v>28909.82924820394</v>
      </c>
      <c r="L62" s="354">
        <v>29681.939606375021</v>
      </c>
      <c r="M62" s="354">
        <v>30462.409995079586</v>
      </c>
      <c r="N62" s="354">
        <v>31251.202623098357</v>
      </c>
      <c r="O62" s="354">
        <v>32048.279699212064</v>
      </c>
      <c r="P62" s="354">
        <v>32853.604453585736</v>
      </c>
      <c r="Q62" s="354">
        <v>33667.141137768711</v>
      </c>
      <c r="R62" s="354">
        <v>34488.854003310335</v>
      </c>
      <c r="S62" s="354">
        <v>35318.708323144245</v>
      </c>
      <c r="T62" s="354">
        <v>36156.670391588377</v>
      </c>
      <c r="U62" s="354">
        <v>37002.706502960704</v>
      </c>
      <c r="V62" s="354">
        <v>37856.783972963451</v>
      </c>
      <c r="W62" s="354">
        <v>38718.87011729888</v>
      </c>
      <c r="X62" s="354">
        <v>39588.933273053546</v>
      </c>
      <c r="Y62" s="354">
        <v>40466.942798698321</v>
      </c>
      <c r="Z62" s="354">
        <v>41352.867031319751</v>
      </c>
      <c r="AA62" s="354">
        <v>42246.676350772992</v>
      </c>
      <c r="AB62" s="354">
        <v>42246.676350772992</v>
      </c>
      <c r="AC62" s="354">
        <v>42246.676350772992</v>
      </c>
      <c r="AD62" s="354">
        <v>42246.676350772992</v>
      </c>
      <c r="AE62" s="354">
        <v>42246.676350772992</v>
      </c>
      <c r="AF62" s="354">
        <v>42246.676350772992</v>
      </c>
      <c r="AG62" s="354">
        <v>42246.676350772992</v>
      </c>
      <c r="AH62" s="354">
        <v>42246.676350772992</v>
      </c>
      <c r="AI62" s="354">
        <v>42246.676350772992</v>
      </c>
      <c r="AJ62" s="354">
        <v>42246.676350772992</v>
      </c>
    </row>
    <row r="63" spans="1:36" x14ac:dyDescent="0.2">
      <c r="A63" s="347" t="s">
        <v>242</v>
      </c>
      <c r="B63" s="348" t="b">
        <v>0</v>
      </c>
      <c r="C63" s="349">
        <v>0</v>
      </c>
      <c r="D63" s="347" t="s">
        <v>245</v>
      </c>
      <c r="E63" s="354">
        <v>0</v>
      </c>
      <c r="F63" s="354">
        <v>0</v>
      </c>
      <c r="G63" s="354">
        <v>1219.1477406479999</v>
      </c>
      <c r="H63" s="354">
        <v>1253.8914338159998</v>
      </c>
      <c r="I63" s="354">
        <v>1289.0361035663998</v>
      </c>
      <c r="J63" s="354">
        <v>1324.5798512447998</v>
      </c>
      <c r="K63" s="354">
        <v>1360.5207541631999</v>
      </c>
      <c r="L63" s="354">
        <v>1396.8569136671999</v>
      </c>
      <c r="M63" s="354">
        <v>1433.5865032031998</v>
      </c>
      <c r="N63" s="354">
        <v>1470.7077442847999</v>
      </c>
      <c r="O63" s="354">
        <v>1508.2188584256</v>
      </c>
      <c r="P63" s="354">
        <v>1546.1181152064</v>
      </c>
      <c r="Q63" s="354">
        <v>1584.4038322751999</v>
      </c>
      <c r="R63" s="354">
        <v>1623.0743272799998</v>
      </c>
      <c r="S63" s="354">
        <v>1662.1279659359998</v>
      </c>
      <c r="T63" s="354">
        <v>1701.5631620255999</v>
      </c>
      <c r="U63" s="354">
        <v>1741.3783293311999</v>
      </c>
      <c r="V63" s="354">
        <v>1781.5719297023998</v>
      </c>
      <c r="W63" s="354">
        <v>1822.1424249888</v>
      </c>
      <c r="X63" s="354">
        <v>1863.0883251071998</v>
      </c>
      <c r="Y63" s="354">
        <v>1904.4081880415999</v>
      </c>
      <c r="Z63" s="354">
        <v>1946.1005237088</v>
      </c>
      <c r="AA63" s="354">
        <v>1988.1639381599998</v>
      </c>
      <c r="AB63" s="354">
        <v>1988.1639381599998</v>
      </c>
      <c r="AC63" s="354">
        <v>1988.1639381599998</v>
      </c>
      <c r="AD63" s="354">
        <v>1988.1639381599998</v>
      </c>
      <c r="AE63" s="354">
        <v>1988.1639381599998</v>
      </c>
      <c r="AF63" s="354">
        <v>1988.1639381599998</v>
      </c>
      <c r="AG63" s="354">
        <v>1988.1639381599998</v>
      </c>
      <c r="AH63" s="354">
        <v>1988.1639381599998</v>
      </c>
      <c r="AI63" s="354">
        <v>1988.1639381599998</v>
      </c>
      <c r="AJ63" s="354">
        <v>1988.1639381599998</v>
      </c>
    </row>
    <row r="64" spans="1:36" x14ac:dyDescent="0.2">
      <c r="A64" s="347" t="s">
        <v>244</v>
      </c>
      <c r="B64" s="348" t="b">
        <v>0</v>
      </c>
      <c r="C64" s="349">
        <v>0</v>
      </c>
      <c r="D64" s="347" t="s">
        <v>248</v>
      </c>
      <c r="E64" s="355">
        <v>0</v>
      </c>
      <c r="F64" s="355">
        <v>0</v>
      </c>
      <c r="G64" s="355">
        <v>499.57083333333333</v>
      </c>
      <c r="H64" s="355">
        <v>499.57083333333333</v>
      </c>
      <c r="I64" s="355">
        <v>499.57083333333333</v>
      </c>
      <c r="J64" s="355">
        <v>499.57083333333333</v>
      </c>
      <c r="K64" s="355">
        <v>499.57083333333333</v>
      </c>
      <c r="L64" s="355">
        <v>499.57083333333333</v>
      </c>
      <c r="M64" s="355">
        <v>499.57083333333333</v>
      </c>
      <c r="N64" s="355">
        <v>499.57083333333333</v>
      </c>
      <c r="O64" s="355">
        <v>499.57083333333333</v>
      </c>
      <c r="P64" s="355">
        <v>499.57083333333333</v>
      </c>
      <c r="Q64" s="355">
        <v>499.57083333333333</v>
      </c>
      <c r="R64" s="355">
        <v>499.57083333333333</v>
      </c>
      <c r="S64" s="355">
        <v>499.57083333333333</v>
      </c>
      <c r="T64" s="355">
        <v>499.57083333333333</v>
      </c>
      <c r="U64" s="355">
        <v>499.57083333333333</v>
      </c>
      <c r="V64" s="355">
        <v>499.57083333333333</v>
      </c>
      <c r="W64" s="355">
        <v>499.57083333333333</v>
      </c>
      <c r="X64" s="355">
        <v>499.57083333333333</v>
      </c>
      <c r="Y64" s="355">
        <v>499.57083333333333</v>
      </c>
      <c r="Z64" s="355">
        <v>499.57083333333333</v>
      </c>
      <c r="AA64" s="355">
        <v>499.57083333333333</v>
      </c>
      <c r="AB64" s="355">
        <v>499.57083333333333</v>
      </c>
      <c r="AC64" s="355">
        <v>499.57083333333333</v>
      </c>
      <c r="AD64" s="355">
        <v>499.57083333333333</v>
      </c>
      <c r="AE64" s="355">
        <v>499.57083333333333</v>
      </c>
      <c r="AF64" s="355">
        <v>499.57083333333333</v>
      </c>
      <c r="AG64" s="355">
        <v>499.57083333333333</v>
      </c>
      <c r="AH64" s="355">
        <v>499.57083333333333</v>
      </c>
      <c r="AI64" s="355">
        <v>499.57083333333333</v>
      </c>
      <c r="AJ64" s="355">
        <v>499.57083333333333</v>
      </c>
    </row>
    <row r="65" spans="1:36" x14ac:dyDescent="0.2">
      <c r="A65" s="347" t="s">
        <v>246</v>
      </c>
      <c r="B65" s="348" t="b">
        <v>0</v>
      </c>
      <c r="C65" s="349" t="s">
        <v>247</v>
      </c>
      <c r="D65" s="347" t="s">
        <v>250</v>
      </c>
      <c r="E65" s="356">
        <v>0</v>
      </c>
      <c r="F65" s="356">
        <v>0</v>
      </c>
      <c r="G65" s="356">
        <v>0</v>
      </c>
      <c r="H65" s="356">
        <v>0</v>
      </c>
      <c r="I65" s="356">
        <v>0</v>
      </c>
      <c r="J65" s="356">
        <v>0</v>
      </c>
      <c r="K65" s="356">
        <v>0</v>
      </c>
      <c r="L65" s="356">
        <v>0</v>
      </c>
      <c r="M65" s="356">
        <v>0</v>
      </c>
      <c r="N65" s="356">
        <v>0</v>
      </c>
      <c r="O65" s="356">
        <v>0</v>
      </c>
      <c r="P65" s="356">
        <v>0</v>
      </c>
      <c r="Q65" s="356">
        <v>0</v>
      </c>
      <c r="R65" s="356">
        <v>0</v>
      </c>
      <c r="S65" s="356">
        <v>0</v>
      </c>
      <c r="T65" s="356">
        <v>0</v>
      </c>
      <c r="U65" s="356">
        <v>0</v>
      </c>
      <c r="V65" s="356">
        <v>0</v>
      </c>
      <c r="W65" s="356">
        <v>0</v>
      </c>
      <c r="X65" s="356">
        <v>0</v>
      </c>
      <c r="Y65" s="356">
        <v>0</v>
      </c>
      <c r="Z65" s="356">
        <v>0</v>
      </c>
      <c r="AA65" s="356">
        <v>0</v>
      </c>
      <c r="AB65" s="356">
        <v>0</v>
      </c>
      <c r="AC65" s="356">
        <v>0</v>
      </c>
      <c r="AD65" s="356">
        <v>0</v>
      </c>
      <c r="AE65" s="356">
        <v>0</v>
      </c>
      <c r="AF65" s="356">
        <v>0</v>
      </c>
      <c r="AG65" s="356">
        <v>0</v>
      </c>
      <c r="AH65" s="356">
        <v>0</v>
      </c>
      <c r="AI65" s="356">
        <v>0</v>
      </c>
      <c r="AJ65" s="356">
        <v>0</v>
      </c>
    </row>
    <row r="66" spans="1:36" x14ac:dyDescent="0.2">
      <c r="A66" s="347" t="s">
        <v>249</v>
      </c>
      <c r="B66" s="348" t="b">
        <v>1</v>
      </c>
      <c r="C66" s="349">
        <v>0</v>
      </c>
      <c r="D66" s="347" t="s">
        <v>252</v>
      </c>
      <c r="E66" s="355">
        <v>0</v>
      </c>
      <c r="F66" s="355">
        <v>0</v>
      </c>
      <c r="G66" s="355">
        <v>0</v>
      </c>
      <c r="H66" s="355">
        <v>0</v>
      </c>
      <c r="I66" s="355">
        <v>0</v>
      </c>
      <c r="J66" s="355">
        <v>0</v>
      </c>
      <c r="K66" s="355">
        <v>0</v>
      </c>
      <c r="L66" s="355">
        <v>0</v>
      </c>
      <c r="M66" s="355">
        <v>0</v>
      </c>
      <c r="N66" s="355">
        <v>0</v>
      </c>
      <c r="O66" s="355">
        <v>0</v>
      </c>
      <c r="P66" s="355">
        <v>0</v>
      </c>
      <c r="Q66" s="355">
        <v>0</v>
      </c>
      <c r="R66" s="355">
        <v>0</v>
      </c>
      <c r="S66" s="355">
        <v>0</v>
      </c>
      <c r="T66" s="355">
        <v>0</v>
      </c>
      <c r="U66" s="355">
        <v>0</v>
      </c>
      <c r="V66" s="355">
        <v>0</v>
      </c>
      <c r="W66" s="355">
        <v>0</v>
      </c>
      <c r="X66" s="355">
        <v>0</v>
      </c>
      <c r="Y66" s="355">
        <v>0</v>
      </c>
      <c r="Z66" s="355">
        <v>0</v>
      </c>
      <c r="AA66" s="355">
        <v>0</v>
      </c>
      <c r="AB66" s="355">
        <v>0</v>
      </c>
      <c r="AC66" s="355">
        <v>0</v>
      </c>
      <c r="AD66" s="355">
        <v>0</v>
      </c>
      <c r="AE66" s="355">
        <v>0</v>
      </c>
      <c r="AF66" s="355">
        <v>0</v>
      </c>
      <c r="AG66" s="355">
        <v>0</v>
      </c>
      <c r="AH66" s="355">
        <v>0</v>
      </c>
      <c r="AI66" s="355">
        <v>0</v>
      </c>
      <c r="AJ66" s="355">
        <v>0</v>
      </c>
    </row>
    <row r="67" spans="1:36" x14ac:dyDescent="0.2">
      <c r="A67" s="347" t="s">
        <v>251</v>
      </c>
      <c r="B67" s="352">
        <v>0</v>
      </c>
      <c r="C67" s="349">
        <v>0</v>
      </c>
      <c r="D67" s="358" t="s">
        <v>253</v>
      </c>
      <c r="E67" s="359">
        <v>0</v>
      </c>
      <c r="F67" s="359">
        <v>0</v>
      </c>
      <c r="G67" s="359">
        <v>37291.370695003883</v>
      </c>
      <c r="H67" s="359">
        <v>37291.370695003883</v>
      </c>
      <c r="I67" s="359">
        <v>37291.370695003883</v>
      </c>
      <c r="J67" s="359">
        <v>37291.370695003883</v>
      </c>
      <c r="K67" s="359">
        <v>37291.370695003883</v>
      </c>
      <c r="L67" s="359">
        <v>37291.370695003883</v>
      </c>
      <c r="M67" s="359">
        <v>37291.370695003883</v>
      </c>
      <c r="N67" s="359">
        <v>37291.370695003883</v>
      </c>
      <c r="O67" s="359">
        <v>37291.370695003883</v>
      </c>
      <c r="P67" s="359">
        <v>37291.370695003883</v>
      </c>
      <c r="Q67" s="359">
        <v>37291.370695003883</v>
      </c>
      <c r="R67" s="359">
        <v>37291.370695003883</v>
      </c>
      <c r="S67" s="359">
        <v>37291.370695003883</v>
      </c>
      <c r="T67" s="359">
        <v>37291.370695003883</v>
      </c>
      <c r="U67" s="359">
        <v>37291.370695003883</v>
      </c>
      <c r="V67" s="359">
        <v>37291.370695003883</v>
      </c>
      <c r="W67" s="359">
        <v>37291.370695003883</v>
      </c>
      <c r="X67" s="359">
        <v>37291.370695003883</v>
      </c>
      <c r="Y67" s="359">
        <v>37291.370695003883</v>
      </c>
      <c r="Z67" s="359">
        <v>37291.370695003883</v>
      </c>
      <c r="AA67" s="359">
        <v>37291.370695003883</v>
      </c>
      <c r="AB67" s="359">
        <v>37291.370695003883</v>
      </c>
      <c r="AC67" s="359">
        <v>37291.370695003883</v>
      </c>
      <c r="AD67" s="359">
        <v>37291.370695003883</v>
      </c>
      <c r="AE67" s="359">
        <v>37291.370695003883</v>
      </c>
      <c r="AF67" s="359">
        <v>37291.370695003883</v>
      </c>
      <c r="AG67" s="359">
        <v>37291.370695003883</v>
      </c>
      <c r="AH67" s="359">
        <v>37291.370695003883</v>
      </c>
      <c r="AI67" s="359">
        <v>37291.370695003883</v>
      </c>
      <c r="AJ67" s="359">
        <v>37291.370695003883</v>
      </c>
    </row>
    <row r="68" spans="1:36" x14ac:dyDescent="0.2">
      <c r="A68" s="357"/>
      <c r="B68" s="357"/>
      <c r="C68" s="349">
        <v>0</v>
      </c>
      <c r="D68" s="360" t="s">
        <v>254</v>
      </c>
      <c r="E68" s="361">
        <v>0</v>
      </c>
      <c r="F68" s="361">
        <v>0</v>
      </c>
      <c r="G68" s="361">
        <v>991611.4072692371</v>
      </c>
      <c r="H68" s="361">
        <v>1037136.2299423945</v>
      </c>
      <c r="I68" s="361">
        <v>1081806.8629022916</v>
      </c>
      <c r="J68" s="361">
        <v>1125644.3610351514</v>
      </c>
      <c r="K68" s="361">
        <v>1173160.4373103434</v>
      </c>
      <c r="L68" s="361">
        <v>1231343.2529939483</v>
      </c>
      <c r="M68" s="361">
        <v>1292391.684400006</v>
      </c>
      <c r="N68" s="361">
        <v>1342790.8596172691</v>
      </c>
      <c r="O68" s="361">
        <v>1376254.3790633604</v>
      </c>
      <c r="P68" s="361">
        <v>1410073.194711583</v>
      </c>
      <c r="Q68" s="361">
        <v>1444246.0837754156</v>
      </c>
      <c r="R68" s="361">
        <v>1478771.8246805836</v>
      </c>
      <c r="S68" s="361">
        <v>1513649.2399570742</v>
      </c>
      <c r="T68" s="361">
        <v>1548877.196258228</v>
      </c>
      <c r="U68" s="361">
        <v>1584454.5614246035</v>
      </c>
      <c r="V68" s="361">
        <v>1620380.2474151321</v>
      </c>
      <c r="W68" s="361">
        <v>1656653.1673490689</v>
      </c>
      <c r="X68" s="361">
        <v>1693272.2784633781</v>
      </c>
      <c r="Y68" s="361">
        <v>1730236.5821389474</v>
      </c>
      <c r="Z68" s="361">
        <v>1767545.0378899409</v>
      </c>
      <c r="AA68" s="361">
        <v>1805196.6923622536</v>
      </c>
      <c r="AB68" s="361">
        <v>1842233.7051653736</v>
      </c>
      <c r="AC68" s="361">
        <v>1879603.7293633847</v>
      </c>
      <c r="AD68" s="361">
        <v>1917305.8883515231</v>
      </c>
      <c r="AE68" s="361">
        <v>1955339.2856160924</v>
      </c>
      <c r="AF68" s="361">
        <v>1993703.067690657</v>
      </c>
      <c r="AG68" s="361">
        <v>1993703.067690657</v>
      </c>
      <c r="AH68" s="361">
        <v>1993703.067690657</v>
      </c>
      <c r="AI68" s="361">
        <v>1993703.067690657</v>
      </c>
      <c r="AJ68" s="361">
        <v>1993703.067690657</v>
      </c>
    </row>
    <row r="69" spans="1:36" x14ac:dyDescent="0.2">
      <c r="A69" s="276"/>
      <c r="B69" s="276"/>
      <c r="C69" s="276"/>
    </row>
  </sheetData>
  <dataValidations disablePrompts="1" count="1">
    <dataValidation type="list" allowBlank="1" showInputMessage="1" showErrorMessage="1" sqref="G5 G27" xr:uid="{605D4BAC-E9DB-41C3-9244-8E061CE464ED}">
      <formula1>"WEIBULL, FIXED"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5BE28-7759-4AD8-93D9-96655D9E0FC5}">
  <sheetPr codeName="Sheet8">
    <tabColor rgb="FFFFFFCC"/>
  </sheetPr>
  <dimension ref="A1:AH45"/>
  <sheetViews>
    <sheetView showGridLines="0" zoomScale="70" zoomScaleNormal="70" workbookViewId="0">
      <selection activeCell="A3" sqref="A3"/>
    </sheetView>
  </sheetViews>
  <sheetFormatPr defaultRowHeight="12.75" x14ac:dyDescent="0.2"/>
  <cols>
    <col min="2" max="2" width="21.375" customWidth="1"/>
    <col min="3" max="3" width="20.5" customWidth="1"/>
    <col min="4" max="4" width="14.5" style="43" customWidth="1"/>
    <col min="5" max="5" width="14.5" customWidth="1"/>
    <col min="8" max="11" width="14.375" customWidth="1"/>
    <col min="12" max="12" width="15.75" customWidth="1"/>
    <col min="13" max="18" width="14.375" customWidth="1"/>
  </cols>
  <sheetData>
    <row r="1" spans="1:23" ht="18.75" x14ac:dyDescent="0.3">
      <c r="A1" s="13" t="str">
        <f>bus</f>
        <v>CitiPower</v>
      </c>
      <c r="B1" s="13"/>
      <c r="C1" s="13"/>
      <c r="D1" s="42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23" ht="18.75" x14ac:dyDescent="0.3">
      <c r="A2" s="50" t="str">
        <f>proj</f>
        <v>NC transformer replacement</v>
      </c>
      <c r="B2" s="13"/>
      <c r="C2" s="13"/>
      <c r="D2" s="42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23" ht="15.75" x14ac:dyDescent="0.25">
      <c r="A3" s="5"/>
    </row>
    <row r="4" spans="1:23" s="1" customFormat="1" ht="15" x14ac:dyDescent="0.2">
      <c r="A4" s="16" t="s">
        <v>257</v>
      </c>
      <c r="B4" s="16"/>
      <c r="C4" s="14"/>
      <c r="D4" s="14"/>
      <c r="E4" s="14"/>
      <c r="F4" s="14"/>
      <c r="G4" s="14"/>
      <c r="H4" s="14"/>
      <c r="I4" s="14"/>
      <c r="J4" s="14"/>
      <c r="K4" s="14"/>
      <c r="L4" s="14"/>
      <c r="M4" s="15"/>
      <c r="N4" s="15"/>
      <c r="O4" s="15"/>
      <c r="P4" s="15"/>
      <c r="Q4" s="15"/>
      <c r="R4" s="15"/>
    </row>
    <row r="5" spans="1:23" s="1" customFormat="1" x14ac:dyDescent="0.2"/>
    <row r="6" spans="1:23" s="1" customFormat="1" x14ac:dyDescent="0.2">
      <c r="B6" s="69" t="s">
        <v>258</v>
      </c>
      <c r="C6" s="69"/>
      <c r="D6" s="44"/>
      <c r="E6" s="27"/>
      <c r="F6" s="40"/>
      <c r="G6" s="27"/>
      <c r="H6" s="41">
        <v>44377</v>
      </c>
      <c r="I6" s="39">
        <f>IF(EOMONTH(H6,12)&gt;output_dollars, output_dollars, EOMONTH(H6,12))</f>
        <v>44742</v>
      </c>
      <c r="J6" s="39">
        <f>IF(EOMONTH(I6,12)&gt;output_dollars, output_dollars, EOMONTH(I6,12))</f>
        <v>45107</v>
      </c>
      <c r="K6" s="39">
        <f>IF(EOMONTH(J6,12)&gt;output_dollars, output_dollars, EOMONTH(J6,12))</f>
        <v>45473</v>
      </c>
      <c r="L6" s="39">
        <f>IF(EOMONTH(K6,12)&gt;output_dollars, output_dollars, EOMONTH(K6,12))</f>
        <v>45838</v>
      </c>
      <c r="M6" s="39">
        <f>IF(EOMONTH(L6,12)&gt;output_dollars, output_dollars, EOMONTH(L6,12))</f>
        <v>46203</v>
      </c>
    </row>
    <row r="7" spans="1:23" s="20" customFormat="1" x14ac:dyDescent="0.2">
      <c r="D7" s="45"/>
      <c r="N7" s="1"/>
      <c r="O7"/>
      <c r="P7"/>
      <c r="Q7"/>
      <c r="R7"/>
      <c r="S7"/>
      <c r="T7"/>
      <c r="U7"/>
      <c r="V7"/>
      <c r="W7"/>
    </row>
    <row r="8" spans="1:23" s="20" customFormat="1" x14ac:dyDescent="0.2">
      <c r="B8" s="20" t="s">
        <v>259</v>
      </c>
      <c r="D8" s="45"/>
      <c r="H8" s="35">
        <v>0</v>
      </c>
      <c r="I8" s="35">
        <v>8.6058519793459354E-3</v>
      </c>
      <c r="J8" s="35">
        <v>3.4982935153583528E-2</v>
      </c>
      <c r="K8" s="35">
        <v>7.8318219291014124E-2</v>
      </c>
      <c r="L8" s="35">
        <v>4.0519877675840865E-2</v>
      </c>
      <c r="M8" s="35">
        <v>2.4246877296105973E-2</v>
      </c>
      <c r="N8" s="1"/>
      <c r="O8"/>
      <c r="P8"/>
      <c r="Q8"/>
      <c r="R8"/>
      <c r="S8"/>
      <c r="T8"/>
      <c r="U8"/>
      <c r="V8"/>
      <c r="W8"/>
    </row>
    <row r="9" spans="1:23" s="1" customFormat="1" x14ac:dyDescent="0.2">
      <c r="D9" s="10"/>
      <c r="O9"/>
      <c r="P9"/>
      <c r="Q9"/>
      <c r="R9"/>
      <c r="S9"/>
      <c r="T9"/>
      <c r="U9"/>
      <c r="V9"/>
      <c r="W9"/>
    </row>
    <row r="10" spans="1:23" s="1" customFormat="1" x14ac:dyDescent="0.2">
      <c r="D10" s="10"/>
      <c r="O10"/>
      <c r="P10"/>
      <c r="Q10"/>
      <c r="R10"/>
      <c r="S10"/>
      <c r="T10"/>
      <c r="U10"/>
      <c r="V10"/>
      <c r="W10"/>
    </row>
    <row r="11" spans="1:23" s="1" customFormat="1" x14ac:dyDescent="0.2">
      <c r="A11"/>
      <c r="B11" s="20" t="s">
        <v>260</v>
      </c>
      <c r="C11"/>
      <c r="D11"/>
      <c r="E11"/>
      <c r="F11"/>
      <c r="G11"/>
      <c r="H11" s="70">
        <f>H6</f>
        <v>44377</v>
      </c>
      <c r="I11" s="70">
        <f>EOMONTH(H11,6)</f>
        <v>44561</v>
      </c>
      <c r="J11" s="70">
        <f>EOMONTH(I11,6)</f>
        <v>44742</v>
      </c>
      <c r="K11" s="70">
        <f t="shared" ref="K11:Q11" si="0">EOMONTH(J11,6)</f>
        <v>44926</v>
      </c>
      <c r="L11" s="70">
        <f t="shared" si="0"/>
        <v>45107</v>
      </c>
      <c r="M11" s="70">
        <f t="shared" si="0"/>
        <v>45291</v>
      </c>
      <c r="N11" s="70">
        <f t="shared" si="0"/>
        <v>45473</v>
      </c>
      <c r="O11" s="70">
        <f t="shared" si="0"/>
        <v>45657</v>
      </c>
      <c r="P11" s="70">
        <f t="shared" si="0"/>
        <v>45838</v>
      </c>
      <c r="Q11" s="70">
        <f t="shared" si="0"/>
        <v>46022</v>
      </c>
      <c r="R11" s="70">
        <f>EOMONTH(Q11,6)</f>
        <v>46203</v>
      </c>
      <c r="S11"/>
      <c r="T11"/>
      <c r="U11"/>
      <c r="V11"/>
      <c r="W11"/>
    </row>
    <row r="12" spans="1:23" s="1" customFormat="1" x14ac:dyDescent="0.2">
      <c r="A12"/>
      <c r="B12" s="20" t="s">
        <v>261</v>
      </c>
      <c r="C12"/>
      <c r="D12"/>
      <c r="E12"/>
      <c r="F12"/>
      <c r="G12"/>
      <c r="H12" s="68">
        <f t="shared" ref="H12:R12" si="1">IF(MONTH(H11)=12, EOMONTH(H11,6), H11)</f>
        <v>44377</v>
      </c>
      <c r="I12" s="68">
        <f t="shared" si="1"/>
        <v>44742</v>
      </c>
      <c r="J12" s="68">
        <f t="shared" si="1"/>
        <v>44742</v>
      </c>
      <c r="K12" s="68">
        <f t="shared" si="1"/>
        <v>45107</v>
      </c>
      <c r="L12" s="68">
        <f t="shared" si="1"/>
        <v>45107</v>
      </c>
      <c r="M12" s="68">
        <f t="shared" si="1"/>
        <v>45473</v>
      </c>
      <c r="N12" s="68">
        <f t="shared" si="1"/>
        <v>45473</v>
      </c>
      <c r="O12" s="68">
        <f t="shared" si="1"/>
        <v>45838</v>
      </c>
      <c r="P12" s="68">
        <f t="shared" si="1"/>
        <v>45838</v>
      </c>
      <c r="Q12" s="68">
        <f t="shared" si="1"/>
        <v>46203</v>
      </c>
      <c r="R12" s="68">
        <f t="shared" si="1"/>
        <v>46203</v>
      </c>
      <c r="S12"/>
      <c r="T12"/>
      <c r="U12"/>
      <c r="V12"/>
      <c r="W12"/>
    </row>
    <row r="13" spans="1:23" s="1" customFormat="1" x14ac:dyDescent="0.2">
      <c r="A13"/>
      <c r="B13" s="20" t="s">
        <v>259</v>
      </c>
      <c r="C13"/>
      <c r="D13"/>
      <c r="E13"/>
      <c r="F13"/>
      <c r="G13"/>
      <c r="H13" s="71">
        <f t="shared" ref="H13:R13" si="2">IF(output_dollars&lt;H12,0,INDEX($H$8:$M$8,MATCH(H12,CY_years,0)))</f>
        <v>0</v>
      </c>
      <c r="I13" s="71">
        <f t="shared" si="2"/>
        <v>8.6058519793459354E-3</v>
      </c>
      <c r="J13" s="71">
        <f t="shared" si="2"/>
        <v>8.6058519793459354E-3</v>
      </c>
      <c r="K13" s="71">
        <f t="shared" si="2"/>
        <v>3.4982935153583528E-2</v>
      </c>
      <c r="L13" s="71">
        <f t="shared" si="2"/>
        <v>3.4982935153583528E-2</v>
      </c>
      <c r="M13" s="71">
        <f t="shared" si="2"/>
        <v>7.8318219291014124E-2</v>
      </c>
      <c r="N13" s="71">
        <f t="shared" si="2"/>
        <v>7.8318219291014124E-2</v>
      </c>
      <c r="O13" s="71">
        <f t="shared" si="2"/>
        <v>4.0519877675840865E-2</v>
      </c>
      <c r="P13" s="71">
        <f t="shared" si="2"/>
        <v>4.0519877675840865E-2</v>
      </c>
      <c r="Q13" s="71">
        <f t="shared" si="2"/>
        <v>2.4246877296105973E-2</v>
      </c>
      <c r="R13" s="71">
        <f t="shared" si="2"/>
        <v>2.4246877296105973E-2</v>
      </c>
      <c r="S13"/>
      <c r="T13"/>
      <c r="U13"/>
      <c r="V13"/>
      <c r="W13"/>
    </row>
    <row r="14" spans="1:23" s="1" customFormat="1" x14ac:dyDescent="0.2">
      <c r="A14"/>
      <c r="B14"/>
      <c r="C14"/>
      <c r="D14"/>
      <c r="E14"/>
      <c r="F14"/>
      <c r="G14"/>
      <c r="S14"/>
      <c r="T14"/>
      <c r="U14"/>
      <c r="V14"/>
      <c r="W14"/>
    </row>
    <row r="15" spans="1:23" s="20" customFormat="1" x14ac:dyDescent="0.2">
      <c r="A15"/>
      <c r="B15" s="20" t="s">
        <v>262</v>
      </c>
      <c r="C15"/>
      <c r="D15"/>
      <c r="E15"/>
      <c r="F15"/>
      <c r="G15"/>
      <c r="H15" s="36">
        <v>1</v>
      </c>
      <c r="I15" s="20">
        <f t="shared" ref="I15:R15" si="3">H15*(1+I$13)^0.5</f>
        <v>1.0042937080253693</v>
      </c>
      <c r="J15" s="20">
        <f t="shared" si="3"/>
        <v>1.0086058519793457</v>
      </c>
      <c r="K15" s="20">
        <f t="shared" si="3"/>
        <v>1.0260961975293987</v>
      </c>
      <c r="L15" s="20">
        <f t="shared" si="3"/>
        <v>1.0438898450946641</v>
      </c>
      <c r="M15" s="20">
        <f t="shared" si="3"/>
        <v>1.0839971599793141</v>
      </c>
      <c r="N15" s="20">
        <f t="shared" si="3"/>
        <v>1.1256454388984505</v>
      </c>
      <c r="O15" s="20">
        <f t="shared" si="3"/>
        <v>1.1482244927118261</v>
      </c>
      <c r="P15" s="20">
        <f t="shared" si="3"/>
        <v>1.1712564543889838</v>
      </c>
      <c r="Q15" s="20">
        <f t="shared" si="3"/>
        <v>1.1853710637938346</v>
      </c>
      <c r="R15" s="20">
        <f t="shared" si="3"/>
        <v>1.1996557659208258</v>
      </c>
      <c r="S15"/>
      <c r="T15"/>
      <c r="U15"/>
      <c r="V15"/>
      <c r="W15"/>
    </row>
    <row r="16" spans="1:23" s="20" customFormat="1" x14ac:dyDescent="0.2">
      <c r="A16"/>
      <c r="B16" s="20" t="s">
        <v>263</v>
      </c>
      <c r="C16" s="60">
        <f>input_dollars</f>
        <v>45291</v>
      </c>
      <c r="D16" s="20">
        <f>INDEX(hy_escalation, MATCH(C16,hy_dates,0))</f>
        <v>1.0839971599793141</v>
      </c>
      <c r="E16"/>
      <c r="F16"/>
      <c r="G16"/>
      <c r="S16"/>
      <c r="T16"/>
      <c r="U16"/>
      <c r="V16"/>
      <c r="W16"/>
    </row>
    <row r="17" spans="1:34" s="20" customFormat="1" x14ac:dyDescent="0.2">
      <c r="A17"/>
      <c r="B17" s="20" t="s">
        <v>264</v>
      </c>
      <c r="C17" s="60">
        <f>output_dollars</f>
        <v>46203</v>
      </c>
      <c r="D17" s="20">
        <f>INDEX(hy_escalation, MATCH(C17,hy_dates,0))</f>
        <v>1.1996557659208258</v>
      </c>
      <c r="E17"/>
      <c r="F17"/>
      <c r="G17"/>
      <c r="S17"/>
      <c r="T17"/>
      <c r="U17"/>
      <c r="V17"/>
      <c r="W17"/>
    </row>
    <row r="18" spans="1:34" s="1" customForma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</row>
    <row r="19" spans="1:34" x14ac:dyDescent="0.2">
      <c r="B19" s="20" t="s">
        <v>265</v>
      </c>
      <c r="D19" s="20">
        <f>D17/D16</f>
        <v>1.1066964104811112</v>
      </c>
      <c r="L19" s="246"/>
    </row>
    <row r="20" spans="1:34" x14ac:dyDescent="0.2">
      <c r="B20" s="20"/>
      <c r="D20" s="20"/>
    </row>
    <row r="21" spans="1:34" x14ac:dyDescent="0.2">
      <c r="B21" s="20" t="s">
        <v>266</v>
      </c>
      <c r="C21" s="60">
        <f>vcr_date</f>
        <v>45657</v>
      </c>
      <c r="D21" s="20">
        <f>INDEX(hy_escalation, MATCH(C21,hy_dates,0))</f>
        <v>1.1482244927118261</v>
      </c>
    </row>
    <row r="22" spans="1:34" x14ac:dyDescent="0.2">
      <c r="B22" s="20" t="s">
        <v>267</v>
      </c>
      <c r="C22" s="60">
        <f>input_dollars</f>
        <v>45291</v>
      </c>
      <c r="D22" s="20">
        <f>INDEX(hy_escalation, MATCH(C22,hy_dates,0))</f>
        <v>1.0839971599793141</v>
      </c>
    </row>
    <row r="23" spans="1:34" x14ac:dyDescent="0.2">
      <c r="B23" s="20" t="s">
        <v>268</v>
      </c>
      <c r="D23" s="20">
        <f>D22/D21</f>
        <v>0.94406378444268968</v>
      </c>
    </row>
    <row r="25" spans="1:34" x14ac:dyDescent="0.2">
      <c r="B25" s="20" t="s">
        <v>269</v>
      </c>
      <c r="C25" s="6" t="str">
        <f>start</f>
        <v>2026-27</v>
      </c>
    </row>
    <row r="28" spans="1:34" s="1" customFormat="1" ht="15" x14ac:dyDescent="0.2">
      <c r="A28" s="16" t="s">
        <v>270</v>
      </c>
      <c r="B28" s="16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5"/>
      <c r="N28" s="15"/>
      <c r="O28" s="15"/>
      <c r="P28" s="15"/>
      <c r="Q28" s="15"/>
      <c r="R28" s="15"/>
    </row>
    <row r="31" spans="1:34" x14ac:dyDescent="0.2">
      <c r="B31" s="167" t="s">
        <v>27</v>
      </c>
      <c r="C31" s="168" t="s">
        <v>153</v>
      </c>
      <c r="D31" s="169" t="s">
        <v>271</v>
      </c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</row>
    <row r="32" spans="1:34" x14ac:dyDescent="0.2">
      <c r="B32" s="114" t="s">
        <v>167</v>
      </c>
      <c r="C32" s="166">
        <f>Option2!$G$92</f>
        <v>1</v>
      </c>
      <c r="D32" s="8" t="b">
        <f>NOT(Data!C10)</f>
        <v>1</v>
      </c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</row>
    <row r="33" spans="1:34" x14ac:dyDescent="0.2">
      <c r="B33" s="114" t="s">
        <v>168</v>
      </c>
      <c r="C33" s="166">
        <f>Option3!$G$92</f>
        <v>1</v>
      </c>
      <c r="D33" s="8" t="b">
        <f>NOT(Data!C11)</f>
        <v>1</v>
      </c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</row>
    <row r="34" spans="1:34" x14ac:dyDescent="0.2">
      <c r="B34" s="114" t="s">
        <v>169</v>
      </c>
      <c r="C34" s="166" t="str">
        <f>Option4!$G$92</f>
        <v>Not used</v>
      </c>
      <c r="D34" s="8" t="b">
        <f>NOT(Data!C12)</f>
        <v>0</v>
      </c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</row>
    <row r="35" spans="1:34" x14ac:dyDescent="0.2">
      <c r="B35" s="114" t="s">
        <v>170</v>
      </c>
      <c r="C35" s="166" t="str">
        <f>Option5!$G$92</f>
        <v>Not used</v>
      </c>
      <c r="D35" s="8" t="b">
        <f>NOT(Data!C13)</f>
        <v>0</v>
      </c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</row>
    <row r="36" spans="1:34" x14ac:dyDescent="0.2">
      <c r="B36" s="8"/>
      <c r="C36" s="74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</row>
    <row r="37" spans="1:34" x14ac:dyDescent="0.2">
      <c r="B37" s="8"/>
      <c r="C37" s="74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</row>
    <row r="38" spans="1:34" x14ac:dyDescent="0.2">
      <c r="B38" s="170" t="s">
        <v>153</v>
      </c>
      <c r="C38" s="170" cm="1">
        <f t="array" ref="C38">IF(OR(NOT(Data!$C$10:$C$13)), _xlfn.MINIFS($C$32:$C$35,$D$32:$D$35,TRUE), 0)</f>
        <v>1</v>
      </c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</row>
    <row r="39" spans="1:34" x14ac:dyDescent="0.2">
      <c r="B39" s="8"/>
      <c r="C39" s="74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</row>
    <row r="40" spans="1:34" x14ac:dyDescent="0.2">
      <c r="A40" s="8"/>
      <c r="B40" s="8"/>
      <c r="C40" s="74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</row>
    <row r="41" spans="1:34" x14ac:dyDescent="0.2">
      <c r="D41"/>
    </row>
    <row r="42" spans="1:34" x14ac:dyDescent="0.2">
      <c r="D42"/>
    </row>
    <row r="43" spans="1:34" x14ac:dyDescent="0.2">
      <c r="D43"/>
    </row>
    <row r="44" spans="1:34" x14ac:dyDescent="0.2">
      <c r="D44"/>
    </row>
    <row r="45" spans="1:34" x14ac:dyDescent="0.2">
      <c r="D45"/>
    </row>
  </sheetData>
  <pageMargins left="0.7" right="0.7" top="0.75" bottom="0.75" header="0.3" footer="0.3"/>
  <pageSetup paperSize="9" orientation="portrait" horizontalDpi="90" verticalDpi="9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1E31B-D919-4625-B2CD-E9F193C9DE73}">
  <sheetPr codeName="Sheet9">
    <tabColor rgb="FFFFFFCC"/>
  </sheetPr>
  <dimension ref="A1:AA323"/>
  <sheetViews>
    <sheetView showGridLines="0" zoomScale="80" zoomScaleNormal="80" workbookViewId="0">
      <selection activeCell="A3" sqref="A3"/>
    </sheetView>
  </sheetViews>
  <sheetFormatPr defaultColWidth="9" defaultRowHeight="12.75" x14ac:dyDescent="0.2"/>
  <cols>
    <col min="1" max="1" width="5.375" style="6" customWidth="1"/>
    <col min="2" max="2" width="24.5" style="6" customWidth="1"/>
    <col min="3" max="3" width="9" style="6"/>
    <col min="4" max="4" width="9.875" style="6" bestFit="1" customWidth="1"/>
    <col min="5" max="5" width="10.875" style="6" customWidth="1"/>
    <col min="6" max="14" width="9" style="6"/>
    <col min="15" max="15" width="30.125" style="6" customWidth="1"/>
    <col min="16" max="16" width="43.25" style="6" customWidth="1"/>
    <col min="17" max="20" width="9" style="6"/>
    <col min="21" max="21" width="11.375" style="6" bestFit="1" customWidth="1"/>
    <col min="22" max="26" width="9" style="6"/>
    <col min="27" max="27" width="19.125" style="6" customWidth="1"/>
    <col min="28" max="16384" width="9" style="6"/>
  </cols>
  <sheetData>
    <row r="1" spans="1:27" ht="18.75" x14ac:dyDescent="0.3">
      <c r="A1" s="13" t="str">
        <f>bus</f>
        <v>CitiPower</v>
      </c>
      <c r="B1" s="13"/>
      <c r="C1" s="13"/>
      <c r="D1" s="13"/>
      <c r="E1" s="13"/>
      <c r="F1" s="13"/>
      <c r="G1" s="13"/>
      <c r="H1" s="13"/>
      <c r="I1" s="13"/>
      <c r="J1" s="13"/>
      <c r="K1" s="42"/>
      <c r="L1" s="42"/>
      <c r="M1" s="42"/>
      <c r="N1" s="13"/>
      <c r="O1" s="13"/>
      <c r="P1" s="13"/>
      <c r="Q1" s="13"/>
      <c r="R1" s="13"/>
      <c r="S1" s="13"/>
      <c r="T1"/>
      <c r="U1" s="124"/>
      <c r="V1"/>
      <c r="W1"/>
    </row>
    <row r="2" spans="1:27" ht="18.75" x14ac:dyDescent="0.3">
      <c r="A2" s="50" t="str">
        <f>proj</f>
        <v>NC transformer replacement</v>
      </c>
      <c r="B2" s="50"/>
      <c r="C2" s="50"/>
      <c r="D2" s="50"/>
      <c r="E2" s="50"/>
      <c r="F2" s="50"/>
      <c r="G2" s="13"/>
      <c r="H2" s="13"/>
      <c r="I2" s="13"/>
      <c r="J2" s="13"/>
      <c r="K2" s="42"/>
      <c r="L2" s="42"/>
      <c r="M2" s="42"/>
      <c r="N2" s="13"/>
      <c r="O2" s="13"/>
      <c r="P2" s="13"/>
      <c r="Q2" s="13"/>
      <c r="R2" s="13"/>
      <c r="S2" s="13"/>
      <c r="T2"/>
      <c r="U2"/>
      <c r="V2"/>
      <c r="W2"/>
    </row>
    <row r="3" spans="1:27" ht="15.75" x14ac:dyDescent="0.25">
      <c r="A3" s="5"/>
      <c r="B3" s="5"/>
      <c r="C3" s="5"/>
      <c r="D3" s="5"/>
      <c r="E3" s="5"/>
      <c r="F3" s="5"/>
      <c r="T3"/>
      <c r="U3"/>
      <c r="V3"/>
      <c r="W3"/>
    </row>
    <row r="4" spans="1:27" x14ac:dyDescent="0.2">
      <c r="T4"/>
      <c r="U4"/>
      <c r="V4"/>
    </row>
    <row r="5" spans="1:27" ht="15" x14ac:dyDescent="0.25">
      <c r="A5" s="17" t="s">
        <v>274</v>
      </c>
      <c r="B5" s="17"/>
      <c r="C5" s="17"/>
      <c r="D5" s="17"/>
      <c r="E5" s="17"/>
      <c r="F5" s="18"/>
      <c r="G5" s="17"/>
      <c r="H5" s="17"/>
      <c r="I5" s="17"/>
      <c r="J5" s="18"/>
      <c r="K5" s="18"/>
      <c r="L5" s="18"/>
      <c r="M5" s="18"/>
      <c r="N5" s="18"/>
      <c r="O5" s="18"/>
      <c r="P5" s="18"/>
      <c r="Q5" s="18"/>
      <c r="R5" s="18"/>
      <c r="S5" s="18"/>
      <c r="T5"/>
      <c r="U5"/>
      <c r="V5"/>
    </row>
    <row r="6" spans="1:27" x14ac:dyDescent="0.2">
      <c r="T6"/>
      <c r="U6"/>
      <c r="V6"/>
    </row>
    <row r="7" spans="1:27" x14ac:dyDescent="0.2">
      <c r="A7" s="12" t="s">
        <v>275</v>
      </c>
      <c r="T7"/>
      <c r="U7"/>
      <c r="V7"/>
    </row>
    <row r="8" spans="1:27" x14ac:dyDescent="0.2">
      <c r="A8" s="53"/>
      <c r="B8" s="53"/>
      <c r="C8" s="47" t="s">
        <v>276</v>
      </c>
      <c r="D8" s="47" t="s">
        <v>277</v>
      </c>
      <c r="F8" s="6" t="s">
        <v>278</v>
      </c>
      <c r="T8"/>
      <c r="U8"/>
      <c r="V8"/>
    </row>
    <row r="9" spans="1:27" x14ac:dyDescent="0.2">
      <c r="A9" s="25" t="s">
        <v>279</v>
      </c>
      <c r="B9" s="76" t="s">
        <v>272</v>
      </c>
      <c r="C9" s="19" t="b">
        <v>0</v>
      </c>
      <c r="D9" s="6" t="str">
        <f>IF(C9, $C$8, "")</f>
        <v/>
      </c>
      <c r="E9" s="6" t="str">
        <f>B9&amp;": "&amp;Assumptions!E14</f>
        <v>Option 1 (base case): No change to existing practices</v>
      </c>
      <c r="F9" s="6" t="b">
        <f>compliance</f>
        <v>0</v>
      </c>
      <c r="T9"/>
      <c r="U9"/>
      <c r="V9"/>
      <c r="W9"/>
    </row>
    <row r="10" spans="1:27" x14ac:dyDescent="0.2">
      <c r="A10" s="25" t="s">
        <v>280</v>
      </c>
      <c r="B10" s="76" t="s">
        <v>167</v>
      </c>
      <c r="C10" s="19" t="b">
        <f>SUM(Option2!I$17:AB$17, Option2!I$19:AB$19)=0</f>
        <v>0</v>
      </c>
      <c r="D10" s="6" t="str">
        <f>IF(C10, $C$8, "")</f>
        <v/>
      </c>
      <c r="F10" s="6" t="b">
        <f>C10</f>
        <v>0</v>
      </c>
      <c r="T10"/>
      <c r="U10"/>
      <c r="V10"/>
      <c r="W10"/>
      <c r="Z10"/>
      <c r="AA10"/>
    </row>
    <row r="11" spans="1:27" x14ac:dyDescent="0.2">
      <c r="A11" s="25" t="s">
        <v>281</v>
      </c>
      <c r="B11" s="76" t="s">
        <v>168</v>
      </c>
      <c r="C11" s="19" t="b">
        <f>SUM(Option3!I$17:AB$17, Option3!I$19:AB$19)=0</f>
        <v>0</v>
      </c>
      <c r="D11" s="6" t="str">
        <f>IF(C11, $C$8, "")</f>
        <v/>
      </c>
      <c r="F11" s="6" t="b">
        <f>C11</f>
        <v>0</v>
      </c>
      <c r="T11"/>
      <c r="U11"/>
      <c r="V11"/>
      <c r="W11"/>
      <c r="Z11"/>
      <c r="AA11"/>
    </row>
    <row r="12" spans="1:27" x14ac:dyDescent="0.2">
      <c r="A12" s="25" t="s">
        <v>282</v>
      </c>
      <c r="B12" s="76" t="s">
        <v>169</v>
      </c>
      <c r="C12" s="19" t="b">
        <f>SUM(Option4!I$17:AB$17, Option4!I$19:AB$19)=0</f>
        <v>1</v>
      </c>
      <c r="D12" s="6" t="str">
        <f>IF(C12, $C$8, "")</f>
        <v>Not used</v>
      </c>
      <c r="F12" s="6" t="b">
        <f>C12</f>
        <v>1</v>
      </c>
      <c r="T12"/>
      <c r="U12"/>
      <c r="V12"/>
      <c r="W12"/>
      <c r="Z12"/>
      <c r="AA12"/>
    </row>
    <row r="13" spans="1:27" x14ac:dyDescent="0.2">
      <c r="A13" s="25" t="s">
        <v>283</v>
      </c>
      <c r="B13" s="76" t="s">
        <v>170</v>
      </c>
      <c r="C13" s="19" t="b">
        <f>SUM(Option5!I$17:AB$17, Option5!I$19:AB$19)=0</f>
        <v>1</v>
      </c>
      <c r="D13" s="6" t="str">
        <f>IF(C13, $C$8, "")</f>
        <v>Not used</v>
      </c>
      <c r="F13" s="6" t="b">
        <f>C13</f>
        <v>1</v>
      </c>
      <c r="T13"/>
      <c r="U13"/>
      <c r="V13"/>
      <c r="W13"/>
      <c r="Z13"/>
      <c r="AA13"/>
    </row>
    <row r="14" spans="1:27" x14ac:dyDescent="0.2">
      <c r="T14"/>
      <c r="U14"/>
      <c r="V14"/>
      <c r="W14"/>
      <c r="Z14"/>
      <c r="AA14"/>
    </row>
    <row r="15" spans="1:27" x14ac:dyDescent="0.2">
      <c r="T15"/>
      <c r="U15"/>
      <c r="V15"/>
      <c r="W15"/>
      <c r="Z15"/>
      <c r="AA15"/>
    </row>
    <row r="16" spans="1:27" x14ac:dyDescent="0.2">
      <c r="A16" s="6" t="s">
        <v>49</v>
      </c>
      <c r="D16" s="21" t="s">
        <v>284</v>
      </c>
      <c r="E16" s="6" t="b">
        <f>Assumptions!E20=Data!D16</f>
        <v>0</v>
      </c>
      <c r="T16"/>
      <c r="U16"/>
      <c r="V16"/>
      <c r="W16"/>
      <c r="Z16"/>
      <c r="AA16"/>
    </row>
    <row r="17" spans="1:27" x14ac:dyDescent="0.2">
      <c r="T17"/>
      <c r="U17"/>
      <c r="V17"/>
      <c r="W17"/>
      <c r="Z17"/>
      <c r="AA17"/>
    </row>
    <row r="18" spans="1:27" x14ac:dyDescent="0.2">
      <c r="T18"/>
      <c r="U18"/>
      <c r="V18"/>
      <c r="W18"/>
      <c r="Z18"/>
      <c r="AA18"/>
    </row>
    <row r="19" spans="1:27" x14ac:dyDescent="0.2">
      <c r="B19" s="76" t="s">
        <v>46</v>
      </c>
      <c r="C19" s="19"/>
      <c r="T19"/>
      <c r="U19"/>
      <c r="V19"/>
      <c r="W19"/>
      <c r="Z19"/>
      <c r="AA19"/>
    </row>
    <row r="20" spans="1:27" x14ac:dyDescent="0.2">
      <c r="B20" s="76" t="s">
        <v>285</v>
      </c>
      <c r="C20" s="19"/>
      <c r="T20"/>
      <c r="U20"/>
      <c r="V20"/>
      <c r="W20"/>
      <c r="Z20"/>
      <c r="AA20"/>
    </row>
    <row r="21" spans="1:27" x14ac:dyDescent="0.2">
      <c r="B21" s="76" t="s">
        <v>286</v>
      </c>
      <c r="T21"/>
      <c r="U21"/>
      <c r="V21"/>
      <c r="W21"/>
      <c r="Z21"/>
      <c r="AA21"/>
    </row>
    <row r="22" spans="1:27" x14ac:dyDescent="0.2">
      <c r="T22"/>
      <c r="U22"/>
      <c r="V22"/>
      <c r="W22"/>
      <c r="Z22"/>
      <c r="AA22"/>
    </row>
    <row r="23" spans="1:27" x14ac:dyDescent="0.2">
      <c r="T23"/>
      <c r="U23"/>
      <c r="V23"/>
      <c r="W23"/>
    </row>
    <row r="24" spans="1:27" x14ac:dyDescent="0.2">
      <c r="A24" s="6" t="s">
        <v>287</v>
      </c>
      <c r="B24" s="89"/>
      <c r="T24"/>
      <c r="U24"/>
      <c r="V24"/>
      <c r="W24"/>
    </row>
    <row r="25" spans="1:27" x14ac:dyDescent="0.2">
      <c r="B25" s="21" t="s">
        <v>112</v>
      </c>
      <c r="T25"/>
      <c r="U25"/>
      <c r="V25"/>
      <c r="W25"/>
    </row>
    <row r="26" spans="1:27" x14ac:dyDescent="0.2">
      <c r="T26"/>
      <c r="U26"/>
      <c r="V26"/>
      <c r="W26"/>
    </row>
    <row r="27" spans="1:27" x14ac:dyDescent="0.2">
      <c r="T27"/>
      <c r="U27"/>
      <c r="V27"/>
      <c r="W27"/>
    </row>
    <row r="28" spans="1:27" x14ac:dyDescent="0.2">
      <c r="A28" s="12" t="s">
        <v>288</v>
      </c>
      <c r="T28"/>
      <c r="U28"/>
      <c r="V28"/>
      <c r="W28"/>
    </row>
    <row r="29" spans="1:27" x14ac:dyDescent="0.2">
      <c r="A29" s="12"/>
      <c r="B29" s="47"/>
      <c r="C29" s="47" t="s">
        <v>289</v>
      </c>
      <c r="T29"/>
      <c r="U29"/>
      <c r="V29"/>
      <c r="W29"/>
    </row>
    <row r="30" spans="1:27" x14ac:dyDescent="0.2">
      <c r="B30" s="21" t="s">
        <v>32</v>
      </c>
      <c r="C30" s="21">
        <v>-1</v>
      </c>
      <c r="T30"/>
      <c r="U30"/>
      <c r="V30"/>
      <c r="W30"/>
    </row>
    <row r="31" spans="1:27" x14ac:dyDescent="0.2">
      <c r="B31" s="21" t="s">
        <v>143</v>
      </c>
      <c r="C31" s="21">
        <v>-1</v>
      </c>
      <c r="T31"/>
      <c r="U31"/>
      <c r="V31"/>
      <c r="W31"/>
      <c r="AA31" s="59"/>
    </row>
    <row r="32" spans="1:27" x14ac:dyDescent="0.2">
      <c r="B32" s="21" t="s">
        <v>33</v>
      </c>
      <c r="C32" s="21">
        <v>-1</v>
      </c>
      <c r="T32"/>
      <c r="U32"/>
      <c r="V32"/>
      <c r="W32"/>
      <c r="AA32" s="59"/>
    </row>
    <row r="33" spans="1:23" x14ac:dyDescent="0.2">
      <c r="B33" s="21" t="s">
        <v>145</v>
      </c>
      <c r="C33" s="21">
        <v>1</v>
      </c>
      <c r="T33"/>
      <c r="U33"/>
      <c r="V33"/>
      <c r="W33"/>
    </row>
    <row r="34" spans="1:23" x14ac:dyDescent="0.2">
      <c r="B34" s="21" t="s">
        <v>146</v>
      </c>
      <c r="C34" s="21">
        <v>1</v>
      </c>
      <c r="T34"/>
      <c r="U34"/>
      <c r="V34"/>
      <c r="W34"/>
    </row>
    <row r="35" spans="1:23" x14ac:dyDescent="0.2">
      <c r="B35" s="21" t="s">
        <v>147</v>
      </c>
      <c r="C35" s="21">
        <v>1</v>
      </c>
      <c r="T35"/>
      <c r="U35"/>
      <c r="V35"/>
      <c r="W35"/>
    </row>
    <row r="36" spans="1:23" x14ac:dyDescent="0.2">
      <c r="B36" s="21" t="s">
        <v>121</v>
      </c>
      <c r="C36" s="21">
        <v>1</v>
      </c>
      <c r="T36"/>
      <c r="U36"/>
      <c r="V36"/>
      <c r="W36"/>
    </row>
    <row r="37" spans="1:23" x14ac:dyDescent="0.2">
      <c r="T37"/>
      <c r="U37"/>
      <c r="V37"/>
      <c r="W37"/>
    </row>
    <row r="38" spans="1:23" x14ac:dyDescent="0.2">
      <c r="T38"/>
      <c r="U38"/>
      <c r="V38"/>
      <c r="W38"/>
    </row>
    <row r="39" spans="1:23" x14ac:dyDescent="0.2">
      <c r="T39"/>
      <c r="U39"/>
      <c r="V39"/>
      <c r="W39"/>
    </row>
    <row r="40" spans="1:23" x14ac:dyDescent="0.2">
      <c r="T40"/>
      <c r="U40"/>
      <c r="V40"/>
      <c r="W40"/>
    </row>
    <row r="41" spans="1:23" x14ac:dyDescent="0.2">
      <c r="A41" s="12" t="s">
        <v>290</v>
      </c>
      <c r="T41"/>
      <c r="U41"/>
      <c r="V41"/>
      <c r="W41"/>
    </row>
    <row r="42" spans="1:23" x14ac:dyDescent="0.2">
      <c r="A42" s="53"/>
      <c r="B42" s="53"/>
      <c r="C42" s="47" t="s">
        <v>289</v>
      </c>
      <c r="D42" s="47" t="s">
        <v>291</v>
      </c>
      <c r="E42" s="47" t="s">
        <v>109</v>
      </c>
      <c r="F42" s="6" t="s">
        <v>292</v>
      </c>
      <c r="T42"/>
      <c r="U42"/>
      <c r="V42"/>
      <c r="W42"/>
    </row>
    <row r="43" spans="1:23" x14ac:dyDescent="0.2">
      <c r="A43" s="25">
        <v>1</v>
      </c>
      <c r="B43" s="25" t="s">
        <v>293</v>
      </c>
      <c r="C43" s="25" t="s">
        <v>231</v>
      </c>
      <c r="D43" s="25" t="b">
        <v>0</v>
      </c>
      <c r="E43" s="21" t="s">
        <v>117</v>
      </c>
      <c r="F43" s="25" t="b">
        <v>0</v>
      </c>
      <c r="T43"/>
      <c r="U43"/>
      <c r="V43"/>
      <c r="W43"/>
    </row>
    <row r="44" spans="1:23" x14ac:dyDescent="0.2">
      <c r="A44" s="25">
        <f>A43+1</f>
        <v>2</v>
      </c>
      <c r="B44" s="25" t="s">
        <v>294</v>
      </c>
      <c r="C44" s="25" t="s">
        <v>294</v>
      </c>
      <c r="D44" s="25" t="b">
        <v>0</v>
      </c>
      <c r="E44" s="21" t="s">
        <v>125</v>
      </c>
      <c r="F44" s="25" t="b">
        <v>1</v>
      </c>
      <c r="T44"/>
      <c r="U44"/>
      <c r="V44"/>
      <c r="W44"/>
    </row>
    <row r="45" spans="1:23" x14ac:dyDescent="0.2">
      <c r="A45" s="25">
        <f t="shared" ref="A45:A55" si="0">A44+1</f>
        <v>3</v>
      </c>
      <c r="B45" s="25" t="s">
        <v>295</v>
      </c>
      <c r="C45" s="25" t="s">
        <v>296</v>
      </c>
      <c r="D45" s="25" t="b">
        <v>0</v>
      </c>
      <c r="E45" s="21" t="s">
        <v>125</v>
      </c>
      <c r="F45" s="25" t="b">
        <v>1</v>
      </c>
      <c r="T45"/>
      <c r="U45"/>
      <c r="V45"/>
      <c r="W45"/>
    </row>
    <row r="46" spans="1:23" x14ac:dyDescent="0.2">
      <c r="A46" s="25">
        <f t="shared" si="0"/>
        <v>4</v>
      </c>
      <c r="B46" s="25" t="s">
        <v>297</v>
      </c>
      <c r="C46" s="25" t="s">
        <v>298</v>
      </c>
      <c r="D46" s="25" t="b">
        <v>0</v>
      </c>
      <c r="E46" s="21" t="s">
        <v>125</v>
      </c>
      <c r="F46" s="25" t="b">
        <v>1</v>
      </c>
      <c r="T46"/>
      <c r="U46"/>
      <c r="V46"/>
      <c r="W46"/>
    </row>
    <row r="47" spans="1:23" ht="13.5" x14ac:dyDescent="0.25">
      <c r="A47" s="25">
        <f t="shared" si="0"/>
        <v>5</v>
      </c>
      <c r="B47" s="25" t="s">
        <v>123</v>
      </c>
      <c r="C47" s="25" t="s">
        <v>299</v>
      </c>
      <c r="D47" s="25" t="b">
        <v>1</v>
      </c>
      <c r="E47" s="21" t="s">
        <v>117</v>
      </c>
      <c r="F47" s="25" t="b">
        <v>0</v>
      </c>
      <c r="T47"/>
      <c r="U47"/>
      <c r="V47"/>
      <c r="W47"/>
    </row>
    <row r="48" spans="1:23" x14ac:dyDescent="0.2">
      <c r="A48" s="25">
        <f t="shared" si="0"/>
        <v>6</v>
      </c>
      <c r="B48" s="25" t="s">
        <v>126</v>
      </c>
      <c r="C48" s="25" t="s">
        <v>252</v>
      </c>
      <c r="D48" s="25" t="b">
        <v>1</v>
      </c>
      <c r="E48" s="21" t="s">
        <v>117</v>
      </c>
      <c r="F48" s="25" t="b">
        <v>0</v>
      </c>
      <c r="I48"/>
      <c r="T48"/>
      <c r="U48"/>
      <c r="V48"/>
      <c r="W48"/>
    </row>
    <row r="49" spans="1:23" x14ac:dyDescent="0.2">
      <c r="A49" s="25">
        <f t="shared" si="0"/>
        <v>7</v>
      </c>
      <c r="B49" s="25" t="s">
        <v>127</v>
      </c>
      <c r="C49" s="25" t="s">
        <v>252</v>
      </c>
      <c r="D49" s="25" t="b">
        <v>1</v>
      </c>
      <c r="E49" s="21" t="s">
        <v>117</v>
      </c>
      <c r="F49" s="25" t="b">
        <v>0</v>
      </c>
      <c r="T49"/>
      <c r="U49"/>
      <c r="V49"/>
      <c r="W49"/>
    </row>
    <row r="50" spans="1:23" x14ac:dyDescent="0.2">
      <c r="A50" s="25">
        <f t="shared" si="0"/>
        <v>8</v>
      </c>
      <c r="B50" s="25" t="s">
        <v>128</v>
      </c>
      <c r="C50" s="25" t="s">
        <v>252</v>
      </c>
      <c r="D50" s="25" t="b">
        <v>1</v>
      </c>
      <c r="E50" s="21" t="s">
        <v>117</v>
      </c>
      <c r="F50" s="25" t="b">
        <v>0</v>
      </c>
      <c r="T50"/>
      <c r="U50"/>
      <c r="V50"/>
      <c r="W50"/>
    </row>
    <row r="51" spans="1:23" x14ac:dyDescent="0.2">
      <c r="A51" s="25">
        <f t="shared" si="0"/>
        <v>9</v>
      </c>
      <c r="B51" s="25" t="s">
        <v>129</v>
      </c>
      <c r="C51" s="25" t="s">
        <v>252</v>
      </c>
      <c r="D51" s="25" t="b">
        <v>1</v>
      </c>
      <c r="E51" s="21" t="s">
        <v>300</v>
      </c>
      <c r="F51" s="25" t="b">
        <v>0</v>
      </c>
      <c r="T51"/>
      <c r="U51"/>
      <c r="V51"/>
      <c r="W51"/>
    </row>
    <row r="52" spans="1:23" x14ac:dyDescent="0.2">
      <c r="A52" s="25">
        <f t="shared" si="0"/>
        <v>10</v>
      </c>
      <c r="B52" s="25" t="s">
        <v>150</v>
      </c>
      <c r="C52" s="25" t="s">
        <v>252</v>
      </c>
      <c r="D52" s="25" t="b">
        <v>1</v>
      </c>
      <c r="E52" s="21" t="s">
        <v>301</v>
      </c>
      <c r="F52" s="25" t="b">
        <v>0</v>
      </c>
      <c r="T52"/>
      <c r="U52"/>
      <c r="V52"/>
      <c r="W52"/>
    </row>
    <row r="53" spans="1:23" x14ac:dyDescent="0.2">
      <c r="A53" s="25">
        <f t="shared" si="0"/>
        <v>11</v>
      </c>
      <c r="B53" s="25" t="s">
        <v>151</v>
      </c>
      <c r="C53" s="25" t="s">
        <v>252</v>
      </c>
      <c r="D53" s="25" t="b">
        <v>1</v>
      </c>
      <c r="E53" s="21" t="s">
        <v>301</v>
      </c>
      <c r="F53" s="25" t="b">
        <v>0</v>
      </c>
      <c r="T53"/>
      <c r="U53"/>
      <c r="V53"/>
      <c r="W53"/>
    </row>
    <row r="54" spans="1:23" x14ac:dyDescent="0.2">
      <c r="A54" s="25">
        <f t="shared" si="0"/>
        <v>12</v>
      </c>
      <c r="B54" s="25" t="s">
        <v>136</v>
      </c>
      <c r="C54" s="25" t="s">
        <v>252</v>
      </c>
      <c r="D54" s="25" t="b">
        <v>1</v>
      </c>
      <c r="E54" s="21" t="s">
        <v>300</v>
      </c>
      <c r="F54" s="25" t="b">
        <v>0</v>
      </c>
      <c r="O54"/>
      <c r="P54"/>
      <c r="Q54"/>
      <c r="R54"/>
      <c r="S54"/>
      <c r="T54"/>
      <c r="U54"/>
      <c r="V54"/>
      <c r="W54"/>
    </row>
    <row r="55" spans="1:23" x14ac:dyDescent="0.2">
      <c r="A55" s="25">
        <f t="shared" si="0"/>
        <v>13</v>
      </c>
      <c r="B55" s="25" t="s">
        <v>137</v>
      </c>
      <c r="C55" s="25" t="s">
        <v>252</v>
      </c>
      <c r="D55" s="25" t="b">
        <v>1</v>
      </c>
      <c r="E55" s="21" t="s">
        <v>300</v>
      </c>
      <c r="F55" s="25" t="b">
        <v>0</v>
      </c>
      <c r="O55"/>
      <c r="P55"/>
      <c r="Q55"/>
      <c r="R55"/>
      <c r="S55"/>
      <c r="T55"/>
      <c r="U55"/>
      <c r="V55"/>
      <c r="W55"/>
    </row>
    <row r="56" spans="1:23" x14ac:dyDescent="0.2">
      <c r="O56"/>
      <c r="P56"/>
      <c r="Q56"/>
      <c r="R56"/>
      <c r="S56"/>
      <c r="T56"/>
      <c r="U56"/>
      <c r="V56"/>
      <c r="W56"/>
    </row>
    <row r="57" spans="1:23" x14ac:dyDescent="0.2">
      <c r="O57"/>
      <c r="P57"/>
      <c r="Q57"/>
      <c r="R57"/>
      <c r="S57"/>
      <c r="T57"/>
      <c r="U57"/>
      <c r="V57"/>
      <c r="W57"/>
    </row>
    <row r="58" spans="1:23" x14ac:dyDescent="0.2">
      <c r="A58" s="12" t="s">
        <v>302</v>
      </c>
      <c r="O58"/>
      <c r="P58"/>
      <c r="Q58"/>
      <c r="R58"/>
      <c r="S58"/>
      <c r="T58"/>
      <c r="U58"/>
      <c r="V58"/>
      <c r="W58"/>
    </row>
    <row r="59" spans="1:23" x14ac:dyDescent="0.2">
      <c r="A59" s="47"/>
      <c r="B59" s="47"/>
      <c r="C59" s="77"/>
      <c r="D59" s="47" t="s">
        <v>0</v>
      </c>
      <c r="H59"/>
      <c r="I59"/>
      <c r="J59"/>
      <c r="O59"/>
      <c r="P59"/>
      <c r="Q59"/>
      <c r="R59"/>
      <c r="S59"/>
      <c r="T59"/>
      <c r="U59"/>
      <c r="V59"/>
      <c r="W59"/>
    </row>
    <row r="60" spans="1:23" x14ac:dyDescent="0.2">
      <c r="B60" s="25" t="s">
        <v>126</v>
      </c>
      <c r="C60" s="25" t="s">
        <v>99</v>
      </c>
      <c r="D60" s="374">
        <v>0</v>
      </c>
      <c r="H60"/>
      <c r="I60"/>
      <c r="J60"/>
      <c r="O60"/>
      <c r="P60"/>
      <c r="Q60"/>
      <c r="R60"/>
      <c r="S60"/>
      <c r="T60"/>
      <c r="U60"/>
      <c r="V60"/>
      <c r="W60"/>
    </row>
    <row r="61" spans="1:23" x14ac:dyDescent="0.2">
      <c r="B61" s="25" t="s">
        <v>127</v>
      </c>
      <c r="C61" s="25" t="s">
        <v>99</v>
      </c>
      <c r="D61" s="374">
        <v>0</v>
      </c>
      <c r="H61"/>
      <c r="I61"/>
      <c r="J61"/>
      <c r="O61"/>
      <c r="P61"/>
      <c r="Q61"/>
      <c r="R61"/>
      <c r="S61"/>
      <c r="T61"/>
      <c r="U61"/>
      <c r="V61"/>
      <c r="W61"/>
    </row>
    <row r="62" spans="1:23" x14ac:dyDescent="0.2">
      <c r="B62" s="25" t="s">
        <v>128</v>
      </c>
      <c r="C62" s="25" t="s">
        <v>99</v>
      </c>
      <c r="D62" s="374">
        <v>4220.9953699573898</v>
      </c>
      <c r="H62"/>
      <c r="I62"/>
      <c r="J62"/>
      <c r="O62"/>
      <c r="P62"/>
      <c r="Q62"/>
      <c r="R62"/>
      <c r="S62"/>
      <c r="T62"/>
      <c r="U62"/>
      <c r="V62"/>
      <c r="W62"/>
    </row>
    <row r="63" spans="1:23" x14ac:dyDescent="0.2">
      <c r="B63" s="25" t="s">
        <v>129</v>
      </c>
      <c r="C63" s="25" t="s">
        <v>303</v>
      </c>
      <c r="D63" s="374">
        <v>0</v>
      </c>
      <c r="H63"/>
      <c r="I63"/>
      <c r="J63"/>
      <c r="O63"/>
      <c r="P63"/>
      <c r="Q63"/>
      <c r="R63"/>
      <c r="S63"/>
      <c r="T63"/>
      <c r="U63"/>
      <c r="V63"/>
      <c r="W63"/>
    </row>
    <row r="64" spans="1:23" x14ac:dyDescent="0.2">
      <c r="B64" s="25" t="s">
        <v>150</v>
      </c>
      <c r="C64" s="25" t="s">
        <v>304</v>
      </c>
      <c r="D64" s="374">
        <v>0.54769380678923496</v>
      </c>
      <c r="H64"/>
      <c r="I64"/>
      <c r="J64"/>
      <c r="O64"/>
      <c r="P64"/>
      <c r="Q64"/>
      <c r="R64"/>
      <c r="S64"/>
      <c r="T64"/>
      <c r="U64"/>
      <c r="V64"/>
      <c r="W64"/>
    </row>
    <row r="65" spans="1:23" x14ac:dyDescent="0.2">
      <c r="B65" s="25" t="s">
        <v>151</v>
      </c>
      <c r="C65" s="25" t="s">
        <v>304</v>
      </c>
      <c r="D65" s="374">
        <v>0.54769380678923496</v>
      </c>
      <c r="H65"/>
      <c r="I65"/>
      <c r="J65"/>
      <c r="O65"/>
      <c r="P65"/>
      <c r="Q65"/>
      <c r="R65"/>
      <c r="S65"/>
      <c r="T65"/>
      <c r="U65"/>
      <c r="V65"/>
      <c r="W65"/>
    </row>
    <row r="66" spans="1:23" x14ac:dyDescent="0.2">
      <c r="B66" s="25" t="s">
        <v>136</v>
      </c>
      <c r="C66" s="25" t="s">
        <v>303</v>
      </c>
      <c r="D66" s="374">
        <v>0</v>
      </c>
      <c r="H66"/>
      <c r="I66"/>
      <c r="J66"/>
      <c r="O66"/>
      <c r="P66"/>
      <c r="Q66"/>
      <c r="R66"/>
      <c r="S66"/>
      <c r="T66"/>
      <c r="U66"/>
      <c r="V66"/>
      <c r="W66"/>
    </row>
    <row r="67" spans="1:23" x14ac:dyDescent="0.2">
      <c r="B67" s="25" t="s">
        <v>137</v>
      </c>
      <c r="C67" s="25" t="s">
        <v>303</v>
      </c>
      <c r="D67" s="374">
        <v>0</v>
      </c>
      <c r="H67"/>
      <c r="I67"/>
      <c r="J67"/>
      <c r="O67"/>
      <c r="P67"/>
      <c r="Q67"/>
      <c r="R67"/>
      <c r="S67"/>
      <c r="T67"/>
      <c r="U67"/>
      <c r="V67"/>
      <c r="W67"/>
    </row>
    <row r="68" spans="1:23" x14ac:dyDescent="0.2">
      <c r="H68"/>
      <c r="I68"/>
      <c r="J68"/>
      <c r="O68"/>
      <c r="P68"/>
      <c r="Q68"/>
      <c r="R68"/>
      <c r="S68"/>
      <c r="T68"/>
      <c r="U68"/>
      <c r="V68"/>
      <c r="W68"/>
    </row>
    <row r="69" spans="1:23" x14ac:dyDescent="0.2">
      <c r="A69" s="6" t="s">
        <v>305</v>
      </c>
      <c r="O69"/>
      <c r="P69"/>
      <c r="Q69"/>
      <c r="R69"/>
      <c r="S69"/>
      <c r="T69"/>
      <c r="U69"/>
      <c r="V69"/>
      <c r="W69"/>
    </row>
    <row r="70" spans="1:23" x14ac:dyDescent="0.2">
      <c r="B70" s="6" t="s">
        <v>306</v>
      </c>
      <c r="C70" s="83">
        <v>1000</v>
      </c>
      <c r="O70"/>
      <c r="P70"/>
      <c r="Q70"/>
      <c r="R70"/>
      <c r="S70"/>
      <c r="T70"/>
      <c r="U70"/>
      <c r="V70"/>
      <c r="W70"/>
    </row>
    <row r="71" spans="1:23" x14ac:dyDescent="0.2">
      <c r="B71" s="6" t="s">
        <v>307</v>
      </c>
      <c r="C71" s="83">
        <v>1000000</v>
      </c>
      <c r="O71"/>
      <c r="P71"/>
      <c r="Q71"/>
      <c r="R71"/>
      <c r="S71"/>
      <c r="T71"/>
      <c r="U71"/>
      <c r="V71"/>
      <c r="W71"/>
    </row>
    <row r="72" spans="1:23" x14ac:dyDescent="0.2">
      <c r="O72"/>
      <c r="P72"/>
      <c r="Q72"/>
      <c r="R72"/>
      <c r="S72"/>
      <c r="T72"/>
      <c r="U72"/>
      <c r="V72"/>
      <c r="W72"/>
    </row>
    <row r="73" spans="1:23" x14ac:dyDescent="0.2">
      <c r="O73"/>
      <c r="P73"/>
      <c r="Q73"/>
      <c r="R73"/>
      <c r="S73"/>
      <c r="T73"/>
      <c r="U73"/>
      <c r="V73"/>
      <c r="W73"/>
    </row>
    <row r="74" spans="1:23" x14ac:dyDescent="0.2">
      <c r="A74" s="6" t="s">
        <v>273</v>
      </c>
      <c r="O74"/>
      <c r="P74"/>
      <c r="Q74"/>
      <c r="R74"/>
      <c r="S74"/>
      <c r="T74"/>
      <c r="U74"/>
      <c r="V74"/>
      <c r="W74"/>
    </row>
    <row r="75" spans="1:23" x14ac:dyDescent="0.2">
      <c r="B75" s="6" t="s">
        <v>273</v>
      </c>
      <c r="C75" s="131" t="s">
        <v>308</v>
      </c>
      <c r="O75"/>
      <c r="P75"/>
      <c r="Q75"/>
      <c r="R75"/>
      <c r="S75"/>
      <c r="T75"/>
      <c r="U75"/>
      <c r="V75"/>
      <c r="W75"/>
    </row>
    <row r="76" spans="1:23" x14ac:dyDescent="0.2">
      <c r="O76"/>
      <c r="P76"/>
      <c r="Q76"/>
      <c r="R76"/>
      <c r="S76"/>
      <c r="T76"/>
      <c r="U76"/>
      <c r="V76"/>
      <c r="W76"/>
    </row>
    <row r="77" spans="1:23" x14ac:dyDescent="0.2">
      <c r="O77"/>
      <c r="P77"/>
      <c r="Q77"/>
      <c r="R77"/>
      <c r="S77"/>
      <c r="T77"/>
      <c r="U77"/>
      <c r="V77"/>
      <c r="W77"/>
    </row>
    <row r="78" spans="1:23" x14ac:dyDescent="0.2">
      <c r="A78" s="6" t="s">
        <v>309</v>
      </c>
      <c r="C78" s="6" t="s">
        <v>310</v>
      </c>
      <c r="O78"/>
      <c r="P78"/>
      <c r="Q78"/>
      <c r="R78"/>
      <c r="S78"/>
      <c r="T78"/>
      <c r="U78"/>
      <c r="V78"/>
      <c r="W78"/>
    </row>
    <row r="79" spans="1:23" x14ac:dyDescent="0.2">
      <c r="O79"/>
      <c r="P79"/>
      <c r="Q79"/>
      <c r="R79"/>
      <c r="S79"/>
      <c r="T79"/>
      <c r="U79"/>
      <c r="V79"/>
      <c r="W79"/>
    </row>
    <row r="80" spans="1:23" x14ac:dyDescent="0.2">
      <c r="O80"/>
      <c r="P80"/>
      <c r="Q80"/>
      <c r="R80"/>
      <c r="S80"/>
      <c r="T80"/>
      <c r="U80"/>
      <c r="V80"/>
      <c r="W80"/>
    </row>
    <row r="81" spans="1:23" x14ac:dyDescent="0.2">
      <c r="O81"/>
      <c r="P81"/>
      <c r="Q81"/>
      <c r="R81"/>
      <c r="S81"/>
      <c r="T81"/>
      <c r="U81"/>
      <c r="V81"/>
      <c r="W81"/>
    </row>
    <row r="82" spans="1:23" x14ac:dyDescent="0.2">
      <c r="A82" s="1"/>
      <c r="B82" s="1"/>
      <c r="C82" s="1"/>
      <c r="D82" s="1"/>
      <c r="E82" s="1"/>
      <c r="F82" s="1"/>
      <c r="K82" s="1"/>
      <c r="L82" s="1"/>
      <c r="M82" s="1"/>
      <c r="N82" s="1"/>
      <c r="O82"/>
      <c r="P82"/>
      <c r="Q82"/>
      <c r="R82"/>
      <c r="S82"/>
      <c r="T82"/>
      <c r="U82"/>
      <c r="V82"/>
      <c r="W82"/>
    </row>
    <row r="83" spans="1:23" x14ac:dyDescent="0.2">
      <c r="A83" s="12" t="s">
        <v>311</v>
      </c>
      <c r="B83" s="12"/>
      <c r="K83" s="1"/>
      <c r="L83" s="1"/>
      <c r="M83" s="1"/>
      <c r="N83" s="1"/>
      <c r="O83"/>
      <c r="P83"/>
      <c r="Q83"/>
      <c r="R83"/>
      <c r="S83"/>
      <c r="T83"/>
      <c r="U83"/>
      <c r="V83"/>
      <c r="W83"/>
    </row>
    <row r="84" spans="1:23" x14ac:dyDescent="0.2">
      <c r="A84" s="12"/>
      <c r="B84" s="57" t="s">
        <v>312</v>
      </c>
      <c r="F84" s="133">
        <v>0</v>
      </c>
      <c r="K84" s="1"/>
      <c r="L84" s="1"/>
      <c r="M84" s="1"/>
      <c r="N84" s="1"/>
      <c r="O84"/>
      <c r="P84"/>
      <c r="Q84"/>
      <c r="R84"/>
      <c r="S84"/>
      <c r="T84"/>
      <c r="U84"/>
      <c r="V84"/>
      <c r="W84"/>
    </row>
    <row r="85" spans="1:23" x14ac:dyDescent="0.2">
      <c r="A85" s="1"/>
      <c r="B85" s="6" t="s">
        <v>313</v>
      </c>
      <c r="F85" s="133">
        <v>1</v>
      </c>
      <c r="K85" s="1"/>
      <c r="L85" s="1"/>
      <c r="M85" s="1"/>
      <c r="N85" s="1"/>
      <c r="O85"/>
      <c r="P85"/>
      <c r="Q85"/>
      <c r="R85"/>
      <c r="S85"/>
      <c r="T85"/>
      <c r="U85"/>
      <c r="V85"/>
      <c r="W85"/>
    </row>
    <row r="86" spans="1:23" x14ac:dyDescent="0.2">
      <c r="A86" s="1"/>
      <c r="B86" s="6" t="s">
        <v>314</v>
      </c>
      <c r="F86" s="133">
        <v>1</v>
      </c>
      <c r="K86" s="1"/>
      <c r="L86" s="1"/>
      <c r="M86" s="1"/>
      <c r="N86" s="1"/>
      <c r="O86"/>
      <c r="P86"/>
      <c r="Q86"/>
      <c r="R86"/>
      <c r="S86"/>
      <c r="T86"/>
      <c r="U86"/>
      <c r="V86"/>
      <c r="W86"/>
    </row>
    <row r="87" spans="1:23" x14ac:dyDescent="0.2">
      <c r="A87" s="1"/>
      <c r="B87" s="6" t="s">
        <v>315</v>
      </c>
      <c r="F87" s="133">
        <v>1</v>
      </c>
      <c r="K87" s="1"/>
      <c r="L87" s="1"/>
      <c r="M87" s="1"/>
      <c r="N87" s="1"/>
      <c r="O87"/>
      <c r="P87"/>
      <c r="Q87"/>
      <c r="R87"/>
      <c r="S87"/>
      <c r="T87"/>
      <c r="U87"/>
      <c r="V87"/>
      <c r="W87"/>
    </row>
    <row r="88" spans="1:23" x14ac:dyDescent="0.2">
      <c r="A88" s="1"/>
      <c r="B88" s="6" t="s">
        <v>316</v>
      </c>
      <c r="F88" s="133">
        <v>1</v>
      </c>
      <c r="K88" s="1"/>
      <c r="L88" s="1"/>
      <c r="M88" s="1"/>
      <c r="N88" s="1"/>
      <c r="O88"/>
      <c r="P88"/>
      <c r="Q88"/>
      <c r="R88"/>
      <c r="S88"/>
      <c r="T88"/>
      <c r="U88"/>
      <c r="V88"/>
      <c r="W88"/>
    </row>
    <row r="89" spans="1:23" x14ac:dyDescent="0.2">
      <c r="A89" s="1"/>
      <c r="B89" s="6" t="s">
        <v>317</v>
      </c>
      <c r="F89" s="133">
        <v>3</v>
      </c>
      <c r="K89" s="1"/>
      <c r="L89" s="1"/>
      <c r="M89" s="1"/>
      <c r="N89" s="1"/>
      <c r="O89"/>
      <c r="P89"/>
      <c r="Q89"/>
      <c r="R89"/>
      <c r="S89"/>
      <c r="T89"/>
      <c r="U89"/>
      <c r="V89"/>
      <c r="W89"/>
    </row>
    <row r="90" spans="1:23" x14ac:dyDescent="0.2">
      <c r="A90" s="1"/>
      <c r="B90" s="6" t="s">
        <v>318</v>
      </c>
      <c r="F90" s="133">
        <v>3</v>
      </c>
      <c r="K90" s="1"/>
      <c r="L90" s="1"/>
      <c r="M90" s="1"/>
      <c r="N90" s="1"/>
      <c r="O90" s="1"/>
    </row>
    <row r="91" spans="1:23" x14ac:dyDescent="0.2">
      <c r="A91" s="1"/>
      <c r="B91" s="6" t="s">
        <v>319</v>
      </c>
      <c r="F91" s="133">
        <v>6</v>
      </c>
      <c r="K91" s="1"/>
      <c r="L91" s="1"/>
      <c r="M91" s="1"/>
      <c r="N91" s="1"/>
      <c r="O91" s="1"/>
    </row>
    <row r="92" spans="1:23" x14ac:dyDescent="0.2">
      <c r="A92" s="1"/>
      <c r="B92" s="6" t="s">
        <v>320</v>
      </c>
      <c r="F92" s="133">
        <v>6</v>
      </c>
      <c r="K92" s="1"/>
      <c r="L92" s="1"/>
      <c r="M92" s="1"/>
      <c r="N92" s="1"/>
      <c r="O92" s="1"/>
    </row>
    <row r="93" spans="1:23" x14ac:dyDescent="0.2">
      <c r="A93" s="1"/>
      <c r="B93" s="6" t="s">
        <v>321</v>
      </c>
      <c r="F93" s="133">
        <v>10</v>
      </c>
      <c r="K93" s="1"/>
      <c r="L93" s="1"/>
      <c r="M93" s="1"/>
      <c r="N93" s="1"/>
      <c r="O93" s="1"/>
    </row>
    <row r="94" spans="1:23" x14ac:dyDescent="0.2">
      <c r="A94" s="1"/>
      <c r="B94" s="1"/>
      <c r="C94" s="1"/>
      <c r="D94" s="1"/>
      <c r="E94" s="1"/>
      <c r="F94" s="1"/>
      <c r="K94" s="1"/>
      <c r="L94" s="1"/>
      <c r="M94" s="1"/>
      <c r="N94" s="1"/>
      <c r="O94" s="1"/>
    </row>
    <row r="95" spans="1:23" x14ac:dyDescent="0.2">
      <c r="A95" s="1"/>
      <c r="B95" s="1"/>
      <c r="C95" s="1"/>
      <c r="D95" s="1"/>
      <c r="E95" s="1"/>
      <c r="F95" s="1"/>
      <c r="K95" s="1"/>
      <c r="L95" s="1"/>
      <c r="M95" s="1"/>
      <c r="N95" s="1"/>
      <c r="O95" s="1"/>
    </row>
    <row r="96" spans="1:23" x14ac:dyDescent="0.2">
      <c r="A96" s="1"/>
      <c r="B96" s="1"/>
      <c r="C96" s="1"/>
      <c r="D96" s="1"/>
      <c r="E96" s="1"/>
      <c r="F96" s="1"/>
      <c r="K96" s="1"/>
      <c r="L96" s="1"/>
      <c r="M96" s="1"/>
      <c r="N96" s="1"/>
      <c r="O96" s="1"/>
    </row>
    <row r="97" spans="1:25" x14ac:dyDescent="0.2">
      <c r="A97" s="1"/>
      <c r="B97" s="123" t="s">
        <v>144</v>
      </c>
      <c r="C97" s="1"/>
      <c r="D97" s="1"/>
      <c r="E97" s="1"/>
      <c r="F97" s="1"/>
      <c r="K97" s="1"/>
      <c r="L97" s="1"/>
      <c r="M97" s="1"/>
      <c r="N97" s="1"/>
      <c r="O97" s="1"/>
    </row>
    <row r="98" spans="1:25" x14ac:dyDescent="0.2">
      <c r="A98" s="1"/>
      <c r="B98" s="123" t="s">
        <v>118</v>
      </c>
      <c r="C98" s="1"/>
      <c r="D98" s="1"/>
      <c r="E98" s="1"/>
      <c r="F98" s="1"/>
      <c r="K98" s="1"/>
      <c r="L98" s="1"/>
      <c r="M98" s="1"/>
      <c r="N98" s="1"/>
      <c r="O98" s="1"/>
    </row>
    <row r="99" spans="1:25" x14ac:dyDescent="0.2">
      <c r="A99" s="1"/>
      <c r="B99" s="123" t="s">
        <v>140</v>
      </c>
      <c r="C99" s="1"/>
      <c r="D99" s="1"/>
      <c r="E99" s="1"/>
      <c r="F99" s="1"/>
      <c r="K99" s="1"/>
      <c r="L99" s="1"/>
      <c r="M99" s="1"/>
      <c r="N99" s="1"/>
      <c r="O99" s="1"/>
    </row>
    <row r="100" spans="1:25" x14ac:dyDescent="0.2">
      <c r="A100" s="1"/>
      <c r="B100" s="1"/>
      <c r="C100" s="1"/>
      <c r="D100" s="1"/>
      <c r="E100" s="1"/>
      <c r="F100" s="1"/>
      <c r="K100" s="1"/>
      <c r="L100" s="1"/>
      <c r="M100" s="1"/>
      <c r="N100" s="1"/>
      <c r="O100" s="1"/>
    </row>
    <row r="101" spans="1:25" x14ac:dyDescent="0.2">
      <c r="A101" s="1"/>
      <c r="B101" s="1"/>
      <c r="C101" s="1"/>
      <c r="D101" s="1"/>
      <c r="E101" s="1"/>
      <c r="F101" s="1"/>
      <c r="K101" s="1"/>
      <c r="L101" s="1"/>
      <c r="M101" s="1"/>
      <c r="N101" s="1"/>
      <c r="O101" s="1"/>
    </row>
    <row r="102" spans="1:25" x14ac:dyDescent="0.2">
      <c r="T102"/>
      <c r="U102"/>
      <c r="V102"/>
      <c r="W102"/>
    </row>
    <row r="103" spans="1:25" x14ac:dyDescent="0.2">
      <c r="T103"/>
      <c r="U103"/>
      <c r="V103"/>
      <c r="W103"/>
    </row>
    <row r="104" spans="1:25" ht="15" x14ac:dyDescent="0.25">
      <c r="A104" s="17" t="s">
        <v>322</v>
      </c>
      <c r="B104" s="17"/>
      <c r="C104" s="17"/>
      <c r="D104" s="17"/>
      <c r="E104" s="17"/>
      <c r="F104" s="18"/>
      <c r="G104" s="17"/>
      <c r="H104" s="17"/>
      <c r="I104" s="17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</row>
    <row r="105" spans="1:25" x14ac:dyDescent="0.2">
      <c r="U105"/>
      <c r="V105"/>
      <c r="W105"/>
      <c r="X105"/>
      <c r="Y105"/>
    </row>
    <row r="106" spans="1:25" x14ac:dyDescent="0.2">
      <c r="B106" s="6" t="s">
        <v>323</v>
      </c>
      <c r="F106" s="6" t="s">
        <v>324</v>
      </c>
      <c r="H106" s="6" t="s">
        <v>325</v>
      </c>
      <c r="J106" s="6" t="s">
        <v>326</v>
      </c>
      <c r="N106" s="6" t="s">
        <v>327</v>
      </c>
      <c r="P106" s="6" t="s">
        <v>305</v>
      </c>
      <c r="R106" s="6" t="s">
        <v>328</v>
      </c>
      <c r="T106" s="6" t="s">
        <v>329</v>
      </c>
      <c r="U106"/>
      <c r="V106" s="6" t="s">
        <v>330</v>
      </c>
      <c r="W106"/>
      <c r="Y106"/>
    </row>
    <row r="107" spans="1:25" x14ac:dyDescent="0.2">
      <c r="B107" s="23" t="s">
        <v>0</v>
      </c>
      <c r="C107" s="109" t="s">
        <v>331</v>
      </c>
      <c r="D107" s="109" t="s">
        <v>332</v>
      </c>
      <c r="F107" s="57" t="s">
        <v>312</v>
      </c>
      <c r="H107" s="23" t="b">
        <v>0</v>
      </c>
      <c r="J107" s="23" t="s">
        <v>333</v>
      </c>
      <c r="K107" s="38">
        <v>6</v>
      </c>
      <c r="L107" s="38" t="s">
        <v>334</v>
      </c>
      <c r="N107" s="38" t="s">
        <v>276</v>
      </c>
      <c r="Q107" s="22"/>
      <c r="R107" s="21">
        <v>2026</v>
      </c>
      <c r="T107" s="21" t="s">
        <v>50</v>
      </c>
      <c r="U107"/>
      <c r="V107" s="21" t="s">
        <v>52</v>
      </c>
      <c r="W107"/>
    </row>
    <row r="108" spans="1:25" x14ac:dyDescent="0.2">
      <c r="B108" s="23" t="s">
        <v>335</v>
      </c>
      <c r="C108" s="109" t="s">
        <v>336</v>
      </c>
      <c r="D108" s="109" t="s">
        <v>337</v>
      </c>
      <c r="F108" s="23" t="s">
        <v>103</v>
      </c>
      <c r="H108" s="23" t="b">
        <v>1</v>
      </c>
      <c r="J108" s="23" t="s">
        <v>44</v>
      </c>
      <c r="K108" s="38">
        <v>12</v>
      </c>
      <c r="L108" s="38" t="s">
        <v>338</v>
      </c>
      <c r="Q108" s="22"/>
      <c r="R108" s="21">
        <f>R107-1</f>
        <v>2025</v>
      </c>
      <c r="T108" s="21" t="s">
        <v>284</v>
      </c>
      <c r="U108"/>
      <c r="V108" s="21" t="s">
        <v>339</v>
      </c>
      <c r="W108"/>
    </row>
    <row r="109" spans="1:25" x14ac:dyDescent="0.2">
      <c r="B109" s="23" t="s">
        <v>340</v>
      </c>
      <c r="C109" s="109" t="s">
        <v>341</v>
      </c>
      <c r="D109" s="109" t="s">
        <v>342</v>
      </c>
      <c r="F109" s="23" t="s">
        <v>195</v>
      </c>
      <c r="J109" s="19"/>
      <c r="K109" s="19"/>
      <c r="L109" s="22"/>
      <c r="Q109" s="22"/>
      <c r="R109" s="21">
        <f t="shared" ref="R109:R113" si="1">R108-1</f>
        <v>2024</v>
      </c>
      <c r="T109" s="21" t="s">
        <v>286</v>
      </c>
      <c r="U109"/>
      <c r="V109" s="21" t="s">
        <v>343</v>
      </c>
      <c r="W109"/>
      <c r="X109"/>
      <c r="Y109"/>
    </row>
    <row r="110" spans="1:25" x14ac:dyDescent="0.2">
      <c r="C110" s="106"/>
      <c r="D110" s="106"/>
      <c r="F110" s="23"/>
      <c r="J110" s="19"/>
      <c r="K110" s="19"/>
      <c r="Q110" s="22"/>
      <c r="R110" s="21">
        <f t="shared" si="1"/>
        <v>2023</v>
      </c>
      <c r="U110"/>
      <c r="V110" s="21"/>
      <c r="W110"/>
      <c r="X110"/>
      <c r="Y110"/>
    </row>
    <row r="111" spans="1:25" x14ac:dyDescent="0.2">
      <c r="C111" s="106"/>
      <c r="D111" s="106"/>
      <c r="J111" s="19"/>
      <c r="K111" s="19"/>
      <c r="R111" s="21">
        <f t="shared" si="1"/>
        <v>2022</v>
      </c>
      <c r="U111"/>
      <c r="W111"/>
      <c r="X111"/>
      <c r="Y111"/>
    </row>
    <row r="112" spans="1:25" x14ac:dyDescent="0.2">
      <c r="J112" s="19"/>
      <c r="K112" s="19"/>
      <c r="R112" s="21">
        <f t="shared" si="1"/>
        <v>2021</v>
      </c>
      <c r="U112"/>
      <c r="W112"/>
      <c r="X112"/>
      <c r="Y112"/>
    </row>
    <row r="113" spans="18:25" x14ac:dyDescent="0.2">
      <c r="R113" s="21">
        <f t="shared" si="1"/>
        <v>2020</v>
      </c>
      <c r="U113"/>
      <c r="V113" s="220"/>
      <c r="W113"/>
      <c r="X113"/>
      <c r="Y113"/>
    </row>
    <row r="114" spans="18:25" x14ac:dyDescent="0.2">
      <c r="R114" s="21"/>
      <c r="U114"/>
      <c r="V114" s="220"/>
      <c r="W114"/>
      <c r="X114"/>
      <c r="Y114"/>
    </row>
    <row r="115" spans="18:25" x14ac:dyDescent="0.2">
      <c r="U115"/>
      <c r="V115" s="220"/>
      <c r="W115"/>
      <c r="X115"/>
      <c r="Y115"/>
    </row>
    <row r="116" spans="18:25" x14ac:dyDescent="0.2">
      <c r="U116"/>
      <c r="V116"/>
      <c r="W116"/>
      <c r="X116"/>
      <c r="Y116"/>
    </row>
    <row r="117" spans="18:25" x14ac:dyDescent="0.2">
      <c r="U117"/>
      <c r="V117"/>
      <c r="W117"/>
      <c r="X117"/>
      <c r="Y117"/>
    </row>
    <row r="118" spans="18:25" x14ac:dyDescent="0.2">
      <c r="U118"/>
      <c r="V118"/>
      <c r="W118"/>
      <c r="X118"/>
    </row>
    <row r="119" spans="18:25" x14ac:dyDescent="0.2">
      <c r="U119"/>
      <c r="V119"/>
      <c r="W119"/>
      <c r="X119"/>
    </row>
    <row r="120" spans="18:25" x14ac:dyDescent="0.2">
      <c r="V120"/>
      <c r="W120"/>
      <c r="X120"/>
    </row>
    <row r="121" spans="18:25" x14ac:dyDescent="0.2">
      <c r="U121"/>
      <c r="V121"/>
      <c r="W121"/>
      <c r="X121"/>
    </row>
    <row r="122" spans="18:25" x14ac:dyDescent="0.2">
      <c r="U122"/>
      <c r="V122"/>
      <c r="W122"/>
      <c r="X122"/>
    </row>
    <row r="123" spans="18:25" x14ac:dyDescent="0.2">
      <c r="U123"/>
      <c r="V123"/>
      <c r="W123"/>
      <c r="X123"/>
    </row>
    <row r="124" spans="18:25" x14ac:dyDescent="0.2">
      <c r="U124"/>
      <c r="V124"/>
      <c r="W124"/>
      <c r="X124"/>
    </row>
    <row r="125" spans="18:25" x14ac:dyDescent="0.2">
      <c r="U125"/>
      <c r="V125"/>
      <c r="W125"/>
      <c r="X125"/>
    </row>
    <row r="126" spans="18:25" x14ac:dyDescent="0.2">
      <c r="U126"/>
      <c r="V126"/>
      <c r="W126"/>
      <c r="X126"/>
    </row>
    <row r="127" spans="18:25" x14ac:dyDescent="0.2">
      <c r="T127"/>
      <c r="U127"/>
      <c r="V127"/>
      <c r="W127"/>
    </row>
    <row r="128" spans="18:25" x14ac:dyDescent="0.2">
      <c r="T128"/>
      <c r="U128"/>
      <c r="V128"/>
      <c r="W128"/>
    </row>
    <row r="129" spans="20:23" x14ac:dyDescent="0.2">
      <c r="T129"/>
      <c r="U129"/>
      <c r="V129"/>
      <c r="W129"/>
    </row>
    <row r="130" spans="20:23" x14ac:dyDescent="0.2">
      <c r="T130"/>
      <c r="U130"/>
      <c r="V130"/>
      <c r="W130"/>
    </row>
    <row r="131" spans="20:23" x14ac:dyDescent="0.2">
      <c r="T131"/>
      <c r="U131"/>
      <c r="V131"/>
      <c r="W131"/>
    </row>
    <row r="132" spans="20:23" x14ac:dyDescent="0.2">
      <c r="T132"/>
      <c r="U132"/>
      <c r="V132"/>
      <c r="W132"/>
    </row>
    <row r="133" spans="20:23" x14ac:dyDescent="0.2">
      <c r="T133"/>
      <c r="U133"/>
      <c r="V133"/>
      <c r="W133"/>
    </row>
    <row r="134" spans="20:23" x14ac:dyDescent="0.2">
      <c r="T134"/>
      <c r="U134"/>
      <c r="V134"/>
      <c r="W134"/>
    </row>
    <row r="135" spans="20:23" x14ac:dyDescent="0.2">
      <c r="T135"/>
      <c r="U135"/>
      <c r="V135"/>
      <c r="W135"/>
    </row>
    <row r="136" spans="20:23" x14ac:dyDescent="0.2">
      <c r="T136"/>
      <c r="U136"/>
      <c r="V136"/>
      <c r="W136"/>
    </row>
    <row r="137" spans="20:23" x14ac:dyDescent="0.2">
      <c r="T137"/>
      <c r="U137"/>
      <c r="V137"/>
      <c r="W137"/>
    </row>
    <row r="138" spans="20:23" x14ac:dyDescent="0.2">
      <c r="T138"/>
      <c r="U138"/>
      <c r="V138"/>
      <c r="W138"/>
    </row>
    <row r="139" spans="20:23" x14ac:dyDescent="0.2">
      <c r="T139"/>
      <c r="U139"/>
      <c r="V139"/>
      <c r="W139"/>
    </row>
    <row r="140" spans="20:23" x14ac:dyDescent="0.2">
      <c r="T140"/>
      <c r="U140"/>
      <c r="V140"/>
      <c r="W140"/>
    </row>
    <row r="141" spans="20:23" x14ac:dyDescent="0.2">
      <c r="T141"/>
      <c r="U141"/>
      <c r="V141"/>
      <c r="W141"/>
    </row>
    <row r="142" spans="20:23" x14ac:dyDescent="0.2">
      <c r="T142"/>
      <c r="U142"/>
      <c r="V142"/>
      <c r="W142"/>
    </row>
    <row r="143" spans="20:23" x14ac:dyDescent="0.2">
      <c r="T143"/>
      <c r="U143"/>
      <c r="V143"/>
      <c r="W143"/>
    </row>
    <row r="144" spans="20:23" x14ac:dyDescent="0.2">
      <c r="T144"/>
      <c r="U144"/>
      <c r="V144"/>
      <c r="W144"/>
    </row>
    <row r="145" spans="20:23" x14ac:dyDescent="0.2">
      <c r="T145"/>
      <c r="U145"/>
      <c r="V145"/>
      <c r="W145"/>
    </row>
    <row r="146" spans="20:23" x14ac:dyDescent="0.2">
      <c r="T146"/>
      <c r="U146"/>
      <c r="V146"/>
      <c r="W146"/>
    </row>
    <row r="147" spans="20:23" x14ac:dyDescent="0.2">
      <c r="T147"/>
      <c r="U147"/>
      <c r="V147"/>
      <c r="W147"/>
    </row>
    <row r="148" spans="20:23" x14ac:dyDescent="0.2">
      <c r="T148"/>
      <c r="U148"/>
      <c r="V148"/>
      <c r="W148"/>
    </row>
    <row r="149" spans="20:23" x14ac:dyDescent="0.2">
      <c r="T149"/>
      <c r="U149"/>
      <c r="V149"/>
      <c r="W149"/>
    </row>
    <row r="150" spans="20:23" x14ac:dyDescent="0.2">
      <c r="T150"/>
      <c r="U150"/>
      <c r="V150"/>
      <c r="W150"/>
    </row>
    <row r="151" spans="20:23" x14ac:dyDescent="0.2">
      <c r="T151"/>
      <c r="U151"/>
      <c r="V151"/>
      <c r="W151"/>
    </row>
    <row r="152" spans="20:23" x14ac:dyDescent="0.2">
      <c r="T152"/>
      <c r="U152"/>
      <c r="V152"/>
      <c r="W152"/>
    </row>
    <row r="153" spans="20:23" x14ac:dyDescent="0.2">
      <c r="T153"/>
      <c r="U153"/>
      <c r="V153"/>
      <c r="W153"/>
    </row>
    <row r="154" spans="20:23" x14ac:dyDescent="0.2">
      <c r="T154"/>
      <c r="U154"/>
      <c r="V154"/>
      <c r="W154"/>
    </row>
    <row r="155" spans="20:23" x14ac:dyDescent="0.2">
      <c r="T155"/>
      <c r="U155"/>
      <c r="V155"/>
      <c r="W155"/>
    </row>
    <row r="156" spans="20:23" x14ac:dyDescent="0.2">
      <c r="T156"/>
      <c r="U156"/>
      <c r="V156"/>
      <c r="W156"/>
    </row>
    <row r="157" spans="20:23" x14ac:dyDescent="0.2">
      <c r="T157"/>
      <c r="U157"/>
      <c r="V157"/>
      <c r="W157"/>
    </row>
    <row r="158" spans="20:23" x14ac:dyDescent="0.2">
      <c r="T158"/>
      <c r="U158"/>
      <c r="V158"/>
      <c r="W158"/>
    </row>
    <row r="159" spans="20:23" x14ac:dyDescent="0.2">
      <c r="T159"/>
      <c r="U159"/>
      <c r="V159"/>
      <c r="W159"/>
    </row>
    <row r="160" spans="20:23" x14ac:dyDescent="0.2">
      <c r="T160"/>
      <c r="U160"/>
      <c r="V160"/>
      <c r="W160"/>
    </row>
    <row r="161" spans="20:23" x14ac:dyDescent="0.2">
      <c r="T161"/>
      <c r="U161"/>
      <c r="V161"/>
      <c r="W161"/>
    </row>
    <row r="162" spans="20:23" x14ac:dyDescent="0.2">
      <c r="T162"/>
      <c r="U162"/>
      <c r="V162"/>
      <c r="W162"/>
    </row>
    <row r="163" spans="20:23" x14ac:dyDescent="0.2">
      <c r="T163"/>
      <c r="U163"/>
      <c r="V163"/>
      <c r="W163"/>
    </row>
    <row r="164" spans="20:23" x14ac:dyDescent="0.2">
      <c r="T164"/>
      <c r="U164"/>
      <c r="V164"/>
      <c r="W164"/>
    </row>
    <row r="165" spans="20:23" x14ac:dyDescent="0.2">
      <c r="T165"/>
      <c r="U165"/>
      <c r="V165"/>
      <c r="W165"/>
    </row>
    <row r="166" spans="20:23" x14ac:dyDescent="0.2">
      <c r="T166"/>
      <c r="U166"/>
      <c r="V166"/>
      <c r="W166"/>
    </row>
    <row r="167" spans="20:23" x14ac:dyDescent="0.2">
      <c r="T167"/>
      <c r="U167"/>
      <c r="V167"/>
      <c r="W167"/>
    </row>
    <row r="168" spans="20:23" x14ac:dyDescent="0.2">
      <c r="T168"/>
      <c r="U168"/>
      <c r="V168"/>
      <c r="W168"/>
    </row>
    <row r="169" spans="20:23" x14ac:dyDescent="0.2">
      <c r="T169"/>
      <c r="U169"/>
      <c r="V169"/>
      <c r="W169"/>
    </row>
    <row r="170" spans="20:23" x14ac:dyDescent="0.2">
      <c r="T170"/>
      <c r="U170"/>
      <c r="V170"/>
      <c r="W170"/>
    </row>
    <row r="171" spans="20:23" x14ac:dyDescent="0.2">
      <c r="T171"/>
      <c r="U171"/>
      <c r="V171"/>
      <c r="W171"/>
    </row>
    <row r="172" spans="20:23" x14ac:dyDescent="0.2">
      <c r="T172"/>
      <c r="U172"/>
      <c r="V172"/>
      <c r="W172"/>
    </row>
    <row r="173" spans="20:23" x14ac:dyDescent="0.2">
      <c r="T173"/>
      <c r="U173"/>
      <c r="V173"/>
      <c r="W173"/>
    </row>
    <row r="174" spans="20:23" x14ac:dyDescent="0.2">
      <c r="T174"/>
      <c r="U174"/>
      <c r="V174"/>
      <c r="W174"/>
    </row>
    <row r="175" spans="20:23" x14ac:dyDescent="0.2">
      <c r="T175"/>
      <c r="U175"/>
      <c r="V175"/>
      <c r="W175"/>
    </row>
    <row r="176" spans="20:23" x14ac:dyDescent="0.2">
      <c r="T176"/>
      <c r="U176"/>
      <c r="V176"/>
      <c r="W176"/>
    </row>
    <row r="177" spans="20:23" x14ac:dyDescent="0.2">
      <c r="T177"/>
      <c r="U177"/>
      <c r="V177"/>
      <c r="W177"/>
    </row>
    <row r="178" spans="20:23" x14ac:dyDescent="0.2">
      <c r="T178"/>
      <c r="U178"/>
      <c r="V178"/>
      <c r="W178"/>
    </row>
    <row r="179" spans="20:23" x14ac:dyDescent="0.2">
      <c r="T179"/>
      <c r="U179"/>
      <c r="V179"/>
      <c r="W179"/>
    </row>
    <row r="180" spans="20:23" x14ac:dyDescent="0.2">
      <c r="T180"/>
      <c r="U180"/>
      <c r="V180"/>
      <c r="W180"/>
    </row>
    <row r="181" spans="20:23" x14ac:dyDescent="0.2">
      <c r="T181"/>
      <c r="U181"/>
      <c r="V181"/>
      <c r="W181"/>
    </row>
    <row r="182" spans="20:23" x14ac:dyDescent="0.2">
      <c r="T182"/>
      <c r="U182"/>
      <c r="V182"/>
      <c r="W182"/>
    </row>
    <row r="183" spans="20:23" x14ac:dyDescent="0.2">
      <c r="T183"/>
      <c r="U183"/>
      <c r="V183"/>
      <c r="W183"/>
    </row>
    <row r="184" spans="20:23" x14ac:dyDescent="0.2">
      <c r="T184"/>
      <c r="U184"/>
      <c r="V184"/>
      <c r="W184"/>
    </row>
    <row r="185" spans="20:23" x14ac:dyDescent="0.2">
      <c r="T185"/>
      <c r="U185"/>
      <c r="V185"/>
      <c r="W185"/>
    </row>
    <row r="186" spans="20:23" x14ac:dyDescent="0.2">
      <c r="T186"/>
      <c r="U186"/>
      <c r="V186"/>
      <c r="W186"/>
    </row>
    <row r="187" spans="20:23" x14ac:dyDescent="0.2">
      <c r="T187"/>
      <c r="U187"/>
      <c r="V187"/>
      <c r="W187"/>
    </row>
    <row r="188" spans="20:23" x14ac:dyDescent="0.2">
      <c r="T188"/>
      <c r="U188"/>
      <c r="V188"/>
      <c r="W188"/>
    </row>
    <row r="189" spans="20:23" x14ac:dyDescent="0.2">
      <c r="T189"/>
      <c r="U189"/>
      <c r="V189"/>
      <c r="W189"/>
    </row>
    <row r="190" spans="20:23" x14ac:dyDescent="0.2">
      <c r="T190"/>
      <c r="U190"/>
      <c r="V190"/>
      <c r="W190"/>
    </row>
    <row r="191" spans="20:23" x14ac:dyDescent="0.2">
      <c r="T191"/>
      <c r="U191"/>
      <c r="V191"/>
      <c r="W191"/>
    </row>
    <row r="192" spans="20:23" x14ac:dyDescent="0.2">
      <c r="T192"/>
      <c r="U192"/>
      <c r="V192"/>
      <c r="W192"/>
    </row>
    <row r="193" spans="20:23" x14ac:dyDescent="0.2">
      <c r="T193"/>
      <c r="U193"/>
      <c r="V193"/>
      <c r="W193"/>
    </row>
    <row r="194" spans="20:23" x14ac:dyDescent="0.2">
      <c r="T194"/>
      <c r="U194"/>
      <c r="V194"/>
      <c r="W194"/>
    </row>
    <row r="195" spans="20:23" x14ac:dyDescent="0.2">
      <c r="T195"/>
      <c r="U195"/>
      <c r="V195"/>
      <c r="W195"/>
    </row>
    <row r="196" spans="20:23" x14ac:dyDescent="0.2">
      <c r="T196"/>
      <c r="U196"/>
      <c r="V196"/>
      <c r="W196"/>
    </row>
    <row r="197" spans="20:23" x14ac:dyDescent="0.2">
      <c r="T197"/>
      <c r="U197"/>
      <c r="V197"/>
      <c r="W197"/>
    </row>
    <row r="198" spans="20:23" x14ac:dyDescent="0.2">
      <c r="T198"/>
      <c r="U198"/>
      <c r="V198"/>
      <c r="W198"/>
    </row>
    <row r="199" spans="20:23" x14ac:dyDescent="0.2">
      <c r="T199"/>
      <c r="U199"/>
      <c r="V199"/>
      <c r="W199"/>
    </row>
    <row r="200" spans="20:23" x14ac:dyDescent="0.2">
      <c r="T200"/>
      <c r="U200"/>
      <c r="V200"/>
      <c r="W200"/>
    </row>
    <row r="201" spans="20:23" x14ac:dyDescent="0.2">
      <c r="T201"/>
      <c r="U201"/>
      <c r="V201"/>
      <c r="W201"/>
    </row>
    <row r="202" spans="20:23" x14ac:dyDescent="0.2">
      <c r="T202"/>
      <c r="U202"/>
      <c r="V202"/>
      <c r="W202"/>
    </row>
    <row r="203" spans="20:23" x14ac:dyDescent="0.2">
      <c r="T203"/>
      <c r="U203"/>
      <c r="V203"/>
      <c r="W203"/>
    </row>
    <row r="204" spans="20:23" x14ac:dyDescent="0.2">
      <c r="T204"/>
      <c r="U204"/>
      <c r="V204"/>
      <c r="W204"/>
    </row>
    <row r="205" spans="20:23" x14ac:dyDescent="0.2">
      <c r="T205"/>
      <c r="U205"/>
      <c r="V205"/>
      <c r="W205"/>
    </row>
    <row r="206" spans="20:23" x14ac:dyDescent="0.2">
      <c r="T206"/>
      <c r="U206"/>
      <c r="V206"/>
      <c r="W206"/>
    </row>
    <row r="207" spans="20:23" x14ac:dyDescent="0.2">
      <c r="T207"/>
      <c r="U207"/>
      <c r="V207"/>
      <c r="W207"/>
    </row>
    <row r="208" spans="20:23" x14ac:dyDescent="0.2">
      <c r="T208"/>
      <c r="U208"/>
      <c r="V208"/>
      <c r="W208"/>
    </row>
    <row r="209" spans="20:23" x14ac:dyDescent="0.2">
      <c r="T209"/>
      <c r="U209"/>
      <c r="V209"/>
      <c r="W209"/>
    </row>
    <row r="210" spans="20:23" x14ac:dyDescent="0.2">
      <c r="T210"/>
      <c r="U210"/>
      <c r="V210"/>
      <c r="W210"/>
    </row>
    <row r="211" spans="20:23" x14ac:dyDescent="0.2">
      <c r="T211"/>
      <c r="U211"/>
      <c r="V211"/>
      <c r="W211"/>
    </row>
    <row r="212" spans="20:23" x14ac:dyDescent="0.2">
      <c r="T212"/>
      <c r="U212"/>
      <c r="V212"/>
      <c r="W212"/>
    </row>
    <row r="213" spans="20:23" x14ac:dyDescent="0.2">
      <c r="T213"/>
      <c r="U213"/>
      <c r="V213"/>
      <c r="W213"/>
    </row>
    <row r="214" spans="20:23" x14ac:dyDescent="0.2">
      <c r="T214"/>
      <c r="U214"/>
      <c r="V214"/>
      <c r="W214"/>
    </row>
    <row r="215" spans="20:23" x14ac:dyDescent="0.2">
      <c r="T215"/>
      <c r="U215"/>
      <c r="V215"/>
      <c r="W215"/>
    </row>
    <row r="216" spans="20:23" x14ac:dyDescent="0.2">
      <c r="T216"/>
      <c r="U216"/>
      <c r="V216"/>
      <c r="W216"/>
    </row>
    <row r="217" spans="20:23" x14ac:dyDescent="0.2">
      <c r="T217"/>
      <c r="U217"/>
      <c r="V217"/>
      <c r="W217"/>
    </row>
    <row r="218" spans="20:23" x14ac:dyDescent="0.2">
      <c r="T218"/>
      <c r="U218"/>
      <c r="V218"/>
      <c r="W218"/>
    </row>
    <row r="219" spans="20:23" x14ac:dyDescent="0.2">
      <c r="T219"/>
      <c r="U219"/>
      <c r="V219"/>
      <c r="W219"/>
    </row>
    <row r="220" spans="20:23" x14ac:dyDescent="0.2">
      <c r="T220"/>
      <c r="U220"/>
      <c r="V220"/>
      <c r="W220"/>
    </row>
    <row r="221" spans="20:23" x14ac:dyDescent="0.2">
      <c r="T221"/>
      <c r="U221"/>
      <c r="V221"/>
      <c r="W221"/>
    </row>
    <row r="222" spans="20:23" x14ac:dyDescent="0.2">
      <c r="T222"/>
      <c r="U222"/>
      <c r="V222"/>
      <c r="W222"/>
    </row>
    <row r="223" spans="20:23" x14ac:dyDescent="0.2">
      <c r="T223"/>
      <c r="U223"/>
      <c r="V223"/>
      <c r="W223"/>
    </row>
    <row r="224" spans="20:23" x14ac:dyDescent="0.2">
      <c r="T224"/>
      <c r="U224"/>
      <c r="V224"/>
      <c r="W224"/>
    </row>
    <row r="225" spans="20:23" x14ac:dyDescent="0.2">
      <c r="T225"/>
      <c r="U225"/>
      <c r="V225"/>
      <c r="W225"/>
    </row>
    <row r="226" spans="20:23" x14ac:dyDescent="0.2">
      <c r="T226"/>
      <c r="U226"/>
      <c r="V226"/>
      <c r="W226"/>
    </row>
    <row r="227" spans="20:23" x14ac:dyDescent="0.2">
      <c r="T227"/>
      <c r="U227"/>
      <c r="V227"/>
      <c r="W227"/>
    </row>
    <row r="228" spans="20:23" x14ac:dyDescent="0.2">
      <c r="T228"/>
      <c r="U228"/>
      <c r="V228"/>
      <c r="W228"/>
    </row>
    <row r="229" spans="20:23" x14ac:dyDescent="0.2">
      <c r="T229"/>
      <c r="U229"/>
      <c r="V229"/>
      <c r="W229"/>
    </row>
    <row r="230" spans="20:23" x14ac:dyDescent="0.2">
      <c r="T230"/>
      <c r="U230"/>
      <c r="V230"/>
      <c r="W230"/>
    </row>
    <row r="231" spans="20:23" x14ac:dyDescent="0.2">
      <c r="T231"/>
      <c r="U231"/>
      <c r="V231"/>
      <c r="W231"/>
    </row>
    <row r="232" spans="20:23" x14ac:dyDescent="0.2">
      <c r="T232"/>
      <c r="U232"/>
      <c r="V232"/>
      <c r="W232"/>
    </row>
    <row r="233" spans="20:23" x14ac:dyDescent="0.2">
      <c r="T233"/>
      <c r="U233"/>
      <c r="V233"/>
      <c r="W233"/>
    </row>
    <row r="234" spans="20:23" x14ac:dyDescent="0.2">
      <c r="T234"/>
      <c r="U234"/>
      <c r="V234"/>
      <c r="W234"/>
    </row>
    <row r="235" spans="20:23" x14ac:dyDescent="0.2">
      <c r="T235"/>
      <c r="U235"/>
      <c r="V235"/>
      <c r="W235"/>
    </row>
    <row r="236" spans="20:23" x14ac:dyDescent="0.2">
      <c r="T236"/>
      <c r="U236"/>
      <c r="V236"/>
      <c r="W236"/>
    </row>
    <row r="237" spans="20:23" x14ac:dyDescent="0.2">
      <c r="T237"/>
      <c r="U237"/>
      <c r="V237"/>
      <c r="W237"/>
    </row>
    <row r="238" spans="20:23" x14ac:dyDescent="0.2">
      <c r="T238"/>
      <c r="U238"/>
      <c r="V238"/>
      <c r="W238"/>
    </row>
    <row r="239" spans="20:23" x14ac:dyDescent="0.2">
      <c r="T239"/>
      <c r="U239"/>
      <c r="V239"/>
      <c r="W239"/>
    </row>
    <row r="240" spans="20:23" x14ac:dyDescent="0.2">
      <c r="T240"/>
      <c r="U240"/>
      <c r="V240"/>
      <c r="W240"/>
    </row>
    <row r="241" spans="20:23" x14ac:dyDescent="0.2">
      <c r="T241"/>
      <c r="U241"/>
      <c r="V241"/>
      <c r="W241"/>
    </row>
    <row r="242" spans="20:23" x14ac:dyDescent="0.2">
      <c r="T242"/>
      <c r="U242"/>
      <c r="V242"/>
      <c r="W242"/>
    </row>
    <row r="243" spans="20:23" x14ac:dyDescent="0.2">
      <c r="T243"/>
      <c r="U243"/>
      <c r="V243"/>
      <c r="W243"/>
    </row>
    <row r="244" spans="20:23" x14ac:dyDescent="0.2">
      <c r="T244"/>
      <c r="U244"/>
      <c r="V244"/>
      <c r="W244"/>
    </row>
    <row r="245" spans="20:23" x14ac:dyDescent="0.2">
      <c r="T245"/>
      <c r="U245"/>
      <c r="V245"/>
      <c r="W245"/>
    </row>
    <row r="246" spans="20:23" x14ac:dyDescent="0.2">
      <c r="T246"/>
      <c r="U246"/>
      <c r="V246"/>
      <c r="W246"/>
    </row>
    <row r="247" spans="20:23" x14ac:dyDescent="0.2">
      <c r="T247"/>
      <c r="U247"/>
      <c r="V247"/>
      <c r="W247"/>
    </row>
    <row r="248" spans="20:23" x14ac:dyDescent="0.2">
      <c r="T248"/>
      <c r="U248"/>
      <c r="V248"/>
      <c r="W248"/>
    </row>
    <row r="249" spans="20:23" x14ac:dyDescent="0.2">
      <c r="T249"/>
      <c r="U249"/>
      <c r="V249"/>
      <c r="W249"/>
    </row>
    <row r="250" spans="20:23" x14ac:dyDescent="0.2">
      <c r="T250"/>
      <c r="U250"/>
      <c r="V250"/>
      <c r="W250"/>
    </row>
    <row r="251" spans="20:23" x14ac:dyDescent="0.2">
      <c r="T251"/>
      <c r="U251"/>
      <c r="V251"/>
      <c r="W251"/>
    </row>
    <row r="252" spans="20:23" x14ac:dyDescent="0.2">
      <c r="T252"/>
      <c r="U252"/>
      <c r="V252"/>
      <c r="W252"/>
    </row>
    <row r="253" spans="20:23" x14ac:dyDescent="0.2">
      <c r="T253"/>
      <c r="U253"/>
      <c r="V253"/>
      <c r="W253"/>
    </row>
    <row r="254" spans="20:23" x14ac:dyDescent="0.2">
      <c r="T254"/>
      <c r="U254"/>
      <c r="V254"/>
      <c r="W254"/>
    </row>
    <row r="255" spans="20:23" x14ac:dyDescent="0.2">
      <c r="T255"/>
      <c r="U255"/>
      <c r="V255"/>
      <c r="W255"/>
    </row>
    <row r="256" spans="20:23" x14ac:dyDescent="0.2">
      <c r="T256"/>
      <c r="U256"/>
      <c r="V256"/>
      <c r="W256"/>
    </row>
    <row r="257" spans="20:23" x14ac:dyDescent="0.2">
      <c r="T257"/>
      <c r="U257"/>
      <c r="V257"/>
      <c r="W257"/>
    </row>
    <row r="258" spans="20:23" x14ac:dyDescent="0.2">
      <c r="T258"/>
      <c r="U258"/>
      <c r="V258"/>
      <c r="W258"/>
    </row>
    <row r="259" spans="20:23" x14ac:dyDescent="0.2">
      <c r="T259"/>
      <c r="U259"/>
      <c r="V259"/>
      <c r="W259"/>
    </row>
    <row r="260" spans="20:23" x14ac:dyDescent="0.2">
      <c r="T260"/>
      <c r="U260"/>
      <c r="V260"/>
      <c r="W260"/>
    </row>
    <row r="261" spans="20:23" x14ac:dyDescent="0.2">
      <c r="T261"/>
      <c r="U261"/>
      <c r="V261"/>
      <c r="W261"/>
    </row>
    <row r="262" spans="20:23" x14ac:dyDescent="0.2">
      <c r="T262"/>
      <c r="U262"/>
      <c r="V262"/>
      <c r="W262"/>
    </row>
    <row r="263" spans="20:23" x14ac:dyDescent="0.2">
      <c r="T263"/>
      <c r="U263"/>
      <c r="V263"/>
    </row>
    <row r="264" spans="20:23" x14ac:dyDescent="0.2">
      <c r="T264"/>
      <c r="U264"/>
      <c r="V264"/>
    </row>
    <row r="265" spans="20:23" x14ac:dyDescent="0.2">
      <c r="T265"/>
      <c r="U265"/>
      <c r="V265"/>
    </row>
    <row r="266" spans="20:23" x14ac:dyDescent="0.2">
      <c r="T266"/>
      <c r="U266"/>
      <c r="V266"/>
    </row>
    <row r="267" spans="20:23" x14ac:dyDescent="0.2">
      <c r="T267"/>
      <c r="U267"/>
      <c r="V267"/>
    </row>
    <row r="268" spans="20:23" x14ac:dyDescent="0.2">
      <c r="T268"/>
      <c r="U268"/>
      <c r="V268"/>
    </row>
    <row r="269" spans="20:23" x14ac:dyDescent="0.2">
      <c r="T269"/>
      <c r="U269"/>
      <c r="V269"/>
    </row>
    <row r="270" spans="20:23" x14ac:dyDescent="0.2">
      <c r="T270"/>
      <c r="U270"/>
      <c r="V270"/>
    </row>
    <row r="271" spans="20:23" x14ac:dyDescent="0.2">
      <c r="T271"/>
      <c r="U271"/>
      <c r="V271"/>
    </row>
    <row r="272" spans="20:23" x14ac:dyDescent="0.2">
      <c r="T272"/>
      <c r="U272"/>
      <c r="V272"/>
    </row>
    <row r="273" spans="20:22" x14ac:dyDescent="0.2">
      <c r="T273"/>
      <c r="U273"/>
      <c r="V273"/>
    </row>
    <row r="274" spans="20:22" x14ac:dyDescent="0.2">
      <c r="T274"/>
      <c r="U274"/>
      <c r="V274"/>
    </row>
    <row r="275" spans="20:22" x14ac:dyDescent="0.2">
      <c r="T275"/>
      <c r="U275"/>
      <c r="V275"/>
    </row>
    <row r="276" spans="20:22" x14ac:dyDescent="0.2">
      <c r="T276"/>
      <c r="U276"/>
      <c r="V276"/>
    </row>
    <row r="277" spans="20:22" x14ac:dyDescent="0.2">
      <c r="T277"/>
      <c r="U277"/>
      <c r="V277"/>
    </row>
    <row r="278" spans="20:22" x14ac:dyDescent="0.2">
      <c r="T278"/>
      <c r="U278"/>
      <c r="V278"/>
    </row>
    <row r="279" spans="20:22" x14ac:dyDescent="0.2">
      <c r="T279"/>
      <c r="U279"/>
      <c r="V279"/>
    </row>
    <row r="280" spans="20:22" x14ac:dyDescent="0.2">
      <c r="T280"/>
      <c r="U280"/>
      <c r="V280"/>
    </row>
    <row r="281" spans="20:22" x14ac:dyDescent="0.2">
      <c r="T281"/>
      <c r="U281"/>
      <c r="V281"/>
    </row>
    <row r="282" spans="20:22" x14ac:dyDescent="0.2">
      <c r="T282"/>
      <c r="U282"/>
      <c r="V282"/>
    </row>
    <row r="283" spans="20:22" x14ac:dyDescent="0.2">
      <c r="T283"/>
      <c r="U283"/>
      <c r="V283"/>
    </row>
    <row r="284" spans="20:22" x14ac:dyDescent="0.2">
      <c r="T284"/>
      <c r="U284"/>
      <c r="V284"/>
    </row>
    <row r="285" spans="20:22" x14ac:dyDescent="0.2">
      <c r="T285"/>
      <c r="U285"/>
      <c r="V285"/>
    </row>
    <row r="286" spans="20:22" x14ac:dyDescent="0.2">
      <c r="T286"/>
      <c r="U286"/>
      <c r="V286"/>
    </row>
    <row r="287" spans="20:22" x14ac:dyDescent="0.2">
      <c r="T287"/>
      <c r="U287"/>
      <c r="V287"/>
    </row>
    <row r="288" spans="20:22" x14ac:dyDescent="0.2">
      <c r="T288"/>
      <c r="U288"/>
      <c r="V288"/>
    </row>
    <row r="289" spans="20:22" x14ac:dyDescent="0.2">
      <c r="T289"/>
      <c r="U289"/>
      <c r="V289"/>
    </row>
    <row r="290" spans="20:22" x14ac:dyDescent="0.2">
      <c r="T290"/>
      <c r="U290"/>
      <c r="V290"/>
    </row>
    <row r="291" spans="20:22" x14ac:dyDescent="0.2">
      <c r="T291"/>
      <c r="U291"/>
      <c r="V291"/>
    </row>
    <row r="292" spans="20:22" x14ac:dyDescent="0.2">
      <c r="T292"/>
      <c r="U292"/>
      <c r="V292"/>
    </row>
    <row r="293" spans="20:22" x14ac:dyDescent="0.2">
      <c r="T293"/>
      <c r="U293"/>
      <c r="V293"/>
    </row>
    <row r="294" spans="20:22" x14ac:dyDescent="0.2">
      <c r="T294"/>
      <c r="U294"/>
      <c r="V294"/>
    </row>
    <row r="295" spans="20:22" x14ac:dyDescent="0.2">
      <c r="T295"/>
      <c r="U295"/>
      <c r="V295"/>
    </row>
    <row r="296" spans="20:22" x14ac:dyDescent="0.2">
      <c r="T296"/>
      <c r="U296"/>
      <c r="V296"/>
    </row>
    <row r="297" spans="20:22" x14ac:dyDescent="0.2">
      <c r="T297"/>
      <c r="U297"/>
      <c r="V297"/>
    </row>
    <row r="298" spans="20:22" x14ac:dyDescent="0.2">
      <c r="T298"/>
      <c r="U298"/>
      <c r="V298"/>
    </row>
    <row r="299" spans="20:22" x14ac:dyDescent="0.2">
      <c r="T299"/>
      <c r="U299"/>
      <c r="V299"/>
    </row>
    <row r="300" spans="20:22" x14ac:dyDescent="0.2">
      <c r="T300"/>
      <c r="U300"/>
      <c r="V300"/>
    </row>
    <row r="301" spans="20:22" x14ac:dyDescent="0.2">
      <c r="T301"/>
      <c r="U301"/>
      <c r="V301"/>
    </row>
    <row r="302" spans="20:22" x14ac:dyDescent="0.2">
      <c r="T302"/>
      <c r="U302"/>
      <c r="V302"/>
    </row>
    <row r="303" spans="20:22" x14ac:dyDescent="0.2">
      <c r="T303"/>
      <c r="U303"/>
      <c r="V303"/>
    </row>
    <row r="304" spans="20:22" x14ac:dyDescent="0.2">
      <c r="T304"/>
      <c r="U304"/>
      <c r="V304"/>
    </row>
    <row r="305" spans="20:22" x14ac:dyDescent="0.2">
      <c r="T305"/>
      <c r="U305"/>
      <c r="V305"/>
    </row>
    <row r="306" spans="20:22" x14ac:dyDescent="0.2">
      <c r="T306"/>
      <c r="U306"/>
      <c r="V306"/>
    </row>
    <row r="307" spans="20:22" x14ac:dyDescent="0.2">
      <c r="T307"/>
      <c r="U307"/>
      <c r="V307"/>
    </row>
    <row r="308" spans="20:22" x14ac:dyDescent="0.2">
      <c r="T308"/>
      <c r="U308"/>
      <c r="V308"/>
    </row>
    <row r="309" spans="20:22" x14ac:dyDescent="0.2">
      <c r="T309"/>
      <c r="U309"/>
      <c r="V309"/>
    </row>
    <row r="310" spans="20:22" x14ac:dyDescent="0.2">
      <c r="T310"/>
      <c r="U310"/>
      <c r="V310"/>
    </row>
    <row r="311" spans="20:22" x14ac:dyDescent="0.2">
      <c r="T311"/>
      <c r="U311"/>
      <c r="V311"/>
    </row>
    <row r="312" spans="20:22" x14ac:dyDescent="0.2">
      <c r="T312"/>
      <c r="U312"/>
      <c r="V312"/>
    </row>
    <row r="313" spans="20:22" x14ac:dyDescent="0.2">
      <c r="T313"/>
      <c r="U313"/>
      <c r="V313"/>
    </row>
    <row r="314" spans="20:22" x14ac:dyDescent="0.2">
      <c r="T314"/>
      <c r="U314"/>
      <c r="V314"/>
    </row>
    <row r="315" spans="20:22" x14ac:dyDescent="0.2">
      <c r="T315"/>
      <c r="U315"/>
    </row>
    <row r="316" spans="20:22" x14ac:dyDescent="0.2">
      <c r="T316"/>
      <c r="U316"/>
    </row>
    <row r="317" spans="20:22" x14ac:dyDescent="0.2">
      <c r="T317"/>
      <c r="U317"/>
    </row>
    <row r="318" spans="20:22" x14ac:dyDescent="0.2">
      <c r="T318"/>
      <c r="U318"/>
    </row>
    <row r="319" spans="20:22" x14ac:dyDescent="0.2">
      <c r="T319"/>
      <c r="U319"/>
    </row>
    <row r="320" spans="20:22" x14ac:dyDescent="0.2">
      <c r="T320"/>
    </row>
    <row r="321" spans="20:20" x14ac:dyDescent="0.2">
      <c r="T321"/>
    </row>
    <row r="322" spans="20:20" x14ac:dyDescent="0.2">
      <c r="T322"/>
    </row>
    <row r="323" spans="20:20" x14ac:dyDescent="0.2">
      <c r="T323"/>
    </row>
  </sheetData>
  <phoneticPr fontId="78" type="noConversion"/>
  <pageMargins left="0.7" right="0.7" top="0.75" bottom="0.75" header="0.3" footer="0.3"/>
  <pageSetup paperSize="9" orientation="portrait" horizontalDpi="90" verticalDpi="9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9C284-A28E-48F3-9230-3FBC634B1AE4}">
  <sheetPr codeName="Sheet15"/>
  <dimension ref="A2:H32"/>
  <sheetViews>
    <sheetView showGridLines="0" zoomScaleNormal="100" workbookViewId="0">
      <selection activeCell="A3" sqref="A3"/>
    </sheetView>
  </sheetViews>
  <sheetFormatPr defaultColWidth="9" defaultRowHeight="12.75" x14ac:dyDescent="0.2"/>
  <cols>
    <col min="1" max="1" width="9" style="378"/>
    <col min="2" max="2" width="17.5" style="378" bestFit="1" customWidth="1"/>
    <col min="3" max="3" width="28.75" style="378" customWidth="1"/>
    <col min="4" max="4" width="13.75" style="378" customWidth="1"/>
    <col min="5" max="5" width="11.125" style="378" bestFit="1" customWidth="1"/>
    <col min="6" max="6" width="87.625" style="378" bestFit="1" customWidth="1"/>
    <col min="7" max="16384" width="9" style="378"/>
  </cols>
  <sheetData>
    <row r="2" spans="1:8" ht="18.75" x14ac:dyDescent="0.3">
      <c r="A2" s="375" t="str">
        <f>Summary!A2</f>
        <v>NC transformer replacement</v>
      </c>
    </row>
    <row r="4" spans="1:8" ht="19.5" x14ac:dyDescent="0.3">
      <c r="B4" s="376" t="s">
        <v>3</v>
      </c>
    </row>
    <row r="5" spans="1:8" ht="15" x14ac:dyDescent="0.25">
      <c r="B5" s="379" t="str">
        <f>'Option1 (base case)'!A3</f>
        <v>OPTION 1 (base case)</v>
      </c>
    </row>
    <row r="6" spans="1:8" x14ac:dyDescent="0.2">
      <c r="C6" s="380"/>
      <c r="D6" s="381"/>
      <c r="E6" s="382" t="s">
        <v>4</v>
      </c>
      <c r="F6" s="377" t="s">
        <v>5</v>
      </c>
    </row>
    <row r="7" spans="1:8" x14ac:dyDescent="0.2">
      <c r="C7" s="383" t="s">
        <v>6</v>
      </c>
      <c r="D7" s="384"/>
      <c r="E7" s="385"/>
      <c r="F7" s="386" t="s">
        <v>7</v>
      </c>
    </row>
    <row r="8" spans="1:8" x14ac:dyDescent="0.2">
      <c r="C8" s="387" t="s">
        <v>8</v>
      </c>
      <c r="D8" s="384"/>
      <c r="E8" s="388" cm="1">
        <f t="array" ref="E8">SUMPRODUCT(((Workings_risks!E11:AC11)*(Consol!$I$5:$AG$5)*(Consol!$I$7:$AG$7)))</f>
        <v>18375970.633199655</v>
      </c>
      <c r="F8" s="389" t="s">
        <v>349</v>
      </c>
    </row>
    <row r="9" spans="1:8" x14ac:dyDescent="0.2">
      <c r="C9" s="387" t="s">
        <v>204</v>
      </c>
      <c r="D9" s="384"/>
      <c r="E9" s="388" cm="1">
        <f t="array" ref="E9">SUMPRODUCT(((Workings_risks!E12:AC12)*(Consol!$I$5:$AG$5)*(Consol!$I$7:$AG$7)))</f>
        <v>9265.8058270067941</v>
      </c>
      <c r="F9" s="389" t="s">
        <v>350</v>
      </c>
    </row>
    <row r="10" spans="1:8" x14ac:dyDescent="0.2">
      <c r="C10" s="387" t="s">
        <v>205</v>
      </c>
      <c r="D10" s="384"/>
      <c r="E10" s="388" cm="1">
        <f t="array" ref="E10">SUMPRODUCT(((Workings_risks!E13:AC13)*(Consol!$I$5:$AG$5)*(Consol!$I$7:$AG$7)))</f>
        <v>467340.01997373009</v>
      </c>
      <c r="F10" s="389" t="s">
        <v>351</v>
      </c>
    </row>
    <row r="11" spans="1:8" x14ac:dyDescent="0.2">
      <c r="C11" s="387" t="s">
        <v>206</v>
      </c>
      <c r="D11" s="384"/>
      <c r="E11" s="388" cm="1">
        <f t="array" ref="E11">SUMPRODUCT(((Workings_risks!E14:AC14)*(Consol!$I$5:$AG$5)*(Consol!$I$7:$AG$7)))</f>
        <v>34211.974809791194</v>
      </c>
      <c r="F11" s="389" t="s">
        <v>352</v>
      </c>
    </row>
    <row r="12" spans="1:8" x14ac:dyDescent="0.2">
      <c r="C12" s="387" t="s">
        <v>345</v>
      </c>
      <c r="D12" s="384"/>
      <c r="E12" s="388" cm="1">
        <f t="array" ref="E12">SUMPRODUCT(((Workings_risks!E15:AC15)*(Consol!$I$5:$AG$5)*(Consol!$I$7:$AG$7)))</f>
        <v>28893.141462800268</v>
      </c>
      <c r="F12" s="389" t="s">
        <v>353</v>
      </c>
      <c r="H12" s="390"/>
    </row>
    <row r="13" spans="1:8" x14ac:dyDescent="0.2">
      <c r="A13" s="391"/>
      <c r="C13" s="392" t="s">
        <v>9</v>
      </c>
      <c r="D13" s="393"/>
      <c r="E13" s="394" cm="1">
        <f t="array" ref="E13">SUMPRODUCT(((Workings_risks!E16:AC16)*(Consol!$I$5:$AG$5)*(Consol!$I$7:$AG$7)))*conv_2026</f>
        <v>20933916.901158299</v>
      </c>
      <c r="F13" s="395" t="s">
        <v>10</v>
      </c>
    </row>
    <row r="15" spans="1:8" ht="19.5" x14ac:dyDescent="0.3">
      <c r="B15" s="376" t="s">
        <v>11</v>
      </c>
      <c r="D15" s="396"/>
      <c r="E15" s="397"/>
      <c r="F15" s="396"/>
    </row>
    <row r="16" spans="1:8" ht="15" x14ac:dyDescent="0.25">
      <c r="B16" s="398" t="str">
        <f>preferred</f>
        <v>Option 2</v>
      </c>
      <c r="C16" s="399" t="str">
        <f>Summary!D18</f>
        <v>Replace #1 transformer completed in 2027-2028</v>
      </c>
    </row>
    <row r="17" spans="3:6" x14ac:dyDescent="0.2">
      <c r="C17" s="380"/>
      <c r="D17" s="381"/>
      <c r="E17" s="382" t="s">
        <v>4</v>
      </c>
      <c r="F17" s="377" t="s">
        <v>5</v>
      </c>
    </row>
    <row r="18" spans="3:6" x14ac:dyDescent="0.2">
      <c r="C18" s="383" t="s">
        <v>6</v>
      </c>
      <c r="D18" s="384"/>
      <c r="E18" s="385"/>
      <c r="F18" s="386" t="s">
        <v>7</v>
      </c>
    </row>
    <row r="19" spans="3:6" x14ac:dyDescent="0.2">
      <c r="C19" s="387" t="s">
        <v>8</v>
      </c>
      <c r="D19" s="384"/>
      <c r="E19" s="388" cm="1">
        <f t="array" ref="E19">SUMPRODUCT(((Workings_risks!E23:AC23)*(Consol!$I$5:$AG$5)*(Consol!$I$7:$AG$7)))</f>
        <v>4652970.7937633544</v>
      </c>
      <c r="F19" s="389" t="s">
        <v>354</v>
      </c>
    </row>
    <row r="20" spans="3:6" x14ac:dyDescent="0.2">
      <c r="C20" s="387" t="s">
        <v>204</v>
      </c>
      <c r="D20" s="384"/>
      <c r="E20" s="388" cm="1">
        <f t="array" ref="E20">SUMPRODUCT(((Workings_risks!E24:AC24)*(Consol!$I$5:$AG$5)*(Consol!$I$7:$AG$7)))</f>
        <v>5278.3611418268138</v>
      </c>
      <c r="F20" s="389" t="s">
        <v>355</v>
      </c>
    </row>
    <row r="21" spans="3:6" x14ac:dyDescent="0.2">
      <c r="C21" s="387" t="s">
        <v>205</v>
      </c>
      <c r="D21" s="384"/>
      <c r="E21" s="388" cm="1">
        <f t="array" ref="E21">SUMPRODUCT(((Workings_risks!E25:AC25)*(Consol!$I$5:$AG$5)*(Consol!$I$7:$AG$7)))</f>
        <v>266225.02645803557</v>
      </c>
      <c r="F21" s="389" t="s">
        <v>356</v>
      </c>
    </row>
    <row r="22" spans="3:6" x14ac:dyDescent="0.2">
      <c r="C22" s="387" t="s">
        <v>206</v>
      </c>
      <c r="D22" s="384"/>
      <c r="E22" s="388" cm="1">
        <f t="array" ref="E22">SUMPRODUCT(((Workings_risks!E26:AC26)*(Consol!$I$5:$AG$5)*(Consol!$I$7:$AG$7)))</f>
        <v>19489.201672543011</v>
      </c>
      <c r="F22" s="389" t="s">
        <v>357</v>
      </c>
    </row>
    <row r="23" spans="3:6" x14ac:dyDescent="0.2">
      <c r="C23" s="387" t="s">
        <v>345</v>
      </c>
      <c r="D23" s="384"/>
      <c r="E23" s="388" cm="1">
        <f t="array" ref="E23">SUMPRODUCT(((Workings_risks!E27:AC27)*(Consol!$I$5:$AG$5)*(Consol!$I$7:$AG$7)))</f>
        <v>8777.9458688664545</v>
      </c>
      <c r="F23" s="389" t="s">
        <v>358</v>
      </c>
    </row>
    <row r="24" spans="3:6" x14ac:dyDescent="0.2">
      <c r="C24" s="400" t="s">
        <v>9</v>
      </c>
      <c r="D24" s="401"/>
      <c r="E24" s="394" cm="1">
        <f t="array" ref="E24">SUMPRODUCT(((Workings_risks!E28:AC28)*(Consol!$I$5:$AG$5)*(Consol!$I$7:$AG$7)))*conv_2026</f>
        <v>5481181.0507401982</v>
      </c>
      <c r="F24" s="395" t="s">
        <v>10</v>
      </c>
    </row>
    <row r="25" spans="3:6" x14ac:dyDescent="0.2">
      <c r="C25" s="402" t="s">
        <v>12</v>
      </c>
      <c r="D25" s="384"/>
      <c r="E25" s="389"/>
      <c r="F25" s="389"/>
    </row>
    <row r="26" spans="3:6" x14ac:dyDescent="0.2">
      <c r="C26" s="387" t="s">
        <v>13</v>
      </c>
      <c r="D26" s="384"/>
      <c r="E26" s="388">
        <f>E13-E24</f>
        <v>15452735.850418102</v>
      </c>
      <c r="F26" s="389" t="s">
        <v>14</v>
      </c>
    </row>
    <row r="27" spans="3:6" x14ac:dyDescent="0.2">
      <c r="C27" s="403" t="s">
        <v>15</v>
      </c>
      <c r="D27" s="404" t="s">
        <v>16</v>
      </c>
      <c r="E27" s="405">
        <f>E26</f>
        <v>15452735.850418102</v>
      </c>
      <c r="F27" s="395"/>
    </row>
    <row r="28" spans="3:6" x14ac:dyDescent="0.2">
      <c r="C28" s="402" t="s">
        <v>17</v>
      </c>
      <c r="D28" s="406"/>
      <c r="E28" s="407"/>
      <c r="F28" s="386" t="s">
        <v>7</v>
      </c>
    </row>
    <row r="29" spans="3:6" x14ac:dyDescent="0.2">
      <c r="C29" s="387" t="str">
        <f>Option2!C72</f>
        <v>Replace 1 transformer</v>
      </c>
      <c r="D29" s="384"/>
      <c r="E29" s="389" cm="1">
        <f t="array" ref="E29">SUMPRODUCT((Option2!I77:AG77)*(Consol!I5:AG5)*(Consol!$I$7:$AG$7))</f>
        <v>-4263647.6107588662</v>
      </c>
      <c r="F29" s="389" t="s">
        <v>18</v>
      </c>
    </row>
    <row r="30" spans="3:6" x14ac:dyDescent="0.2">
      <c r="C30" s="403" t="s">
        <v>19</v>
      </c>
      <c r="D30" s="404" t="s">
        <v>20</v>
      </c>
      <c r="E30" s="408">
        <f>SUM(E29:E29)*conv_2026</f>
        <v>-4718563.506383203</v>
      </c>
      <c r="F30" s="395"/>
    </row>
    <row r="31" spans="3:6" x14ac:dyDescent="0.2">
      <c r="C31" s="409" t="s">
        <v>21</v>
      </c>
      <c r="D31" s="410" t="s">
        <v>22</v>
      </c>
      <c r="E31" s="411">
        <f>E27+E30</f>
        <v>10734172.344034899</v>
      </c>
      <c r="F31" s="395"/>
    </row>
    <row r="32" spans="3:6" x14ac:dyDescent="0.2">
      <c r="C32" s="412"/>
      <c r="D32" s="413"/>
      <c r="E32" s="414"/>
      <c r="F32" s="41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>
    <tabColor rgb="FF66FFFF"/>
    <pageSetUpPr fitToPage="1"/>
  </sheetPr>
  <dimension ref="A1:N232"/>
  <sheetViews>
    <sheetView showGridLines="0" zoomScale="85" zoomScaleNormal="85" workbookViewId="0">
      <pane ySplit="2" topLeftCell="A3" activePane="bottomLeft" state="frozen"/>
      <selection pane="bottomLeft" activeCell="A3" sqref="A3"/>
    </sheetView>
  </sheetViews>
  <sheetFormatPr defaultColWidth="0" defaultRowHeight="12" zeroHeight="1" x14ac:dyDescent="0.2"/>
  <cols>
    <col min="1" max="1" width="1.875" style="8" customWidth="1"/>
    <col min="2" max="2" width="2" style="8" customWidth="1"/>
    <col min="3" max="3" width="21.625" style="8" customWidth="1"/>
    <col min="4" max="4" width="34.625" style="8" customWidth="1"/>
    <col min="5" max="5" width="15.25" style="8" customWidth="1"/>
    <col min="6" max="9" width="13.125" style="8" customWidth="1"/>
    <col min="10" max="10" width="11.75" style="8" customWidth="1"/>
    <col min="11" max="11" width="1.75" style="8" customWidth="1"/>
    <col min="12" max="12" width="14.625" style="8" customWidth="1"/>
    <col min="13" max="13" width="2.25" style="8" customWidth="1"/>
    <col min="14" max="14" width="8.75" style="8" hidden="1" customWidth="1"/>
    <col min="15" max="16384" width="9" style="8" hidden="1"/>
  </cols>
  <sheetData>
    <row r="1" spans="1:13" s="6" customFormat="1" ht="18.75" x14ac:dyDescent="0.3">
      <c r="A1" s="13" t="str">
        <f>bus</f>
        <v>CitiPower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3" s="6" customFormat="1" ht="18.75" x14ac:dyDescent="0.3">
      <c r="A2" s="50" t="str">
        <f>proj</f>
        <v>NC transformer replacement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3" s="2" customFormat="1" ht="18.75" x14ac:dyDescent="0.3">
      <c r="A3" s="177" t="s">
        <v>23</v>
      </c>
      <c r="B3" s="31"/>
      <c r="C3" s="31"/>
      <c r="D3" s="30"/>
      <c r="E3" s="30"/>
      <c r="F3" s="30"/>
      <c r="G3" s="30"/>
      <c r="H3" s="30"/>
      <c r="I3" s="30"/>
      <c r="J3" s="30"/>
      <c r="K3" s="30"/>
      <c r="L3" s="30"/>
      <c r="M3" s="6"/>
    </row>
    <row r="4" spans="1:13" s="2" customFormat="1" ht="18.75" x14ac:dyDescent="0.3">
      <c r="A4" s="31"/>
      <c r="B4" s="31"/>
      <c r="C4" s="31"/>
      <c r="D4" s="30"/>
      <c r="E4" s="30"/>
      <c r="F4" s="30"/>
      <c r="G4" s="30"/>
      <c r="H4" s="30"/>
      <c r="I4" s="30"/>
      <c r="J4" s="30"/>
      <c r="K4" s="30"/>
      <c r="L4" s="30"/>
      <c r="M4" s="6"/>
    </row>
    <row r="5" spans="1:13" s="2" customFormat="1" ht="15" x14ac:dyDescent="0.25">
      <c r="A5" s="17" t="s">
        <v>24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6"/>
    </row>
    <row r="6" spans="1:13" s="2" customFormat="1" ht="12.75" x14ac:dyDescent="0.2">
      <c r="A6" s="7"/>
      <c r="B6" s="7"/>
      <c r="C6" s="7"/>
      <c r="D6" s="4"/>
      <c r="E6" s="4"/>
      <c r="F6" s="7"/>
      <c r="G6" s="7"/>
      <c r="H6" s="7"/>
      <c r="I6" s="7"/>
      <c r="J6" s="7"/>
      <c r="K6" s="7"/>
      <c r="L6" s="7"/>
    </row>
    <row r="7" spans="1:13" s="2" customFormat="1" ht="12.75" x14ac:dyDescent="0.2">
      <c r="G7" s="130" t="s">
        <v>25</v>
      </c>
      <c r="H7" s="130" t="s">
        <v>26</v>
      </c>
      <c r="I7" s="130" t="s">
        <v>22</v>
      </c>
    </row>
    <row r="8" spans="1:13" s="2" customFormat="1" ht="12.75" x14ac:dyDescent="0.2">
      <c r="C8" s="26" t="s">
        <v>27</v>
      </c>
      <c r="D8" s="26"/>
      <c r="E8" s="26"/>
      <c r="F8" s="26"/>
      <c r="G8" s="159">
        <f>output_dollars</f>
        <v>46203</v>
      </c>
      <c r="H8" s="159">
        <f>output_dollars</f>
        <v>46203</v>
      </c>
      <c r="I8" s="159">
        <f>output_dollars</f>
        <v>46203</v>
      </c>
    </row>
    <row r="9" spans="1:13" s="2" customFormat="1" ht="12.75" x14ac:dyDescent="0.2">
      <c r="C9" s="65" t="str" cm="1">
        <f t="array" ref="C9:C13">options</f>
        <v>Option 1 (base case)</v>
      </c>
      <c r="D9" s="421" t="str">
        <f>INDEX(Assumptions!$E$14:$E$18, MATCH(C9, Assumptions!$C$14:$C$18,0))</f>
        <v>No change to existing practices</v>
      </c>
      <c r="E9" s="422"/>
      <c r="F9" s="422"/>
      <c r="G9" s="90">
        <f>IF(Data!$C9, "", INDEX(Consol!$F$15:$F$82, MATCH($C9&amp;G$7, Consol!$D$15:$D$82,0))/mill_conv)</f>
        <v>0</v>
      </c>
      <c r="H9" s="90">
        <f>IF(Data!$C9, "", INDEX(Consol!$F$15:$F$82, MATCH($C9&amp;H$7, Consol!$D$15:$D$82,0))/mill_conv)</f>
        <v>0</v>
      </c>
      <c r="I9" s="90">
        <f>IF(Data!$C9, "", INDEX(Consol!$F$15:$F$82, MATCH($C9&amp;I$7, Consol!$D$15:$D$82,0))/mill_conv)</f>
        <v>0</v>
      </c>
    </row>
    <row r="10" spans="1:13" s="2" customFormat="1" ht="12.75" customHeight="1" x14ac:dyDescent="0.2">
      <c r="C10" s="65" t="str">
        <v>Option 2</v>
      </c>
      <c r="D10" s="423" t="str">
        <f>INDEX(Assumptions!$E$14:$E$18, MATCH(C10, Assumptions!$C$14:$C$18,0))</f>
        <v>Replace #1 transformer completed in 2027-2028</v>
      </c>
      <c r="E10" s="424"/>
      <c r="F10" s="424"/>
      <c r="G10" s="90">
        <f>IF(Data!$C10, "", INDEX(Consol!$F$15:$F$82, MATCH($C10&amp;G$7, Consol!$D$15:$D$82,0))/mill_conv)</f>
        <v>-4.7185635063832025</v>
      </c>
      <c r="H10" s="90">
        <f>IF(Data!$C10, "", INDEX(Consol!$F$15:$F$82, MATCH($C10&amp;H$7, Consol!$D$15:$D$82,0))/mill_conv)</f>
        <v>15.452735850418104</v>
      </c>
      <c r="I10" s="90">
        <f>IF(Data!$C10, "", INDEX(Consol!$F$15:$F$82, MATCH($C10&amp;I$7, Consol!$D$15:$D$82,0))/mill_conv)</f>
        <v>10.734172344034899</v>
      </c>
    </row>
    <row r="11" spans="1:13" s="2" customFormat="1" ht="12.75" x14ac:dyDescent="0.2">
      <c r="C11" s="65" t="str">
        <v>Option 3</v>
      </c>
      <c r="D11" s="423" t="str">
        <f>INDEX(Assumptions!$E$14:$E$18, MATCH(C11, Assumptions!$C$14:$C$18,0))</f>
        <v>Refurbish #1 transformer completed in 2026-2027</v>
      </c>
      <c r="E11" s="424"/>
      <c r="F11" s="424"/>
      <c r="G11" s="90">
        <f>IF(Data!$C11, "", INDEX(Consol!$F$15:$F$82, MATCH($C11&amp;G$7, Consol!$D$15:$D$82,0))/mill_conv)</f>
        <v>-0.55615901053383099</v>
      </c>
      <c r="H11" s="90">
        <f>IF(Data!$C11, "", INDEX(Consol!$F$15:$F$82, MATCH($C11&amp;H$7, Consol!$D$15:$D$82,0))/mill_conv)</f>
        <v>0.4376922997768467</v>
      </c>
      <c r="I11" s="90">
        <f>IF(Data!$C11, "", INDEX(Consol!$F$15:$F$82, MATCH($C11&amp;I$7, Consol!$D$15:$D$82,0))/mill_conv)</f>
        <v>-0.11846671075698442</v>
      </c>
    </row>
    <row r="12" spans="1:13" s="2" customFormat="1" ht="12.75" x14ac:dyDescent="0.2">
      <c r="C12" s="65" t="str">
        <v>Option 4</v>
      </c>
      <c r="D12" s="423">
        <f>INDEX(Assumptions!$E$14:$E$18, MATCH(C12, Assumptions!$C$14:$C$18,0))</f>
        <v>0</v>
      </c>
      <c r="E12" s="424"/>
      <c r="F12" s="424"/>
      <c r="G12" s="90" t="str">
        <f>IF(Data!$C12, "", INDEX(Consol!$F$15:$F$82, MATCH($C12&amp;G$7, Consol!$D$15:$D$82,0))/mill_conv)</f>
        <v/>
      </c>
      <c r="H12" s="90" t="str">
        <f>IF(Data!$C12, "", INDEX(Consol!$F$15:$F$82, MATCH($C12&amp;H$7, Consol!$D$15:$D$82,0))/mill_conv)</f>
        <v/>
      </c>
      <c r="I12" s="90" t="str">
        <f>IF(Data!$C12, "", INDEX(Consol!$F$15:$F$82, MATCH($C12&amp;I$7, Consol!$D$15:$D$82,0))/mill_conv)</f>
        <v/>
      </c>
    </row>
    <row r="13" spans="1:13" s="2" customFormat="1" ht="12.75" x14ac:dyDescent="0.2">
      <c r="C13" s="65" t="str">
        <v>Option 5</v>
      </c>
      <c r="D13" s="423">
        <f>INDEX(Assumptions!$E$14:$E$18, MATCH(C13, Assumptions!$C$14:$C$18,0))</f>
        <v>0</v>
      </c>
      <c r="E13" s="424"/>
      <c r="F13" s="424"/>
      <c r="G13" s="90" t="str">
        <f>IF(Data!$C13, "", INDEX(Consol!$F$15:$F$82, MATCH($C13&amp;G$7, Consol!$D$15:$D$82,0))/mill_conv)</f>
        <v/>
      </c>
      <c r="H13" s="90" t="str">
        <f>IF(Data!$C13, "", INDEX(Consol!$F$15:$F$82, MATCH($C13&amp;H$7, Consol!$D$15:$D$82,0))/mill_conv)</f>
        <v/>
      </c>
      <c r="I13" s="90" t="str">
        <f>IF(Data!$C13, "", INDEX(Consol!$F$15:$F$82, MATCH($C13&amp;I$7, Consol!$D$15:$D$82,0))/mill_conv)</f>
        <v/>
      </c>
    </row>
    <row r="14" spans="1:13" s="2" customFormat="1" ht="12.75" x14ac:dyDescent="0.2">
      <c r="C14" s="65"/>
      <c r="D14" s="65"/>
      <c r="E14" s="65"/>
      <c r="F14" s="80"/>
      <c r="H14" s="7"/>
    </row>
    <row r="15" spans="1:13" s="2" customFormat="1" ht="12.75" x14ac:dyDescent="0.2">
      <c r="C15" s="65"/>
      <c r="D15" s="65"/>
      <c r="E15" s="65"/>
      <c r="F15" s="80"/>
      <c r="G15"/>
      <c r="I15" s="7"/>
    </row>
    <row r="16" spans="1:13" s="2" customFormat="1" ht="12.75" x14ac:dyDescent="0.2">
      <c r="G16" s="130" t="s">
        <v>22</v>
      </c>
      <c r="H16"/>
      <c r="J16" s="7"/>
    </row>
    <row r="17" spans="1:13" s="2" customFormat="1" ht="12.75" x14ac:dyDescent="0.2">
      <c r="C17" s="24" t="s">
        <v>28</v>
      </c>
      <c r="D17" s="26"/>
      <c r="E17" s="26"/>
      <c r="F17" s="26"/>
      <c r="G17" s="159">
        <f>output_dollars</f>
        <v>46203</v>
      </c>
      <c r="H17"/>
      <c r="J17" s="7"/>
    </row>
    <row r="18" spans="1:13" s="2" customFormat="1" ht="12.75" x14ac:dyDescent="0.2">
      <c r="C18" s="32" t="str">
        <f>INDEX($C$9:$C$13,MATCH(G18, $I$9:$I$13,0))</f>
        <v>Option 2</v>
      </c>
      <c r="D18" s="420" t="str">
        <f>INDEX($D$9:$D$13,MATCH(G18, $I$9:$I$13,0))</f>
        <v>Replace #1 transformer completed in 2027-2028</v>
      </c>
      <c r="E18" s="420"/>
      <c r="F18" s="420"/>
      <c r="G18" s="91">
        <f>_xlfn.MAXIFS(I9:I13, IF(compliance, Data!$F$9:$F$13, Data!$C$9:$C$13),FALSE)</f>
        <v>10.734172344034899</v>
      </c>
      <c r="H18"/>
    </row>
    <row r="19" spans="1:13" s="2" customFormat="1" ht="12.75" x14ac:dyDescent="0.2">
      <c r="H19"/>
    </row>
    <row r="20" spans="1:13" x14ac:dyDescent="0.2"/>
    <row r="21" spans="1:13" x14ac:dyDescent="0.2"/>
    <row r="22" spans="1:13" x14ac:dyDescent="0.2"/>
    <row r="23" spans="1:13" ht="15" x14ac:dyDescent="0.25">
      <c r="A23" s="17" t="s">
        <v>29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6"/>
    </row>
    <row r="24" spans="1:13" x14ac:dyDescent="0.2"/>
    <row r="25" spans="1:13" s="6" customFormat="1" ht="12.75" x14ac:dyDescent="0.2">
      <c r="C25" s="12" t="s">
        <v>11</v>
      </c>
    </row>
    <row r="26" spans="1:13" s="6" customFormat="1" ht="12.75" x14ac:dyDescent="0.2">
      <c r="C26" s="81" t="str">
        <f>C18</f>
        <v>Option 2</v>
      </c>
    </row>
    <row r="27" spans="1:13" s="6" customFormat="1" ht="12.75" x14ac:dyDescent="0.2"/>
    <row r="28" spans="1:13" s="6" customFormat="1" ht="12.75" x14ac:dyDescent="0.2"/>
    <row r="29" spans="1:13" s="6" customFormat="1" ht="12.75" x14ac:dyDescent="0.2">
      <c r="C29" s="47" t="s">
        <v>30</v>
      </c>
      <c r="D29" s="243">
        <f>output_dollars</f>
        <v>46203</v>
      </c>
      <c r="E29" s="160"/>
      <c r="F29" s="49" t="str">
        <f>Assumptions!K89</f>
        <v>2026-27</v>
      </c>
      <c r="G29" s="49" t="str">
        <f>Assumptions!L89</f>
        <v>2027-28</v>
      </c>
      <c r="H29" s="49" t="str">
        <f>Assumptions!M89</f>
        <v>2028-29</v>
      </c>
      <c r="I29" s="49" t="str">
        <f>Assumptions!N89</f>
        <v>2029-30</v>
      </c>
      <c r="J29" s="49" t="str">
        <f>Assumptions!O89</f>
        <v>2030-31</v>
      </c>
      <c r="L29" s="49" t="s">
        <v>31</v>
      </c>
    </row>
    <row r="30" spans="1:13" s="6" customFormat="1" ht="12.75" x14ac:dyDescent="0.2">
      <c r="C30" s="4" t="s">
        <v>32</v>
      </c>
      <c r="F30" s="92">
        <f>-INDEX(Consol!$I$15:$Q$82,MATCH($C$26&amp;$C30,Consol!$D$15:$D$82,0), MATCH(F$29, Consol!$I$9:$Q$9,0))/mill_conv</f>
        <v>5.6069560697759604</v>
      </c>
      <c r="G30" s="92">
        <f>-INDEX(Consol!$I$15:$Q$82,MATCH($C$26&amp;$C30,Consol!$D$15:$D$82,0), MATCH(G$29, Consol!$I$9:$Q$9,0))/mill_conv</f>
        <v>2.8034780348879802</v>
      </c>
      <c r="H30" s="92">
        <f>-INDEX(Consol!$I$15:$Q$82,MATCH($C$26&amp;$C30,Consol!$D$15:$D$82,0), MATCH(H$29, Consol!$I$9:$Q$9,0))/mill_conv</f>
        <v>0</v>
      </c>
      <c r="I30" s="92">
        <f>-INDEX(Consol!$I$15:$Q$82,MATCH($C$26&amp;$C30,Consol!$D$15:$D$82,0), MATCH(I$29, Consol!$I$9:$Q$9,0))/mill_conv</f>
        <v>0</v>
      </c>
      <c r="J30" s="92">
        <f>-INDEX(Consol!$I$15:$Q$82,MATCH($C$26&amp;$C30,Consol!$D$15:$D$82,0), MATCH(J$29, Consol!$I$9:$Q$9,0))/mill_conv</f>
        <v>0</v>
      </c>
      <c r="K30" s="161"/>
      <c r="L30" s="161">
        <f>SUM(F30:J30)</f>
        <v>8.4104341046639401</v>
      </c>
    </row>
    <row r="31" spans="1:13" s="6" customFormat="1" ht="12.75" x14ac:dyDescent="0.2">
      <c r="C31" s="4" t="s">
        <v>33</v>
      </c>
      <c r="D31" s="10"/>
      <c r="E31" s="10"/>
      <c r="F31" s="92">
        <f>-INDEX(Consol!$I$15:$Q$82,MATCH($C$26&amp;$C31,Consol!$D$15:$D$82,0), MATCH(F$29, Consol!$I$9:$Q$9,0))/mill_conv</f>
        <v>0</v>
      </c>
      <c r="G31" s="92">
        <f>-INDEX(Consol!$I$15:$Q$82,MATCH($C$26&amp;$C31,Consol!$D$15:$D$82,0), MATCH(G$29, Consol!$I$9:$Q$9,0))/mill_conv</f>
        <v>0</v>
      </c>
      <c r="H31" s="92">
        <f>-INDEX(Consol!$I$15:$Q$82,MATCH($C$26&amp;$C31,Consol!$D$15:$D$82,0), MATCH(H$29, Consol!$I$9:$Q$9,0))/mill_conv</f>
        <v>0</v>
      </c>
      <c r="I31" s="92">
        <f>-INDEX(Consol!$I$15:$Q$82,MATCH($C$26&amp;$C31,Consol!$D$15:$D$82,0), MATCH(I$29, Consol!$I$9:$Q$9,0))/mill_conv</f>
        <v>0</v>
      </c>
      <c r="J31" s="92">
        <f>-INDEX(Consol!$I$15:$Q$82,MATCH($C$26&amp;$C31,Consol!$D$15:$D$82,0), MATCH(J$29, Consol!$I$9:$Q$9,0))/mill_conv</f>
        <v>0</v>
      </c>
      <c r="K31" s="161"/>
      <c r="L31" s="161">
        <f>SUM(F31:J31)</f>
        <v>0</v>
      </c>
    </row>
    <row r="32" spans="1:13" s="6" customFormat="1" ht="12.75" x14ac:dyDescent="0.2"/>
    <row r="33" spans="1:12" s="6" customFormat="1" ht="12.75" x14ac:dyDescent="0.2"/>
    <row r="34" spans="1:12" s="6" customFormat="1" ht="12.75" x14ac:dyDescent="0.2"/>
    <row r="35" spans="1:12" s="6" customFormat="1" ht="15" x14ac:dyDescent="0.25">
      <c r="A35" s="17" t="s">
        <v>34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</row>
    <row r="36" spans="1:12" s="6" customFormat="1" ht="12.75" x14ac:dyDescent="0.2"/>
    <row r="37" spans="1:12" s="6" customFormat="1" ht="12.75" x14ac:dyDescent="0.2">
      <c r="C37" s="6" t="s">
        <v>35</v>
      </c>
      <c r="D37" s="10"/>
      <c r="E37" s="10"/>
      <c r="F37" s="273"/>
    </row>
    <row r="38" spans="1:12" s="6" customFormat="1" ht="12.75" x14ac:dyDescent="0.2"/>
    <row r="39" spans="1:12" s="6" customFormat="1" ht="12.75" x14ac:dyDescent="0.2"/>
    <row r="40" spans="1:12" s="6" customFormat="1" ht="12.75" x14ac:dyDescent="0.2"/>
    <row r="41" spans="1:12" s="6" customFormat="1" ht="12.75" x14ac:dyDescent="0.2"/>
    <row r="42" spans="1:12" s="6" customFormat="1" ht="12.75" x14ac:dyDescent="0.2"/>
    <row r="43" spans="1:12" s="6" customFormat="1" ht="12.75" x14ac:dyDescent="0.2"/>
    <row r="44" spans="1:12" s="6" customFormat="1" ht="12.75" x14ac:dyDescent="0.2"/>
    <row r="45" spans="1:12" s="6" customFormat="1" ht="12.75" x14ac:dyDescent="0.2"/>
    <row r="46" spans="1:12" s="6" customFormat="1" ht="12.75" x14ac:dyDescent="0.2"/>
    <row r="47" spans="1:12" s="6" customFormat="1" ht="12.75" x14ac:dyDescent="0.2"/>
    <row r="48" spans="1:12" s="6" customFormat="1" ht="12.75" x14ac:dyDescent="0.2"/>
    <row r="49" spans="1:12" s="6" customFormat="1" ht="12.75" x14ac:dyDescent="0.2"/>
    <row r="50" spans="1:12" s="6" customFormat="1" ht="12.75" x14ac:dyDescent="0.2"/>
    <row r="51" spans="1:12" s="6" customFormat="1" ht="12.75" x14ac:dyDescent="0.2"/>
    <row r="52" spans="1:12" s="6" customFormat="1" ht="12.75" x14ac:dyDescent="0.2"/>
    <row r="53" spans="1:12" s="6" customFormat="1" ht="12.75" x14ac:dyDescent="0.2"/>
    <row r="54" spans="1:12" s="6" customFormat="1" ht="12.75" x14ac:dyDescent="0.2"/>
    <row r="55" spans="1:12" s="6" customFormat="1" ht="12.75" x14ac:dyDescent="0.2"/>
    <row r="56" spans="1:12" s="6" customFormat="1" ht="12.75" x14ac:dyDescent="0.2"/>
    <row r="57" spans="1:12" s="6" customFormat="1" ht="12.75" x14ac:dyDescent="0.2"/>
    <row r="58" spans="1:12" s="6" customFormat="1" ht="12.75" x14ac:dyDescent="0.2"/>
    <row r="59" spans="1:12" s="6" customFormat="1" ht="12.75" x14ac:dyDescent="0.2"/>
    <row r="60" spans="1:12" s="6" customFormat="1" ht="12.75" x14ac:dyDescent="0.2"/>
    <row r="61" spans="1:12" s="6" customFormat="1" ht="12.75" x14ac:dyDescent="0.2"/>
    <row r="62" spans="1:12" s="6" customFormat="1" ht="12.75" x14ac:dyDescent="0.2"/>
    <row r="63" spans="1:12" s="6" customFormat="1" ht="15" x14ac:dyDescent="0.25">
      <c r="A63" s="17" t="s">
        <v>36</v>
      </c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</row>
    <row r="64" spans="1:12" s="6" customFormat="1" ht="12.75" x14ac:dyDescent="0.2"/>
    <row r="65" spans="3:13" s="6" customFormat="1" ht="12.75" x14ac:dyDescent="0.2"/>
    <row r="66" spans="3:13" s="6" customFormat="1" ht="12.75" x14ac:dyDescent="0.2">
      <c r="C66" s="47" t="s">
        <v>37</v>
      </c>
      <c r="D66" s="160">
        <f>output_dollars</f>
        <v>46203</v>
      </c>
      <c r="E66" s="160"/>
      <c r="F66" s="49" t="str">
        <f>Sensitivity_calcs!C89</f>
        <v>Option 1 (base case)</v>
      </c>
      <c r="G66" s="49" t="str">
        <f>Sensitivity_calcs!D89</f>
        <v>Option 2</v>
      </c>
      <c r="H66" s="49" t="str">
        <f>Sensitivity_calcs!E89</f>
        <v>Option 3</v>
      </c>
      <c r="I66" s="49" t="str">
        <f>Sensitivity_calcs!F89</f>
        <v>Option 4</v>
      </c>
      <c r="J66" s="49" t="str">
        <f>Sensitivity_calcs!G89</f>
        <v>Option 5</v>
      </c>
      <c r="K66" s="226"/>
      <c r="L66" s="135" t="s">
        <v>38</v>
      </c>
      <c r="M66" s="226"/>
    </row>
    <row r="67" spans="3:13" s="6" customFormat="1" ht="12.75" x14ac:dyDescent="0.2">
      <c r="C67" s="240" t="str">
        <f>Sensitivity_calcs!B90</f>
        <v>None</v>
      </c>
      <c r="D67" s="228"/>
      <c r="E67" s="228"/>
      <c r="F67" s="241">
        <f>Sensitivity_calcs!C90</f>
        <v>0</v>
      </c>
      <c r="G67" s="241">
        <f>Sensitivity_calcs!D90</f>
        <v>10.734172344034899</v>
      </c>
      <c r="H67" s="241">
        <f>Sensitivity_calcs!E90</f>
        <v>-0.11846671075698446</v>
      </c>
      <c r="I67" s="241" t="str">
        <f>Sensitivity_calcs!F90</f>
        <v/>
      </c>
      <c r="J67" s="241" t="str">
        <f>Sensitivity_calcs!G90</f>
        <v/>
      </c>
      <c r="L67" s="242" t="str">
        <f>Sensitivity_calcs!K90</f>
        <v>Option 2</v>
      </c>
    </row>
    <row r="68" spans="3:13" s="6" customFormat="1" ht="12.75" x14ac:dyDescent="0.2">
      <c r="C68" s="227" t="str">
        <f>Sensitivity_calcs!B91</f>
        <v>Capex 10% higher</v>
      </c>
      <c r="D68" s="227"/>
      <c r="E68" s="227"/>
      <c r="F68" s="236">
        <f>Sensitivity_calcs!C91</f>
        <v>0</v>
      </c>
      <c r="G68" s="231">
        <f>Sensitivity_calcs!D91</f>
        <v>10.262315993396578</v>
      </c>
      <c r="H68" s="231">
        <f>Sensitivity_calcs!E91</f>
        <v>-0.17408261181036758</v>
      </c>
      <c r="I68" s="231" t="str">
        <f>Sensitivity_calcs!F91</f>
        <v/>
      </c>
      <c r="J68" s="231" t="str">
        <f>Sensitivity_calcs!G91</f>
        <v/>
      </c>
      <c r="L68" s="237" t="str">
        <f>Sensitivity_calcs!K91</f>
        <v>Option 2</v>
      </c>
    </row>
    <row r="69" spans="3:13" s="6" customFormat="1" ht="12.75" x14ac:dyDescent="0.2">
      <c r="C69" s="227" t="str">
        <f>Sensitivity_calcs!B92</f>
        <v>Capex 10% lower</v>
      </c>
      <c r="D69" s="227"/>
      <c r="E69" s="227"/>
      <c r="F69" s="92">
        <f>Sensitivity_calcs!C92</f>
        <v>0</v>
      </c>
      <c r="G69" s="232">
        <f>Sensitivity_calcs!D92</f>
        <v>11.20602869467322</v>
      </c>
      <c r="H69" s="232">
        <f>Sensitivity_calcs!E92</f>
        <v>-6.2850809703601337E-2</v>
      </c>
      <c r="I69" s="232" t="str">
        <f>Sensitivity_calcs!F92</f>
        <v/>
      </c>
      <c r="J69" s="232" t="str">
        <f>Sensitivity_calcs!G92</f>
        <v/>
      </c>
      <c r="L69" s="237" t="str">
        <f>Sensitivity_calcs!K92</f>
        <v>Option 2</v>
      </c>
    </row>
    <row r="70" spans="3:13" s="6" customFormat="1" ht="12.75" x14ac:dyDescent="0.2">
      <c r="C70" s="227" t="str">
        <f>Sensitivity_calcs!B93</f>
        <v>Total benefits 10% higher</v>
      </c>
      <c r="D70" s="227"/>
      <c r="E70" s="227"/>
      <c r="F70" s="92">
        <f>Sensitivity_calcs!C93</f>
        <v>0</v>
      </c>
      <c r="G70" s="232">
        <f>Sensitivity_calcs!D93</f>
        <v>12.27944592907671</v>
      </c>
      <c r="H70" s="232">
        <f>Sensitivity_calcs!E93</f>
        <v>-7.469748077929976E-2</v>
      </c>
      <c r="I70" s="232" t="str">
        <f>Sensitivity_calcs!F93</f>
        <v/>
      </c>
      <c r="J70" s="232" t="str">
        <f>Sensitivity_calcs!G93</f>
        <v/>
      </c>
      <c r="L70" s="237" t="str">
        <f>Sensitivity_calcs!K93</f>
        <v>Option 2</v>
      </c>
    </row>
    <row r="71" spans="3:13" s="6" customFormat="1" ht="12.75" x14ac:dyDescent="0.2">
      <c r="C71" s="227" t="str">
        <f>Sensitivity_calcs!B94</f>
        <v>Total benefits 10% lower</v>
      </c>
      <c r="D71" s="227"/>
      <c r="E71" s="227"/>
      <c r="F71" s="92">
        <f>Sensitivity_calcs!C94</f>
        <v>0</v>
      </c>
      <c r="G71" s="232">
        <f>Sensitivity_calcs!D94</f>
        <v>9.1888987589930888</v>
      </c>
      <c r="H71" s="232">
        <f>Sensitivity_calcs!E94</f>
        <v>-0.1622359407346691</v>
      </c>
      <c r="I71" s="232" t="str">
        <f>Sensitivity_calcs!F94</f>
        <v/>
      </c>
      <c r="J71" s="232" t="str">
        <f>Sensitivity_calcs!G94</f>
        <v/>
      </c>
      <c r="L71" s="237" t="str">
        <f>Sensitivity_calcs!K94</f>
        <v>Option 2</v>
      </c>
    </row>
    <row r="72" spans="3:13" s="6" customFormat="1" ht="12.75" x14ac:dyDescent="0.2">
      <c r="C72" s="227" t="str">
        <f>Sensitivity_calcs!B95</f>
        <v>Capex 10% higher &amp; Total benefits 10% lower</v>
      </c>
      <c r="D72" s="227"/>
      <c r="E72" s="227"/>
      <c r="F72" s="92">
        <f>Sensitivity_calcs!C95</f>
        <v>0</v>
      </c>
      <c r="G72" s="232">
        <f>Sensitivity_calcs!D95</f>
        <v>8.7170424083547697</v>
      </c>
      <c r="H72" s="232">
        <f>Sensitivity_calcs!E95</f>
        <v>-0.2178518417880522</v>
      </c>
      <c r="I72" s="232" t="str">
        <f>Sensitivity_calcs!F95</f>
        <v/>
      </c>
      <c r="J72" s="232" t="str">
        <f>Sensitivity_calcs!G95</f>
        <v/>
      </c>
      <c r="L72" s="237" t="str">
        <f>Sensitivity_calcs!K95</f>
        <v>Option 2</v>
      </c>
    </row>
    <row r="73" spans="3:13" s="6" customFormat="1" ht="12.75" x14ac:dyDescent="0.2">
      <c r="C73" s="227">
        <f>Sensitivity_calcs!B96</f>
        <v>0</v>
      </c>
      <c r="D73" s="227"/>
      <c r="E73" s="227"/>
      <c r="F73" s="92" t="str">
        <f>Sensitivity_calcs!C96</f>
        <v/>
      </c>
      <c r="G73" s="232" t="str">
        <f>Sensitivity_calcs!D96</f>
        <v/>
      </c>
      <c r="H73" s="232" t="str">
        <f>Sensitivity_calcs!E96</f>
        <v/>
      </c>
      <c r="I73" s="232" t="str">
        <f>Sensitivity_calcs!F96</f>
        <v/>
      </c>
      <c r="J73" s="232" t="str">
        <f>Sensitivity_calcs!G96</f>
        <v/>
      </c>
      <c r="L73" s="237" t="str">
        <f>Sensitivity_calcs!K96</f>
        <v/>
      </c>
    </row>
    <row r="74" spans="3:13" s="6" customFormat="1" ht="12.75" x14ac:dyDescent="0.2">
      <c r="C74" s="227">
        <f>Sensitivity_calcs!B97</f>
        <v>0</v>
      </c>
      <c r="D74" s="12"/>
      <c r="E74" s="12"/>
      <c r="F74" s="92" t="str">
        <f>Sensitivity_calcs!C97</f>
        <v/>
      </c>
      <c r="G74" s="232" t="str">
        <f>Sensitivity_calcs!D97</f>
        <v/>
      </c>
      <c r="H74" s="232" t="str">
        <f>Sensitivity_calcs!E97</f>
        <v/>
      </c>
      <c r="I74" s="232" t="str">
        <f>Sensitivity_calcs!F97</f>
        <v/>
      </c>
      <c r="J74" s="232" t="str">
        <f>Sensitivity_calcs!G97</f>
        <v/>
      </c>
      <c r="K74" s="229">
        <f>IF(C74=0,0, INDEX($F$66:$J$66, MATCH(MAX($F74:$I74),$F74:$I74,0)))</f>
        <v>0</v>
      </c>
      <c r="L74" s="237" t="str">
        <f>Sensitivity_calcs!K97</f>
        <v/>
      </c>
    </row>
    <row r="75" spans="3:13" s="6" customFormat="1" ht="12.75" x14ac:dyDescent="0.2">
      <c r="D75" s="227">
        <f>Sensitivity_calcs!B98</f>
        <v>0</v>
      </c>
      <c r="E75" s="227"/>
      <c r="F75" s="92" t="str">
        <f>Sensitivity_calcs!C98</f>
        <v/>
      </c>
      <c r="G75" s="232" t="str">
        <f>Sensitivity_calcs!D98</f>
        <v/>
      </c>
      <c r="H75" s="232" t="str">
        <f>Sensitivity_calcs!E98</f>
        <v/>
      </c>
      <c r="I75" s="232" t="str">
        <f>Sensitivity_calcs!F98</f>
        <v/>
      </c>
      <c r="J75" s="232" t="str">
        <f>Sensitivity_calcs!G98</f>
        <v/>
      </c>
      <c r="L75" s="237" t="str">
        <f>Sensitivity_calcs!K98</f>
        <v/>
      </c>
    </row>
    <row r="76" spans="3:13" s="6" customFormat="1" ht="12.75" x14ac:dyDescent="0.2">
      <c r="D76" s="227">
        <f>Sensitivity_calcs!B99</f>
        <v>0</v>
      </c>
      <c r="E76" s="227"/>
      <c r="F76" s="161"/>
      <c r="G76" s="92"/>
      <c r="H76" s="92"/>
      <c r="I76" s="92"/>
      <c r="J76" s="92"/>
    </row>
    <row r="77" spans="3:13" s="6" customFormat="1" ht="12.75" x14ac:dyDescent="0.2">
      <c r="G77" s="92"/>
      <c r="H77" s="92"/>
      <c r="I77" s="92"/>
      <c r="J77" s="92"/>
    </row>
    <row r="78" spans="3:13" s="6" customFormat="1" ht="12.75" x14ac:dyDescent="0.2"/>
    <row r="79" spans="3:13" s="6" customFormat="1" ht="12.75" x14ac:dyDescent="0.2"/>
    <row r="80" spans="3:13" s="6" customFormat="1" ht="12.75" x14ac:dyDescent="0.2"/>
    <row r="81" spans="4:6" s="6" customFormat="1" ht="12.75" x14ac:dyDescent="0.2">
      <c r="D81" s="215"/>
      <c r="E81" s="215"/>
      <c r="F81" s="215"/>
    </row>
    <row r="82" spans="4:6" s="6" customFormat="1" ht="12.75" x14ac:dyDescent="0.2">
      <c r="D82" s="215"/>
      <c r="E82" s="215"/>
      <c r="F82" s="215"/>
    </row>
    <row r="83" spans="4:6" s="6" customFormat="1" ht="12.75" hidden="1" x14ac:dyDescent="0.2">
      <c r="D83" s="215"/>
      <c r="E83" s="215"/>
      <c r="F83" s="215"/>
    </row>
    <row r="84" spans="4:6" s="6" customFormat="1" ht="12.75" hidden="1" x14ac:dyDescent="0.2"/>
    <row r="85" spans="4:6" s="6" customFormat="1" ht="12.75" hidden="1" x14ac:dyDescent="0.2"/>
    <row r="86" spans="4:6" s="6" customFormat="1" ht="12.75" hidden="1" x14ac:dyDescent="0.2"/>
    <row r="87" spans="4:6" s="6" customFormat="1" ht="12.75" hidden="1" x14ac:dyDescent="0.2"/>
    <row r="88" spans="4:6" s="6" customFormat="1" ht="12.75" hidden="1" x14ac:dyDescent="0.2"/>
    <row r="89" spans="4:6" s="6" customFormat="1" ht="12.75" hidden="1" x14ac:dyDescent="0.2"/>
    <row r="90" spans="4:6" s="6" customFormat="1" ht="12.75" hidden="1" x14ac:dyDescent="0.2"/>
    <row r="91" spans="4:6" s="6" customFormat="1" ht="12.75" hidden="1" x14ac:dyDescent="0.2"/>
    <row r="92" spans="4:6" s="6" customFormat="1" ht="12.75" hidden="1" x14ac:dyDescent="0.2"/>
    <row r="93" spans="4:6" s="6" customFormat="1" ht="12.75" hidden="1" x14ac:dyDescent="0.2"/>
    <row r="94" spans="4:6" s="6" customFormat="1" ht="12.75" hidden="1" x14ac:dyDescent="0.2"/>
    <row r="95" spans="4:6" s="6" customFormat="1" ht="12.75" hidden="1" x14ac:dyDescent="0.2"/>
    <row r="96" spans="4:6" s="6" customFormat="1" ht="12.75" hidden="1" x14ac:dyDescent="0.2"/>
    <row r="97" s="6" customFormat="1" ht="12.75" hidden="1" x14ac:dyDescent="0.2"/>
    <row r="98" s="6" customFormat="1" ht="12.75" hidden="1" x14ac:dyDescent="0.2"/>
    <row r="99" s="6" customFormat="1" ht="12.75" hidden="1" x14ac:dyDescent="0.2"/>
    <row r="100" s="6" customFormat="1" ht="12.75" hidden="1" x14ac:dyDescent="0.2"/>
    <row r="101" s="6" customFormat="1" ht="12.75" hidden="1" x14ac:dyDescent="0.2"/>
    <row r="102" s="6" customFormat="1" ht="12.75" hidden="1" x14ac:dyDescent="0.2"/>
    <row r="103" s="6" customFormat="1" ht="12.75" hidden="1" x14ac:dyDescent="0.2"/>
    <row r="104" s="6" customFormat="1" ht="12.75" hidden="1" x14ac:dyDescent="0.2"/>
    <row r="105" s="6" customFormat="1" ht="12.75" hidden="1" x14ac:dyDescent="0.2"/>
    <row r="106" s="6" customFormat="1" ht="12.75" hidden="1" x14ac:dyDescent="0.2"/>
    <row r="107" s="6" customFormat="1" ht="12.75" hidden="1" x14ac:dyDescent="0.2"/>
    <row r="108" s="6" customFormat="1" ht="12.75" hidden="1" x14ac:dyDescent="0.2"/>
    <row r="109" s="6" customFormat="1" ht="12.75" hidden="1" x14ac:dyDescent="0.2"/>
    <row r="110" s="6" customFormat="1" ht="12.75" hidden="1" x14ac:dyDescent="0.2"/>
    <row r="111" s="6" customFormat="1" ht="12.75" hidden="1" x14ac:dyDescent="0.2"/>
    <row r="112" s="6" customFormat="1" ht="12.75" hidden="1" x14ac:dyDescent="0.2"/>
    <row r="113" s="6" customFormat="1" ht="12.75" hidden="1" x14ac:dyDescent="0.2"/>
    <row r="114" s="6" customFormat="1" ht="12.75" hidden="1" x14ac:dyDescent="0.2"/>
    <row r="115" s="6" customFormat="1" ht="12.75" hidden="1" x14ac:dyDescent="0.2"/>
    <row r="116" s="6" customFormat="1" ht="12.75" hidden="1" x14ac:dyDescent="0.2"/>
    <row r="117" s="6" customFormat="1" ht="12.75" hidden="1" x14ac:dyDescent="0.2"/>
    <row r="118" s="6" customFormat="1" ht="12.75" hidden="1" x14ac:dyDescent="0.2"/>
    <row r="119" s="6" customFormat="1" ht="12.75" hidden="1" x14ac:dyDescent="0.2"/>
    <row r="120" s="6" customFormat="1" ht="12.75" hidden="1" x14ac:dyDescent="0.2"/>
    <row r="121" s="6" customFormat="1" ht="12.75" hidden="1" x14ac:dyDescent="0.2"/>
    <row r="122" s="6" customFormat="1" ht="12.75" hidden="1" x14ac:dyDescent="0.2"/>
    <row r="123" s="6" customFormat="1" ht="12.75" hidden="1" x14ac:dyDescent="0.2"/>
    <row r="124" s="6" customFormat="1" ht="12.75" hidden="1" x14ac:dyDescent="0.2"/>
    <row r="125" s="6" customFormat="1" ht="12.75" hidden="1" x14ac:dyDescent="0.2"/>
    <row r="126" s="6" customFormat="1" ht="12.75" hidden="1" x14ac:dyDescent="0.2"/>
    <row r="127" s="6" customFormat="1" ht="12.75" hidden="1" x14ac:dyDescent="0.2"/>
    <row r="128" s="6" customFormat="1" ht="12.75" hidden="1" x14ac:dyDescent="0.2"/>
    <row r="129" s="6" customFormat="1" ht="12.75" hidden="1" x14ac:dyDescent="0.2"/>
    <row r="130" s="6" customFormat="1" ht="12.75" hidden="1" x14ac:dyDescent="0.2"/>
    <row r="131" s="6" customFormat="1" ht="12.75" hidden="1" x14ac:dyDescent="0.2"/>
    <row r="132" s="6" customFormat="1" ht="12.75" hidden="1" x14ac:dyDescent="0.2"/>
    <row r="133" s="6" customFormat="1" ht="12.75" hidden="1" x14ac:dyDescent="0.2"/>
    <row r="134" s="6" customFormat="1" ht="12.75" hidden="1" x14ac:dyDescent="0.2"/>
    <row r="135" s="6" customFormat="1" ht="12.75" hidden="1" x14ac:dyDescent="0.2"/>
    <row r="136" s="6" customFormat="1" ht="12.75" hidden="1" x14ac:dyDescent="0.2"/>
    <row r="137" s="6" customFormat="1" ht="12.75" hidden="1" x14ac:dyDescent="0.2"/>
    <row r="138" s="6" customFormat="1" ht="12.75" hidden="1" x14ac:dyDescent="0.2"/>
    <row r="139" s="6" customFormat="1" ht="12.75" hidden="1" x14ac:dyDescent="0.2"/>
    <row r="140" s="6" customFormat="1" ht="12.75" hidden="1" x14ac:dyDescent="0.2"/>
    <row r="141" s="6" customFormat="1" ht="12.75" hidden="1" x14ac:dyDescent="0.2"/>
    <row r="142" s="6" customFormat="1" ht="12.75" hidden="1" x14ac:dyDescent="0.2"/>
    <row r="143" s="6" customFormat="1" ht="12.75" hidden="1" x14ac:dyDescent="0.2"/>
    <row r="144" s="6" customFormat="1" ht="12.75" hidden="1" x14ac:dyDescent="0.2"/>
    <row r="145" s="6" customFormat="1" ht="12.75" hidden="1" x14ac:dyDescent="0.2"/>
    <row r="146" s="6" customFormat="1" ht="12.75" hidden="1" x14ac:dyDescent="0.2"/>
    <row r="147" s="6" customFormat="1" ht="12.75" hidden="1" x14ac:dyDescent="0.2"/>
    <row r="148" s="6" customFormat="1" ht="12.75" hidden="1" x14ac:dyDescent="0.2"/>
    <row r="149" s="6" customFormat="1" ht="12.75" hidden="1" x14ac:dyDescent="0.2"/>
    <row r="150" s="6" customFormat="1" ht="12.75" hidden="1" x14ac:dyDescent="0.2"/>
    <row r="151" s="6" customFormat="1" ht="12.75" hidden="1" x14ac:dyDescent="0.2"/>
    <row r="152" s="6" customFormat="1" ht="12.75" hidden="1" x14ac:dyDescent="0.2"/>
    <row r="153" s="6" customFormat="1" ht="12.75" hidden="1" x14ac:dyDescent="0.2"/>
    <row r="154" s="6" customFormat="1" ht="12.75" hidden="1" x14ac:dyDescent="0.2"/>
    <row r="155" s="6" customFormat="1" ht="12.75" hidden="1" x14ac:dyDescent="0.2"/>
    <row r="156" s="6" customFormat="1" ht="12.75" hidden="1" x14ac:dyDescent="0.2"/>
    <row r="157" s="6" customFormat="1" ht="12.75" hidden="1" x14ac:dyDescent="0.2"/>
    <row r="158" s="6" customFormat="1" ht="12.75" hidden="1" x14ac:dyDescent="0.2"/>
    <row r="159" s="6" customFormat="1" ht="12.75" hidden="1" x14ac:dyDescent="0.2"/>
    <row r="160" s="6" customFormat="1" ht="12.75" hidden="1" x14ac:dyDescent="0.2"/>
    <row r="161" s="6" customFormat="1" ht="12.75" hidden="1" x14ac:dyDescent="0.2"/>
    <row r="162" s="6" customFormat="1" ht="12.75" hidden="1" x14ac:dyDescent="0.2"/>
    <row r="163" s="6" customFormat="1" ht="12.75" hidden="1" x14ac:dyDescent="0.2"/>
    <row r="164" s="6" customFormat="1" ht="12.75" hidden="1" x14ac:dyDescent="0.2"/>
    <row r="165" s="6" customFormat="1" ht="12.75" hidden="1" x14ac:dyDescent="0.2"/>
    <row r="166" s="6" customFormat="1" ht="12.75" hidden="1" x14ac:dyDescent="0.2"/>
    <row r="167" s="6" customFormat="1" ht="12.75" hidden="1" x14ac:dyDescent="0.2"/>
    <row r="168" s="6" customFormat="1" ht="12.75" hidden="1" x14ac:dyDescent="0.2"/>
    <row r="169" s="6" customFormat="1" ht="12.75" hidden="1" x14ac:dyDescent="0.2"/>
    <row r="170" s="6" customFormat="1" ht="12.75" hidden="1" x14ac:dyDescent="0.2"/>
    <row r="171" s="6" customFormat="1" ht="12.75" hidden="1" x14ac:dyDescent="0.2"/>
    <row r="172" s="6" customFormat="1" ht="12.75" hidden="1" x14ac:dyDescent="0.2"/>
    <row r="173" s="6" customFormat="1" ht="12.75" hidden="1" x14ac:dyDescent="0.2"/>
    <row r="174" s="6" customFormat="1" ht="12.75" hidden="1" x14ac:dyDescent="0.2"/>
    <row r="175" s="6" customFormat="1" ht="12.75" hidden="1" x14ac:dyDescent="0.2"/>
    <row r="176" s="6" customFormat="1" ht="12.75" hidden="1" x14ac:dyDescent="0.2"/>
    <row r="177" s="6" customFormat="1" ht="12.75" hidden="1" x14ac:dyDescent="0.2"/>
    <row r="178" s="6" customFormat="1" ht="12.75" hidden="1" x14ac:dyDescent="0.2"/>
    <row r="179" s="6" customFormat="1" ht="12.75" hidden="1" x14ac:dyDescent="0.2"/>
    <row r="180" s="6" customFormat="1" ht="12.75" hidden="1" x14ac:dyDescent="0.2"/>
    <row r="181" s="6" customFormat="1" ht="12.75" hidden="1" x14ac:dyDescent="0.2"/>
    <row r="182" s="6" customFormat="1" ht="12.75" hidden="1" x14ac:dyDescent="0.2"/>
    <row r="183" s="6" customFormat="1" ht="12.75" hidden="1" x14ac:dyDescent="0.2"/>
    <row r="184" s="6" customFormat="1" ht="12.75" hidden="1" x14ac:dyDescent="0.2"/>
    <row r="185" s="6" customFormat="1" ht="12.75" hidden="1" x14ac:dyDescent="0.2"/>
    <row r="186" s="6" customFormat="1" ht="12.75" hidden="1" x14ac:dyDescent="0.2"/>
    <row r="187" s="6" customFormat="1" ht="12.75" hidden="1" x14ac:dyDescent="0.2"/>
    <row r="188" s="6" customFormat="1" ht="12.75" hidden="1" x14ac:dyDescent="0.2"/>
    <row r="189" s="6" customFormat="1" ht="12.75" hidden="1" x14ac:dyDescent="0.2"/>
    <row r="190" s="6" customFormat="1" ht="12.75" hidden="1" x14ac:dyDescent="0.2"/>
    <row r="191" s="6" customFormat="1" ht="12.75" hidden="1" x14ac:dyDescent="0.2"/>
    <row r="192" s="6" customFormat="1" ht="12.75" hidden="1" x14ac:dyDescent="0.2"/>
    <row r="193" s="6" customFormat="1" ht="12.75" hidden="1" x14ac:dyDescent="0.2"/>
    <row r="194" s="6" customFormat="1" ht="12.75" hidden="1" x14ac:dyDescent="0.2"/>
    <row r="195" s="6" customFormat="1" ht="12.75" hidden="1" x14ac:dyDescent="0.2"/>
    <row r="196" s="6" customFormat="1" ht="12.75" hidden="1" x14ac:dyDescent="0.2"/>
    <row r="197" s="6" customFormat="1" ht="12.75" hidden="1" x14ac:dyDescent="0.2"/>
    <row r="198" s="6" customFormat="1" ht="12.75" hidden="1" x14ac:dyDescent="0.2"/>
    <row r="199" s="6" customFormat="1" ht="12.75" hidden="1" x14ac:dyDescent="0.2"/>
    <row r="200" s="6" customFormat="1" ht="12.75" hidden="1" x14ac:dyDescent="0.2"/>
    <row r="201" s="6" customFormat="1" ht="12.75" hidden="1" x14ac:dyDescent="0.2"/>
    <row r="202" s="6" customFormat="1" ht="12.75" hidden="1" x14ac:dyDescent="0.2"/>
    <row r="203" s="6" customFormat="1" ht="12.75" hidden="1" x14ac:dyDescent="0.2"/>
    <row r="204" s="6" customFormat="1" ht="12.75" hidden="1" x14ac:dyDescent="0.2"/>
    <row r="205" s="6" customFormat="1" ht="12.75" hidden="1" x14ac:dyDescent="0.2"/>
    <row r="206" s="6" customFormat="1" ht="12.75" hidden="1" x14ac:dyDescent="0.2"/>
    <row r="207" s="6" customFormat="1" ht="12.75" hidden="1" x14ac:dyDescent="0.2"/>
    <row r="208" s="6" customFormat="1" ht="12.75" hidden="1" x14ac:dyDescent="0.2"/>
    <row r="209" s="6" customFormat="1" ht="12.75" hidden="1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</sheetData>
  <mergeCells count="6">
    <mergeCell ref="D18:F18"/>
    <mergeCell ref="D9:F9"/>
    <mergeCell ref="D10:F10"/>
    <mergeCell ref="D11:F11"/>
    <mergeCell ref="D12:F12"/>
    <mergeCell ref="D13:F13"/>
  </mergeCells>
  <pageMargins left="0.23622047244094491" right="0.23622047244094491" top="0.74803149606299213" bottom="0.74803149606299213" header="0.31496062992125984" footer="0.31496062992125984"/>
  <pageSetup paperSize="9" scale="5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6" id="{6E0000F2-4B34-40F0-A950-26A22E7F516A}">
            <xm:f>Data!$C9</xm:f>
            <x14:dxf>
              <font>
                <color theme="0"/>
              </font>
            </x14:dxf>
          </x14:cfRule>
          <xm:sqref>C9:D13 G9:I13</xm:sqref>
        </x14:conditionalFormatting>
        <x14:conditionalFormatting xmlns:xm="http://schemas.microsoft.com/office/excel/2006/main">
          <x14:cfRule type="expression" priority="175" id="{6E0000F2-4B34-40F0-A950-26A22E7F516A}">
            <xm:f>AND(Data!$C18, NOT(#REF!))</xm:f>
            <x14:dxf>
              <font>
                <color theme="0"/>
              </font>
            </x14:dxf>
          </x14:cfRule>
          <xm:sqref>C14:E14</xm:sqref>
        </x14:conditionalFormatting>
        <x14:conditionalFormatting xmlns:xm="http://schemas.microsoft.com/office/excel/2006/main">
          <x14:cfRule type="expression" priority="217" id="{6E0000F2-4B34-40F0-A950-26A22E7F516A}">
            <xm:f>Data!$C18</xm:f>
            <x14:dxf>
              <font>
                <color theme="0"/>
              </font>
            </x14:dxf>
          </x14:cfRule>
          <xm:sqref>C15:E15</xm:sqref>
        </x14:conditionalFormatting>
        <x14:conditionalFormatting xmlns:xm="http://schemas.microsoft.com/office/excel/2006/main">
          <x14:cfRule type="expression" priority="26" id="{DCC025E7-DD10-45A4-B46F-8DAF8172BEA5}">
            <xm:f>$D$18=Data!B$25</xm:f>
            <x14:dxf>
              <font>
                <color theme="0" tint="-0.24994659260841701"/>
              </font>
            </x14:dxf>
          </x14:cfRule>
          <xm:sqref>D18:F18</xm:sqref>
        </x14:conditionalFormatting>
        <x14:conditionalFormatting xmlns:xm="http://schemas.microsoft.com/office/excel/2006/main">
          <x14:cfRule type="expression" priority="22" id="{6B3CD12B-2C7F-467C-B21A-8374D0C11F7F}">
            <xm:f>AND($C67&lt;&gt;0, F$66=$L67, Sensitivity_calcs!C$88=FALSE)</xm:f>
            <x14:dxf>
              <fill>
                <patternFill>
                  <bgColor rgb="FFCCFFFF"/>
                </patternFill>
              </fill>
            </x14:dxf>
          </x14:cfRule>
          <xm:sqref>F67 G67:J75</xm:sqref>
        </x14:conditionalFormatting>
        <x14:conditionalFormatting xmlns:xm="http://schemas.microsoft.com/office/excel/2006/main">
          <x14:cfRule type="expression" priority="25" id="{0E9BFFB2-7AAD-452D-A6DC-B193223D0B5B}">
            <xm:f>INDEX(Data!$C$9:$C$13, MATCH(F$66, Data!$B$9:$B$13,0))=TRUE</xm:f>
            <x14:dxf>
              <font>
                <b val="0"/>
                <i val="0"/>
                <color theme="1" tint="0.34998626667073579"/>
              </font>
            </x14:dxf>
          </x14:cfRule>
          <xm:sqref>F66:J66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EEEA9-DF92-454A-AC78-2AB747F8189C}">
  <sheetPr codeName="Sheet2">
    <tabColor rgb="FFFFFFCC"/>
    <pageSetUpPr fitToPage="1"/>
  </sheetPr>
  <dimension ref="A1:T122"/>
  <sheetViews>
    <sheetView showGridLines="0" zoomScale="90" zoomScaleNormal="90" workbookViewId="0">
      <pane ySplit="2" topLeftCell="A3" activePane="bottomLeft" state="frozen"/>
      <selection activeCell="A3" sqref="A3"/>
      <selection pane="bottomLeft" activeCell="A3" sqref="A3"/>
    </sheetView>
  </sheetViews>
  <sheetFormatPr defaultColWidth="9" defaultRowHeight="12.75" x14ac:dyDescent="0.2"/>
  <cols>
    <col min="1" max="1" width="3.625" style="6" customWidth="1"/>
    <col min="2" max="2" width="2.625" style="6" customWidth="1"/>
    <col min="3" max="3" width="18.75" style="6" customWidth="1"/>
    <col min="4" max="4" width="9.25" style="6" customWidth="1"/>
    <col min="5" max="5" width="16.375" style="6" customWidth="1"/>
    <col min="6" max="6" width="1.125" style="6" customWidth="1"/>
    <col min="7" max="7" width="14.75" style="6" customWidth="1"/>
    <col min="8" max="8" width="12.875" style="6" customWidth="1"/>
    <col min="9" max="9" width="11.5" style="6" customWidth="1"/>
    <col min="10" max="10" width="6.875" style="6" customWidth="1"/>
    <col min="11" max="16" width="8.125" style="6" customWidth="1"/>
    <col min="17" max="19" width="9" style="6"/>
    <col min="20" max="20" width="17.625" style="6" customWidth="1"/>
    <col min="21" max="16384" width="9" style="6"/>
  </cols>
  <sheetData>
    <row r="1" spans="1:16" ht="18.75" x14ac:dyDescent="0.3">
      <c r="A1" s="13" t="str">
        <f>bus</f>
        <v>CitiPower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 ht="15.75" x14ac:dyDescent="0.25">
      <c r="A2" s="50" t="str">
        <f>proj</f>
        <v>NC transformer replacement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4" spans="1:16" s="1" customFormat="1" ht="15" x14ac:dyDescent="0.2">
      <c r="A4" s="16" t="s">
        <v>39</v>
      </c>
      <c r="B4" s="16"/>
      <c r="C4" s="14"/>
      <c r="D4" s="14"/>
      <c r="E4" s="14"/>
      <c r="F4" s="14"/>
      <c r="G4" s="14"/>
      <c r="H4" s="14"/>
      <c r="I4" s="14"/>
      <c r="J4" s="14"/>
      <c r="K4" s="15"/>
      <c r="L4" s="15"/>
      <c r="M4" s="15"/>
      <c r="N4" s="15"/>
      <c r="O4" s="15"/>
      <c r="P4" s="15"/>
    </row>
    <row r="5" spans="1:16" s="1" customFormat="1" x14ac:dyDescent="0.2">
      <c r="M5" s="10"/>
      <c r="N5" s="10"/>
      <c r="O5" s="10"/>
      <c r="P5" s="10"/>
    </row>
    <row r="6" spans="1:16" ht="12.75" customHeight="1" x14ac:dyDescent="0.2">
      <c r="C6" s="12" t="s">
        <v>40</v>
      </c>
      <c r="D6" s="58"/>
      <c r="E6" s="11" t="s">
        <v>0</v>
      </c>
    </row>
    <row r="7" spans="1:16" s="1" customFormat="1" ht="12.75" customHeight="1" x14ac:dyDescent="0.2">
      <c r="M7" s="10"/>
      <c r="N7" s="10"/>
      <c r="O7" s="10"/>
      <c r="P7" s="10"/>
    </row>
    <row r="8" spans="1:16" x14ac:dyDescent="0.2">
      <c r="C8" s="12" t="s">
        <v>41</v>
      </c>
      <c r="D8" s="12"/>
      <c r="E8" s="428" t="s">
        <v>42</v>
      </c>
      <c r="F8" s="428"/>
      <c r="G8" s="428"/>
      <c r="H8" s="428"/>
      <c r="I8" s="1"/>
      <c r="J8" s="1"/>
    </row>
    <row r="9" spans="1:16" x14ac:dyDescent="0.2">
      <c r="C9" s="12"/>
      <c r="D9" s="12"/>
    </row>
    <row r="10" spans="1:16" s="1" customFormat="1" x14ac:dyDescent="0.2">
      <c r="C10" s="3" t="s">
        <v>43</v>
      </c>
      <c r="D10" s="58"/>
      <c r="E10" s="54" t="s">
        <v>44</v>
      </c>
      <c r="F10" s="6"/>
      <c r="G10" s="33">
        <v>2023</v>
      </c>
      <c r="I10" s="59"/>
      <c r="J10" s="59"/>
    </row>
    <row r="11" spans="1:16" x14ac:dyDescent="0.2">
      <c r="I11" s="59"/>
      <c r="J11" s="59"/>
    </row>
    <row r="12" spans="1:16" x14ac:dyDescent="0.2">
      <c r="H12" s="37"/>
      <c r="I12" s="37"/>
      <c r="J12" s="37"/>
    </row>
    <row r="13" spans="1:16" s="65" customFormat="1" x14ac:dyDescent="0.2">
      <c r="C13" s="66" t="s">
        <v>27</v>
      </c>
      <c r="D13" s="66"/>
      <c r="E13" s="66" t="s">
        <v>45</v>
      </c>
      <c r="F13" s="66"/>
      <c r="G13" s="66"/>
      <c r="H13" s="67"/>
      <c r="I13" s="67"/>
      <c r="J13" s="67"/>
      <c r="K13" s="67"/>
      <c r="L13"/>
    </row>
    <row r="14" spans="1:16" s="1" customFormat="1" ht="12.75" customHeight="1" x14ac:dyDescent="0.2">
      <c r="C14" s="55" t="str" cm="1">
        <f t="array" ref="C14:C18">options</f>
        <v>Option 1 (base case)</v>
      </c>
      <c r="D14" s="55"/>
      <c r="E14" s="429" t="s">
        <v>46</v>
      </c>
      <c r="F14" s="429"/>
      <c r="G14" s="429"/>
      <c r="H14" s="429"/>
      <c r="I14" s="429"/>
      <c r="J14" s="429"/>
      <c r="K14" s="429"/>
      <c r="L14"/>
    </row>
    <row r="15" spans="1:16" s="1" customFormat="1" ht="12.75" customHeight="1" x14ac:dyDescent="0.2">
      <c r="C15" s="55" t="str">
        <v>Option 2</v>
      </c>
      <c r="D15" s="55"/>
      <c r="E15" s="430" t="s">
        <v>47</v>
      </c>
      <c r="F15" s="430"/>
      <c r="G15" s="430"/>
      <c r="H15" s="430"/>
      <c r="I15" s="430"/>
      <c r="J15" s="430"/>
      <c r="K15" s="430"/>
      <c r="L15"/>
    </row>
    <row r="16" spans="1:16" s="1" customFormat="1" ht="12.75" customHeight="1" x14ac:dyDescent="0.2">
      <c r="C16" s="55" t="str">
        <v>Option 3</v>
      </c>
      <c r="D16" s="55"/>
      <c r="E16" s="430" t="s">
        <v>48</v>
      </c>
      <c r="F16" s="430"/>
      <c r="G16" s="430"/>
      <c r="H16" s="430"/>
      <c r="I16" s="430"/>
      <c r="J16" s="430"/>
      <c r="K16" s="430"/>
      <c r="L16"/>
    </row>
    <row r="17" spans="1:16" s="1" customFormat="1" ht="12.75" customHeight="1" x14ac:dyDescent="0.2">
      <c r="C17" s="55" t="str">
        <v>Option 4</v>
      </c>
      <c r="D17" s="55"/>
      <c r="E17" s="430"/>
      <c r="F17" s="430"/>
      <c r="G17" s="430"/>
      <c r="H17" s="430"/>
      <c r="I17" s="430"/>
      <c r="J17" s="430"/>
      <c r="K17" s="430"/>
      <c r="L17"/>
    </row>
    <row r="18" spans="1:16" s="1" customFormat="1" ht="12.75" customHeight="1" x14ac:dyDescent="0.2">
      <c r="C18" s="55" t="str">
        <v>Option 5</v>
      </c>
      <c r="D18" s="55"/>
      <c r="E18" s="430"/>
      <c r="F18" s="430"/>
      <c r="G18" s="430"/>
      <c r="H18" s="430"/>
      <c r="I18" s="430"/>
      <c r="J18" s="430"/>
      <c r="K18" s="430"/>
      <c r="L18"/>
    </row>
    <row r="19" spans="1:16" s="1" customFormat="1" ht="12.75" customHeight="1" x14ac:dyDescent="0.2">
      <c r="C19"/>
      <c r="D19"/>
      <c r="E19"/>
      <c r="F19"/>
      <c r="G19"/>
      <c r="H19"/>
      <c r="I19"/>
      <c r="J19"/>
      <c r="K19"/>
      <c r="L19"/>
      <c r="M19"/>
    </row>
    <row r="20" spans="1:16" s="1" customFormat="1" ht="12.75" customHeight="1" x14ac:dyDescent="0.2">
      <c r="C20" s="244" t="s">
        <v>49</v>
      </c>
      <c r="D20"/>
      <c r="E20" s="245" t="s">
        <v>50</v>
      </c>
      <c r="F20"/>
      <c r="G20"/>
      <c r="H20"/>
      <c r="I20"/>
      <c r="J20"/>
      <c r="K20"/>
      <c r="L20"/>
      <c r="M20"/>
    </row>
    <row r="21" spans="1:16" s="1" customFormat="1" ht="12.75" customHeight="1" x14ac:dyDescent="0.2">
      <c r="C21"/>
      <c r="D21"/>
      <c r="E21"/>
      <c r="F21"/>
      <c r="G21"/>
      <c r="H21"/>
      <c r="I21"/>
      <c r="J21"/>
      <c r="K21"/>
      <c r="L21"/>
      <c r="M21"/>
    </row>
    <row r="22" spans="1:16" s="1" customFormat="1" x14ac:dyDescent="0.2">
      <c r="C22" s="1" t="s">
        <v>51</v>
      </c>
      <c r="E22" s="250" t="s">
        <v>52</v>
      </c>
      <c r="F22" s="61" t="s">
        <v>53</v>
      </c>
      <c r="J22" s="61"/>
    </row>
    <row r="23" spans="1:16" s="1" customFormat="1" ht="12.75" customHeight="1" x14ac:dyDescent="0.2">
      <c r="C23"/>
      <c r="D23"/>
      <c r="E23"/>
      <c r="F23"/>
      <c r="G23"/>
      <c r="H23"/>
      <c r="I23"/>
      <c r="J23"/>
      <c r="K23"/>
      <c r="L23"/>
      <c r="M23"/>
    </row>
    <row r="24" spans="1:16" s="1" customFormat="1" ht="15.75" x14ac:dyDescent="0.25">
      <c r="E24" s="5"/>
      <c r="F24" s="5"/>
      <c r="L24" s="6"/>
    </row>
    <row r="25" spans="1:16" s="1" customFormat="1" ht="15" x14ac:dyDescent="0.2">
      <c r="A25" s="16" t="s">
        <v>54</v>
      </c>
      <c r="B25" s="16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5"/>
      <c r="N25" s="15"/>
      <c r="O25" s="15"/>
      <c r="P25" s="15"/>
    </row>
    <row r="26" spans="1:16" s="1" customFormat="1" x14ac:dyDescent="0.2"/>
    <row r="27" spans="1:16" s="1" customFormat="1" x14ac:dyDescent="0.2">
      <c r="C27" s="1" t="s">
        <v>55</v>
      </c>
      <c r="G27" s="60">
        <f>EOMONTH(DATE(Assumptions!$G$10,INDEX(Data!$K$107:$K$108, MATCH(Assumptions!$E$10, Data!$J$107:$J$108,0)), 1),0)</f>
        <v>45291</v>
      </c>
      <c r="H27" s="61" t="s">
        <v>56</v>
      </c>
    </row>
    <row r="28" spans="1:16" s="1" customFormat="1" x14ac:dyDescent="0.2">
      <c r="C28" s="1" t="s">
        <v>57</v>
      </c>
      <c r="G28" s="254">
        <v>3.5000000000000003E-2</v>
      </c>
      <c r="H28" s="61" t="s">
        <v>58</v>
      </c>
      <c r="J28" s="61"/>
    </row>
    <row r="29" spans="1:16" s="1" customFormat="1" x14ac:dyDescent="0.2">
      <c r="C29" s="1" t="s">
        <v>59</v>
      </c>
      <c r="G29" s="255">
        <v>45657</v>
      </c>
      <c r="H29" s="61" t="s">
        <v>60</v>
      </c>
      <c r="J29" s="61"/>
    </row>
    <row r="30" spans="1:16" s="1" customFormat="1" x14ac:dyDescent="0.2">
      <c r="J30" s="61"/>
    </row>
    <row r="31" spans="1:16" x14ac:dyDescent="0.2">
      <c r="C31" s="6" t="s">
        <v>61</v>
      </c>
      <c r="G31" s="256">
        <v>20</v>
      </c>
      <c r="H31" s="61" t="s">
        <v>62</v>
      </c>
    </row>
    <row r="32" spans="1:16" s="1" customFormat="1" x14ac:dyDescent="0.2"/>
    <row r="33" spans="1:20" s="1" customFormat="1" x14ac:dyDescent="0.2">
      <c r="C33" s="1" t="s">
        <v>63</v>
      </c>
      <c r="G33" s="257">
        <v>46203</v>
      </c>
      <c r="H33" s="61" t="s">
        <v>64</v>
      </c>
      <c r="J33" s="61"/>
    </row>
    <row r="34" spans="1:20" s="1" customFormat="1" x14ac:dyDescent="0.2">
      <c r="C34" s="1" t="s">
        <v>65</v>
      </c>
      <c r="G34" s="272">
        <v>45291</v>
      </c>
      <c r="H34" s="61" t="s">
        <v>66</v>
      </c>
      <c r="J34" s="61"/>
    </row>
    <row r="35" spans="1:20" s="1" customFormat="1" ht="13.5" x14ac:dyDescent="0.25">
      <c r="C35" s="1" t="s">
        <v>67</v>
      </c>
      <c r="G35" s="255">
        <v>45107</v>
      </c>
      <c r="H35" s="61"/>
      <c r="J35" s="61"/>
    </row>
    <row r="39" spans="1:20" s="1" customFormat="1" ht="15" x14ac:dyDescent="0.2">
      <c r="A39" s="16" t="s">
        <v>68</v>
      </c>
      <c r="B39" s="16"/>
      <c r="C39" s="14"/>
      <c r="D39" s="14"/>
      <c r="E39" s="14"/>
      <c r="F39" s="14"/>
      <c r="G39" s="14"/>
      <c r="H39" s="14"/>
      <c r="I39" s="14"/>
      <c r="J39" s="14"/>
      <c r="K39" s="14"/>
      <c r="L39" s="15"/>
      <c r="M39" s="15"/>
      <c r="N39" s="15"/>
      <c r="O39" s="15"/>
      <c r="P39" s="15"/>
    </row>
    <row r="40" spans="1:20" s="1" customFormat="1" x14ac:dyDescent="0.2">
      <c r="M40" s="10"/>
      <c r="N40" s="10"/>
      <c r="O40" s="10"/>
      <c r="P40" s="10"/>
    </row>
    <row r="41" spans="1:20" s="107" customFormat="1" x14ac:dyDescent="0.2">
      <c r="A41" s="106"/>
      <c r="B41" s="106"/>
      <c r="C41" s="1" t="s">
        <v>69</v>
      </c>
      <c r="D41" s="212" t="s">
        <v>70</v>
      </c>
      <c r="E41" s="275" t="s">
        <v>71</v>
      </c>
      <c r="F41" s="276"/>
      <c r="G41" s="277" t="s">
        <v>72</v>
      </c>
      <c r="H41" s="110">
        <v>46957.26272362336</v>
      </c>
      <c r="I41" s="278" t="s">
        <v>344</v>
      </c>
      <c r="J41" s="106"/>
      <c r="M41" s="106"/>
      <c r="N41" s="106"/>
      <c r="O41" s="106"/>
      <c r="P41" s="106"/>
      <c r="Q41" s="106"/>
      <c r="R41" s="106"/>
      <c r="S41" s="106"/>
      <c r="T41" s="106"/>
    </row>
    <row r="42" spans="1:20" s="107" customFormat="1" x14ac:dyDescent="0.2">
      <c r="A42"/>
      <c r="B42"/>
      <c r="C42"/>
      <c r="D42"/>
      <c r="E42"/>
      <c r="F42"/>
      <c r="G42"/>
      <c r="H42"/>
      <c r="I42"/>
      <c r="J42"/>
      <c r="K42"/>
      <c r="L42"/>
      <c r="M42" s="106"/>
      <c r="N42" s="106"/>
      <c r="O42" s="106"/>
      <c r="P42" s="106"/>
      <c r="Q42" s="106"/>
      <c r="R42" s="106"/>
      <c r="S42" s="106"/>
      <c r="T42" s="106"/>
    </row>
    <row r="43" spans="1:20" s="107" customFormat="1" x14ac:dyDescent="0.2">
      <c r="A43"/>
      <c r="B43"/>
      <c r="C43"/>
      <c r="D43"/>
      <c r="E43"/>
      <c r="F43"/>
      <c r="G43"/>
      <c r="H43"/>
      <c r="I43"/>
      <c r="J43"/>
      <c r="K43"/>
      <c r="L43"/>
      <c r="M43" s="106"/>
      <c r="N43" s="106"/>
      <c r="O43" s="106"/>
      <c r="P43" s="106"/>
      <c r="Q43" s="106"/>
      <c r="R43" s="106"/>
      <c r="S43" s="106"/>
      <c r="T43" s="106"/>
    </row>
    <row r="45" spans="1:20" ht="15" x14ac:dyDescent="0.2">
      <c r="A45" s="16" t="s">
        <v>73</v>
      </c>
      <c r="B45" s="16"/>
      <c r="C45" s="14"/>
      <c r="D45" s="14"/>
      <c r="E45" s="14"/>
      <c r="F45" s="14"/>
      <c r="G45" s="14"/>
      <c r="H45" s="14"/>
      <c r="I45" s="14"/>
      <c r="J45" s="14"/>
      <c r="K45" s="14"/>
      <c r="L45" s="15"/>
      <c r="M45" s="15"/>
      <c r="N45" s="15"/>
      <c r="O45" s="15"/>
      <c r="P45" s="15"/>
    </row>
    <row r="48" spans="1:20" x14ac:dyDescent="0.2">
      <c r="B48" s="27" t="s">
        <v>74</v>
      </c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</row>
    <row r="50" spans="3:8" x14ac:dyDescent="0.2">
      <c r="C50" s="6" t="s">
        <v>75</v>
      </c>
      <c r="G50" s="258">
        <v>5400000</v>
      </c>
      <c r="H50" s="62">
        <v>45107</v>
      </c>
    </row>
    <row r="52" spans="3:8" x14ac:dyDescent="0.2">
      <c r="C52" s="6" t="s">
        <v>76</v>
      </c>
      <c r="G52" s="132">
        <v>0</v>
      </c>
      <c r="H52" s="62">
        <f>input_dollars</f>
        <v>45291</v>
      </c>
    </row>
    <row r="54" spans="3:8" x14ac:dyDescent="0.2">
      <c r="C54" s="12" t="str">
        <f>Data!A83</f>
        <v>Disproportionate factors applied to various bushfire and other risk valuations</v>
      </c>
    </row>
    <row r="55" spans="3:8" x14ac:dyDescent="0.2">
      <c r="C55" s="6" t="str">
        <f>Data!B85</f>
        <v>Harm to property from network</v>
      </c>
      <c r="G55" s="256">
        <f>Data!F85</f>
        <v>1</v>
      </c>
    </row>
    <row r="56" spans="3:8" x14ac:dyDescent="0.2">
      <c r="C56" s="6" t="str">
        <f>Data!B86</f>
        <v>Harm to property from bushfire</v>
      </c>
      <c r="G56" s="256">
        <f>Data!F86</f>
        <v>1</v>
      </c>
    </row>
    <row r="57" spans="3:8" x14ac:dyDescent="0.2">
      <c r="C57" s="6" t="str">
        <f>Data!B87</f>
        <v>Harm to environment</v>
      </c>
      <c r="G57" s="256">
        <f>Data!F87</f>
        <v>1</v>
      </c>
    </row>
    <row r="58" spans="3:8" x14ac:dyDescent="0.2">
      <c r="C58" s="6" t="str">
        <f>Data!B88</f>
        <v>Safety - Public trespass</v>
      </c>
      <c r="G58" s="256">
        <f>Data!F88</f>
        <v>1</v>
      </c>
    </row>
    <row r="59" spans="3:8" x14ac:dyDescent="0.2">
      <c r="C59" s="6" t="str">
        <f>Data!B89</f>
        <v>Safety - Single fatality or serious injury ^</v>
      </c>
      <c r="G59" s="256">
        <f>Data!F89</f>
        <v>3</v>
      </c>
    </row>
    <row r="60" spans="3:8" x14ac:dyDescent="0.2">
      <c r="C60" s="6" t="str">
        <f>Data!B90</f>
        <v>Safety from bushfire in HBRA</v>
      </c>
      <c r="G60" s="256">
        <f>Data!F90</f>
        <v>3</v>
      </c>
    </row>
    <row r="61" spans="3:8" x14ac:dyDescent="0.2">
      <c r="C61" s="6" t="str">
        <f>Data!B91</f>
        <v>Safety - Multiple fatality or serious injury ^</v>
      </c>
      <c r="G61" s="256">
        <f>Data!F91</f>
        <v>6</v>
      </c>
    </row>
    <row r="62" spans="3:8" x14ac:dyDescent="0.2">
      <c r="C62" s="6" t="str">
        <f>Data!B92</f>
        <v>Safety from bushfire (REFCL declared areas)</v>
      </c>
      <c r="G62" s="256">
        <f>Data!F92</f>
        <v>6</v>
      </c>
    </row>
    <row r="63" spans="3:8" x14ac:dyDescent="0.2">
      <c r="C63" s="6" t="str">
        <f>Data!B93</f>
        <v>Safety from bushfire (electric line construction areas)</v>
      </c>
      <c r="G63" s="256">
        <f>Data!F93</f>
        <v>10</v>
      </c>
    </row>
    <row r="64" spans="3:8" x14ac:dyDescent="0.2">
      <c r="E64"/>
      <c r="F64"/>
      <c r="G64"/>
      <c r="H64"/>
    </row>
    <row r="66" spans="2:16" x14ac:dyDescent="0.2">
      <c r="C66" s="72" t="s">
        <v>77</v>
      </c>
    </row>
    <row r="69" spans="2:16" x14ac:dyDescent="0.2">
      <c r="C69" s="47" t="s">
        <v>78</v>
      </c>
      <c r="D69" s="53"/>
      <c r="E69" s="53"/>
      <c r="F69" s="53"/>
      <c r="G69" s="135" t="s">
        <v>79</v>
      </c>
      <c r="H69" s="135" t="s">
        <v>80</v>
      </c>
      <c r="I69" s="135" t="s">
        <v>81</v>
      </c>
      <c r="J69" s="134" t="s">
        <v>82</v>
      </c>
      <c r="K69" s="135"/>
      <c r="L69" s="135"/>
      <c r="M69" s="135"/>
    </row>
    <row r="70" spans="2:16" x14ac:dyDescent="0.2">
      <c r="C70" s="6" t="s">
        <v>83</v>
      </c>
      <c r="G70" s="100">
        <f>G50*INDEX(hy_escalation, MATCH(input_dollars,hy_dates,0))/INDEX(hy_escalation, MATCH(H50,hy_dates,0))</f>
        <v>5607473.5197347086</v>
      </c>
      <c r="H70" s="140">
        <v>0</v>
      </c>
      <c r="I70" s="141">
        <v>0</v>
      </c>
      <c r="J70" s="425">
        <v>0</v>
      </c>
      <c r="K70" s="426"/>
      <c r="L70" s="426"/>
      <c r="M70" s="427"/>
    </row>
    <row r="71" spans="2:16" x14ac:dyDescent="0.2">
      <c r="C71" s="6" t="s">
        <v>84</v>
      </c>
      <c r="G71" s="100">
        <f>G52*INDEX(hy_escalation, MATCH(input_dollars,hy_dates,0))/INDEX(hy_escalation, MATCH(H52,hy_dates,0))</f>
        <v>0</v>
      </c>
      <c r="H71" s="139">
        <v>0</v>
      </c>
      <c r="I71" s="141">
        <v>0</v>
      </c>
      <c r="J71" s="425">
        <v>0</v>
      </c>
      <c r="K71" s="426"/>
      <c r="L71" s="426"/>
      <c r="M71" s="427"/>
    </row>
    <row r="72" spans="2:16" x14ac:dyDescent="0.2">
      <c r="I72" s="138"/>
      <c r="M72"/>
    </row>
    <row r="73" spans="2:16" x14ac:dyDescent="0.2">
      <c r="G73" s="142"/>
    </row>
    <row r="74" spans="2:16" x14ac:dyDescent="0.2">
      <c r="C74" s="72"/>
    </row>
    <row r="77" spans="2:16" x14ac:dyDescent="0.2">
      <c r="B77" s="27" t="s">
        <v>85</v>
      </c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</row>
    <row r="78" spans="2:16" x14ac:dyDescent="0.2">
      <c r="C78" s="6" t="s">
        <v>86</v>
      </c>
      <c r="G78" s="132">
        <v>0</v>
      </c>
      <c r="H78" s="62">
        <f>input_dollars</f>
        <v>45291</v>
      </c>
    </row>
    <row r="79" spans="2:16" x14ac:dyDescent="0.2">
      <c r="C79" s="6" t="s">
        <v>87</v>
      </c>
      <c r="G79" s="132">
        <v>0</v>
      </c>
      <c r="H79" s="62">
        <f>input_dollars</f>
        <v>45291</v>
      </c>
    </row>
    <row r="81" spans="1:16" x14ac:dyDescent="0.2">
      <c r="C81" s="6" t="s">
        <v>88</v>
      </c>
      <c r="G81" s="136">
        <v>0.2</v>
      </c>
    </row>
    <row r="86" spans="1:16" x14ac:dyDescent="0.2">
      <c r="A86" s="1"/>
      <c r="B86" s="1"/>
      <c r="C86" s="1"/>
      <c r="D86" s="1"/>
      <c r="E86" s="1"/>
      <c r="F86" s="1"/>
      <c r="K86" s="1"/>
      <c r="L86" s="1"/>
      <c r="M86" s="1"/>
      <c r="N86" s="1"/>
      <c r="O86" s="1"/>
    </row>
    <row r="87" spans="1:16" ht="15" x14ac:dyDescent="0.2">
      <c r="A87" s="16" t="s">
        <v>89</v>
      </c>
      <c r="B87" s="16"/>
      <c r="C87" s="14"/>
      <c r="D87" s="14"/>
      <c r="E87" s="14"/>
      <c r="F87" s="14"/>
      <c r="G87" s="14"/>
      <c r="H87" s="14"/>
      <c r="I87" s="14"/>
      <c r="J87" s="14"/>
      <c r="K87" s="14"/>
      <c r="L87" s="15"/>
      <c r="M87" s="15"/>
      <c r="N87" s="15"/>
      <c r="O87" s="15"/>
      <c r="P87" s="15"/>
    </row>
    <row r="88" spans="1:16" x14ac:dyDescent="0.2">
      <c r="A88" s="1"/>
      <c r="B88" s="1"/>
      <c r="C88" s="1"/>
      <c r="D88" s="1"/>
      <c r="F88" s="1"/>
      <c r="H88" s="1"/>
      <c r="L88" s="1"/>
      <c r="N88" s="1"/>
      <c r="O88" s="1"/>
    </row>
    <row r="89" spans="1:16" x14ac:dyDescent="0.2">
      <c r="A89" s="1"/>
      <c r="B89" s="27" t="s">
        <v>90</v>
      </c>
      <c r="C89" s="27"/>
      <c r="D89" s="27"/>
      <c r="E89" s="27"/>
      <c r="F89" s="27"/>
      <c r="G89" s="27"/>
      <c r="H89" s="47"/>
      <c r="I89" s="47"/>
      <c r="J89" s="47"/>
      <c r="K89" s="63" t="s">
        <v>52</v>
      </c>
      <c r="L89" s="63" t="s">
        <v>91</v>
      </c>
      <c r="M89" s="63" t="s">
        <v>92</v>
      </c>
      <c r="N89" s="63" t="s">
        <v>93</v>
      </c>
      <c r="O89" s="63" t="s">
        <v>94</v>
      </c>
      <c r="P89" s="63" t="s">
        <v>95</v>
      </c>
    </row>
    <row r="90" spans="1:16" ht="13.5" x14ac:dyDescent="0.25">
      <c r="A90" s="1"/>
      <c r="B90" s="1"/>
      <c r="C90" s="1" t="s">
        <v>96</v>
      </c>
      <c r="D90" s="1"/>
      <c r="F90" s="1"/>
      <c r="G90" s="61"/>
      <c r="H90" s="62">
        <f>G35</f>
        <v>45107</v>
      </c>
      <c r="I90" s="64" t="s">
        <v>97</v>
      </c>
      <c r="J90" s="64"/>
      <c r="K90" s="259">
        <v>2.4730486797759084E-2</v>
      </c>
      <c r="L90" s="259">
        <v>2.2340740091772258E-2</v>
      </c>
      <c r="M90" s="259">
        <v>2.0196329122153123E-2</v>
      </c>
      <c r="N90" s="259">
        <v>1.806294207659629E-2</v>
      </c>
      <c r="O90" s="259">
        <v>1.5913397615084226E-2</v>
      </c>
      <c r="P90" s="259">
        <v>1.3715069432539001E-2</v>
      </c>
    </row>
    <row r="91" spans="1:16" x14ac:dyDescent="0.2">
      <c r="A91" s="1"/>
      <c r="B91" s="1"/>
      <c r="C91" s="1"/>
      <c r="D91" s="1"/>
      <c r="E91" s="1"/>
      <c r="F91" s="1"/>
      <c r="G91" s="1"/>
      <c r="K91" s="1"/>
      <c r="L91" s="1"/>
      <c r="M91" s="1"/>
      <c r="N91" s="1"/>
      <c r="O91" s="1"/>
    </row>
    <row r="92" spans="1:16" x14ac:dyDescent="0.2">
      <c r="A92" s="1"/>
      <c r="B92" s="1"/>
      <c r="C92" s="1"/>
      <c r="D92" s="1"/>
      <c r="E92" s="1"/>
      <c r="F92" s="1"/>
      <c r="K92" s="1"/>
      <c r="L92" s="1"/>
      <c r="M92" s="1"/>
      <c r="N92" s="1"/>
      <c r="O92" s="1"/>
    </row>
    <row r="93" spans="1:16" x14ac:dyDescent="0.2">
      <c r="A93" s="1"/>
      <c r="B93" s="27" t="s">
        <v>98</v>
      </c>
      <c r="C93" s="27"/>
      <c r="D93" s="27"/>
      <c r="E93" s="27"/>
      <c r="F93" s="27"/>
      <c r="G93" s="63" t="s">
        <v>79</v>
      </c>
      <c r="H93" s="27"/>
      <c r="I93" s="27"/>
      <c r="J93" s="3"/>
      <c r="K93" s="1"/>
      <c r="L93" s="1"/>
    </row>
    <row r="94" spans="1:16" x14ac:dyDescent="0.2">
      <c r="A94" s="1"/>
      <c r="B94" s="1"/>
      <c r="C94" s="1" t="str">
        <f>Data!B60</f>
        <v>Reliability in worst-served areas</v>
      </c>
      <c r="D94" s="1"/>
      <c r="E94"/>
      <c r="F94" s="1"/>
      <c r="G94" s="258">
        <v>0</v>
      </c>
      <c r="H94" s="62">
        <f t="shared" ref="H94:H101" si="0">custval_date</f>
        <v>45291</v>
      </c>
      <c r="I94" s="64" t="s">
        <v>99</v>
      </c>
      <c r="J94" s="64"/>
      <c r="K94" s="1"/>
      <c r="P94" s="1"/>
    </row>
    <row r="95" spans="1:16" x14ac:dyDescent="0.2">
      <c r="A95" s="1"/>
      <c r="B95" s="1"/>
      <c r="C95" s="1" t="str">
        <f>Data!B61</f>
        <v>Network resilience</v>
      </c>
      <c r="D95" s="1"/>
      <c r="E95"/>
      <c r="F95" s="1"/>
      <c r="G95" s="258">
        <v>0</v>
      </c>
      <c r="H95" s="62">
        <f t="shared" si="0"/>
        <v>45291</v>
      </c>
      <c r="I95" s="64" t="s">
        <v>99</v>
      </c>
      <c r="J95" s="64"/>
      <c r="P95" s="1"/>
    </row>
    <row r="96" spans="1:16" x14ac:dyDescent="0.2">
      <c r="A96" s="1"/>
      <c r="B96" s="1"/>
      <c r="C96" s="1" t="str">
        <f>Data!B62</f>
        <v>Enabling solar exports</v>
      </c>
      <c r="D96" s="1"/>
      <c r="E96"/>
      <c r="G96" s="258">
        <v>4220.9953699573898</v>
      </c>
      <c r="H96" s="62">
        <f t="shared" si="0"/>
        <v>45291</v>
      </c>
      <c r="I96" s="64" t="s">
        <v>99</v>
      </c>
      <c r="J96" s="64"/>
      <c r="P96" s="1"/>
    </row>
    <row r="97" spans="1:16" x14ac:dyDescent="0.2">
      <c r="A97" s="1"/>
      <c r="B97" s="1"/>
      <c r="C97" s="1" t="str">
        <f>Data!B63</f>
        <v>Aesthetics</v>
      </c>
      <c r="D97" s="1"/>
      <c r="E97"/>
      <c r="G97" s="259">
        <v>0</v>
      </c>
      <c r="H97" s="62">
        <f t="shared" si="0"/>
        <v>45291</v>
      </c>
      <c r="I97" s="64" t="s">
        <v>100</v>
      </c>
      <c r="J97" s="64"/>
      <c r="P97" s="1"/>
    </row>
    <row r="98" spans="1:16" x14ac:dyDescent="0.2">
      <c r="A98" s="1"/>
      <c r="B98" s="1"/>
      <c r="C98" s="1" t="str">
        <f>Data!B64</f>
        <v>Customer value of time - residential</v>
      </c>
      <c r="D98" s="1"/>
      <c r="E98"/>
      <c r="G98" s="259">
        <v>0.54769380678923496</v>
      </c>
      <c r="H98" s="62">
        <f t="shared" si="0"/>
        <v>45291</v>
      </c>
      <c r="I98" s="64" t="s">
        <v>101</v>
      </c>
      <c r="J98" s="64"/>
      <c r="P98" s="1"/>
    </row>
    <row r="99" spans="1:16" x14ac:dyDescent="0.2">
      <c r="A99" s="1"/>
      <c r="B99" s="1"/>
      <c r="C99" s="1" t="str">
        <f>Data!B65</f>
        <v>Customer value of time - business</v>
      </c>
      <c r="D99" s="1"/>
      <c r="E99"/>
      <c r="G99" s="259">
        <v>0.54769380678923496</v>
      </c>
      <c r="H99" s="62">
        <f t="shared" si="0"/>
        <v>45291</v>
      </c>
      <c r="I99" s="64" t="s">
        <v>101</v>
      </c>
      <c r="J99" s="64"/>
      <c r="P99" s="1"/>
    </row>
    <row r="100" spans="1:16" x14ac:dyDescent="0.2">
      <c r="A100" s="1"/>
      <c r="B100" s="1"/>
      <c r="C100" s="1" t="str">
        <f>Data!B66</f>
        <v>Communication</v>
      </c>
      <c r="D100" s="1"/>
      <c r="E100"/>
      <c r="G100" s="259">
        <v>0</v>
      </c>
      <c r="H100" s="62">
        <f t="shared" si="0"/>
        <v>45291</v>
      </c>
      <c r="I100" s="64" t="s">
        <v>100</v>
      </c>
      <c r="J100" s="64"/>
      <c r="P100" s="1"/>
    </row>
    <row r="101" spans="1:16" x14ac:dyDescent="0.2">
      <c r="A101" s="1"/>
      <c r="B101" s="1"/>
      <c r="C101" s="1" t="str">
        <f>Data!B67</f>
        <v>Information accessibility</v>
      </c>
      <c r="D101" s="1"/>
      <c r="E101"/>
      <c r="G101" s="259">
        <v>0</v>
      </c>
      <c r="H101" s="62">
        <f t="shared" si="0"/>
        <v>45291</v>
      </c>
      <c r="I101" s="64" t="s">
        <v>100</v>
      </c>
      <c r="J101" s="64"/>
      <c r="P101" s="1"/>
    </row>
    <row r="102" spans="1:16" x14ac:dyDescent="0.2">
      <c r="A102" s="1"/>
      <c r="B102" s="1"/>
      <c r="C102" s="1"/>
      <c r="D102" s="1"/>
      <c r="E102"/>
      <c r="L102" s="1"/>
      <c r="N102" s="1"/>
      <c r="O102" s="1"/>
      <c r="P102" s="1"/>
    </row>
    <row r="103" spans="1:16" x14ac:dyDescent="0.2">
      <c r="A103" s="1"/>
      <c r="B103" s="1"/>
      <c r="C103" s="1"/>
      <c r="D103" s="1"/>
      <c r="E103"/>
      <c r="F103" s="1"/>
      <c r="L103" s="1"/>
      <c r="N103" s="1"/>
      <c r="O103" s="1"/>
    </row>
    <row r="106" spans="1:16" ht="15" x14ac:dyDescent="0.2">
      <c r="A106" s="16" t="s">
        <v>102</v>
      </c>
      <c r="B106" s="16"/>
      <c r="C106" s="14"/>
      <c r="D106" s="14"/>
      <c r="E106" s="14"/>
      <c r="F106" s="14"/>
      <c r="G106" s="14"/>
      <c r="H106" s="14"/>
      <c r="I106" s="14"/>
      <c r="J106" s="14"/>
      <c r="K106" s="14"/>
      <c r="L106" s="15"/>
      <c r="M106" s="15"/>
      <c r="N106" s="15"/>
      <c r="O106" s="15"/>
      <c r="P106" s="15"/>
    </row>
    <row r="107" spans="1:16" x14ac:dyDescent="0.2">
      <c r="A107" s="1"/>
      <c r="B107" s="1"/>
      <c r="C107" s="1"/>
      <c r="D107" s="1"/>
      <c r="E107" s="1"/>
      <c r="F107" s="1"/>
      <c r="G107" s="1"/>
      <c r="K107" s="1"/>
      <c r="L107" s="1"/>
      <c r="M107" s="1"/>
      <c r="N107" s="1"/>
      <c r="O107" s="1"/>
    </row>
    <row r="108" spans="1:16" x14ac:dyDescent="0.2">
      <c r="A108" s="1"/>
      <c r="B108" s="1"/>
      <c r="C108" s="1"/>
      <c r="D108" s="1"/>
      <c r="E108" s="1"/>
      <c r="F108" s="1"/>
      <c r="G108" s="1"/>
      <c r="K108" s="1"/>
      <c r="L108" s="1"/>
      <c r="M108" s="1"/>
      <c r="N108" s="1"/>
      <c r="O108" s="1"/>
    </row>
    <row r="109" spans="1:16" x14ac:dyDescent="0.2">
      <c r="A109" s="1"/>
      <c r="B109" s="1"/>
      <c r="C109" s="1"/>
      <c r="D109" s="1"/>
      <c r="E109" s="1"/>
      <c r="F109" s="1"/>
      <c r="G109" s="1"/>
      <c r="K109" s="1"/>
      <c r="L109" s="1"/>
      <c r="M109" s="1"/>
      <c r="N109" s="1"/>
      <c r="O109" s="1"/>
    </row>
    <row r="110" spans="1:16" x14ac:dyDescent="0.2">
      <c r="A110" s="1"/>
      <c r="B110" s="147"/>
      <c r="C110" s="147"/>
      <c r="D110" s="53"/>
      <c r="E110" s="251"/>
      <c r="F110" s="147"/>
      <c r="G110" s="147" t="s">
        <v>103</v>
      </c>
      <c r="H110" s="147" t="s">
        <v>104</v>
      </c>
      <c r="I110"/>
      <c r="J110"/>
      <c r="K110"/>
      <c r="L110"/>
      <c r="M110"/>
      <c r="N110"/>
      <c r="O110"/>
      <c r="P110"/>
    </row>
    <row r="111" spans="1:16" x14ac:dyDescent="0.2">
      <c r="B111" s="6">
        <v>1</v>
      </c>
      <c r="C111" s="6" t="str">
        <f>IF(G111=0, "", G$110&amp;" "&amp;ABS($G111)*100&amp;"%"&amp;IF($G111&gt;0, " higher", " lower"))&amp;IF(AND(G111&lt;&gt;0, H111&lt;&gt;0), " &amp; ", "")&amp;IF(H111=0, "", H$110&amp;" "&amp;ABS($H111)*100&amp;"%"&amp;IF($H111&gt;0, " higher", " lower"))</f>
        <v>Capex 10% higher</v>
      </c>
      <c r="E111" s="230"/>
      <c r="G111" s="260">
        <v>0.1</v>
      </c>
      <c r="H111" s="260">
        <v>0</v>
      </c>
      <c r="I111" s="225"/>
      <c r="J111"/>
      <c r="K111"/>
      <c r="L111"/>
      <c r="M111"/>
      <c r="N111"/>
      <c r="O111"/>
      <c r="P111"/>
    </row>
    <row r="112" spans="1:16" x14ac:dyDescent="0.2">
      <c r="B112" s="6">
        <v>2</v>
      </c>
      <c r="C112" s="6" t="str">
        <f>IF(G112=0, "", G$110&amp;" "&amp;ABS($G112)*100&amp;"%"&amp;IF($G112&gt;0, " higher", " lower"))&amp;IF(AND(G112&lt;&gt;0, H112&lt;&gt;0), " &amp; ", "")&amp;IF(H112=0, "", H$110&amp;" "&amp;ABS($H112)*100&amp;"%"&amp;IF($H112&gt;0, " higher", " lower"))</f>
        <v>Capex 10% lower</v>
      </c>
      <c r="E112" s="230"/>
      <c r="G112" s="260">
        <v>-0.1</v>
      </c>
      <c r="H112" s="260">
        <v>0</v>
      </c>
      <c r="I112" s="225"/>
      <c r="J112"/>
      <c r="K112"/>
      <c r="L112"/>
      <c r="M112"/>
      <c r="N112"/>
      <c r="O112"/>
      <c r="P112"/>
    </row>
    <row r="113" spans="2:16" x14ac:dyDescent="0.2">
      <c r="B113" s="6">
        <v>3</v>
      </c>
      <c r="C113" s="6" t="str">
        <f>IF(G113=0, "", G$110&amp;" "&amp;ABS($G113)*100&amp;"%"&amp;IF($G113&gt;0, " higher", " lower"))&amp;IF(AND(G113&lt;&gt;0, H113&lt;&gt;0), " &amp; ", "")&amp;IF(H113=0, "", H$110&amp;" "&amp;ABS($H113)*100&amp;"%"&amp;IF($H113&gt;0, " higher", " lower"))</f>
        <v>Total benefits 10% higher</v>
      </c>
      <c r="E113" s="230"/>
      <c r="G113" s="261">
        <v>0</v>
      </c>
      <c r="H113" s="260">
        <v>0.1</v>
      </c>
      <c r="I113" s="225"/>
      <c r="J113"/>
      <c r="K113"/>
      <c r="L113"/>
      <c r="M113"/>
      <c r="N113"/>
      <c r="O113"/>
      <c r="P113"/>
    </row>
    <row r="114" spans="2:16" x14ac:dyDescent="0.2">
      <c r="B114" s="6">
        <v>4</v>
      </c>
      <c r="C114" s="6" t="str">
        <f>IF(G114=0, "", G$110&amp;" "&amp;ABS($G114)*100&amp;"%"&amp;IF($G114&gt;0, " higher", " lower"))&amp;IF(AND(G114&lt;&gt;0, H114&lt;&gt;0), " &amp; ", "")&amp;IF(H114=0, "", H$110&amp;" "&amp;ABS($H114)*100&amp;"%"&amp;IF($H114&gt;0, " higher", " lower"))</f>
        <v>Total benefits 10% lower</v>
      </c>
      <c r="E114" s="230"/>
      <c r="G114" s="261">
        <v>0</v>
      </c>
      <c r="H114" s="260">
        <v>-0.1</v>
      </c>
      <c r="I114" s="225"/>
      <c r="J114"/>
      <c r="K114"/>
      <c r="L114"/>
      <c r="M114"/>
      <c r="N114"/>
      <c r="O114"/>
      <c r="P114"/>
    </row>
    <row r="115" spans="2:16" x14ac:dyDescent="0.2">
      <c r="B115" s="6">
        <v>5</v>
      </c>
      <c r="C115" s="6" t="str">
        <f>IF(G115=0, "", G$110&amp;" "&amp;ABS($G115)*100&amp;"%"&amp;IF($G115&gt;0, " higher", " lower"))&amp;IF(AND(G115&lt;&gt;0, H115&lt;&gt;0), " &amp; ", "")&amp;IF(H115=0, "", H$110&amp;" "&amp;ABS($H115)*100&amp;"%"&amp;IF($H115&gt;0, " higher", " lower"))</f>
        <v>Capex 10% higher &amp; Total benefits 10% lower</v>
      </c>
      <c r="E115" s="230"/>
      <c r="G115" s="260">
        <v>0.1</v>
      </c>
      <c r="H115" s="260">
        <v>-0.1</v>
      </c>
      <c r="I115" s="225"/>
      <c r="J115"/>
      <c r="K115"/>
      <c r="L115"/>
      <c r="M115"/>
      <c r="N115"/>
      <c r="O115"/>
      <c r="P115"/>
    </row>
    <row r="116" spans="2:16" x14ac:dyDescent="0.2">
      <c r="E116" s="230"/>
      <c r="H116"/>
      <c r="I116"/>
      <c r="J116"/>
      <c r="K116"/>
      <c r="L116"/>
      <c r="M116"/>
      <c r="N116"/>
      <c r="O116"/>
      <c r="P116"/>
    </row>
    <row r="117" spans="2:16" x14ac:dyDescent="0.2">
      <c r="E117" s="224"/>
      <c r="H117"/>
      <c r="I117"/>
      <c r="J117"/>
      <c r="K117"/>
      <c r="L117"/>
      <c r="M117"/>
      <c r="N117"/>
      <c r="O117"/>
      <c r="P117"/>
    </row>
    <row r="118" spans="2:16" x14ac:dyDescent="0.2">
      <c r="H118"/>
      <c r="I118"/>
      <c r="J118"/>
      <c r="K118"/>
      <c r="L118"/>
      <c r="M118"/>
      <c r="N118"/>
      <c r="O118"/>
      <c r="P118"/>
    </row>
    <row r="119" spans="2:16" x14ac:dyDescent="0.2">
      <c r="H119"/>
      <c r="I119"/>
      <c r="J119"/>
      <c r="K119"/>
      <c r="L119"/>
      <c r="M119"/>
      <c r="N119"/>
      <c r="O119"/>
      <c r="P119"/>
    </row>
    <row r="120" spans="2:16" x14ac:dyDescent="0.2">
      <c r="H120"/>
      <c r="I120"/>
      <c r="J120"/>
      <c r="K120"/>
      <c r="L120"/>
      <c r="M120"/>
      <c r="N120"/>
      <c r="O120"/>
      <c r="P120"/>
    </row>
    <row r="121" spans="2:16" x14ac:dyDescent="0.2">
      <c r="H121"/>
      <c r="I121"/>
      <c r="J121"/>
      <c r="K121"/>
      <c r="L121"/>
      <c r="M121"/>
      <c r="N121"/>
      <c r="O121"/>
      <c r="P121"/>
    </row>
    <row r="122" spans="2:16" x14ac:dyDescent="0.2">
      <c r="H122"/>
      <c r="I122"/>
      <c r="J122"/>
      <c r="K122"/>
      <c r="L122"/>
      <c r="M122"/>
      <c r="N122"/>
      <c r="O122"/>
      <c r="P122"/>
    </row>
  </sheetData>
  <mergeCells count="8">
    <mergeCell ref="J70:M70"/>
    <mergeCell ref="J71:M71"/>
    <mergeCell ref="E8:H8"/>
    <mergeCell ref="E14:K14"/>
    <mergeCell ref="E15:K15"/>
    <mergeCell ref="E16:K16"/>
    <mergeCell ref="E17:K17"/>
    <mergeCell ref="E18:K18"/>
  </mergeCells>
  <phoneticPr fontId="78" type="noConversion"/>
  <dataValidations count="1">
    <dataValidation type="list" allowBlank="1" showInputMessage="1" showErrorMessage="1" sqref="E41" xr:uid="{AAE8F82A-EA41-4180-B2E5-89F95150CD7B}">
      <formula1>list</formula1>
    </dataValidation>
  </dataValidations>
  <pageMargins left="0.25" right="0.25" top="0.75" bottom="0.75" header="0.3" footer="0.3"/>
  <pageSetup paperSize="9" scale="49" fitToHeight="0" orientation="portrait" horizontalDpi="90" verticalDpi="9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" id="{F3F10DC4-43C8-4325-9D02-19BA52A23CAF}">
            <xm:f>E6=Data!#REF!</xm:f>
            <x14:dxf>
              <font>
                <color rgb="FFFF0000"/>
              </font>
            </x14:dxf>
          </x14:cfRule>
          <xm:sqref>D6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93A524C-E45A-4CD6-9037-0C9A8CB9BEDE}">
          <x14:formula1>
            <xm:f>Data!$J$107:$J$108</xm:f>
          </x14:formula1>
          <xm:sqref>E10</xm:sqref>
        </x14:dataValidation>
        <x14:dataValidation type="list" allowBlank="1" showInputMessage="1" showErrorMessage="1" xr:uid="{8AD3462E-BCDF-4C70-9696-A5196E905744}">
          <x14:formula1>
            <xm:f>Data!$T$107:$T$109</xm:f>
          </x14:formula1>
          <xm:sqref>E20</xm:sqref>
        </x14:dataValidation>
        <x14:dataValidation type="list" allowBlank="1" showInputMessage="1" showErrorMessage="1" xr:uid="{4146EE4B-BCAC-4E68-A5B1-65A7A34C1F3E}">
          <x14:formula1>
            <xm:f>Data!$R$107:$R$113</xm:f>
          </x14:formula1>
          <xm:sqref>G10</xm:sqref>
        </x14:dataValidation>
        <x14:dataValidation type="list" allowBlank="1" showInputMessage="1" showErrorMessage="1" xr:uid="{76E6FA8E-A026-4C8F-84A6-848CF895714B}">
          <x14:formula1>
            <xm:f>Data!$V$107:$V$110</xm:f>
          </x14:formula1>
          <xm:sqref>E22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4853D-D3A3-4079-BDBE-13E29B41B5A0}">
  <sheetPr codeName="Sheet3">
    <tabColor rgb="FFFF6600"/>
  </sheetPr>
  <dimension ref="A1:XER117"/>
  <sheetViews>
    <sheetView showGridLines="0" zoomScale="90" zoomScaleNormal="90" workbookViewId="0">
      <pane xSplit="7" ySplit="10" topLeftCell="H11" activePane="bottomRight" state="frozen"/>
      <selection activeCell="A3" sqref="A3"/>
      <selection pane="topRight" activeCell="A3" sqref="A3"/>
      <selection pane="bottomLeft" activeCell="A3" sqref="A3"/>
      <selection pane="bottomRight" activeCell="A3" sqref="A3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6.8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CitiPower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NC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7" t="s">
        <v>105</v>
      </c>
      <c r="B3" s="5"/>
      <c r="C3" s="113"/>
      <c r="D3" s="82"/>
    </row>
    <row r="4" spans="1:43" x14ac:dyDescent="0.2">
      <c r="A4" s="143"/>
      <c r="B4" s="162"/>
      <c r="C4" s="211"/>
    </row>
    <row r="5" spans="1:43" hidden="1" outlineLevel="1" x14ac:dyDescent="0.2">
      <c r="C5" s="86"/>
      <c r="D5" s="85"/>
      <c r="E5" s="87"/>
      <c r="F5" s="87"/>
      <c r="G5" s="87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</row>
    <row r="6" spans="1:43" hidden="1" outlineLevel="1" x14ac:dyDescent="0.2">
      <c r="A6" s="85" t="s">
        <v>106</v>
      </c>
      <c r="B6" s="85"/>
      <c r="C6" s="86"/>
      <c r="D6" s="85"/>
      <c r="E6" s="87"/>
      <c r="F6" s="87"/>
      <c r="G6" s="87"/>
      <c r="H6" s="129">
        <v>0</v>
      </c>
      <c r="I6" s="88">
        <f t="shared" ref="I6:AG6" si="0">H6+1</f>
        <v>1</v>
      </c>
      <c r="J6" s="88">
        <f t="shared" si="0"/>
        <v>2</v>
      </c>
      <c r="K6" s="88">
        <f t="shared" si="0"/>
        <v>3</v>
      </c>
      <c r="L6" s="88">
        <f t="shared" si="0"/>
        <v>4</v>
      </c>
      <c r="M6" s="88">
        <f t="shared" si="0"/>
        <v>5</v>
      </c>
      <c r="N6" s="88">
        <f t="shared" si="0"/>
        <v>6</v>
      </c>
      <c r="O6" s="88">
        <f t="shared" si="0"/>
        <v>7</v>
      </c>
      <c r="P6" s="88">
        <f t="shared" si="0"/>
        <v>8</v>
      </c>
      <c r="Q6" s="88">
        <f t="shared" si="0"/>
        <v>9</v>
      </c>
      <c r="R6" s="88">
        <f t="shared" si="0"/>
        <v>10</v>
      </c>
      <c r="S6" s="88">
        <f t="shared" si="0"/>
        <v>11</v>
      </c>
      <c r="T6" s="88">
        <f t="shared" si="0"/>
        <v>12</v>
      </c>
      <c r="U6" s="88">
        <f t="shared" si="0"/>
        <v>13</v>
      </c>
      <c r="V6" s="88">
        <f t="shared" si="0"/>
        <v>14</v>
      </c>
      <c r="W6" s="88">
        <f t="shared" si="0"/>
        <v>15</v>
      </c>
      <c r="X6" s="88">
        <f t="shared" si="0"/>
        <v>16</v>
      </c>
      <c r="Y6" s="88">
        <f t="shared" si="0"/>
        <v>17</v>
      </c>
      <c r="Z6" s="88">
        <f t="shared" si="0"/>
        <v>18</v>
      </c>
      <c r="AA6" s="88">
        <f t="shared" si="0"/>
        <v>19</v>
      </c>
      <c r="AB6" s="88">
        <f t="shared" si="0"/>
        <v>20</v>
      </c>
      <c r="AC6" s="88">
        <f t="shared" si="0"/>
        <v>21</v>
      </c>
      <c r="AD6" s="88">
        <f t="shared" si="0"/>
        <v>22</v>
      </c>
      <c r="AE6" s="88">
        <f t="shared" si="0"/>
        <v>23</v>
      </c>
      <c r="AF6" s="88">
        <f t="shared" si="0"/>
        <v>24</v>
      </c>
      <c r="AG6" s="88">
        <f t="shared" si="0"/>
        <v>25</v>
      </c>
    </row>
    <row r="7" spans="1:43" hidden="1" outlineLevel="1" x14ac:dyDescent="0.2">
      <c r="A7" s="85" t="s">
        <v>107</v>
      </c>
      <c r="B7" s="85"/>
      <c r="G7" s="137" t="s">
        <v>108</v>
      </c>
      <c r="I7" s="86">
        <f>IF(ISBLANK(Assumptions!K90), H7,Assumptions!K90*thous_conv)</f>
        <v>24.730486797759085</v>
      </c>
      <c r="J7" s="86">
        <f>IF(ISBLANK(Assumptions!L90), I7,Assumptions!L90*thous_conv)</f>
        <v>22.340740091772258</v>
      </c>
      <c r="K7" s="86">
        <f>IF(ISBLANK(Assumptions!M90), J7,Assumptions!M90*thous_conv)</f>
        <v>20.196329122153124</v>
      </c>
      <c r="L7" s="86">
        <f>IF(ISBLANK(Assumptions!N90), K7,Assumptions!N90*thous_conv)</f>
        <v>18.06294207659629</v>
      </c>
      <c r="M7" s="86">
        <f>IF(ISBLANK(Assumptions!O90), L7,Assumptions!O90*thous_conv)</f>
        <v>15.913397615084225</v>
      </c>
      <c r="N7" s="86">
        <f>IF(ISBLANK(Assumptions!P90), M7,Assumptions!P90*thous_conv)</f>
        <v>13.715069432539002</v>
      </c>
      <c r="O7" s="86">
        <f>IF(ISBLANK(Assumptions!Q90), N7,Assumptions!Q90*thous_conv)</f>
        <v>13.715069432539002</v>
      </c>
      <c r="P7" s="86">
        <f>IF(ISBLANK(Assumptions!R90), O7,Assumptions!R90*thous_conv)</f>
        <v>13.715069432539002</v>
      </c>
      <c r="Q7" s="86">
        <f>IF(ISBLANK(Assumptions!S90), P7,Assumptions!S90*thous_conv)</f>
        <v>13.715069432539002</v>
      </c>
      <c r="R7" s="86">
        <f>IF(ISBLANK(Assumptions!T90), Q7,Assumptions!T90*thous_conv)</f>
        <v>13.715069432539002</v>
      </c>
      <c r="S7" s="86">
        <f>IF(ISBLANK(Assumptions!U90), R7,Assumptions!U90*thous_conv)</f>
        <v>13.715069432539002</v>
      </c>
      <c r="T7" s="86">
        <f>IF(ISBLANK(Assumptions!V90), S7,Assumptions!V90*thous_conv)</f>
        <v>13.715069432539002</v>
      </c>
      <c r="U7" s="86">
        <f>IF(ISBLANK(Assumptions!W90), T7,Assumptions!W90*thous_conv)</f>
        <v>13.715069432539002</v>
      </c>
      <c r="V7" s="86">
        <f>IF(ISBLANK(Assumptions!X90), U7,Assumptions!X90*thous_conv)</f>
        <v>13.715069432539002</v>
      </c>
      <c r="W7" s="86">
        <f>IF(ISBLANK(Assumptions!Y90), V7,Assumptions!Y90*thous_conv)</f>
        <v>13.715069432539002</v>
      </c>
      <c r="X7" s="86">
        <f>IF(ISBLANK(Assumptions!Z90), W7,Assumptions!Z90*thous_conv)</f>
        <v>13.715069432539002</v>
      </c>
      <c r="Y7" s="86">
        <f>IF(ISBLANK(Assumptions!AA90), X7,Assumptions!AA90*thous_conv)</f>
        <v>13.715069432539002</v>
      </c>
      <c r="Z7" s="86">
        <f>IF(ISBLANK(Assumptions!AB90), Y7,Assumptions!AB90*thous_conv)</f>
        <v>13.715069432539002</v>
      </c>
      <c r="AA7" s="86">
        <f>IF(ISBLANK(Assumptions!AC90), Z7,Assumptions!AC90*thous_conv)</f>
        <v>13.715069432539002</v>
      </c>
      <c r="AB7" s="86">
        <f>IF(ISBLANK(Assumptions!AD90), AA7,Assumptions!AD90*thous_conv)</f>
        <v>13.715069432539002</v>
      </c>
      <c r="AC7" s="86">
        <f>IF(ISBLANK(Assumptions!AE90), AB7,Assumptions!AE90*thous_conv)</f>
        <v>13.715069432539002</v>
      </c>
      <c r="AD7" s="86">
        <f>IF(ISBLANK(Assumptions!AF90), AC7,Assumptions!AF90*thous_conv)</f>
        <v>13.715069432539002</v>
      </c>
      <c r="AE7" s="86">
        <f>IF(ISBLANK(Assumptions!AG90), AD7,Assumptions!AG90*thous_conv)</f>
        <v>13.715069432539002</v>
      </c>
      <c r="AF7" s="86">
        <f>IF(ISBLANK(Assumptions!AH90), AE7,Assumptions!AH90*thous_conv)</f>
        <v>13.715069432539002</v>
      </c>
      <c r="AG7" s="86">
        <f>IF(ISBLANK(Assumptions!AI90), AF7,Assumptions!AI90*thous_conv)</f>
        <v>13.715069432539002</v>
      </c>
    </row>
    <row r="8" spans="1:43" ht="6.75" customHeight="1" collapsed="1" x14ac:dyDescent="0.2">
      <c r="C8" s="86"/>
      <c r="D8" s="85"/>
      <c r="E8" s="87"/>
      <c r="F8" s="87"/>
      <c r="G8" s="85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</row>
    <row r="9" spans="1:43" ht="15" x14ac:dyDescent="0.2">
      <c r="A9" s="156"/>
      <c r="B9" s="156"/>
      <c r="C9" s="156"/>
      <c r="D9" s="156"/>
      <c r="E9" s="156"/>
      <c r="F9" s="157"/>
      <c r="G9" s="156" t="s">
        <v>109</v>
      </c>
      <c r="H9" s="271">
        <f>DATE(LEFT(I9,4), 6,30)</f>
        <v>46203</v>
      </c>
      <c r="I9" s="158" t="str">
        <f>start</f>
        <v>2026-27</v>
      </c>
      <c r="J9" s="158" t="str">
        <f t="shared" ref="J9:AG9" si="1">LEFT(I9,4)+1&amp;"-"&amp;RIGHT(I9,2)+1</f>
        <v>2027-28</v>
      </c>
      <c r="K9" s="158" t="str">
        <f t="shared" si="1"/>
        <v>2028-29</v>
      </c>
      <c r="L9" s="158" t="str">
        <f t="shared" si="1"/>
        <v>2029-30</v>
      </c>
      <c r="M9" s="158" t="str">
        <f t="shared" si="1"/>
        <v>2030-31</v>
      </c>
      <c r="N9" s="158" t="str">
        <f t="shared" si="1"/>
        <v>2031-32</v>
      </c>
      <c r="O9" s="158" t="str">
        <f t="shared" si="1"/>
        <v>2032-33</v>
      </c>
      <c r="P9" s="158" t="str">
        <f t="shared" si="1"/>
        <v>2033-34</v>
      </c>
      <c r="Q9" s="158" t="str">
        <f t="shared" si="1"/>
        <v>2034-35</v>
      </c>
      <c r="R9" s="158" t="str">
        <f t="shared" si="1"/>
        <v>2035-36</v>
      </c>
      <c r="S9" s="158" t="str">
        <f t="shared" si="1"/>
        <v>2036-37</v>
      </c>
      <c r="T9" s="158" t="str">
        <f t="shared" si="1"/>
        <v>2037-38</v>
      </c>
      <c r="U9" s="158" t="str">
        <f t="shared" si="1"/>
        <v>2038-39</v>
      </c>
      <c r="V9" s="158" t="str">
        <f t="shared" si="1"/>
        <v>2039-40</v>
      </c>
      <c r="W9" s="158" t="str">
        <f t="shared" si="1"/>
        <v>2040-41</v>
      </c>
      <c r="X9" s="158" t="str">
        <f t="shared" si="1"/>
        <v>2041-42</v>
      </c>
      <c r="Y9" s="158" t="str">
        <f t="shared" si="1"/>
        <v>2042-43</v>
      </c>
      <c r="Z9" s="158" t="str">
        <f t="shared" si="1"/>
        <v>2043-44</v>
      </c>
      <c r="AA9" s="158" t="str">
        <f t="shared" si="1"/>
        <v>2044-45</v>
      </c>
      <c r="AB9" s="158" t="str">
        <f t="shared" si="1"/>
        <v>2045-46</v>
      </c>
      <c r="AC9" s="158" t="str">
        <f t="shared" si="1"/>
        <v>2046-47</v>
      </c>
      <c r="AD9" s="158" t="str">
        <f t="shared" si="1"/>
        <v>2047-48</v>
      </c>
      <c r="AE9" s="158" t="str">
        <f t="shared" si="1"/>
        <v>2048-49</v>
      </c>
      <c r="AF9" s="158" t="str">
        <f t="shared" si="1"/>
        <v>2049-50</v>
      </c>
      <c r="AG9" s="158" t="str">
        <f t="shared" si="1"/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110</v>
      </c>
      <c r="B11" s="78"/>
      <c r="C11" s="79"/>
      <c r="D11" s="79"/>
      <c r="E11" s="79"/>
      <c r="F11" s="79"/>
      <c r="G11" s="178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</row>
    <row r="12" spans="1:43" x14ac:dyDescent="0.2">
      <c r="A12" s="3"/>
      <c r="B12" s="3"/>
      <c r="C12" s="3"/>
      <c r="D12" s="3"/>
      <c r="G12" s="179"/>
    </row>
    <row r="13" spans="1:43" x14ac:dyDescent="0.2">
      <c r="C13" s="3" t="s">
        <v>103</v>
      </c>
      <c r="D13"/>
      <c r="E13" s="105" t="s">
        <v>111</v>
      </c>
      <c r="G13" s="180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112</v>
      </c>
      <c r="D14"/>
      <c r="E14" s="126">
        <v>0</v>
      </c>
      <c r="G14" s="181">
        <f>input_dollars</f>
        <v>45291</v>
      </c>
      <c r="H14" s="2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 t="s">
        <v>112</v>
      </c>
      <c r="D15"/>
      <c r="E15" s="126">
        <v>0</v>
      </c>
      <c r="G15" s="181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 t="s">
        <v>112</v>
      </c>
      <c r="D16"/>
      <c r="E16" s="126">
        <v>0</v>
      </c>
      <c r="G16" s="181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32</v>
      </c>
      <c r="G17" s="181">
        <f>input_dollars</f>
        <v>45291</v>
      </c>
      <c r="H17" s="94"/>
      <c r="I17" s="93">
        <f t="shared" ref="I17:AB17" si="2">SUM(I14:I16)</f>
        <v>0</v>
      </c>
      <c r="J17" s="93">
        <f t="shared" si="2"/>
        <v>0</v>
      </c>
      <c r="K17" s="93">
        <f t="shared" si="2"/>
        <v>0</v>
      </c>
      <c r="L17" s="93">
        <f t="shared" si="2"/>
        <v>0</v>
      </c>
      <c r="M17" s="93">
        <f t="shared" si="2"/>
        <v>0</v>
      </c>
      <c r="N17" s="93">
        <f t="shared" si="2"/>
        <v>0</v>
      </c>
      <c r="O17" s="93">
        <f t="shared" si="2"/>
        <v>0</v>
      </c>
      <c r="P17" s="93">
        <f t="shared" si="2"/>
        <v>0</v>
      </c>
      <c r="Q17" s="93">
        <f t="shared" si="2"/>
        <v>0</v>
      </c>
      <c r="R17" s="93">
        <f t="shared" si="2"/>
        <v>0</v>
      </c>
      <c r="S17" s="93">
        <f t="shared" si="2"/>
        <v>0</v>
      </c>
      <c r="T17" s="93">
        <f t="shared" si="2"/>
        <v>0</v>
      </c>
      <c r="U17" s="93">
        <f t="shared" si="2"/>
        <v>0</v>
      </c>
      <c r="V17" s="93">
        <f t="shared" si="2"/>
        <v>0</v>
      </c>
      <c r="W17" s="93">
        <f t="shared" si="2"/>
        <v>0</v>
      </c>
      <c r="X17" s="93">
        <f t="shared" si="2"/>
        <v>0</v>
      </c>
      <c r="Y17" s="93">
        <f t="shared" si="2"/>
        <v>0</v>
      </c>
      <c r="Z17" s="93">
        <f t="shared" si="2"/>
        <v>0</v>
      </c>
      <c r="AA17" s="93">
        <f t="shared" si="2"/>
        <v>0</v>
      </c>
      <c r="AB17" s="93">
        <f t="shared" si="2"/>
        <v>0</v>
      </c>
      <c r="AC17" s="93">
        <f>SUM(AC14:AC16)</f>
        <v>0</v>
      </c>
      <c r="AD17" s="93">
        <f>SUM(AD14:AD16)</f>
        <v>0</v>
      </c>
      <c r="AE17" s="93">
        <f>SUM(AE14:AE16)</f>
        <v>0</v>
      </c>
      <c r="AF17" s="93">
        <f>SUM(AF14:AF16)</f>
        <v>0</v>
      </c>
      <c r="AG17" s="93">
        <f>SUM(AG14:AG16)</f>
        <v>0</v>
      </c>
    </row>
    <row r="18" spans="1:43" x14ac:dyDescent="0.2">
      <c r="C18"/>
      <c r="D18"/>
      <c r="E18"/>
      <c r="G18" s="180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33</v>
      </c>
      <c r="D19"/>
      <c r="E19"/>
      <c r="F19" s="94"/>
      <c r="G19" s="181">
        <f>input_dollars</f>
        <v>45291</v>
      </c>
      <c r="H19" s="94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2">
      <c r="G20" s="179"/>
    </row>
    <row r="21" spans="1:43" x14ac:dyDescent="0.2">
      <c r="C21"/>
      <c r="D21"/>
      <c r="E21"/>
      <c r="G21" s="180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113</v>
      </c>
      <c r="B22" s="78"/>
      <c r="C22" s="78"/>
      <c r="D22" s="78"/>
      <c r="E22" s="78"/>
      <c r="F22" s="78"/>
      <c r="G22" s="1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8"/>
      <c r="B23" s="98"/>
      <c r="C23" s="98"/>
      <c r="D23" s="98"/>
      <c r="E23" s="98"/>
      <c r="F23" s="98"/>
      <c r="G23" s="182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8"/>
      <c r="B24" s="98"/>
      <c r="C24" s="1" t="s">
        <v>114</v>
      </c>
      <c r="D24" s="98"/>
      <c r="E24" s="98"/>
      <c r="F24" s="98"/>
      <c r="G24" s="182"/>
      <c r="H24" s="98"/>
      <c r="I24" s="115">
        <v>0</v>
      </c>
      <c r="J24" s="115">
        <v>0</v>
      </c>
      <c r="K24" s="115">
        <v>0</v>
      </c>
      <c r="L24" s="115">
        <v>0</v>
      </c>
      <c r="M24" s="115">
        <v>0</v>
      </c>
      <c r="N24" s="115">
        <v>0</v>
      </c>
      <c r="O24" s="115">
        <v>0</v>
      </c>
      <c r="P24" s="115">
        <v>0</v>
      </c>
      <c r="Q24" s="115">
        <v>0</v>
      </c>
      <c r="R24" s="115">
        <v>0</v>
      </c>
      <c r="S24" s="115">
        <v>0</v>
      </c>
      <c r="T24" s="115">
        <v>0</v>
      </c>
      <c r="U24" s="115">
        <v>0</v>
      </c>
      <c r="V24" s="115">
        <v>0</v>
      </c>
      <c r="W24" s="115">
        <v>0</v>
      </c>
      <c r="X24" s="115">
        <v>0</v>
      </c>
      <c r="Y24" s="115">
        <v>0</v>
      </c>
      <c r="Z24" s="115">
        <v>0</v>
      </c>
      <c r="AA24" s="115">
        <v>0</v>
      </c>
      <c r="AB24" s="115">
        <v>0</v>
      </c>
      <c r="AC24" s="115">
        <v>0</v>
      </c>
      <c r="AD24" s="115">
        <v>0</v>
      </c>
      <c r="AE24" s="115">
        <v>0</v>
      </c>
      <c r="AF24" s="115">
        <v>0</v>
      </c>
      <c r="AG24" s="115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8"/>
      <c r="B25" s="98"/>
      <c r="C25" s="1" t="s">
        <v>115</v>
      </c>
      <c r="D25" s="182"/>
      <c r="E25" s="98"/>
      <c r="F25" s="98"/>
      <c r="G25" s="182"/>
      <c r="H25" s="98"/>
      <c r="I25" s="115">
        <v>0</v>
      </c>
      <c r="J25" s="115">
        <v>0</v>
      </c>
      <c r="K25" s="115">
        <v>0</v>
      </c>
      <c r="L25" s="115">
        <v>0</v>
      </c>
      <c r="M25" s="115">
        <v>0</v>
      </c>
      <c r="N25" s="115">
        <v>0</v>
      </c>
      <c r="O25" s="115">
        <v>0</v>
      </c>
      <c r="P25" s="115">
        <v>0</v>
      </c>
      <c r="Q25" s="115">
        <v>0</v>
      </c>
      <c r="R25" s="115">
        <v>0</v>
      </c>
      <c r="S25" s="115">
        <v>0</v>
      </c>
      <c r="T25" s="115">
        <v>0</v>
      </c>
      <c r="U25" s="115">
        <v>0</v>
      </c>
      <c r="V25" s="115">
        <v>0</v>
      </c>
      <c r="W25" s="115">
        <v>0</v>
      </c>
      <c r="X25" s="115">
        <v>0</v>
      </c>
      <c r="Y25" s="115">
        <v>0</v>
      </c>
      <c r="Z25" s="115">
        <v>0</v>
      </c>
      <c r="AA25" s="115">
        <v>0</v>
      </c>
      <c r="AB25" s="115">
        <v>0</v>
      </c>
      <c r="AC25" s="115">
        <v>0</v>
      </c>
      <c r="AD25" s="115">
        <v>0</v>
      </c>
      <c r="AE25" s="115">
        <v>0</v>
      </c>
      <c r="AF25" s="115">
        <v>0</v>
      </c>
      <c r="AG25" s="115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8"/>
      <c r="B26" s="98"/>
      <c r="C26" s="98"/>
      <c r="D26" s="182"/>
      <c r="E26" s="98"/>
      <c r="F26" s="98"/>
      <c r="G26" s="182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116</v>
      </c>
      <c r="D27" s="179"/>
      <c r="E27"/>
      <c r="G27" s="181" t="s">
        <v>117</v>
      </c>
      <c r="H27"/>
      <c r="I27" s="144">
        <v>0</v>
      </c>
      <c r="J27" s="144">
        <v>0</v>
      </c>
      <c r="K27" s="144">
        <v>0</v>
      </c>
      <c r="L27" s="144">
        <v>0</v>
      </c>
      <c r="M27" s="144">
        <v>0</v>
      </c>
      <c r="N27" s="144">
        <v>0</v>
      </c>
      <c r="O27" s="144">
        <v>0</v>
      </c>
      <c r="P27" s="144">
        <v>0</v>
      </c>
      <c r="Q27" s="144">
        <v>0</v>
      </c>
      <c r="R27" s="144">
        <v>0</v>
      </c>
      <c r="S27" s="144">
        <v>0</v>
      </c>
      <c r="T27" s="144">
        <v>0</v>
      </c>
      <c r="U27" s="144">
        <v>0</v>
      </c>
      <c r="V27" s="144">
        <v>0</v>
      </c>
      <c r="W27" s="144">
        <v>0</v>
      </c>
      <c r="X27" s="144">
        <v>0</v>
      </c>
      <c r="Y27" s="144">
        <v>0</v>
      </c>
      <c r="Z27" s="144">
        <v>0</v>
      </c>
      <c r="AA27" s="144">
        <v>0</v>
      </c>
      <c r="AB27" s="144">
        <v>0</v>
      </c>
      <c r="AC27" s="144">
        <v>0</v>
      </c>
      <c r="AD27" s="144">
        <v>0</v>
      </c>
      <c r="AE27" s="144">
        <v>0</v>
      </c>
      <c r="AF27" s="144">
        <v>0</v>
      </c>
      <c r="AG27" s="144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118</v>
      </c>
      <c r="D28" s="179" t="s">
        <v>108</v>
      </c>
      <c r="E28" s="100">
        <f>Assumptions!H41*vcr_esc</f>
        <v>44330.651153933512</v>
      </c>
      <c r="F28" s="211" t="str">
        <f>IF(AND(SUM(I27:AG27)&lt;&gt;0, E28=0), "!", "")</f>
        <v/>
      </c>
      <c r="G28" s="181">
        <f>input_dollars</f>
        <v>45291</v>
      </c>
      <c r="H28"/>
      <c r="I28" s="29">
        <f>Workings_risks!E11</f>
        <v>897865.0488590746</v>
      </c>
      <c r="J28" s="29">
        <f>Workings_risks!F11</f>
        <v>945320.30286267668</v>
      </c>
      <c r="K28" s="29">
        <f>Workings_risks!G11</f>
        <v>990981.44929698983</v>
      </c>
      <c r="L28" s="29">
        <f>Workings_risks!H11</f>
        <v>1035761.9128066786</v>
      </c>
      <c r="M28" s="29">
        <f>Workings_risks!I11</f>
        <v>1079683.1994604259</v>
      </c>
      <c r="N28" s="29">
        <f>Workings_risks!J11</f>
        <v>1127349.6145756773</v>
      </c>
      <c r="O28" s="29">
        <f>Workings_risks!K11</f>
        <v>1185892.6492483215</v>
      </c>
      <c r="P28" s="29">
        <f>Workings_risks!L11</f>
        <v>1247351.3014829247</v>
      </c>
      <c r="Q28" s="29">
        <f>Workings_risks!M11</f>
        <v>1297933.6618674165</v>
      </c>
      <c r="R28" s="29">
        <f>Workings_risks!N11</f>
        <v>1331224.3152799844</v>
      </c>
      <c r="S28" s="29">
        <f>Workings_risks!O11</f>
        <v>1364868.8723433157</v>
      </c>
      <c r="T28" s="29">
        <f>Workings_risks!P11</f>
        <v>1398866.0846836667</v>
      </c>
      <c r="U28" s="29">
        <f>Workings_risks!Q11</f>
        <v>1433214.7798658847</v>
      </c>
      <c r="V28" s="29">
        <f>Workings_risks!R11</f>
        <v>1467913.8166081712</v>
      </c>
      <c r="W28" s="29">
        <f>Workings_risks!S11</f>
        <v>1502962.0249674185</v>
      </c>
      <c r="X28" s="29">
        <f>Workings_risks!T11</f>
        <v>1538358.3259230594</v>
      </c>
      <c r="Y28" s="29">
        <f>Workings_risks!U11</f>
        <v>1574101.6416911341</v>
      </c>
      <c r="Z28" s="29">
        <f>Workings_risks!V11</f>
        <v>1610190.9256206912</v>
      </c>
      <c r="AA28" s="29">
        <f>Workings_risks!W11</f>
        <v>1646625.1322565437</v>
      </c>
      <c r="AB28" s="29">
        <f>Workings_risks!X11</f>
        <v>1683403.2622316729</v>
      </c>
      <c r="AC28" s="29">
        <f>Workings_risks!Y11</f>
        <v>1720524.3323366472</v>
      </c>
      <c r="AD28" s="29">
        <f>Workings_risks!Z11</f>
        <v>1757987.4054787722</v>
      </c>
      <c r="AE28" s="29">
        <f>Workings_risks!AA11</f>
        <v>1795791.5157641307</v>
      </c>
      <c r="AF28" s="29">
        <f>Workings_risks!AB11</f>
        <v>1833935.7583882266</v>
      </c>
      <c r="AG28" s="29">
        <f>Workings_risks!AC11</f>
        <v>1872419.2296963504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0"/>
      <c r="E29"/>
      <c r="G29" s="181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tr">
        <f>Workings_risks!D12</f>
        <v>Safety risk</v>
      </c>
      <c r="D30" s="179" t="s">
        <v>119</v>
      </c>
      <c r="G30" s="181">
        <f>input_dollars</f>
        <v>45291</v>
      </c>
      <c r="H30" s="127"/>
      <c r="I30" s="29">
        <f>Workings_risks!E12</f>
        <v>509.34510415978644</v>
      </c>
      <c r="J30" s="29">
        <f>Workings_risks!F12</f>
        <v>524.10805974729431</v>
      </c>
      <c r="K30" s="29">
        <f>Workings_risks!G12</f>
        <v>539.04427428359986</v>
      </c>
      <c r="L30" s="29">
        <f>Workings_risks!H12</f>
        <v>554.15287265045276</v>
      </c>
      <c r="M30" s="29">
        <f>Workings_risks!I12</f>
        <v>569.43302312389608</v>
      </c>
      <c r="N30" s="29">
        <f>Workings_risks!J12</f>
        <v>584.88390844473759</v>
      </c>
      <c r="O30" s="29">
        <f>Workings_risks!K12</f>
        <v>600.50471135378461</v>
      </c>
      <c r="P30" s="29">
        <f>Workings_risks!L12</f>
        <v>616.29465798613819</v>
      </c>
      <c r="Q30" s="29">
        <f>Workings_risks!M12</f>
        <v>632.25297447689923</v>
      </c>
      <c r="R30" s="29">
        <f>Workings_risks!N12</f>
        <v>648.37888696116886</v>
      </c>
      <c r="S30" s="29">
        <f>Workings_risks!O12</f>
        <v>664.67167220072349</v>
      </c>
      <c r="T30" s="29">
        <f>Workings_risks!P12</f>
        <v>681.13058526019313</v>
      </c>
      <c r="U30" s="29">
        <f>Workings_risks!Q12</f>
        <v>697.75491736611889</v>
      </c>
      <c r="V30" s="29">
        <f>Workings_risks!R12</f>
        <v>714.54397420980615</v>
      </c>
      <c r="W30" s="29">
        <f>Workings_risks!S12</f>
        <v>731.49704701779626</v>
      </c>
      <c r="X30" s="29">
        <f>Workings_risks!T12</f>
        <v>748.61347041092324</v>
      </c>
      <c r="Y30" s="29">
        <f>Workings_risks!U12</f>
        <v>765.89257901002202</v>
      </c>
      <c r="Z30" s="29">
        <f>Workings_risks!V12</f>
        <v>783.3337219006911</v>
      </c>
      <c r="AA30" s="29">
        <f>Workings_risks!W12</f>
        <v>800.93624816852969</v>
      </c>
      <c r="AB30" s="29">
        <f>Workings_risks!X12</f>
        <v>818.69952859628359</v>
      </c>
      <c r="AC30" s="29">
        <f>Workings_risks!Y12</f>
        <v>836.6229411990804</v>
      </c>
      <c r="AD30" s="29">
        <f>Workings_risks!Z12</f>
        <v>854.70588568919459</v>
      </c>
      <c r="AE30" s="29">
        <f>Workings_risks!AA12</f>
        <v>854.70588568919459</v>
      </c>
      <c r="AF30" s="29">
        <f>Workings_risks!AB12</f>
        <v>854.70588568919459</v>
      </c>
      <c r="AG30" s="29">
        <f>Workings_risks!AC12</f>
        <v>854.70588568919459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tr">
        <f>Workings_risks!D13</f>
        <v>Unplanned replacement risk</v>
      </c>
      <c r="D31" s="180"/>
      <c r="E31"/>
      <c r="G31" s="181">
        <f>input_dollars</f>
        <v>45291</v>
      </c>
      <c r="H31" s="127"/>
      <c r="I31" s="29">
        <f>Workings_risks!E13</f>
        <v>25689.870432828979</v>
      </c>
      <c r="J31" s="29">
        <f>Workings_risks!F13</f>
        <v>26434.470534314798</v>
      </c>
      <c r="K31" s="29">
        <f>Workings_risks!G13</f>
        <v>27187.809308087039</v>
      </c>
      <c r="L31" s="29">
        <f>Workings_risks!H13</f>
        <v>27949.842615752521</v>
      </c>
      <c r="M31" s="29">
        <f>Workings_risks!I13</f>
        <v>28720.528507598741</v>
      </c>
      <c r="N31" s="29">
        <f>Workings_risks!J13</f>
        <v>29499.825763473407</v>
      </c>
      <c r="O31" s="29">
        <f>Workings_risks!K13</f>
        <v>30287.693163224216</v>
      </c>
      <c r="P31" s="29">
        <f>Workings_risks!L13</f>
        <v>31084.091675379532</v>
      </c>
      <c r="Q31" s="29">
        <f>Workings_risks!M13</f>
        <v>31888.982268467706</v>
      </c>
      <c r="R31" s="29">
        <f>Workings_risks!N13</f>
        <v>32702.325911017106</v>
      </c>
      <c r="S31" s="29">
        <f>Workings_risks!O13</f>
        <v>33524.086125016853</v>
      </c>
      <c r="T31" s="29">
        <f>Workings_risks!P13</f>
        <v>34354.225338115735</v>
      </c>
      <c r="U31" s="29">
        <f>Workings_risks!Q13</f>
        <v>35192.707801863085</v>
      </c>
      <c r="V31" s="29">
        <f>Workings_risks!R13</f>
        <v>36039.49849736847</v>
      </c>
      <c r="W31" s="29">
        <f>Workings_risks!S13</f>
        <v>36894.56167618122</v>
      </c>
      <c r="X31" s="29">
        <f>Workings_risks!T13</f>
        <v>37757.863778531326</v>
      </c>
      <c r="Y31" s="29">
        <f>Workings_risks!U13</f>
        <v>38629.371244648784</v>
      </c>
      <c r="Z31" s="29">
        <f>Workings_risks!V13</f>
        <v>39509.051244323789</v>
      </c>
      <c r="AA31" s="29">
        <f>Workings_risks!W13</f>
        <v>40396.870947346557</v>
      </c>
      <c r="AB31" s="29">
        <f>Workings_risks!X13</f>
        <v>41292.798617847628</v>
      </c>
      <c r="AC31" s="29">
        <f>Workings_risks!Y13</f>
        <v>42196.802884737641</v>
      </c>
      <c r="AD31" s="29">
        <f>Workings_risks!Z13</f>
        <v>43108.853471267554</v>
      </c>
      <c r="AE31" s="29">
        <f>Workings_risks!AA13</f>
        <v>43108.853471267554</v>
      </c>
      <c r="AF31" s="29">
        <f>Workings_risks!AB13</f>
        <v>43108.853471267554</v>
      </c>
      <c r="AG31" s="29">
        <f>Workings_risks!AC13</f>
        <v>43108.853471267554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tr">
        <f>Workings_risks!D14</f>
        <v>Unplanned fault risk</v>
      </c>
      <c r="D32" s="179"/>
      <c r="E32"/>
      <c r="G32" s="181">
        <f>input_dollars</f>
        <v>45291</v>
      </c>
      <c r="H32"/>
      <c r="I32" s="29">
        <f>Workings_risks!E14</f>
        <v>1880.6461303360002</v>
      </c>
      <c r="J32" s="29">
        <f>Workings_risks!F14</f>
        <v>1935.1551362559999</v>
      </c>
      <c r="K32" s="29">
        <f>Workings_risks!G14</f>
        <v>1990.3038632</v>
      </c>
      <c r="L32" s="29">
        <f>Workings_risks!H14</f>
        <v>2046.0890799839999</v>
      </c>
      <c r="M32" s="29">
        <f>Workings_risks!I14</f>
        <v>2102.5077156480002</v>
      </c>
      <c r="N32" s="29">
        <f>Workings_risks!J14</f>
        <v>2159.5567526400005</v>
      </c>
      <c r="O32" s="29">
        <f>Workings_risks!K14</f>
        <v>2217.2331734080003</v>
      </c>
      <c r="P32" s="29">
        <f>Workings_risks!L14</f>
        <v>2275.534120624</v>
      </c>
      <c r="Q32" s="29">
        <f>Workings_risks!M14</f>
        <v>2334.4567369599999</v>
      </c>
      <c r="R32" s="29">
        <f>Workings_risks!N14</f>
        <v>2393.998165088</v>
      </c>
      <c r="S32" s="29">
        <f>Workings_risks!O14</f>
        <v>2454.1557346079999</v>
      </c>
      <c r="T32" s="29">
        <f>Workings_risks!P14</f>
        <v>2514.926695008</v>
      </c>
      <c r="U32" s="29">
        <f>Workings_risks!Q14</f>
        <v>2576.3084292959998</v>
      </c>
      <c r="V32" s="29">
        <f>Workings_risks!R14</f>
        <v>2638.2983738879998</v>
      </c>
      <c r="W32" s="29">
        <f>Workings_risks!S14</f>
        <v>2700.8939117920004</v>
      </c>
      <c r="X32" s="29">
        <f>Workings_risks!T14</f>
        <v>2764.0925862399999</v>
      </c>
      <c r="Y32" s="29">
        <f>Workings_risks!U14</f>
        <v>2827.8919404640005</v>
      </c>
      <c r="Z32" s="29">
        <f>Workings_risks!V14</f>
        <v>2892.2895711040005</v>
      </c>
      <c r="AA32" s="29">
        <f>Workings_risks!W14</f>
        <v>2957.2830748000001</v>
      </c>
      <c r="AB32" s="29">
        <f>Workings_risks!X14</f>
        <v>3022.870128304</v>
      </c>
      <c r="AC32" s="29">
        <f>Workings_risks!Y14</f>
        <v>3089.0484350720003</v>
      </c>
      <c r="AD32" s="29">
        <f>Workings_risks!Z14</f>
        <v>3155.8157786720003</v>
      </c>
      <c r="AE32" s="29">
        <f>Workings_risks!AA14</f>
        <v>3155.8157786720003</v>
      </c>
      <c r="AF32" s="29">
        <f>Workings_risks!AB14</f>
        <v>3155.8157786720003</v>
      </c>
      <c r="AG32" s="29">
        <f>Workings_risks!AC14</f>
        <v>3155.8157786720003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1" t="str">
        <f>Workings_risks!D15</f>
        <v>Environmental risk</v>
      </c>
      <c r="D33" s="179" t="s">
        <v>119</v>
      </c>
      <c r="E33"/>
      <c r="G33" s="181">
        <f>input_dollars</f>
        <v>45291</v>
      </c>
      <c r="H33"/>
      <c r="I33" s="29">
        <f>Workings_risks!E15</f>
        <v>1998.2833333333333</v>
      </c>
      <c r="J33" s="29">
        <f>Workings_risks!F15</f>
        <v>1998.2833333333333</v>
      </c>
      <c r="K33" s="29">
        <f>Workings_risks!G15</f>
        <v>1998.2833333333333</v>
      </c>
      <c r="L33" s="29">
        <f>Workings_risks!H15</f>
        <v>1998.2833333333333</v>
      </c>
      <c r="M33" s="29">
        <f>Workings_risks!I15</f>
        <v>1998.2833333333333</v>
      </c>
      <c r="N33" s="29">
        <f>Workings_risks!J15</f>
        <v>1998.2833333333333</v>
      </c>
      <c r="O33" s="29">
        <f>Workings_risks!K15</f>
        <v>1998.2833333333333</v>
      </c>
      <c r="P33" s="29">
        <f>Workings_risks!L15</f>
        <v>1998.2833333333333</v>
      </c>
      <c r="Q33" s="29">
        <f>Workings_risks!M15</f>
        <v>1998.2833333333333</v>
      </c>
      <c r="R33" s="29">
        <f>Workings_risks!N15</f>
        <v>1998.2833333333333</v>
      </c>
      <c r="S33" s="29">
        <f>Workings_risks!O15</f>
        <v>1998.2833333333333</v>
      </c>
      <c r="T33" s="29">
        <f>Workings_risks!P15</f>
        <v>1998.2833333333333</v>
      </c>
      <c r="U33" s="29">
        <f>Workings_risks!Q15</f>
        <v>1998.2833333333333</v>
      </c>
      <c r="V33" s="29">
        <f>Workings_risks!R15</f>
        <v>1998.2833333333333</v>
      </c>
      <c r="W33" s="29">
        <f>Workings_risks!S15</f>
        <v>1998.2833333333333</v>
      </c>
      <c r="X33" s="29">
        <f>Workings_risks!T15</f>
        <v>1998.2833333333333</v>
      </c>
      <c r="Y33" s="29">
        <f>Workings_risks!U15</f>
        <v>1998.2833333333333</v>
      </c>
      <c r="Z33" s="29">
        <f>Workings_risks!V15</f>
        <v>1998.2833333333333</v>
      </c>
      <c r="AA33" s="29">
        <f>Workings_risks!W15</f>
        <v>1998.2833333333333</v>
      </c>
      <c r="AB33" s="29">
        <f>Workings_risks!X15</f>
        <v>1998.2833333333333</v>
      </c>
      <c r="AC33" s="29">
        <f>Workings_risks!Y15</f>
        <v>1998.2833333333333</v>
      </c>
      <c r="AD33" s="29">
        <f>Workings_risks!Z15</f>
        <v>1998.2833333333333</v>
      </c>
      <c r="AE33" s="29">
        <f>Workings_risks!AA15</f>
        <v>1998.2833333333333</v>
      </c>
      <c r="AF33" s="29">
        <f>Workings_risks!AB15</f>
        <v>1998.2833333333333</v>
      </c>
      <c r="AG33" s="29">
        <f>Workings_risks!AC15</f>
        <v>1998.2833333333333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239" t="s">
        <v>120</v>
      </c>
      <c r="D34" s="180"/>
      <c r="E34"/>
      <c r="G34" s="181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D35" s="180"/>
      <c r="E35"/>
      <c r="G35" s="181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C36" s="3" t="s">
        <v>121</v>
      </c>
      <c r="D36" s="191"/>
      <c r="E36" s="94"/>
      <c r="F36" s="3"/>
      <c r="G36" s="183"/>
      <c r="H36" s="94"/>
      <c r="I36" s="93">
        <f>SUM(I28:I34)</f>
        <v>927943.19385973271</v>
      </c>
      <c r="J36" s="93">
        <f t="shared" ref="J36:AB36" si="3">SUM(J28:J34)</f>
        <v>976212.31992632803</v>
      </c>
      <c r="K36" s="93">
        <f t="shared" si="3"/>
        <v>1022696.8900758937</v>
      </c>
      <c r="L36" s="93">
        <f t="shared" si="3"/>
        <v>1068310.2807083989</v>
      </c>
      <c r="M36" s="93">
        <f t="shared" si="3"/>
        <v>1113073.95204013</v>
      </c>
      <c r="N36" s="93">
        <f t="shared" si="3"/>
        <v>1161592.1643335691</v>
      </c>
      <c r="O36" s="93">
        <f t="shared" si="3"/>
        <v>1220996.363629641</v>
      </c>
      <c r="P36" s="93">
        <f t="shared" si="3"/>
        <v>1283325.5052702478</v>
      </c>
      <c r="Q36" s="93">
        <f t="shared" si="3"/>
        <v>1334787.6371806546</v>
      </c>
      <c r="R36" s="93">
        <f t="shared" si="3"/>
        <v>1368967.3015763841</v>
      </c>
      <c r="S36" s="93">
        <f t="shared" si="3"/>
        <v>1403510.0692084748</v>
      </c>
      <c r="T36" s="93">
        <f t="shared" si="3"/>
        <v>1438414.6506353843</v>
      </c>
      <c r="U36" s="93">
        <f t="shared" si="3"/>
        <v>1473679.8343477433</v>
      </c>
      <c r="V36" s="93">
        <f t="shared" si="3"/>
        <v>1509304.440786971</v>
      </c>
      <c r="W36" s="93">
        <f t="shared" si="3"/>
        <v>1545287.2609357429</v>
      </c>
      <c r="X36" s="93">
        <f t="shared" si="3"/>
        <v>1581627.1790915751</v>
      </c>
      <c r="Y36" s="93">
        <f t="shared" si="3"/>
        <v>1618323.0807885902</v>
      </c>
      <c r="Z36" s="93">
        <f t="shared" si="3"/>
        <v>1655373.8834913531</v>
      </c>
      <c r="AA36" s="93">
        <f t="shared" si="3"/>
        <v>1692778.5058601922</v>
      </c>
      <c r="AB36" s="93">
        <f t="shared" si="3"/>
        <v>1730535.9138397544</v>
      </c>
      <c r="AC36" s="93">
        <f>SUM(AC28:AC34)</f>
        <v>1768645.0899309893</v>
      </c>
      <c r="AD36" s="93">
        <f>SUM(AD28:AD34)</f>
        <v>1807105.0639477344</v>
      </c>
      <c r="AE36" s="93">
        <f>SUM(AE28:AE34)</f>
        <v>1844909.1742330929</v>
      </c>
      <c r="AF36" s="93">
        <f>SUM(AF28:AF34)</f>
        <v>1883053.4168571888</v>
      </c>
      <c r="AG36" s="93">
        <f>SUM(AG28:AG34)</f>
        <v>1921536.8881653126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x14ac:dyDescent="0.2">
      <c r="D37"/>
      <c r="E37"/>
      <c r="G37" s="181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5" x14ac:dyDescent="0.2">
      <c r="A38" s="78" t="s">
        <v>122</v>
      </c>
      <c r="B38" s="78"/>
      <c r="C38" s="78"/>
      <c r="D38" s="78"/>
      <c r="E38" s="78"/>
      <c r="F38" s="78"/>
      <c r="G38" s="1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1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x14ac:dyDescent="0.2">
      <c r="D40"/>
      <c r="E40"/>
      <c r="G40" s="181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25">
      <c r="C41" s="1" t="s">
        <v>123</v>
      </c>
      <c r="G41" s="179" t="s">
        <v>117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25">
      <c r="C42" s="1" t="s">
        <v>124</v>
      </c>
      <c r="G42" s="179" t="s">
        <v>125</v>
      </c>
      <c r="I42" s="28">
        <f t="shared" ref="I42:AG42" si="4">I41*I7</f>
        <v>0</v>
      </c>
      <c r="J42" s="28">
        <f t="shared" si="4"/>
        <v>0</v>
      </c>
      <c r="K42" s="28">
        <f t="shared" si="4"/>
        <v>0</v>
      </c>
      <c r="L42" s="28">
        <f t="shared" si="4"/>
        <v>0</v>
      </c>
      <c r="M42" s="28">
        <f t="shared" si="4"/>
        <v>0</v>
      </c>
      <c r="N42" s="28">
        <f t="shared" si="4"/>
        <v>0</v>
      </c>
      <c r="O42" s="28">
        <f t="shared" si="4"/>
        <v>0</v>
      </c>
      <c r="P42" s="28">
        <f t="shared" si="4"/>
        <v>0</v>
      </c>
      <c r="Q42" s="28">
        <f t="shared" si="4"/>
        <v>0</v>
      </c>
      <c r="R42" s="28">
        <f t="shared" si="4"/>
        <v>0</v>
      </c>
      <c r="S42" s="28">
        <f t="shared" si="4"/>
        <v>0</v>
      </c>
      <c r="T42" s="28">
        <f t="shared" si="4"/>
        <v>0</v>
      </c>
      <c r="U42" s="28">
        <f t="shared" si="4"/>
        <v>0</v>
      </c>
      <c r="V42" s="28">
        <f t="shared" si="4"/>
        <v>0</v>
      </c>
      <c r="W42" s="28">
        <f t="shared" si="4"/>
        <v>0</v>
      </c>
      <c r="X42" s="28">
        <f t="shared" si="4"/>
        <v>0</v>
      </c>
      <c r="Y42" s="28">
        <f t="shared" si="4"/>
        <v>0</v>
      </c>
      <c r="Z42" s="28">
        <f t="shared" si="4"/>
        <v>0</v>
      </c>
      <c r="AA42" s="28">
        <f t="shared" si="4"/>
        <v>0</v>
      </c>
      <c r="AB42" s="28">
        <f t="shared" si="4"/>
        <v>0</v>
      </c>
      <c r="AC42" s="28">
        <f t="shared" si="4"/>
        <v>0</v>
      </c>
      <c r="AD42" s="28">
        <f t="shared" si="4"/>
        <v>0</v>
      </c>
      <c r="AE42" s="28">
        <f t="shared" si="4"/>
        <v>0</v>
      </c>
      <c r="AF42" s="28">
        <f t="shared" si="4"/>
        <v>0</v>
      </c>
      <c r="AG42" s="28">
        <f t="shared" si="4"/>
        <v>0</v>
      </c>
    </row>
    <row r="43" spans="1:16372" x14ac:dyDescent="0.2">
      <c r="D43"/>
      <c r="E43"/>
      <c r="G43" s="181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 s="180"/>
      <c r="E44"/>
      <c r="G44" s="181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2">
      <c r="C45" s="1" t="s">
        <v>126</v>
      </c>
      <c r="D45" s="179" t="s">
        <v>108</v>
      </c>
      <c r="E45" s="100">
        <f>Assumptions!G94</f>
        <v>0</v>
      </c>
      <c r="G45" s="181" t="s">
        <v>117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2">
      <c r="C46" s="1" t="s">
        <v>127</v>
      </c>
      <c r="D46" s="179" t="s">
        <v>108</v>
      </c>
      <c r="E46" s="100">
        <f>Assumptions!G95</f>
        <v>0</v>
      </c>
      <c r="G46" s="181" t="s">
        <v>117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2">
      <c r="C47" s="1" t="s">
        <v>128</v>
      </c>
      <c r="D47" s="179" t="s">
        <v>108</v>
      </c>
      <c r="E47" s="99">
        <f>Assumptions!G96</f>
        <v>4220.9953699573898</v>
      </c>
      <c r="G47" s="181" t="s">
        <v>117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2">
      <c r="C48" s="1" t="s">
        <v>129</v>
      </c>
      <c r="D48" s="179" t="s">
        <v>130</v>
      </c>
      <c r="E48" s="99">
        <f>Assumptions!G97</f>
        <v>0</v>
      </c>
      <c r="G48" s="181" t="s">
        <v>131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2">
      <c r="C49" s="1" t="s">
        <v>132</v>
      </c>
      <c r="D49" s="179" t="s">
        <v>133</v>
      </c>
      <c r="E49" s="99">
        <f>Assumptions!G98</f>
        <v>0.54769380678923496</v>
      </c>
      <c r="G49" s="181" t="s">
        <v>134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2">
      <c r="C50" s="1" t="s">
        <v>135</v>
      </c>
      <c r="D50" s="179" t="s">
        <v>133</v>
      </c>
      <c r="E50" s="99">
        <f>Assumptions!G99</f>
        <v>0.54769380678923496</v>
      </c>
      <c r="G50" s="181" t="s">
        <v>134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2">
      <c r="C51" s="1" t="s">
        <v>136</v>
      </c>
      <c r="D51" s="179" t="s">
        <v>130</v>
      </c>
      <c r="E51" s="99">
        <f>Assumptions!G100</f>
        <v>0</v>
      </c>
      <c r="G51" s="181" t="s">
        <v>131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2">
      <c r="C52" s="1" t="s">
        <v>137</v>
      </c>
      <c r="D52" s="179" t="s">
        <v>130</v>
      </c>
      <c r="E52" s="99">
        <f>Assumptions!G101</f>
        <v>0</v>
      </c>
      <c r="G52" s="181" t="s">
        <v>131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2">
      <c r="D53" s="179"/>
      <c r="G53" s="181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2">
      <c r="C54" s="1" t="s">
        <v>138</v>
      </c>
      <c r="D54" s="179"/>
      <c r="G54" s="181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2">
      <c r="C55" s="1" t="s">
        <v>139</v>
      </c>
      <c r="D55" s="179"/>
      <c r="G55" s="181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2">
      <c r="D56" s="179"/>
      <c r="G56" s="179"/>
    </row>
    <row r="57" spans="1:43" x14ac:dyDescent="0.2">
      <c r="C57" s="3" t="s">
        <v>140</v>
      </c>
      <c r="D57" s="191"/>
      <c r="E57" s="94"/>
      <c r="F57" s="3"/>
      <c r="G57" s="184">
        <f>input_dollars</f>
        <v>45291</v>
      </c>
      <c r="H57" s="94"/>
      <c r="I57" s="93" cm="1">
        <f t="array" ref="I57">SUMPRODUCT((I$45:I$52)*($E$45:$E$52))+SUM(I54:I55)+I42</f>
        <v>0</v>
      </c>
      <c r="J57" s="93" cm="1">
        <f t="array" ref="J57">SUMPRODUCT((J$45:J$52)*($E$45:$E$52))+SUM(J54:J55)+J42</f>
        <v>0</v>
      </c>
      <c r="K57" s="93" cm="1">
        <f t="array" ref="K57">SUMPRODUCT((K$45:K$52)*($E$45:$E$52))+SUM(K54:K55)+K42</f>
        <v>0</v>
      </c>
      <c r="L57" s="93" cm="1">
        <f t="array" ref="L57">SUMPRODUCT((L$45:L$52)*($E$45:$E$52))+SUM(L54:L55)+L42</f>
        <v>0</v>
      </c>
      <c r="M57" s="93" cm="1">
        <f t="array" ref="M57">SUMPRODUCT((M$45:M$52)*($E$45:$E$52))+SUM(M54:M55)+M42</f>
        <v>0</v>
      </c>
      <c r="N57" s="93" cm="1">
        <f t="array" ref="N57">SUMPRODUCT((N$45:N$52)*($E$45:$E$52))+SUM(N54:N55)+N42</f>
        <v>0</v>
      </c>
      <c r="O57" s="93" cm="1">
        <f t="array" ref="O57">SUMPRODUCT((O$45:O$52)*($E$45:$E$52))+SUM(O54:O55)+O42</f>
        <v>0</v>
      </c>
      <c r="P57" s="93" cm="1">
        <f t="array" ref="P57">SUMPRODUCT((P$45:P$52)*($E$45:$E$52))+SUM(P54:P55)+P42</f>
        <v>0</v>
      </c>
      <c r="Q57" s="93" cm="1">
        <f t="array" ref="Q57">SUMPRODUCT((Q$45:Q$52)*($E$45:$E$52))+SUM(Q54:Q55)+Q42</f>
        <v>0</v>
      </c>
      <c r="R57" s="93" cm="1">
        <f t="array" ref="R57">SUMPRODUCT((R$45:R$52)*($E$45:$E$52))+SUM(R54:R55)+R42</f>
        <v>0</v>
      </c>
      <c r="S57" s="93" cm="1">
        <f t="array" ref="S57">SUMPRODUCT((S$45:S$52)*($E$45:$E$52))+SUM(S54:S55)+S42</f>
        <v>0</v>
      </c>
      <c r="T57" s="93" cm="1">
        <f t="array" ref="T57">SUMPRODUCT((T$45:T$52)*($E$45:$E$52))+SUM(T54:T55)+T42</f>
        <v>0</v>
      </c>
      <c r="U57" s="93" cm="1">
        <f t="array" ref="U57">SUMPRODUCT((U$45:U$52)*($E$45:$E$52))+SUM(U54:U55)+U42</f>
        <v>0</v>
      </c>
      <c r="V57" s="93" cm="1">
        <f t="array" ref="V57">SUMPRODUCT((V$45:V$52)*($E$45:$E$52))+SUM(V54:V55)+V42</f>
        <v>0</v>
      </c>
      <c r="W57" s="93" cm="1">
        <f t="array" ref="W57">SUMPRODUCT((W$45:W$52)*($E$45:$E$52))+SUM(W54:W55)+W42</f>
        <v>0</v>
      </c>
      <c r="X57" s="93" cm="1">
        <f t="array" ref="X57">SUMPRODUCT((X$45:X$52)*($E$45:$E$52))+SUM(X54:X55)+X42</f>
        <v>0</v>
      </c>
      <c r="Y57" s="93" cm="1">
        <f t="array" ref="Y57">SUMPRODUCT((Y$45:Y$52)*($E$45:$E$52))+SUM(Y54:Y55)+Y42</f>
        <v>0</v>
      </c>
      <c r="Z57" s="93" cm="1">
        <f t="array" ref="Z57">SUMPRODUCT((Z$45:Z$52)*($E$45:$E$52))+SUM(Z54:Z55)+Z42</f>
        <v>0</v>
      </c>
      <c r="AA57" s="93" cm="1">
        <f t="array" ref="AA57">SUMPRODUCT((AA$45:AA$52)*($E$45:$E$52))+SUM(AA54:AA55)+AA42</f>
        <v>0</v>
      </c>
      <c r="AB57" s="93" cm="1">
        <f t="array" ref="AB57">SUMPRODUCT((AB$45:AB$52)*($E$45:$E$52))+SUM(AB54:AB55)+AB42</f>
        <v>0</v>
      </c>
      <c r="AC57" s="93" cm="1">
        <f t="array" ref="AC57">SUMPRODUCT((AC$45:AC$52)*($E$45:$E$52))+SUM(AC54:AC55)+AC42</f>
        <v>0</v>
      </c>
      <c r="AD57" s="93" cm="1">
        <f t="array" ref="AD57">SUMPRODUCT((AD$45:AD$52)*($E$45:$E$52))+SUM(AD54:AD55)+AD42</f>
        <v>0</v>
      </c>
      <c r="AE57" s="93" cm="1">
        <f t="array" ref="AE57">SUMPRODUCT((AE$45:AE$52)*($E$45:$E$52))+SUM(AE54:AE55)+AE42</f>
        <v>0</v>
      </c>
      <c r="AF57" s="93" cm="1">
        <f t="array" ref="AF57">SUMPRODUCT((AF$45:AF$52)*($E$45:$E$52))+SUM(AF54:AF55)+AF42</f>
        <v>0</v>
      </c>
      <c r="AG57" s="93" cm="1">
        <f t="array" ref="AG57">SUMPRODUCT((AG$45:AG$52)*($E$45:$E$52))+SUM(AG54:AG55)+AG42</f>
        <v>0</v>
      </c>
    </row>
    <row r="58" spans="1:43" x14ac:dyDescent="0.2">
      <c r="D58" s="179"/>
      <c r="G58" s="179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2">
      <c r="G59" s="179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5" x14ac:dyDescent="0.2">
      <c r="A60" s="78" t="s">
        <v>23</v>
      </c>
      <c r="B60" s="78"/>
      <c r="C60" s="78"/>
      <c r="D60" s="78"/>
      <c r="E60" s="78"/>
      <c r="F60" s="78"/>
      <c r="G60" s="1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5" x14ac:dyDescent="0.2">
      <c r="A61" s="98"/>
      <c r="B61" s="98"/>
      <c r="C61" s="98"/>
      <c r="D61" s="98"/>
      <c r="E61" s="98"/>
      <c r="F61" s="98"/>
      <c r="G61" s="182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2">
      <c r="A62" s="98"/>
      <c r="B62" s="98"/>
      <c r="C62" s="98"/>
      <c r="D62" s="98"/>
      <c r="E62" s="98"/>
      <c r="F62"/>
      <c r="G62" s="185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2">
      <c r="C63" s="4"/>
      <c r="F63" s="2"/>
      <c r="G63" s="186"/>
    </row>
    <row r="64" spans="1:43" x14ac:dyDescent="0.2">
      <c r="C64" s="4" t="s">
        <v>141</v>
      </c>
      <c r="G64" s="184">
        <f>input_dollars</f>
        <v>45291</v>
      </c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12"/>
      <c r="AG64" s="112"/>
    </row>
    <row r="65" spans="1:33" x14ac:dyDescent="0.2">
      <c r="G65" s="186"/>
    </row>
    <row r="66" spans="1:33" x14ac:dyDescent="0.2">
      <c r="A66" s="6"/>
      <c r="B66" s="6"/>
      <c r="C66" s="125" t="s">
        <v>32</v>
      </c>
      <c r="D66" s="34"/>
      <c r="F66" s="84"/>
      <c r="G66" s="187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2">
      <c r="A67" s="6"/>
      <c r="B67" s="6"/>
      <c r="C67" s="4" t="str">
        <f>C14</f>
        <v>&lt; Enter description &gt;</v>
      </c>
      <c r="D67" s="34"/>
      <c r="F67" s="84"/>
      <c r="G67" s="184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0</v>
      </c>
      <c r="M67" s="28">
        <f t="shared" si="5"/>
        <v>0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2">
      <c r="A68" s="6"/>
      <c r="B68" s="6"/>
      <c r="C68" s="4" t="str">
        <f>C15</f>
        <v>&lt; Enter description &gt;</v>
      </c>
      <c r="D68" s="34"/>
      <c r="F68" s="84"/>
      <c r="G68" s="184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2">
      <c r="A69" s="6"/>
      <c r="B69" s="6"/>
      <c r="C69" s="4" t="str">
        <f>C16</f>
        <v>&lt; Enter description &gt;</v>
      </c>
      <c r="D69" s="34"/>
      <c r="F69" s="84"/>
      <c r="G69" s="184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2">
      <c r="A70" s="6"/>
      <c r="B70" s="6"/>
      <c r="C70" s="4"/>
      <c r="D70" s="34"/>
      <c r="F70" s="84"/>
      <c r="G70" s="18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2">
      <c r="A71" s="6"/>
      <c r="B71" s="6"/>
      <c r="C71" s="125" t="s">
        <v>142</v>
      </c>
      <c r="D71" s="34"/>
      <c r="F71" s="84"/>
      <c r="G71" s="187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2">
      <c r="A72" s="6"/>
      <c r="B72" s="6"/>
      <c r="C72" s="4" t="str">
        <f>C14</f>
        <v>&lt; Enter description &gt;</v>
      </c>
      <c r="D72" s="34"/>
      <c r="F72" s="84"/>
      <c r="G72" s="184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0</v>
      </c>
      <c r="N72" s="28" cm="1">
        <f t="array" ref="N72">SUMPRODUCT(($I67:N67))-SUMPRODUCT(($I67:N67)*($I$6:N$6&lt;=(N$6-$E14)))</f>
        <v>0</v>
      </c>
      <c r="O72" s="28" cm="1">
        <f t="array" ref="O72">SUMPRODUCT(($I67:O67))-SUMPRODUCT(($I67:O67)*($I$6:O$6&lt;=(O$6-$E14)))</f>
        <v>0</v>
      </c>
      <c r="P72" s="28" cm="1">
        <f t="array" ref="P72">SUMPRODUCT(($I67:P67))-SUMPRODUCT(($I67:P67)*($I$6:P$6&lt;=(P$6-$E14)))</f>
        <v>0</v>
      </c>
      <c r="Q72" s="28" cm="1">
        <f t="array" ref="Q72">SUMPRODUCT(($I67:Q67))-SUMPRODUCT(($I67:Q67)*($I$6:Q$6&lt;=(Q$6-$E14)))</f>
        <v>0</v>
      </c>
      <c r="R72" s="28" cm="1">
        <f t="array" ref="R72">SUMPRODUCT(($I67:R67))-SUMPRODUCT(($I67:R67)*($I$6:R$6&lt;=(R$6-$E14)))</f>
        <v>0</v>
      </c>
      <c r="S72" s="28" cm="1">
        <f t="array" ref="S72">SUMPRODUCT(($I67:S67))-SUMPRODUCT(($I67:S67)*($I$6:S$6&lt;=(S$6-$E14)))</f>
        <v>0</v>
      </c>
      <c r="T72" s="28" cm="1">
        <f t="array" ref="T72">SUMPRODUCT(($I67:T67))-SUMPRODUCT(($I67:T67)*($I$6:T$6&lt;=(T$6-$E14)))</f>
        <v>0</v>
      </c>
      <c r="U72" s="28" cm="1">
        <f t="array" ref="U72">SUMPRODUCT(($I67:U67))-SUMPRODUCT(($I67:U67)*($I$6:U$6&lt;=(U$6-$E14)))</f>
        <v>0</v>
      </c>
      <c r="V72" s="28" cm="1">
        <f t="array" ref="V72">SUMPRODUCT(($I67:V67))-SUMPRODUCT(($I67:V67)*($I$6:V$6&lt;=(V$6-$E14)))</f>
        <v>0</v>
      </c>
      <c r="W72" s="28" cm="1">
        <f t="array" ref="W72">SUMPRODUCT(($I67:W67))-SUMPRODUCT(($I67:W67)*($I$6:W$6&lt;=(W$6-$E14)))</f>
        <v>0</v>
      </c>
      <c r="X72" s="28" cm="1">
        <f t="array" ref="X72">SUMPRODUCT(($I67:X67))-SUMPRODUCT(($I67:X67)*($I$6:X$6&lt;=(X$6-$E14)))</f>
        <v>0</v>
      </c>
      <c r="Y72" s="28" cm="1">
        <f t="array" ref="Y72">SUMPRODUCT(($I67:Y67))-SUMPRODUCT(($I67:Y67)*($I$6:Y$6&lt;=(Y$6-$E14)))</f>
        <v>0</v>
      </c>
      <c r="Z72" s="28" cm="1">
        <f t="array" ref="Z72">SUMPRODUCT(($I67:Z67))-SUMPRODUCT(($I67:Z67)*($I$6:Z$6&lt;=(Z$6-$E14)))</f>
        <v>0</v>
      </c>
      <c r="AA72" s="28" cm="1">
        <f t="array" ref="AA72">SUMPRODUCT(($I67:AA67))-SUMPRODUCT(($I67:AA67)*($I$6:AA$6&lt;=(AA$6-$E14)))</f>
        <v>0</v>
      </c>
      <c r="AB72" s="28" cm="1">
        <f t="array" ref="AB72">SUMPRODUCT(($I67:AB67))-SUMPRODUCT(($I67:AB67)*($I$6:AB$6&lt;=(AB$6-$E14)))</f>
        <v>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2">
      <c r="A73" s="6"/>
      <c r="B73" s="6"/>
      <c r="C73" s="4" t="str">
        <f>C15</f>
        <v>&lt; Enter description &gt;</v>
      </c>
      <c r="D73" s="34"/>
      <c r="F73" s="84"/>
      <c r="G73" s="184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2">
      <c r="A74" s="6"/>
      <c r="B74" s="6"/>
      <c r="C74" s="4" t="str">
        <f>C16</f>
        <v>&lt; Enter description &gt;</v>
      </c>
      <c r="D74" s="34"/>
      <c r="F74" s="84"/>
      <c r="G74" s="184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2">
      <c r="A75" s="6"/>
      <c r="B75" s="6"/>
      <c r="C75" s="4"/>
      <c r="D75" s="34"/>
      <c r="F75" s="84"/>
      <c r="G75" s="18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2">
      <c r="A76" s="6"/>
      <c r="B76" s="6"/>
      <c r="C76" s="125" t="s">
        <v>143</v>
      </c>
      <c r="D76" s="34"/>
      <c r="F76" s="84"/>
      <c r="G76" s="187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2">
      <c r="A77" s="6"/>
      <c r="B77" s="6"/>
      <c r="C77" s="4" t="str">
        <f>$C$76&amp;" - "&amp;C14</f>
        <v>Annualised capex - &lt; Enter description &gt;</v>
      </c>
      <c r="D77" s="34"/>
      <c r="F77" s="84"/>
      <c r="G77" s="184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0</v>
      </c>
      <c r="N77" s="28">
        <f t="shared" si="8"/>
        <v>0</v>
      </c>
      <c r="O77" s="28">
        <f t="shared" si="8"/>
        <v>0</v>
      </c>
      <c r="P77" s="28">
        <f t="shared" si="8"/>
        <v>0</v>
      </c>
      <c r="Q77" s="28">
        <f t="shared" si="8"/>
        <v>0</v>
      </c>
      <c r="R77" s="28">
        <f t="shared" si="8"/>
        <v>0</v>
      </c>
      <c r="S77" s="28">
        <f t="shared" si="8"/>
        <v>0</v>
      </c>
      <c r="T77" s="28">
        <f t="shared" si="8"/>
        <v>0</v>
      </c>
      <c r="U77" s="28">
        <f t="shared" si="8"/>
        <v>0</v>
      </c>
      <c r="V77" s="28">
        <f t="shared" si="8"/>
        <v>0</v>
      </c>
      <c r="W77" s="28">
        <f t="shared" si="8"/>
        <v>0</v>
      </c>
      <c r="X77" s="28">
        <f t="shared" si="8"/>
        <v>0</v>
      </c>
      <c r="Y77" s="28">
        <f t="shared" si="8"/>
        <v>0</v>
      </c>
      <c r="Z77" s="28">
        <f t="shared" si="8"/>
        <v>0</v>
      </c>
      <c r="AA77" s="28">
        <f t="shared" si="8"/>
        <v>0</v>
      </c>
      <c r="AB77" s="28">
        <f t="shared" si="8"/>
        <v>0</v>
      </c>
      <c r="AC77" s="28">
        <f t="shared" si="8"/>
        <v>0</v>
      </c>
      <c r="AD77" s="28">
        <f t="shared" si="8"/>
        <v>0</v>
      </c>
      <c r="AE77" s="28">
        <f t="shared" si="8"/>
        <v>0</v>
      </c>
      <c r="AF77" s="28">
        <f t="shared" si="8"/>
        <v>0</v>
      </c>
      <c r="AG77" s="28">
        <f t="shared" si="8"/>
        <v>0</v>
      </c>
    </row>
    <row r="78" spans="1:33" x14ac:dyDescent="0.2">
      <c r="A78" s="6"/>
      <c r="B78" s="6"/>
      <c r="C78" s="4" t="str">
        <f>$C$76&amp;" - "&amp;C15</f>
        <v>Annualised capex - &lt; Enter description &gt;</v>
      </c>
      <c r="D78" s="34"/>
      <c r="F78" s="84"/>
      <c r="G78" s="184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2">
      <c r="A79" s="6"/>
      <c r="B79" s="6"/>
      <c r="C79" s="4" t="str">
        <f>$C$76&amp;" - "&amp;C16</f>
        <v>Annualised capex - &lt; Enter description &gt;</v>
      </c>
      <c r="D79" s="34"/>
      <c r="F79" s="84"/>
      <c r="G79" s="184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2">
      <c r="A80" s="6"/>
      <c r="B80" s="6"/>
      <c r="C80" s="148" t="s">
        <v>144</v>
      </c>
      <c r="D80" s="148"/>
      <c r="E80" s="149"/>
      <c r="F80" s="150"/>
      <c r="G80" s="189">
        <f>input_dollars</f>
        <v>45291</v>
      </c>
      <c r="H80" s="151"/>
      <c r="I80" s="151">
        <f>SUM(I77:I79)</f>
        <v>0</v>
      </c>
      <c r="J80" s="151">
        <f t="shared" ref="J80:AB80" si="11">SUM(J77:J79)</f>
        <v>0</v>
      </c>
      <c r="K80" s="151">
        <f t="shared" si="11"/>
        <v>0</v>
      </c>
      <c r="L80" s="151">
        <f t="shared" si="11"/>
        <v>0</v>
      </c>
      <c r="M80" s="151">
        <f t="shared" si="11"/>
        <v>0</v>
      </c>
      <c r="N80" s="151">
        <f t="shared" si="11"/>
        <v>0</v>
      </c>
      <c r="O80" s="151">
        <f t="shared" si="11"/>
        <v>0</v>
      </c>
      <c r="P80" s="151">
        <f t="shared" si="11"/>
        <v>0</v>
      </c>
      <c r="Q80" s="151">
        <f t="shared" si="11"/>
        <v>0</v>
      </c>
      <c r="R80" s="151">
        <f t="shared" si="11"/>
        <v>0</v>
      </c>
      <c r="S80" s="151">
        <f t="shared" si="11"/>
        <v>0</v>
      </c>
      <c r="T80" s="151">
        <f t="shared" si="11"/>
        <v>0</v>
      </c>
      <c r="U80" s="151">
        <f t="shared" si="11"/>
        <v>0</v>
      </c>
      <c r="V80" s="151">
        <f t="shared" si="11"/>
        <v>0</v>
      </c>
      <c r="W80" s="151">
        <f t="shared" si="11"/>
        <v>0</v>
      </c>
      <c r="X80" s="151">
        <f t="shared" si="11"/>
        <v>0</v>
      </c>
      <c r="Y80" s="151">
        <f t="shared" si="11"/>
        <v>0</v>
      </c>
      <c r="Z80" s="151">
        <f t="shared" si="11"/>
        <v>0</v>
      </c>
      <c r="AA80" s="151">
        <f t="shared" si="11"/>
        <v>0</v>
      </c>
      <c r="AB80" s="151">
        <f t="shared" si="11"/>
        <v>0</v>
      </c>
      <c r="AC80" s="151">
        <f>SUM(AC77:AC79)</f>
        <v>0</v>
      </c>
      <c r="AD80" s="151">
        <f>SUM(AD77:AD79)</f>
        <v>0</v>
      </c>
      <c r="AE80" s="151">
        <f>SUM(AE77:AE79)</f>
        <v>0</v>
      </c>
      <c r="AF80" s="151">
        <f>SUM(AF77:AF79)</f>
        <v>0</v>
      </c>
      <c r="AG80" s="151">
        <f>SUM(AG77:AG79)</f>
        <v>0</v>
      </c>
    </row>
    <row r="81" spans="1:33" x14ac:dyDescent="0.2">
      <c r="A81" s="6"/>
      <c r="B81" s="6"/>
      <c r="C81" s="12"/>
      <c r="D81" s="34"/>
      <c r="F81"/>
      <c r="G81" s="190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2">
      <c r="A82" s="6"/>
      <c r="B82" s="6"/>
      <c r="C82" s="4" t="s">
        <v>143</v>
      </c>
      <c r="D82" s="34"/>
      <c r="F82" s="84"/>
      <c r="G82" s="184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0</v>
      </c>
      <c r="N82" s="28">
        <f t="shared" si="13"/>
        <v>0</v>
      </c>
      <c r="O82" s="28">
        <f t="shared" si="13"/>
        <v>0</v>
      </c>
      <c r="P82" s="28">
        <f t="shared" si="13"/>
        <v>0</v>
      </c>
      <c r="Q82" s="28">
        <f t="shared" si="13"/>
        <v>0</v>
      </c>
      <c r="R82" s="28">
        <f t="shared" si="13"/>
        <v>0</v>
      </c>
      <c r="S82" s="28">
        <f t="shared" si="13"/>
        <v>0</v>
      </c>
      <c r="T82" s="28">
        <f t="shared" si="13"/>
        <v>0</v>
      </c>
      <c r="U82" s="28">
        <f t="shared" si="13"/>
        <v>0</v>
      </c>
      <c r="V82" s="28">
        <f t="shared" si="13"/>
        <v>0</v>
      </c>
      <c r="W82" s="28">
        <f t="shared" si="13"/>
        <v>0</v>
      </c>
      <c r="X82" s="28">
        <f t="shared" si="13"/>
        <v>0</v>
      </c>
      <c r="Y82" s="28">
        <f t="shared" si="13"/>
        <v>0</v>
      </c>
      <c r="Z82" s="28">
        <f t="shared" si="13"/>
        <v>0</v>
      </c>
      <c r="AA82" s="28">
        <f t="shared" si="13"/>
        <v>0</v>
      </c>
      <c r="AB82" s="28">
        <f t="shared" si="13"/>
        <v>0</v>
      </c>
      <c r="AC82" s="28">
        <f>AC80</f>
        <v>0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2">
      <c r="A83" s="6"/>
      <c r="B83" s="6"/>
      <c r="C83" s="4" t="s">
        <v>33</v>
      </c>
      <c r="D83" s="34"/>
      <c r="F83" s="84"/>
      <c r="G83" s="184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2">
      <c r="A84" s="6"/>
      <c r="B84" s="6"/>
      <c r="C84" s="4" t="s">
        <v>145</v>
      </c>
      <c r="D84" s="34"/>
      <c r="F84" s="84"/>
      <c r="G84" s="184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0</v>
      </c>
      <c r="P84" s="28">
        <f t="shared" si="15"/>
        <v>0</v>
      </c>
      <c r="Q84" s="28">
        <f t="shared" si="15"/>
        <v>0</v>
      </c>
      <c r="R84" s="28">
        <f t="shared" si="15"/>
        <v>0</v>
      </c>
      <c r="S84" s="28">
        <f t="shared" si="15"/>
        <v>0</v>
      </c>
      <c r="T84" s="28">
        <f t="shared" si="15"/>
        <v>0</v>
      </c>
      <c r="U84" s="28">
        <f t="shared" si="15"/>
        <v>0</v>
      </c>
      <c r="V84" s="28">
        <f t="shared" si="15"/>
        <v>0</v>
      </c>
      <c r="W84" s="28">
        <f t="shared" si="15"/>
        <v>0</v>
      </c>
      <c r="X84" s="28">
        <f t="shared" si="15"/>
        <v>0</v>
      </c>
      <c r="Y84" s="28">
        <f t="shared" si="15"/>
        <v>0</v>
      </c>
      <c r="Z84" s="28">
        <f t="shared" si="15"/>
        <v>0</v>
      </c>
      <c r="AA84" s="28">
        <f t="shared" si="15"/>
        <v>0</v>
      </c>
      <c r="AB84" s="28">
        <f t="shared" si="15"/>
        <v>0</v>
      </c>
      <c r="AC84" s="28">
        <f>AC64</f>
        <v>0</v>
      </c>
      <c r="AD84" s="28">
        <f>AD64</f>
        <v>0</v>
      </c>
      <c r="AE84" s="28">
        <f>AE64</f>
        <v>0</v>
      </c>
      <c r="AF84" s="28">
        <f>AF64</f>
        <v>0</v>
      </c>
      <c r="AG84" s="28">
        <f>AG64</f>
        <v>0</v>
      </c>
    </row>
    <row r="85" spans="1:33" x14ac:dyDescent="0.2">
      <c r="A85" s="6"/>
      <c r="B85" s="6"/>
      <c r="C85" s="4" t="s">
        <v>146</v>
      </c>
      <c r="D85" s="34"/>
      <c r="F85" s="84"/>
      <c r="G85" s="184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2">
      <c r="A86" s="6"/>
      <c r="B86" s="6"/>
      <c r="C86" s="4"/>
      <c r="D86" s="34"/>
      <c r="F86" s="28"/>
      <c r="G86" s="184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2">
      <c r="A87" s="6"/>
      <c r="B87" s="6"/>
      <c r="C87" s="155" t="s">
        <v>147</v>
      </c>
      <c r="D87" s="153"/>
      <c r="E87" s="149"/>
      <c r="F87" s="154"/>
      <c r="G87" s="189">
        <f t="shared" si="12"/>
        <v>45291</v>
      </c>
      <c r="H87" s="154"/>
      <c r="I87" s="154">
        <f t="shared" ref="I87:AB87" si="17">SUM(I82:I86)</f>
        <v>0</v>
      </c>
      <c r="J87" s="154">
        <f t="shared" si="17"/>
        <v>0</v>
      </c>
      <c r="K87" s="154">
        <f t="shared" si="17"/>
        <v>0</v>
      </c>
      <c r="L87" s="154">
        <f t="shared" si="17"/>
        <v>0</v>
      </c>
      <c r="M87" s="154">
        <f t="shared" si="17"/>
        <v>0</v>
      </c>
      <c r="N87" s="154">
        <f t="shared" si="17"/>
        <v>0</v>
      </c>
      <c r="O87" s="154">
        <f t="shared" si="17"/>
        <v>0</v>
      </c>
      <c r="P87" s="154">
        <f t="shared" si="17"/>
        <v>0</v>
      </c>
      <c r="Q87" s="154">
        <f t="shared" si="17"/>
        <v>0</v>
      </c>
      <c r="R87" s="154">
        <f t="shared" si="17"/>
        <v>0</v>
      </c>
      <c r="S87" s="154">
        <f t="shared" si="17"/>
        <v>0</v>
      </c>
      <c r="T87" s="154">
        <f t="shared" si="17"/>
        <v>0</v>
      </c>
      <c r="U87" s="154">
        <f t="shared" si="17"/>
        <v>0</v>
      </c>
      <c r="V87" s="154">
        <f t="shared" si="17"/>
        <v>0</v>
      </c>
      <c r="W87" s="154">
        <f t="shared" si="17"/>
        <v>0</v>
      </c>
      <c r="X87" s="154">
        <f t="shared" si="17"/>
        <v>0</v>
      </c>
      <c r="Y87" s="154">
        <f t="shared" si="17"/>
        <v>0</v>
      </c>
      <c r="Z87" s="154">
        <f t="shared" si="17"/>
        <v>0</v>
      </c>
      <c r="AA87" s="154">
        <f t="shared" si="17"/>
        <v>0</v>
      </c>
      <c r="AB87" s="154">
        <f t="shared" si="17"/>
        <v>0</v>
      </c>
      <c r="AC87" s="154">
        <f>SUM(AC82:AC86)</f>
        <v>0</v>
      </c>
      <c r="AD87" s="154">
        <f>SUM(AD82:AD86)</f>
        <v>0</v>
      </c>
      <c r="AE87" s="154">
        <f>SUM(AE82:AE86)</f>
        <v>0</v>
      </c>
      <c r="AF87" s="154">
        <f>SUM(AF82:AF86)</f>
        <v>0</v>
      </c>
      <c r="AG87" s="154">
        <f>SUM(AG82:AG86)</f>
        <v>0</v>
      </c>
    </row>
    <row r="88" spans="1:33" x14ac:dyDescent="0.2">
      <c r="A88" s="6"/>
      <c r="B88" s="6"/>
      <c r="C88" s="12"/>
      <c r="D88" s="34"/>
      <c r="F88" s="118"/>
      <c r="G88" s="184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</row>
    <row r="89" spans="1:33" x14ac:dyDescent="0.2">
      <c r="A89" s="6"/>
      <c r="B89" s="6"/>
      <c r="C89" s="12"/>
      <c r="D89" s="34"/>
      <c r="F89" s="118"/>
      <c r="G89" s="184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</row>
    <row r="90" spans="1:33" x14ac:dyDescent="0.2">
      <c r="A90" s="6"/>
      <c r="B90" s="6"/>
      <c r="C90" s="203"/>
      <c r="D90" s="72"/>
      <c r="E90" s="204"/>
      <c r="F90" s="205"/>
      <c r="G90" s="204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2">
      <c r="C91" s="204"/>
      <c r="D91" s="204"/>
      <c r="E91" s="204"/>
      <c r="F91" s="204"/>
      <c r="G91" s="204"/>
    </row>
    <row r="92" spans="1:33" x14ac:dyDescent="0.2">
      <c r="C92" s="204"/>
      <c r="D92" s="204"/>
      <c r="E92" s="204"/>
      <c r="F92" s="204"/>
      <c r="G92" s="204"/>
    </row>
    <row r="94" spans="1:33" x14ac:dyDescent="0.2">
      <c r="G94" s="10"/>
    </row>
    <row r="102" spans="1:43" ht="15" x14ac:dyDescent="0.2">
      <c r="A102" s="78" t="s">
        <v>36</v>
      </c>
      <c r="B102" s="78"/>
      <c r="C102" s="78"/>
      <c r="D102" s="78"/>
      <c r="E102" s="78"/>
      <c r="F102" s="78"/>
      <c r="G102" s="1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2">
      <c r="I104" s="213"/>
      <c r="J104" s="213"/>
      <c r="K104" s="213"/>
      <c r="L104" s="213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</row>
    <row r="105" spans="1:43" x14ac:dyDescent="0.2">
      <c r="E105"/>
      <c r="F105"/>
      <c r="G105"/>
      <c r="I105" s="213"/>
      <c r="J105" s="213"/>
      <c r="K105" s="213"/>
      <c r="L105" s="213"/>
      <c r="M105" s="213"/>
      <c r="N105" s="213"/>
      <c r="O105" s="213"/>
      <c r="P105" s="213"/>
      <c r="Q105" s="213"/>
      <c r="R105" s="213"/>
      <c r="S105" s="213"/>
      <c r="T105" s="213"/>
      <c r="U105" s="213"/>
      <c r="V105" s="213"/>
      <c r="W105" s="213"/>
      <c r="X105" s="213"/>
      <c r="Y105" s="213"/>
      <c r="Z105" s="213"/>
    </row>
    <row r="106" spans="1:43" x14ac:dyDescent="0.2">
      <c r="A106" s="1" t="s">
        <v>22</v>
      </c>
      <c r="C106" s="1" t="s">
        <v>147</v>
      </c>
      <c r="D106"/>
      <c r="E106"/>
      <c r="F106"/>
      <c r="G106" s="34" t="str">
        <f>PROPER($A$3)&amp;A106</f>
        <v>Option 1 (Base Case)NPV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0</v>
      </c>
      <c r="N106" s="28">
        <f t="shared" si="18"/>
        <v>0</v>
      </c>
      <c r="O106" s="28">
        <f t="shared" si="18"/>
        <v>0</v>
      </c>
      <c r="P106" s="28">
        <f t="shared" si="18"/>
        <v>0</v>
      </c>
      <c r="Q106" s="28">
        <f t="shared" si="18"/>
        <v>0</v>
      </c>
      <c r="R106" s="28">
        <f t="shared" si="18"/>
        <v>0</v>
      </c>
      <c r="S106" s="28">
        <f t="shared" si="18"/>
        <v>0</v>
      </c>
      <c r="T106" s="28">
        <f t="shared" si="18"/>
        <v>0</v>
      </c>
      <c r="U106" s="28">
        <f t="shared" si="18"/>
        <v>0</v>
      </c>
      <c r="V106" s="28">
        <f t="shared" si="18"/>
        <v>0</v>
      </c>
      <c r="W106" s="28">
        <f t="shared" si="18"/>
        <v>0</v>
      </c>
      <c r="X106" s="28">
        <f t="shared" si="18"/>
        <v>0</v>
      </c>
      <c r="Y106" s="28">
        <f t="shared" si="18"/>
        <v>0</v>
      </c>
      <c r="Z106" s="28">
        <f t="shared" si="18"/>
        <v>0</v>
      </c>
      <c r="AA106" s="28">
        <f t="shared" si="18"/>
        <v>0</v>
      </c>
      <c r="AB106" s="28">
        <f t="shared" si="18"/>
        <v>0</v>
      </c>
      <c r="AC106" s="28">
        <f t="shared" si="18"/>
        <v>0</v>
      </c>
      <c r="AD106" s="28">
        <f t="shared" si="18"/>
        <v>0</v>
      </c>
      <c r="AE106" s="28">
        <f t="shared" si="18"/>
        <v>0</v>
      </c>
      <c r="AF106" s="28">
        <f t="shared" si="18"/>
        <v>0</v>
      </c>
      <c r="AG106" s="28">
        <f t="shared" si="18"/>
        <v>0</v>
      </c>
    </row>
    <row r="107" spans="1:43" x14ac:dyDescent="0.2">
      <c r="C107" s="1" t="s">
        <v>144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0</v>
      </c>
      <c r="N107" s="28">
        <f t="shared" si="19"/>
        <v>0</v>
      </c>
      <c r="O107" s="28">
        <f t="shared" si="19"/>
        <v>0</v>
      </c>
      <c r="P107" s="28">
        <f t="shared" si="19"/>
        <v>0</v>
      </c>
      <c r="Q107" s="28">
        <f t="shared" si="19"/>
        <v>0</v>
      </c>
      <c r="R107" s="28">
        <f t="shared" si="19"/>
        <v>0</v>
      </c>
      <c r="S107" s="28">
        <f t="shared" si="19"/>
        <v>0</v>
      </c>
      <c r="T107" s="28">
        <f t="shared" si="19"/>
        <v>0</v>
      </c>
      <c r="U107" s="28">
        <f t="shared" si="19"/>
        <v>0</v>
      </c>
      <c r="V107" s="28">
        <f t="shared" si="19"/>
        <v>0</v>
      </c>
      <c r="W107" s="28">
        <f t="shared" si="19"/>
        <v>0</v>
      </c>
      <c r="X107" s="28">
        <f t="shared" si="19"/>
        <v>0</v>
      </c>
      <c r="Y107" s="28">
        <f t="shared" si="19"/>
        <v>0</v>
      </c>
      <c r="Z107" s="28">
        <f t="shared" si="19"/>
        <v>0</v>
      </c>
      <c r="AA107" s="28">
        <f t="shared" si="19"/>
        <v>0</v>
      </c>
      <c r="AB107" s="28">
        <f t="shared" si="19"/>
        <v>0</v>
      </c>
      <c r="AC107" s="28">
        <f t="shared" si="19"/>
        <v>0</v>
      </c>
      <c r="AD107" s="28">
        <f t="shared" si="19"/>
        <v>0</v>
      </c>
      <c r="AE107" s="28">
        <f t="shared" si="19"/>
        <v>0</v>
      </c>
      <c r="AF107" s="28">
        <f t="shared" si="19"/>
        <v>0</v>
      </c>
      <c r="AG107" s="28">
        <f t="shared" si="19"/>
        <v>0</v>
      </c>
    </row>
    <row r="108" spans="1:43" x14ac:dyDescent="0.2">
      <c r="C108" s="1" t="s">
        <v>104</v>
      </c>
      <c r="D108" s="221"/>
      <c r="E108" s="34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0</v>
      </c>
      <c r="P108" s="28">
        <f t="shared" si="20"/>
        <v>0</v>
      </c>
      <c r="Q108" s="28">
        <f t="shared" si="20"/>
        <v>0</v>
      </c>
      <c r="R108" s="28">
        <f t="shared" si="20"/>
        <v>0</v>
      </c>
      <c r="S108" s="28">
        <f t="shared" si="20"/>
        <v>0</v>
      </c>
      <c r="T108" s="28">
        <f t="shared" si="20"/>
        <v>0</v>
      </c>
      <c r="U108" s="28">
        <f t="shared" si="20"/>
        <v>0</v>
      </c>
      <c r="V108" s="28">
        <f t="shared" si="20"/>
        <v>0</v>
      </c>
      <c r="W108" s="28">
        <f t="shared" si="20"/>
        <v>0</v>
      </c>
      <c r="X108" s="28">
        <f t="shared" si="20"/>
        <v>0</v>
      </c>
      <c r="Y108" s="28">
        <f t="shared" si="20"/>
        <v>0</v>
      </c>
      <c r="Z108" s="28">
        <f t="shared" si="20"/>
        <v>0</v>
      </c>
      <c r="AA108" s="28">
        <f t="shared" si="20"/>
        <v>0</v>
      </c>
      <c r="AB108" s="28">
        <f t="shared" si="20"/>
        <v>0</v>
      </c>
      <c r="AC108" s="28">
        <f t="shared" si="20"/>
        <v>0</v>
      </c>
      <c r="AD108" s="28">
        <f t="shared" si="20"/>
        <v>0</v>
      </c>
      <c r="AE108" s="28">
        <f t="shared" si="20"/>
        <v>0</v>
      </c>
      <c r="AF108" s="28">
        <f t="shared" si="20"/>
        <v>0</v>
      </c>
      <c r="AG108" s="28">
        <f t="shared" si="20"/>
        <v>0</v>
      </c>
    </row>
    <row r="109" spans="1:43" x14ac:dyDescent="0.2">
      <c r="D109" s="253" t="str">
        <f>Assumptions!G110</f>
        <v>Capex</v>
      </c>
      <c r="E109" s="253" t="str">
        <f>Assumptions!H110</f>
        <v>Total benefits</v>
      </c>
      <c r="I109" s="213"/>
      <c r="J109" s="213"/>
      <c r="K109" s="213"/>
      <c r="L109" s="213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</row>
    <row r="110" spans="1:43" x14ac:dyDescent="0.2">
      <c r="A110" s="1" t="str">
        <f>"sens"&amp;Assumptions!B111</f>
        <v>sens1</v>
      </c>
      <c r="C110" s="252" t="str">
        <f>Assumptions!C111</f>
        <v>Capex 10% higher</v>
      </c>
      <c r="D110" s="253">
        <f>Assumptions!G111</f>
        <v>0.1</v>
      </c>
      <c r="E110" s="253">
        <f>Assumptions!H111</f>
        <v>0</v>
      </c>
      <c r="G110" s="34" t="str">
        <f>PROPER($A$3)&amp;A110</f>
        <v>Option 1 (Base Case)sens1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0</v>
      </c>
      <c r="O110" s="28" cm="1">
        <f t="array" ref="O110">O$106+IF($C110&lt;&gt;0,SUMPRODUCT((O$107:O$108)*TRANSPOSE(($D110:$E110))),0)</f>
        <v>0</v>
      </c>
      <c r="P110" s="28" cm="1">
        <f t="array" ref="P110">P$106+IF($C110&lt;&gt;0,SUMPRODUCT((P$107:P$108)*TRANSPOSE(($D110:$E110))),0)</f>
        <v>0</v>
      </c>
      <c r="Q110" s="28" cm="1">
        <f t="array" ref="Q110">Q$106+IF($C110&lt;&gt;0,SUMPRODUCT((Q$107:Q$108)*TRANSPOSE(($D110:$E110))),0)</f>
        <v>0</v>
      </c>
      <c r="R110" s="28" cm="1">
        <f t="array" ref="R110">R$106+IF($C110&lt;&gt;0,SUMPRODUCT((R$107:R$108)*TRANSPOSE(($D110:$E110))),0)</f>
        <v>0</v>
      </c>
      <c r="S110" s="28" cm="1">
        <f t="array" ref="S110">S$106+IF($C110&lt;&gt;0,SUMPRODUCT((S$107:S$108)*TRANSPOSE(($D110:$E110))),0)</f>
        <v>0</v>
      </c>
      <c r="T110" s="28" cm="1">
        <f t="array" ref="T110">T$106+IF($C110&lt;&gt;0,SUMPRODUCT((T$107:T$108)*TRANSPOSE(($D110:$E110))),0)</f>
        <v>0</v>
      </c>
      <c r="U110" s="28" cm="1">
        <f t="array" ref="U110">U$106+IF($C110&lt;&gt;0,SUMPRODUCT((U$107:U$108)*TRANSPOSE(($D110:$E110))),0)</f>
        <v>0</v>
      </c>
      <c r="V110" s="28" cm="1">
        <f t="array" ref="V110">V$106+IF($C110&lt;&gt;0,SUMPRODUCT((V$107:V$108)*TRANSPOSE(($D110:$E110))),0)</f>
        <v>0</v>
      </c>
      <c r="W110" s="28" cm="1">
        <f t="array" ref="W110">W$106+IF($C110&lt;&gt;0,SUMPRODUCT((W$107:W$108)*TRANSPOSE(($D110:$E110))),0)</f>
        <v>0</v>
      </c>
      <c r="X110" s="28" cm="1">
        <f t="array" ref="X110">X$106+IF($C110&lt;&gt;0,SUMPRODUCT((X$107:X$108)*TRANSPOSE(($D110:$E110))),0)</f>
        <v>0</v>
      </c>
      <c r="Y110" s="28" cm="1">
        <f t="array" ref="Y110">Y$106+IF($C110&lt;&gt;0,SUMPRODUCT((Y$107:Y$108)*TRANSPOSE(($D110:$E110))),0)</f>
        <v>0</v>
      </c>
      <c r="Z110" s="28" cm="1">
        <f t="array" ref="Z110">Z$106+IF($C110&lt;&gt;0,SUMPRODUCT((Z$107:Z$108)*TRANSPOSE(($D110:$E110))),0)</f>
        <v>0</v>
      </c>
      <c r="AA110" s="28" cm="1">
        <f t="array" ref="AA110">AA$106+IF($C110&lt;&gt;0,SUMPRODUCT((AA$107:AA$108)*TRANSPOSE(($D110:$E110))),0)</f>
        <v>0</v>
      </c>
      <c r="AB110" s="28" cm="1">
        <f t="array" ref="AB110">AB$106+IF($C110&lt;&gt;0,SUMPRODUCT((AB$107:AB$108)*TRANSPOSE(($D110:$E110))),0)</f>
        <v>0</v>
      </c>
      <c r="AC110" s="28" cm="1">
        <f t="array" ref="AC110">AC$106+IF($C110&lt;&gt;0,SUMPRODUCT((AC$107:AC$108)*TRANSPOSE(($D110:$E110))),0)</f>
        <v>0</v>
      </c>
      <c r="AD110" s="28" cm="1">
        <f t="array" ref="AD110">AD$106+IF($C110&lt;&gt;0,SUMPRODUCT((AD$107:AD$108)*TRANSPOSE(($D110:$E110))),0)</f>
        <v>0</v>
      </c>
      <c r="AE110" s="28" cm="1">
        <f t="array" ref="AE110">AE$106+IF($C110&lt;&gt;0,SUMPRODUCT((AE$107:AE$108)*TRANSPOSE(($D110:$E110))),0)</f>
        <v>0</v>
      </c>
      <c r="AF110" s="28" cm="1">
        <f t="array" ref="AF110">AF$106+IF($C110&lt;&gt;0,SUMPRODUCT((AF$107:AF$108)*TRANSPOSE(($D110:$E110))),0)</f>
        <v>0</v>
      </c>
      <c r="AG110" s="28" cm="1">
        <f t="array" ref="AG110">AG$106+IF($C110&lt;&gt;0,SUMPRODUCT((AG$107:AG$108)*TRANSPOSE(($D110:$E110))),0)</f>
        <v>0</v>
      </c>
    </row>
    <row r="111" spans="1:43" x14ac:dyDescent="0.2">
      <c r="A111" s="1" t="str">
        <f>"sens"&amp;Assumptions!B112</f>
        <v>sens2</v>
      </c>
      <c r="C111" s="252" t="str">
        <f>Assumptions!C112</f>
        <v>Capex 10% lower</v>
      </c>
      <c r="D111" s="253">
        <f>Assumptions!G112</f>
        <v>-0.1</v>
      </c>
      <c r="E111" s="253">
        <f>Assumptions!H112</f>
        <v>0</v>
      </c>
      <c r="G111" s="34" t="str">
        <f t="shared" ref="G111:G117" si="21">PROPER($A$3)&amp;A111</f>
        <v>Option 1 (Base Case)sens2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0</v>
      </c>
      <c r="O111" s="28" cm="1">
        <f t="array" ref="O111">O$106+IF($C111&lt;&gt;0,SUMPRODUCT((O$107:O$108)*TRANSPOSE(($D111:$E111))),0)</f>
        <v>0</v>
      </c>
      <c r="P111" s="28" cm="1">
        <f t="array" ref="P111">P$106+IF($C111&lt;&gt;0,SUMPRODUCT((P$107:P$108)*TRANSPOSE(($D111:$E111))),0)</f>
        <v>0</v>
      </c>
      <c r="Q111" s="28" cm="1">
        <f t="array" ref="Q111">Q$106+IF($C111&lt;&gt;0,SUMPRODUCT((Q$107:Q$108)*TRANSPOSE(($D111:$E111))),0)</f>
        <v>0</v>
      </c>
      <c r="R111" s="28" cm="1">
        <f t="array" ref="R111">R$106+IF($C111&lt;&gt;0,SUMPRODUCT((R$107:R$108)*TRANSPOSE(($D111:$E111))),0)</f>
        <v>0</v>
      </c>
      <c r="S111" s="28" cm="1">
        <f t="array" ref="S111">S$106+IF($C111&lt;&gt;0,SUMPRODUCT((S$107:S$108)*TRANSPOSE(($D111:$E111))),0)</f>
        <v>0</v>
      </c>
      <c r="T111" s="28" cm="1">
        <f t="array" ref="T111">T$106+IF($C111&lt;&gt;0,SUMPRODUCT((T$107:T$108)*TRANSPOSE(($D111:$E111))),0)</f>
        <v>0</v>
      </c>
      <c r="U111" s="28" cm="1">
        <f t="array" ref="U111">U$106+IF($C111&lt;&gt;0,SUMPRODUCT((U$107:U$108)*TRANSPOSE(($D111:$E111))),0)</f>
        <v>0</v>
      </c>
      <c r="V111" s="28" cm="1">
        <f t="array" ref="V111">V$106+IF($C111&lt;&gt;0,SUMPRODUCT((V$107:V$108)*TRANSPOSE(($D111:$E111))),0)</f>
        <v>0</v>
      </c>
      <c r="W111" s="28" cm="1">
        <f t="array" ref="W111">W$106+IF($C111&lt;&gt;0,SUMPRODUCT((W$107:W$108)*TRANSPOSE(($D111:$E111))),0)</f>
        <v>0</v>
      </c>
      <c r="X111" s="28" cm="1">
        <f t="array" ref="X111">X$106+IF($C111&lt;&gt;0,SUMPRODUCT((X$107:X$108)*TRANSPOSE(($D111:$E111))),0)</f>
        <v>0</v>
      </c>
      <c r="Y111" s="28" cm="1">
        <f t="array" ref="Y111">Y$106+IF($C111&lt;&gt;0,SUMPRODUCT((Y$107:Y$108)*TRANSPOSE(($D111:$E111))),0)</f>
        <v>0</v>
      </c>
      <c r="Z111" s="28" cm="1">
        <f t="array" ref="Z111">Z$106+IF($C111&lt;&gt;0,SUMPRODUCT((Z$107:Z$108)*TRANSPOSE(($D111:$E111))),0)</f>
        <v>0</v>
      </c>
      <c r="AA111" s="28" cm="1">
        <f t="array" ref="AA111">AA$106+IF($C111&lt;&gt;0,SUMPRODUCT((AA$107:AA$108)*TRANSPOSE(($D111:$E111))),0)</f>
        <v>0</v>
      </c>
      <c r="AB111" s="28" cm="1">
        <f t="array" ref="AB111">AB$106+IF($C111&lt;&gt;0,SUMPRODUCT((AB$107:AB$108)*TRANSPOSE(($D111:$E111))),0)</f>
        <v>0</v>
      </c>
      <c r="AC111" s="28" cm="1">
        <f t="array" ref="AC111">AC$106+IF($C111&lt;&gt;0,SUMPRODUCT((AC$107:AC$108)*TRANSPOSE(($D111:$E111))),0)</f>
        <v>0</v>
      </c>
      <c r="AD111" s="28" cm="1">
        <f t="array" ref="AD111">AD$106+IF($C111&lt;&gt;0,SUMPRODUCT((AD$107:AD$108)*TRANSPOSE(($D111:$E111))),0)</f>
        <v>0</v>
      </c>
      <c r="AE111" s="28" cm="1">
        <f t="array" ref="AE111">AE$106+IF($C111&lt;&gt;0,SUMPRODUCT((AE$107:AE$108)*TRANSPOSE(($D111:$E111))),0)</f>
        <v>0</v>
      </c>
      <c r="AF111" s="28" cm="1">
        <f t="array" ref="AF111">AF$106+IF($C111&lt;&gt;0,SUMPRODUCT((AF$107:AF$108)*TRANSPOSE(($D111:$E111))),0)</f>
        <v>0</v>
      </c>
      <c r="AG111" s="28" cm="1">
        <f t="array" ref="AG111">AG$106+IF($C111&lt;&gt;0,SUMPRODUCT((AG$107:AG$108)*TRANSPOSE(($D111:$E111))),0)</f>
        <v>0</v>
      </c>
    </row>
    <row r="112" spans="1:43" x14ac:dyDescent="0.2">
      <c r="A112" s="1" t="str">
        <f>"sens"&amp;Assumptions!B113</f>
        <v>sens3</v>
      </c>
      <c r="C112" s="252" t="str">
        <f>Assumptions!C113</f>
        <v>Total benefits 10% higher</v>
      </c>
      <c r="D112" s="253">
        <f>Assumptions!G113</f>
        <v>0</v>
      </c>
      <c r="E112" s="253">
        <f>Assumptions!H113</f>
        <v>0.1</v>
      </c>
      <c r="G112" s="34" t="str">
        <f t="shared" si="21"/>
        <v>Option 1 (Base Case)sens3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0</v>
      </c>
      <c r="O112" s="28" cm="1">
        <f t="array" ref="O112">O$106+IF($C112&lt;&gt;0,SUMPRODUCT((O$107:O$108)*TRANSPOSE(($D112:$E112))),0)</f>
        <v>0</v>
      </c>
      <c r="P112" s="28" cm="1">
        <f t="array" ref="P112">P$106+IF($C112&lt;&gt;0,SUMPRODUCT((P$107:P$108)*TRANSPOSE(($D112:$E112))),0)</f>
        <v>0</v>
      </c>
      <c r="Q112" s="28" cm="1">
        <f t="array" ref="Q112">Q$106+IF($C112&lt;&gt;0,SUMPRODUCT((Q$107:Q$108)*TRANSPOSE(($D112:$E112))),0)</f>
        <v>0</v>
      </c>
      <c r="R112" s="28" cm="1">
        <f t="array" ref="R112">R$106+IF($C112&lt;&gt;0,SUMPRODUCT((R$107:R$108)*TRANSPOSE(($D112:$E112))),0)</f>
        <v>0</v>
      </c>
      <c r="S112" s="28" cm="1">
        <f t="array" ref="S112">S$106+IF($C112&lt;&gt;0,SUMPRODUCT((S$107:S$108)*TRANSPOSE(($D112:$E112))),0)</f>
        <v>0</v>
      </c>
      <c r="T112" s="28" cm="1">
        <f t="array" ref="T112">T$106+IF($C112&lt;&gt;0,SUMPRODUCT((T$107:T$108)*TRANSPOSE(($D112:$E112))),0)</f>
        <v>0</v>
      </c>
      <c r="U112" s="28" cm="1">
        <f t="array" ref="U112">U$106+IF($C112&lt;&gt;0,SUMPRODUCT((U$107:U$108)*TRANSPOSE(($D112:$E112))),0)</f>
        <v>0</v>
      </c>
      <c r="V112" s="28" cm="1">
        <f t="array" ref="V112">V$106+IF($C112&lt;&gt;0,SUMPRODUCT((V$107:V$108)*TRANSPOSE(($D112:$E112))),0)</f>
        <v>0</v>
      </c>
      <c r="W112" s="28" cm="1">
        <f t="array" ref="W112">W$106+IF($C112&lt;&gt;0,SUMPRODUCT((W$107:W$108)*TRANSPOSE(($D112:$E112))),0)</f>
        <v>0</v>
      </c>
      <c r="X112" s="28" cm="1">
        <f t="array" ref="X112">X$106+IF($C112&lt;&gt;0,SUMPRODUCT((X$107:X$108)*TRANSPOSE(($D112:$E112))),0)</f>
        <v>0</v>
      </c>
      <c r="Y112" s="28" cm="1">
        <f t="array" ref="Y112">Y$106+IF($C112&lt;&gt;0,SUMPRODUCT((Y$107:Y$108)*TRANSPOSE(($D112:$E112))),0)</f>
        <v>0</v>
      </c>
      <c r="Z112" s="28" cm="1">
        <f t="array" ref="Z112">Z$106+IF($C112&lt;&gt;0,SUMPRODUCT((Z$107:Z$108)*TRANSPOSE(($D112:$E112))),0)</f>
        <v>0</v>
      </c>
      <c r="AA112" s="28" cm="1">
        <f t="array" ref="AA112">AA$106+IF($C112&lt;&gt;0,SUMPRODUCT((AA$107:AA$108)*TRANSPOSE(($D112:$E112))),0)</f>
        <v>0</v>
      </c>
      <c r="AB112" s="28" cm="1">
        <f t="array" ref="AB112">AB$106+IF($C112&lt;&gt;0,SUMPRODUCT((AB$107:AB$108)*TRANSPOSE(($D112:$E112))),0)</f>
        <v>0</v>
      </c>
      <c r="AC112" s="28" cm="1">
        <f t="array" ref="AC112">AC$106+IF($C112&lt;&gt;0,SUMPRODUCT((AC$107:AC$108)*TRANSPOSE(($D112:$E112))),0)</f>
        <v>0</v>
      </c>
      <c r="AD112" s="28" cm="1">
        <f t="array" ref="AD112">AD$106+IF($C112&lt;&gt;0,SUMPRODUCT((AD$107:AD$108)*TRANSPOSE(($D112:$E112))),0)</f>
        <v>0</v>
      </c>
      <c r="AE112" s="28" cm="1">
        <f t="array" ref="AE112">AE$106+IF($C112&lt;&gt;0,SUMPRODUCT((AE$107:AE$108)*TRANSPOSE(($D112:$E112))),0)</f>
        <v>0</v>
      </c>
      <c r="AF112" s="28" cm="1">
        <f t="array" ref="AF112">AF$106+IF($C112&lt;&gt;0,SUMPRODUCT((AF$107:AF$108)*TRANSPOSE(($D112:$E112))),0)</f>
        <v>0</v>
      </c>
      <c r="AG112" s="28" cm="1">
        <f t="array" ref="AG112">AG$106+IF($C112&lt;&gt;0,SUMPRODUCT((AG$107:AG$108)*TRANSPOSE(($D112:$E112))),0)</f>
        <v>0</v>
      </c>
    </row>
    <row r="113" spans="1:33" x14ac:dyDescent="0.2">
      <c r="A113" s="1" t="str">
        <f>"sens"&amp;Assumptions!B114</f>
        <v>sens4</v>
      </c>
      <c r="C113" s="252" t="str">
        <f>Assumptions!C114</f>
        <v>Total benefits 10% lower</v>
      </c>
      <c r="D113" s="253">
        <f>Assumptions!G114</f>
        <v>0</v>
      </c>
      <c r="E113" s="253">
        <f>Assumptions!H114</f>
        <v>-0.1</v>
      </c>
      <c r="G113" s="34" t="str">
        <f t="shared" si="21"/>
        <v>Option 1 (Base Case)sens4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0</v>
      </c>
      <c r="O113" s="28" cm="1">
        <f t="array" ref="O113">O$106+IF($C113&lt;&gt;0,SUMPRODUCT((O$107:O$108)*TRANSPOSE(($D113:$E113))),0)</f>
        <v>0</v>
      </c>
      <c r="P113" s="28" cm="1">
        <f t="array" ref="P113">P$106+IF($C113&lt;&gt;0,SUMPRODUCT((P$107:P$108)*TRANSPOSE(($D113:$E113))),0)</f>
        <v>0</v>
      </c>
      <c r="Q113" s="28" cm="1">
        <f t="array" ref="Q113">Q$106+IF($C113&lt;&gt;0,SUMPRODUCT((Q$107:Q$108)*TRANSPOSE(($D113:$E113))),0)</f>
        <v>0</v>
      </c>
      <c r="R113" s="28" cm="1">
        <f t="array" ref="R113">R$106+IF($C113&lt;&gt;0,SUMPRODUCT((R$107:R$108)*TRANSPOSE(($D113:$E113))),0)</f>
        <v>0</v>
      </c>
      <c r="S113" s="28" cm="1">
        <f t="array" ref="S113">S$106+IF($C113&lt;&gt;0,SUMPRODUCT((S$107:S$108)*TRANSPOSE(($D113:$E113))),0)</f>
        <v>0</v>
      </c>
      <c r="T113" s="28" cm="1">
        <f t="array" ref="T113">T$106+IF($C113&lt;&gt;0,SUMPRODUCT((T$107:T$108)*TRANSPOSE(($D113:$E113))),0)</f>
        <v>0</v>
      </c>
      <c r="U113" s="28" cm="1">
        <f t="array" ref="U113">U$106+IF($C113&lt;&gt;0,SUMPRODUCT((U$107:U$108)*TRANSPOSE(($D113:$E113))),0)</f>
        <v>0</v>
      </c>
      <c r="V113" s="28" cm="1">
        <f t="array" ref="V113">V$106+IF($C113&lt;&gt;0,SUMPRODUCT((V$107:V$108)*TRANSPOSE(($D113:$E113))),0)</f>
        <v>0</v>
      </c>
      <c r="W113" s="28" cm="1">
        <f t="array" ref="W113">W$106+IF($C113&lt;&gt;0,SUMPRODUCT((W$107:W$108)*TRANSPOSE(($D113:$E113))),0)</f>
        <v>0</v>
      </c>
      <c r="X113" s="28" cm="1">
        <f t="array" ref="X113">X$106+IF($C113&lt;&gt;0,SUMPRODUCT((X$107:X$108)*TRANSPOSE(($D113:$E113))),0)</f>
        <v>0</v>
      </c>
      <c r="Y113" s="28" cm="1">
        <f t="array" ref="Y113">Y$106+IF($C113&lt;&gt;0,SUMPRODUCT((Y$107:Y$108)*TRANSPOSE(($D113:$E113))),0)</f>
        <v>0</v>
      </c>
      <c r="Z113" s="28" cm="1">
        <f t="array" ref="Z113">Z$106+IF($C113&lt;&gt;0,SUMPRODUCT((Z$107:Z$108)*TRANSPOSE(($D113:$E113))),0)</f>
        <v>0</v>
      </c>
      <c r="AA113" s="28" cm="1">
        <f t="array" ref="AA113">AA$106+IF($C113&lt;&gt;0,SUMPRODUCT((AA$107:AA$108)*TRANSPOSE(($D113:$E113))),0)</f>
        <v>0</v>
      </c>
      <c r="AB113" s="28" cm="1">
        <f t="array" ref="AB113">AB$106+IF($C113&lt;&gt;0,SUMPRODUCT((AB$107:AB$108)*TRANSPOSE(($D113:$E113))),0)</f>
        <v>0</v>
      </c>
      <c r="AC113" s="28" cm="1">
        <f t="array" ref="AC113">AC$106+IF($C113&lt;&gt;0,SUMPRODUCT((AC$107:AC$108)*TRANSPOSE(($D113:$E113))),0)</f>
        <v>0</v>
      </c>
      <c r="AD113" s="28" cm="1">
        <f t="array" ref="AD113">AD$106+IF($C113&lt;&gt;0,SUMPRODUCT((AD$107:AD$108)*TRANSPOSE(($D113:$E113))),0)</f>
        <v>0</v>
      </c>
      <c r="AE113" s="28" cm="1">
        <f t="array" ref="AE113">AE$106+IF($C113&lt;&gt;0,SUMPRODUCT((AE$107:AE$108)*TRANSPOSE(($D113:$E113))),0)</f>
        <v>0</v>
      </c>
      <c r="AF113" s="28" cm="1">
        <f t="array" ref="AF113">AF$106+IF($C113&lt;&gt;0,SUMPRODUCT((AF$107:AF$108)*TRANSPOSE(($D113:$E113))),0)</f>
        <v>0</v>
      </c>
      <c r="AG113" s="28" cm="1">
        <f t="array" ref="AG113">AG$106+IF($C113&lt;&gt;0,SUMPRODUCT((AG$107:AG$108)*TRANSPOSE(($D113:$E113))),0)</f>
        <v>0</v>
      </c>
    </row>
    <row r="114" spans="1:33" x14ac:dyDescent="0.2">
      <c r="A114" s="1" t="str">
        <f>"sens"&amp;Assumptions!B115</f>
        <v>sens5</v>
      </c>
      <c r="C114" s="252" t="str">
        <f>Assumptions!C115</f>
        <v>Capex 10% higher &amp; Total benefits 10% lower</v>
      </c>
      <c r="D114" s="253">
        <f>Assumptions!G115</f>
        <v>0.1</v>
      </c>
      <c r="E114" s="253">
        <f>Assumptions!H115</f>
        <v>-0.1</v>
      </c>
      <c r="G114" s="34" t="str">
        <f t="shared" si="21"/>
        <v>Option 1 (Base Case)sens5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0</v>
      </c>
      <c r="O114" s="28" cm="1">
        <f t="array" ref="O114">O$106+IF($C114&lt;&gt;0,SUMPRODUCT((O$107:O$108)*TRANSPOSE(($D114:$E114))),0)</f>
        <v>0</v>
      </c>
      <c r="P114" s="28" cm="1">
        <f t="array" ref="P114">P$106+IF($C114&lt;&gt;0,SUMPRODUCT((P$107:P$108)*TRANSPOSE(($D114:$E114))),0)</f>
        <v>0</v>
      </c>
      <c r="Q114" s="28" cm="1">
        <f t="array" ref="Q114">Q$106+IF($C114&lt;&gt;0,SUMPRODUCT((Q$107:Q$108)*TRANSPOSE(($D114:$E114))),0)</f>
        <v>0</v>
      </c>
      <c r="R114" s="28" cm="1">
        <f t="array" ref="R114">R$106+IF($C114&lt;&gt;0,SUMPRODUCT((R$107:R$108)*TRANSPOSE(($D114:$E114))),0)</f>
        <v>0</v>
      </c>
      <c r="S114" s="28" cm="1">
        <f t="array" ref="S114">S$106+IF($C114&lt;&gt;0,SUMPRODUCT((S$107:S$108)*TRANSPOSE(($D114:$E114))),0)</f>
        <v>0</v>
      </c>
      <c r="T114" s="28" cm="1">
        <f t="array" ref="T114">T$106+IF($C114&lt;&gt;0,SUMPRODUCT((T$107:T$108)*TRANSPOSE(($D114:$E114))),0)</f>
        <v>0</v>
      </c>
      <c r="U114" s="28" cm="1">
        <f t="array" ref="U114">U$106+IF($C114&lt;&gt;0,SUMPRODUCT((U$107:U$108)*TRANSPOSE(($D114:$E114))),0)</f>
        <v>0</v>
      </c>
      <c r="V114" s="28" cm="1">
        <f t="array" ref="V114">V$106+IF($C114&lt;&gt;0,SUMPRODUCT((V$107:V$108)*TRANSPOSE(($D114:$E114))),0)</f>
        <v>0</v>
      </c>
      <c r="W114" s="28" cm="1">
        <f t="array" ref="W114">W$106+IF($C114&lt;&gt;0,SUMPRODUCT((W$107:W$108)*TRANSPOSE(($D114:$E114))),0)</f>
        <v>0</v>
      </c>
      <c r="X114" s="28" cm="1">
        <f t="array" ref="X114">X$106+IF($C114&lt;&gt;0,SUMPRODUCT((X$107:X$108)*TRANSPOSE(($D114:$E114))),0)</f>
        <v>0</v>
      </c>
      <c r="Y114" s="28" cm="1">
        <f t="array" ref="Y114">Y$106+IF($C114&lt;&gt;0,SUMPRODUCT((Y$107:Y$108)*TRANSPOSE(($D114:$E114))),0)</f>
        <v>0</v>
      </c>
      <c r="Z114" s="28" cm="1">
        <f t="array" ref="Z114">Z$106+IF($C114&lt;&gt;0,SUMPRODUCT((Z$107:Z$108)*TRANSPOSE(($D114:$E114))),0)</f>
        <v>0</v>
      </c>
      <c r="AA114" s="28" cm="1">
        <f t="array" ref="AA114">AA$106+IF($C114&lt;&gt;0,SUMPRODUCT((AA$107:AA$108)*TRANSPOSE(($D114:$E114))),0)</f>
        <v>0</v>
      </c>
      <c r="AB114" s="28" cm="1">
        <f t="array" ref="AB114">AB$106+IF($C114&lt;&gt;0,SUMPRODUCT((AB$107:AB$108)*TRANSPOSE(($D114:$E114))),0)</f>
        <v>0</v>
      </c>
      <c r="AC114" s="28" cm="1">
        <f t="array" ref="AC114">AC$106+IF($C114&lt;&gt;0,SUMPRODUCT((AC$107:AC$108)*TRANSPOSE(($D114:$E114))),0)</f>
        <v>0</v>
      </c>
      <c r="AD114" s="28" cm="1">
        <f t="array" ref="AD114">AD$106+IF($C114&lt;&gt;0,SUMPRODUCT((AD$107:AD$108)*TRANSPOSE(($D114:$E114))),0)</f>
        <v>0</v>
      </c>
      <c r="AE114" s="28" cm="1">
        <f t="array" ref="AE114">AE$106+IF($C114&lt;&gt;0,SUMPRODUCT((AE$107:AE$108)*TRANSPOSE(($D114:$E114))),0)</f>
        <v>0</v>
      </c>
      <c r="AF114" s="28" cm="1">
        <f t="array" ref="AF114">AF$106+IF($C114&lt;&gt;0,SUMPRODUCT((AF$107:AF$108)*TRANSPOSE(($D114:$E114))),0)</f>
        <v>0</v>
      </c>
      <c r="AG114" s="28" cm="1">
        <f t="array" ref="AG114">AG$106+IF($C114&lt;&gt;0,SUMPRODUCT((AG$107:AG$108)*TRANSPOSE(($D114:$E114))),0)</f>
        <v>0</v>
      </c>
    </row>
    <row r="115" spans="1:33" x14ac:dyDescent="0.2">
      <c r="A115" s="1" t="str">
        <f>"sens"&amp;Assumptions!B116</f>
        <v>sens</v>
      </c>
      <c r="C115" s="252">
        <f>Assumptions!C116</f>
        <v>0</v>
      </c>
      <c r="D115" s="253">
        <f>Assumptions!G116</f>
        <v>0</v>
      </c>
      <c r="E115" s="253">
        <f>Assumptions!H116</f>
        <v>0</v>
      </c>
      <c r="G115" s="34" t="str">
        <f t="shared" si="21"/>
        <v>Option 1 (Base Case)sens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0</v>
      </c>
      <c r="O115" s="28" cm="1">
        <f t="array" ref="O115">O$106+IF($C115&lt;&gt;0,SUMPRODUCT((O$107:O$108)*TRANSPOSE(($D115:$E115))),0)</f>
        <v>0</v>
      </c>
      <c r="P115" s="28" cm="1">
        <f t="array" ref="P115">P$106+IF($C115&lt;&gt;0,SUMPRODUCT((P$107:P$108)*TRANSPOSE(($D115:$E115))),0)</f>
        <v>0</v>
      </c>
      <c r="Q115" s="28" cm="1">
        <f t="array" ref="Q115">Q$106+IF($C115&lt;&gt;0,SUMPRODUCT((Q$107:Q$108)*TRANSPOSE(($D115:$E115))),0)</f>
        <v>0</v>
      </c>
      <c r="R115" s="28" cm="1">
        <f t="array" ref="R115">R$106+IF($C115&lt;&gt;0,SUMPRODUCT((R$107:R$108)*TRANSPOSE(($D115:$E115))),0)</f>
        <v>0</v>
      </c>
      <c r="S115" s="28" cm="1">
        <f t="array" ref="S115">S$106+IF($C115&lt;&gt;0,SUMPRODUCT((S$107:S$108)*TRANSPOSE(($D115:$E115))),0)</f>
        <v>0</v>
      </c>
      <c r="T115" s="28" cm="1">
        <f t="array" ref="T115">T$106+IF($C115&lt;&gt;0,SUMPRODUCT((T$107:T$108)*TRANSPOSE(($D115:$E115))),0)</f>
        <v>0</v>
      </c>
      <c r="U115" s="28" cm="1">
        <f t="array" ref="U115">U$106+IF($C115&lt;&gt;0,SUMPRODUCT((U$107:U$108)*TRANSPOSE(($D115:$E115))),0)</f>
        <v>0</v>
      </c>
      <c r="V115" s="28" cm="1">
        <f t="array" ref="V115">V$106+IF($C115&lt;&gt;0,SUMPRODUCT((V$107:V$108)*TRANSPOSE(($D115:$E115))),0)</f>
        <v>0</v>
      </c>
      <c r="W115" s="28" cm="1">
        <f t="array" ref="W115">W$106+IF($C115&lt;&gt;0,SUMPRODUCT((W$107:W$108)*TRANSPOSE(($D115:$E115))),0)</f>
        <v>0</v>
      </c>
      <c r="X115" s="28" cm="1">
        <f t="array" ref="X115">X$106+IF($C115&lt;&gt;0,SUMPRODUCT((X$107:X$108)*TRANSPOSE(($D115:$E115))),0)</f>
        <v>0</v>
      </c>
      <c r="Y115" s="28" cm="1">
        <f t="array" ref="Y115">Y$106+IF($C115&lt;&gt;0,SUMPRODUCT((Y$107:Y$108)*TRANSPOSE(($D115:$E115))),0)</f>
        <v>0</v>
      </c>
      <c r="Z115" s="28" cm="1">
        <f t="array" ref="Z115">Z$106+IF($C115&lt;&gt;0,SUMPRODUCT((Z$107:Z$108)*TRANSPOSE(($D115:$E115))),0)</f>
        <v>0</v>
      </c>
      <c r="AA115" s="28" cm="1">
        <f t="array" ref="AA115">AA$106+IF($C115&lt;&gt;0,SUMPRODUCT((AA$107:AA$108)*TRANSPOSE(($D115:$E115))),0)</f>
        <v>0</v>
      </c>
      <c r="AB115" s="28" cm="1">
        <f t="array" ref="AB115">AB$106+IF($C115&lt;&gt;0,SUMPRODUCT((AB$107:AB$108)*TRANSPOSE(($D115:$E115))),0)</f>
        <v>0</v>
      </c>
      <c r="AC115" s="28" cm="1">
        <f t="array" ref="AC115">AC$106+IF($C115&lt;&gt;0,SUMPRODUCT((AC$107:AC$108)*TRANSPOSE(($D115:$E115))),0)</f>
        <v>0</v>
      </c>
      <c r="AD115" s="28" cm="1">
        <f t="array" ref="AD115">AD$106+IF($C115&lt;&gt;0,SUMPRODUCT((AD$107:AD$108)*TRANSPOSE(($D115:$E115))),0)</f>
        <v>0</v>
      </c>
      <c r="AE115" s="28" cm="1">
        <f t="array" ref="AE115">AE$106+IF($C115&lt;&gt;0,SUMPRODUCT((AE$107:AE$108)*TRANSPOSE(($D115:$E115))),0)</f>
        <v>0</v>
      </c>
      <c r="AF115" s="28" cm="1">
        <f t="array" ref="AF115">AF$106+IF($C115&lt;&gt;0,SUMPRODUCT((AF$107:AF$108)*TRANSPOSE(($D115:$E115))),0)</f>
        <v>0</v>
      </c>
      <c r="AG115" s="28" cm="1">
        <f t="array" ref="AG115">AG$106+IF($C115&lt;&gt;0,SUMPRODUCT((AG$107:AG$108)*TRANSPOSE(($D115:$E115))),0)</f>
        <v>0</v>
      </c>
    </row>
    <row r="116" spans="1:33" x14ac:dyDescent="0.2">
      <c r="A116" s="1" t="str">
        <f>"sens"&amp;Assumptions!B117</f>
        <v>sens</v>
      </c>
      <c r="C116" s="252">
        <f>Assumptions!C117</f>
        <v>0</v>
      </c>
      <c r="D116" s="253">
        <f>Assumptions!G117</f>
        <v>0</v>
      </c>
      <c r="E116" s="253">
        <f>Assumptions!H117</f>
        <v>0</v>
      </c>
      <c r="G116" s="34" t="str">
        <f t="shared" si="21"/>
        <v>Option 1 (Base Case)sens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0</v>
      </c>
      <c r="O116" s="28" cm="1">
        <f t="array" ref="O116">O$106+IF($C116&lt;&gt;0,SUMPRODUCT((O$107:O$108)*TRANSPOSE(($D116:$E116))),0)</f>
        <v>0</v>
      </c>
      <c r="P116" s="28" cm="1">
        <f t="array" ref="P116">P$106+IF($C116&lt;&gt;0,SUMPRODUCT((P$107:P$108)*TRANSPOSE(($D116:$E116))),0)</f>
        <v>0</v>
      </c>
      <c r="Q116" s="28" cm="1">
        <f t="array" ref="Q116">Q$106+IF($C116&lt;&gt;0,SUMPRODUCT((Q$107:Q$108)*TRANSPOSE(($D116:$E116))),0)</f>
        <v>0</v>
      </c>
      <c r="R116" s="28" cm="1">
        <f t="array" ref="R116">R$106+IF($C116&lt;&gt;0,SUMPRODUCT((R$107:R$108)*TRANSPOSE(($D116:$E116))),0)</f>
        <v>0</v>
      </c>
      <c r="S116" s="28" cm="1">
        <f t="array" ref="S116">S$106+IF($C116&lt;&gt;0,SUMPRODUCT((S$107:S$108)*TRANSPOSE(($D116:$E116))),0)</f>
        <v>0</v>
      </c>
      <c r="T116" s="28" cm="1">
        <f t="array" ref="T116">T$106+IF($C116&lt;&gt;0,SUMPRODUCT((T$107:T$108)*TRANSPOSE(($D116:$E116))),0)</f>
        <v>0</v>
      </c>
      <c r="U116" s="28" cm="1">
        <f t="array" ref="U116">U$106+IF($C116&lt;&gt;0,SUMPRODUCT((U$107:U$108)*TRANSPOSE(($D116:$E116))),0)</f>
        <v>0</v>
      </c>
      <c r="V116" s="28" cm="1">
        <f t="array" ref="V116">V$106+IF($C116&lt;&gt;0,SUMPRODUCT((V$107:V$108)*TRANSPOSE(($D116:$E116))),0)</f>
        <v>0</v>
      </c>
      <c r="W116" s="28" cm="1">
        <f t="array" ref="W116">W$106+IF($C116&lt;&gt;0,SUMPRODUCT((W$107:W$108)*TRANSPOSE(($D116:$E116))),0)</f>
        <v>0</v>
      </c>
      <c r="X116" s="28" cm="1">
        <f t="array" ref="X116">X$106+IF($C116&lt;&gt;0,SUMPRODUCT((X$107:X$108)*TRANSPOSE(($D116:$E116))),0)</f>
        <v>0</v>
      </c>
      <c r="Y116" s="28" cm="1">
        <f t="array" ref="Y116">Y$106+IF($C116&lt;&gt;0,SUMPRODUCT((Y$107:Y$108)*TRANSPOSE(($D116:$E116))),0)</f>
        <v>0</v>
      </c>
      <c r="Z116" s="28" cm="1">
        <f t="array" ref="Z116">Z$106+IF($C116&lt;&gt;0,SUMPRODUCT((Z$107:Z$108)*TRANSPOSE(($D116:$E116))),0)</f>
        <v>0</v>
      </c>
      <c r="AA116" s="28" cm="1">
        <f t="array" ref="AA116">AA$106+IF($C116&lt;&gt;0,SUMPRODUCT((AA$107:AA$108)*TRANSPOSE(($D116:$E116))),0)</f>
        <v>0</v>
      </c>
      <c r="AB116" s="28" cm="1">
        <f t="array" ref="AB116">AB$106+IF($C116&lt;&gt;0,SUMPRODUCT((AB$107:AB$108)*TRANSPOSE(($D116:$E116))),0)</f>
        <v>0</v>
      </c>
      <c r="AC116" s="28" cm="1">
        <f t="array" ref="AC116">AC$106+IF($C116&lt;&gt;0,SUMPRODUCT((AC$107:AC$108)*TRANSPOSE(($D116:$E116))),0)</f>
        <v>0</v>
      </c>
      <c r="AD116" s="28" cm="1">
        <f t="array" ref="AD116">AD$106+IF($C116&lt;&gt;0,SUMPRODUCT((AD$107:AD$108)*TRANSPOSE(($D116:$E116))),0)</f>
        <v>0</v>
      </c>
      <c r="AE116" s="28" cm="1">
        <f t="array" ref="AE116">AE$106+IF($C116&lt;&gt;0,SUMPRODUCT((AE$107:AE$108)*TRANSPOSE(($D116:$E116))),0)</f>
        <v>0</v>
      </c>
      <c r="AF116" s="28" cm="1">
        <f t="array" ref="AF116">AF$106+IF($C116&lt;&gt;0,SUMPRODUCT((AF$107:AF$108)*TRANSPOSE(($D116:$E116))),0)</f>
        <v>0</v>
      </c>
      <c r="AG116" s="28" cm="1">
        <f t="array" ref="AG116">AG$106+IF($C116&lt;&gt;0,SUMPRODUCT((AG$107:AG$108)*TRANSPOSE(($D116:$E116))),0)</f>
        <v>0</v>
      </c>
    </row>
    <row r="117" spans="1:33" x14ac:dyDescent="0.2">
      <c r="A117" s="1" t="str">
        <f>"sens"&amp;Assumptions!B118</f>
        <v>sens</v>
      </c>
      <c r="C117" s="252">
        <f>Assumptions!C118</f>
        <v>0</v>
      </c>
      <c r="D117" s="253">
        <f>Assumptions!G118</f>
        <v>0</v>
      </c>
      <c r="E117" s="253">
        <f>Assumptions!H118</f>
        <v>0</v>
      </c>
      <c r="G117" s="34" t="str">
        <f t="shared" si="21"/>
        <v>Option 1 (Base Case)sens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0</v>
      </c>
      <c r="O117" s="28" cm="1">
        <f t="array" ref="O117">O$106+IF($C117&lt;&gt;0,SUMPRODUCT((O$107:O$108)*TRANSPOSE(($D117:$E117))),0)</f>
        <v>0</v>
      </c>
      <c r="P117" s="28" cm="1">
        <f t="array" ref="P117">P$106+IF($C117&lt;&gt;0,SUMPRODUCT((P$107:P$108)*TRANSPOSE(($D117:$E117))),0)</f>
        <v>0</v>
      </c>
      <c r="Q117" s="28" cm="1">
        <f t="array" ref="Q117">Q$106+IF($C117&lt;&gt;0,SUMPRODUCT((Q$107:Q$108)*TRANSPOSE(($D117:$E117))),0)</f>
        <v>0</v>
      </c>
      <c r="R117" s="28" cm="1">
        <f t="array" ref="R117">R$106+IF($C117&lt;&gt;0,SUMPRODUCT((R$107:R$108)*TRANSPOSE(($D117:$E117))),0)</f>
        <v>0</v>
      </c>
      <c r="S117" s="28" cm="1">
        <f t="array" ref="S117">S$106+IF($C117&lt;&gt;0,SUMPRODUCT((S$107:S$108)*TRANSPOSE(($D117:$E117))),0)</f>
        <v>0</v>
      </c>
      <c r="T117" s="28" cm="1">
        <f t="array" ref="T117">T$106+IF($C117&lt;&gt;0,SUMPRODUCT((T$107:T$108)*TRANSPOSE(($D117:$E117))),0)</f>
        <v>0</v>
      </c>
      <c r="U117" s="28" cm="1">
        <f t="array" ref="U117">U$106+IF($C117&lt;&gt;0,SUMPRODUCT((U$107:U$108)*TRANSPOSE(($D117:$E117))),0)</f>
        <v>0</v>
      </c>
      <c r="V117" s="28" cm="1">
        <f t="array" ref="V117">V$106+IF($C117&lt;&gt;0,SUMPRODUCT((V$107:V$108)*TRANSPOSE(($D117:$E117))),0)</f>
        <v>0</v>
      </c>
      <c r="W117" s="28" cm="1">
        <f t="array" ref="W117">W$106+IF($C117&lt;&gt;0,SUMPRODUCT((W$107:W$108)*TRANSPOSE(($D117:$E117))),0)</f>
        <v>0</v>
      </c>
      <c r="X117" s="28" cm="1">
        <f t="array" ref="X117">X$106+IF($C117&lt;&gt;0,SUMPRODUCT((X$107:X$108)*TRANSPOSE(($D117:$E117))),0)</f>
        <v>0</v>
      </c>
      <c r="Y117" s="28" cm="1">
        <f t="array" ref="Y117">Y$106+IF($C117&lt;&gt;0,SUMPRODUCT((Y$107:Y$108)*TRANSPOSE(($D117:$E117))),0)</f>
        <v>0</v>
      </c>
      <c r="Z117" s="28" cm="1">
        <f t="array" ref="Z117">Z$106+IF($C117&lt;&gt;0,SUMPRODUCT((Z$107:Z$108)*TRANSPOSE(($D117:$E117))),0)</f>
        <v>0</v>
      </c>
      <c r="AA117" s="28" cm="1">
        <f t="array" ref="AA117">AA$106+IF($C117&lt;&gt;0,SUMPRODUCT((AA$107:AA$108)*TRANSPOSE(($D117:$E117))),0)</f>
        <v>0</v>
      </c>
      <c r="AB117" s="28" cm="1">
        <f t="array" ref="AB117">AB$106+IF($C117&lt;&gt;0,SUMPRODUCT((AB$107:AB$108)*TRANSPOSE(($D117:$E117))),0)</f>
        <v>0</v>
      </c>
      <c r="AC117" s="28" cm="1">
        <f t="array" ref="AC117">AC$106+IF($C117&lt;&gt;0,SUMPRODUCT((AC$107:AC$108)*TRANSPOSE(($D117:$E117))),0)</f>
        <v>0</v>
      </c>
      <c r="AD117" s="28" cm="1">
        <f t="array" ref="AD117">AD$106+IF($C117&lt;&gt;0,SUMPRODUCT((AD$107:AD$108)*TRANSPOSE(($D117:$E117))),0)</f>
        <v>0</v>
      </c>
      <c r="AE117" s="28" cm="1">
        <f t="array" ref="AE117">AE$106+IF($C117&lt;&gt;0,SUMPRODUCT((AE$107:AE$108)*TRANSPOSE(($D117:$E117))),0)</f>
        <v>0</v>
      </c>
      <c r="AF117" s="28" cm="1">
        <f t="array" ref="AF117">AF$106+IF($C117&lt;&gt;0,SUMPRODUCT((AF$107:AF$108)*TRANSPOSE(($D117:$E117))),0)</f>
        <v>0</v>
      </c>
      <c r="AG117" s="28" cm="1">
        <f t="array" ref="AG117">AG$106+IF($C117&lt;&gt;0,SUMPRODUCT((AG$107:AG$108)*TRANSPOSE(($D117:$E117))),0)</f>
        <v>0</v>
      </c>
    </row>
  </sheetData>
  <conditionalFormatting sqref="E14:E16">
    <cfRule type="expression" dxfId="13" priority="12">
      <formula>AND(SUM($I14:$AB14)&lt;&gt;0, E14=0)</formula>
    </cfRule>
  </conditionalFormatting>
  <conditionalFormatting sqref="E28">
    <cfRule type="expression" dxfId="12" priority="239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5AA9D-F89B-4B5B-91A1-7D8DFA0D370D}">
  <sheetPr codeName="Sheet7">
    <tabColor rgb="FF0099FF"/>
  </sheetPr>
  <dimension ref="A1:XER136"/>
  <sheetViews>
    <sheetView showGridLines="0" zoomScale="90" zoomScaleNormal="90" workbookViewId="0">
      <pane xSplit="7" ySplit="10" topLeftCell="H11" activePane="bottomRight" state="frozen"/>
      <selection activeCell="A3" sqref="A3"/>
      <selection pane="topRight" activeCell="A3" sqref="A3"/>
      <selection pane="bottomLeft" activeCell="A3" sqref="A3"/>
      <selection pane="bottomRight" activeCell="A3" sqref="A3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33.8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3.3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CitiPower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NC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7" t="s">
        <v>148</v>
      </c>
      <c r="B3" s="5"/>
      <c r="C3" s="175" t="str">
        <f>INDEX(Assumptions!$E$14:$E$18, MATCH(A3,_xlfn.ANCHORARRAY( Assumptions!$C$14),0))</f>
        <v>Replace #1 transformer completed in 2027-2028</v>
      </c>
    </row>
    <row r="4" spans="1:43" x14ac:dyDescent="0.2">
      <c r="A4" s="1" t="str">
        <f>(INDEX(Data!$D$9:$D$13, MATCH(A3, options,0)))</f>
        <v/>
      </c>
      <c r="B4" s="162"/>
      <c r="C4" s="211"/>
    </row>
    <row r="5" spans="1:43" hidden="1" outlineLevel="1" x14ac:dyDescent="0.2">
      <c r="C5" s="86"/>
      <c r="D5" s="85"/>
      <c r="E5" s="87"/>
      <c r="F5" s="87"/>
      <c r="G5" s="85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</row>
    <row r="6" spans="1:43" hidden="1" outlineLevel="1" x14ac:dyDescent="0.2">
      <c r="A6" s="85" t="str">
        <f>'Option1 (base case)'!A6</f>
        <v>Count</v>
      </c>
      <c r="B6" s="85"/>
      <c r="C6" s="86"/>
      <c r="D6" s="85"/>
      <c r="E6" s="87"/>
      <c r="F6" s="87"/>
      <c r="G6" s="85"/>
      <c r="H6" s="88"/>
      <c r="I6" s="88">
        <f>'Option1 (base case)'!I6</f>
        <v>1</v>
      </c>
      <c r="J6" s="88">
        <f>'Option1 (base case)'!J6</f>
        <v>2</v>
      </c>
      <c r="K6" s="88">
        <f>'Option1 (base case)'!K6</f>
        <v>3</v>
      </c>
      <c r="L6" s="88">
        <f>'Option1 (base case)'!L6</f>
        <v>4</v>
      </c>
      <c r="M6" s="88">
        <f>'Option1 (base case)'!M6</f>
        <v>5</v>
      </c>
      <c r="N6" s="88">
        <f>'Option1 (base case)'!N6</f>
        <v>6</v>
      </c>
      <c r="O6" s="88">
        <f>'Option1 (base case)'!O6</f>
        <v>7</v>
      </c>
      <c r="P6" s="88">
        <f>'Option1 (base case)'!P6</f>
        <v>8</v>
      </c>
      <c r="Q6" s="88">
        <f>'Option1 (base case)'!Q6</f>
        <v>9</v>
      </c>
      <c r="R6" s="88">
        <f>'Option1 (base case)'!R6</f>
        <v>10</v>
      </c>
      <c r="S6" s="88">
        <f>'Option1 (base case)'!S6</f>
        <v>11</v>
      </c>
      <c r="T6" s="88">
        <f>'Option1 (base case)'!T6</f>
        <v>12</v>
      </c>
      <c r="U6" s="88">
        <f>'Option1 (base case)'!U6</f>
        <v>13</v>
      </c>
      <c r="V6" s="88">
        <f>'Option1 (base case)'!V6</f>
        <v>14</v>
      </c>
      <c r="W6" s="88">
        <f>'Option1 (base case)'!W6</f>
        <v>15</v>
      </c>
      <c r="X6" s="88">
        <f>'Option1 (base case)'!X6</f>
        <v>16</v>
      </c>
      <c r="Y6" s="88">
        <f>'Option1 (base case)'!Y6</f>
        <v>17</v>
      </c>
      <c r="Z6" s="88">
        <f>'Option1 (base case)'!Z6</f>
        <v>18</v>
      </c>
      <c r="AA6" s="88">
        <f>'Option1 (base case)'!AA6</f>
        <v>19</v>
      </c>
      <c r="AB6" s="88">
        <f>'Option1 (base case)'!AB6</f>
        <v>20</v>
      </c>
      <c r="AC6" s="88">
        <f>'Option1 (base case)'!AC6</f>
        <v>21</v>
      </c>
      <c r="AD6" s="88">
        <f>'Option1 (base case)'!AD6</f>
        <v>22</v>
      </c>
      <c r="AE6" s="88">
        <f>'Option1 (base case)'!AE6</f>
        <v>23</v>
      </c>
      <c r="AF6" s="88">
        <f>'Option1 (base case)'!AF6</f>
        <v>24</v>
      </c>
      <c r="AG6" s="88">
        <f>'Option1 (base case)'!AG6</f>
        <v>25</v>
      </c>
    </row>
    <row r="7" spans="1:43" hidden="1" outlineLevel="1" x14ac:dyDescent="0.2">
      <c r="A7" s="85" t="str">
        <f>'Option1 (base case)'!A7</f>
        <v>Value of CO2 reductions</v>
      </c>
      <c r="B7" s="85"/>
      <c r="G7" s="137" t="s">
        <v>108</v>
      </c>
      <c r="I7" s="86">
        <f>'Option1 (base case)'!I7</f>
        <v>24.730486797759085</v>
      </c>
      <c r="J7" s="86">
        <f>'Option1 (base case)'!J7</f>
        <v>22.340740091772258</v>
      </c>
      <c r="K7" s="86">
        <f>'Option1 (base case)'!K7</f>
        <v>20.196329122153124</v>
      </c>
      <c r="L7" s="86">
        <f>'Option1 (base case)'!L7</f>
        <v>18.06294207659629</v>
      </c>
      <c r="M7" s="86">
        <f>'Option1 (base case)'!M7</f>
        <v>15.913397615084225</v>
      </c>
      <c r="N7" s="86">
        <f>'Option1 (base case)'!N7</f>
        <v>13.715069432539002</v>
      </c>
      <c r="O7" s="86">
        <f>'Option1 (base case)'!O7</f>
        <v>13.715069432539002</v>
      </c>
      <c r="P7" s="86">
        <f>'Option1 (base case)'!P7</f>
        <v>13.715069432539002</v>
      </c>
      <c r="Q7" s="86">
        <f>'Option1 (base case)'!Q7</f>
        <v>13.715069432539002</v>
      </c>
      <c r="R7" s="86">
        <f>'Option1 (base case)'!R7</f>
        <v>13.715069432539002</v>
      </c>
      <c r="S7" s="86">
        <f>'Option1 (base case)'!S7</f>
        <v>13.715069432539002</v>
      </c>
      <c r="T7" s="86">
        <f>'Option1 (base case)'!T7</f>
        <v>13.715069432539002</v>
      </c>
      <c r="U7" s="86">
        <f>'Option1 (base case)'!U7</f>
        <v>13.715069432539002</v>
      </c>
      <c r="V7" s="86">
        <f>'Option1 (base case)'!V7</f>
        <v>13.715069432539002</v>
      </c>
      <c r="W7" s="86">
        <f>'Option1 (base case)'!W7</f>
        <v>13.715069432539002</v>
      </c>
      <c r="X7" s="86">
        <f>'Option1 (base case)'!X7</f>
        <v>13.715069432539002</v>
      </c>
      <c r="Y7" s="86">
        <f>'Option1 (base case)'!Y7</f>
        <v>13.715069432539002</v>
      </c>
      <c r="Z7" s="86">
        <f>'Option1 (base case)'!Z7</f>
        <v>13.715069432539002</v>
      </c>
      <c r="AA7" s="86">
        <f>'Option1 (base case)'!AA7</f>
        <v>13.715069432539002</v>
      </c>
      <c r="AB7" s="86">
        <f>'Option1 (base case)'!AB7</f>
        <v>13.715069432539002</v>
      </c>
      <c r="AC7" s="86">
        <f>'Option1 (base case)'!AC7</f>
        <v>13.715069432539002</v>
      </c>
      <c r="AD7" s="86">
        <f>'Option1 (base case)'!AD7</f>
        <v>13.715069432539002</v>
      </c>
      <c r="AE7" s="86">
        <f>'Option1 (base case)'!AE7</f>
        <v>13.715069432539002</v>
      </c>
      <c r="AF7" s="86">
        <f>'Option1 (base case)'!AF7</f>
        <v>13.715069432539002</v>
      </c>
      <c r="AG7" s="86">
        <f>'Option1 (base case)'!AG7</f>
        <v>13.715069432539002</v>
      </c>
    </row>
    <row r="8" spans="1:43" ht="6.75" customHeight="1" collapsed="1" x14ac:dyDescent="0.2">
      <c r="C8" s="86"/>
      <c r="D8" s="85"/>
      <c r="E8" s="87"/>
      <c r="F8" s="87"/>
      <c r="G8" s="85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</row>
    <row r="9" spans="1:43" ht="15" x14ac:dyDescent="0.2">
      <c r="A9" s="16"/>
      <c r="B9" s="16"/>
      <c r="C9" s="16"/>
      <c r="D9" s="16"/>
      <c r="E9" s="16"/>
      <c r="F9" s="120"/>
      <c r="G9" s="16" t="s">
        <v>109</v>
      </c>
      <c r="H9" s="193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110</v>
      </c>
      <c r="B11" s="78"/>
      <c r="C11" s="79"/>
      <c r="D11" s="79"/>
      <c r="E11" s="79"/>
      <c r="F11" s="79"/>
      <c r="G11" s="178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</row>
    <row r="12" spans="1:43" x14ac:dyDescent="0.2">
      <c r="A12" s="3"/>
      <c r="B12" s="3"/>
      <c r="C12" s="3"/>
      <c r="D12" s="3"/>
      <c r="G12" s="179"/>
    </row>
    <row r="13" spans="1:43" x14ac:dyDescent="0.2">
      <c r="C13" s="3" t="s">
        <v>103</v>
      </c>
      <c r="D13"/>
      <c r="E13" s="105" t="s">
        <v>111</v>
      </c>
      <c r="G13" s="180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149</v>
      </c>
      <c r="D14"/>
      <c r="E14" s="126">
        <v>50</v>
      </c>
      <c r="G14" s="181">
        <f>input_dollars</f>
        <v>45291</v>
      </c>
      <c r="H14" s="127"/>
      <c r="I14" s="29">
        <f>Workings_costs!E20</f>
        <v>5066390.3999999994</v>
      </c>
      <c r="J14" s="29">
        <f>Workings_costs!F20</f>
        <v>2533195.1999999997</v>
      </c>
      <c r="K14" s="29">
        <f>Workings_costs!G20</f>
        <v>0</v>
      </c>
      <c r="L14" s="29">
        <f>Workings_costs!H20</f>
        <v>0</v>
      </c>
      <c r="M14" s="29">
        <f>Workings_costs!I20</f>
        <v>0</v>
      </c>
      <c r="N14" s="29">
        <f>Workings_costs!J20</f>
        <v>0</v>
      </c>
      <c r="O14" s="29">
        <f>Workings_costs!K20</f>
        <v>0</v>
      </c>
      <c r="P14" s="29">
        <f>Workings_costs!L20</f>
        <v>0</v>
      </c>
      <c r="Q14" s="29">
        <f>Workings_costs!M20</f>
        <v>0</v>
      </c>
      <c r="R14" s="29">
        <f>Workings_costs!N20</f>
        <v>0</v>
      </c>
      <c r="S14" s="29">
        <f>Workings_costs!O20</f>
        <v>0</v>
      </c>
      <c r="T14" s="29">
        <f>Workings_costs!P20</f>
        <v>0</v>
      </c>
      <c r="U14" s="29">
        <f>Workings_costs!Q20</f>
        <v>0</v>
      </c>
      <c r="V14" s="29">
        <f>Workings_costs!R20</f>
        <v>0</v>
      </c>
      <c r="W14" s="29">
        <f>Workings_costs!S20</f>
        <v>0</v>
      </c>
      <c r="X14" s="29">
        <f>Workings_costs!T20</f>
        <v>0</v>
      </c>
      <c r="Y14" s="29">
        <f>Workings_costs!U20</f>
        <v>0</v>
      </c>
      <c r="Z14" s="29">
        <f>Workings_costs!V20</f>
        <v>0</v>
      </c>
      <c r="AA14" s="29">
        <f>Workings_costs!W20</f>
        <v>0</v>
      </c>
      <c r="AB14" s="29">
        <f>Workings_costs!X20</f>
        <v>0</v>
      </c>
      <c r="AC14" s="29">
        <f>Workings_costs!Y20</f>
        <v>0</v>
      </c>
      <c r="AD14" s="29">
        <f>Workings_costs!Z20</f>
        <v>0</v>
      </c>
      <c r="AE14" s="29">
        <f>Workings_costs!AA20</f>
        <v>0</v>
      </c>
      <c r="AF14" s="29">
        <f>Workings_costs!AB20</f>
        <v>0</v>
      </c>
      <c r="AG14" s="29">
        <f>Workings_costs!AC20</f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/>
      <c r="D15"/>
      <c r="E15" s="126">
        <v>0</v>
      </c>
      <c r="G15" s="181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/>
      <c r="D16"/>
      <c r="E16" s="126">
        <v>0</v>
      </c>
      <c r="G16" s="181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32</v>
      </c>
      <c r="G17" s="181">
        <f>input_dollars</f>
        <v>45291</v>
      </c>
      <c r="H17" s="94"/>
      <c r="I17" s="93">
        <f t="shared" ref="I17:Q17" si="0">SUM(I14:I16)</f>
        <v>5066390.3999999994</v>
      </c>
      <c r="J17" s="93">
        <f t="shared" si="0"/>
        <v>2533195.1999999997</v>
      </c>
      <c r="K17" s="93">
        <f t="shared" si="0"/>
        <v>0</v>
      </c>
      <c r="L17" s="93">
        <f t="shared" si="0"/>
        <v>0</v>
      </c>
      <c r="M17" s="93">
        <f t="shared" si="0"/>
        <v>0</v>
      </c>
      <c r="N17" s="93">
        <f t="shared" si="0"/>
        <v>0</v>
      </c>
      <c r="O17" s="93">
        <f t="shared" si="0"/>
        <v>0</v>
      </c>
      <c r="P17" s="93">
        <f t="shared" si="0"/>
        <v>0</v>
      </c>
      <c r="Q17" s="93">
        <f t="shared" si="0"/>
        <v>0</v>
      </c>
      <c r="R17" s="93">
        <f t="shared" ref="R17:AG17" si="1">SUM(R14:R16)</f>
        <v>0</v>
      </c>
      <c r="S17" s="93">
        <f t="shared" si="1"/>
        <v>0</v>
      </c>
      <c r="T17" s="93">
        <f t="shared" si="1"/>
        <v>0</v>
      </c>
      <c r="U17" s="93">
        <f t="shared" si="1"/>
        <v>0</v>
      </c>
      <c r="V17" s="93">
        <f t="shared" si="1"/>
        <v>0</v>
      </c>
      <c r="W17" s="93">
        <f t="shared" si="1"/>
        <v>0</v>
      </c>
      <c r="X17" s="93">
        <f t="shared" si="1"/>
        <v>0</v>
      </c>
      <c r="Y17" s="93">
        <f t="shared" si="1"/>
        <v>0</v>
      </c>
      <c r="Z17" s="93">
        <f t="shared" si="1"/>
        <v>0</v>
      </c>
      <c r="AA17" s="93">
        <f t="shared" si="1"/>
        <v>0</v>
      </c>
      <c r="AB17" s="93">
        <f t="shared" si="1"/>
        <v>0</v>
      </c>
      <c r="AC17" s="93">
        <f t="shared" si="1"/>
        <v>0</v>
      </c>
      <c r="AD17" s="93">
        <f t="shared" si="1"/>
        <v>0</v>
      </c>
      <c r="AE17" s="93">
        <f t="shared" si="1"/>
        <v>0</v>
      </c>
      <c r="AF17" s="93">
        <f t="shared" si="1"/>
        <v>0</v>
      </c>
      <c r="AG17" s="93">
        <f t="shared" si="1"/>
        <v>0</v>
      </c>
    </row>
    <row r="18" spans="1:43" x14ac:dyDescent="0.2">
      <c r="C18"/>
      <c r="D18"/>
      <c r="E18"/>
      <c r="G18" s="180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33</v>
      </c>
      <c r="D19"/>
      <c r="E19"/>
      <c r="F19" s="94"/>
      <c r="G19" s="181">
        <f>input_dollars</f>
        <v>45291</v>
      </c>
      <c r="H19" s="94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2">
      <c r="G20" s="179"/>
    </row>
    <row r="21" spans="1:43" x14ac:dyDescent="0.2">
      <c r="C21"/>
      <c r="D21"/>
      <c r="E21"/>
      <c r="G21" s="180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113</v>
      </c>
      <c r="B22" s="78"/>
      <c r="C22" s="78"/>
      <c r="D22" s="78"/>
      <c r="E22" s="78"/>
      <c r="F22" s="78"/>
      <c r="G22" s="1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8"/>
      <c r="B23" s="98"/>
      <c r="C23" s="98"/>
      <c r="D23" s="98"/>
      <c r="E23" s="98"/>
      <c r="F23" s="98"/>
      <c r="G23" s="182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8"/>
      <c r="B24" s="98"/>
      <c r="C24" s="1" t="s">
        <v>114</v>
      </c>
      <c r="D24" s="98"/>
      <c r="E24" s="98"/>
      <c r="F24" s="98"/>
      <c r="G24" s="182"/>
      <c r="H24" s="98"/>
      <c r="I24" s="145">
        <v>0</v>
      </c>
      <c r="J24" s="145">
        <v>0</v>
      </c>
      <c r="K24" s="145">
        <v>0</v>
      </c>
      <c r="L24" s="145">
        <v>0</v>
      </c>
      <c r="M24" s="145">
        <v>0</v>
      </c>
      <c r="N24" s="145">
        <v>0</v>
      </c>
      <c r="O24" s="145">
        <v>0</v>
      </c>
      <c r="P24" s="145">
        <v>0</v>
      </c>
      <c r="Q24" s="145">
        <v>0</v>
      </c>
      <c r="R24" s="145">
        <v>0</v>
      </c>
      <c r="S24" s="145">
        <v>0</v>
      </c>
      <c r="T24" s="145">
        <v>0</v>
      </c>
      <c r="U24" s="145">
        <v>0</v>
      </c>
      <c r="V24" s="145">
        <v>0</v>
      </c>
      <c r="W24" s="145">
        <v>0</v>
      </c>
      <c r="X24" s="145">
        <v>0</v>
      </c>
      <c r="Y24" s="145">
        <v>0</v>
      </c>
      <c r="Z24" s="145">
        <v>0</v>
      </c>
      <c r="AA24" s="145">
        <v>0</v>
      </c>
      <c r="AB24" s="145">
        <v>0</v>
      </c>
      <c r="AC24" s="145">
        <v>0</v>
      </c>
      <c r="AD24" s="145">
        <v>0</v>
      </c>
      <c r="AE24" s="145">
        <v>0</v>
      </c>
      <c r="AF24" s="145">
        <v>0</v>
      </c>
      <c r="AG24" s="145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8"/>
      <c r="B25" s="98"/>
      <c r="C25" s="1" t="s">
        <v>115</v>
      </c>
      <c r="D25" s="182"/>
      <c r="E25" s="98"/>
      <c r="F25" s="98"/>
      <c r="G25" s="182"/>
      <c r="H25" s="98"/>
      <c r="I25" s="145">
        <v>0</v>
      </c>
      <c r="J25" s="145">
        <v>0</v>
      </c>
      <c r="K25" s="145">
        <v>0</v>
      </c>
      <c r="L25" s="145">
        <v>0</v>
      </c>
      <c r="M25" s="145">
        <v>0</v>
      </c>
      <c r="N25" s="145">
        <v>0</v>
      </c>
      <c r="O25" s="145">
        <v>0</v>
      </c>
      <c r="P25" s="145">
        <v>0</v>
      </c>
      <c r="Q25" s="145">
        <v>0</v>
      </c>
      <c r="R25" s="145">
        <v>0</v>
      </c>
      <c r="S25" s="145">
        <v>0</v>
      </c>
      <c r="T25" s="145">
        <v>0</v>
      </c>
      <c r="U25" s="145">
        <v>0</v>
      </c>
      <c r="V25" s="145">
        <v>0</v>
      </c>
      <c r="W25" s="145">
        <v>0</v>
      </c>
      <c r="X25" s="145">
        <v>0</v>
      </c>
      <c r="Y25" s="145">
        <v>0</v>
      </c>
      <c r="Z25" s="145">
        <v>0</v>
      </c>
      <c r="AA25" s="145">
        <v>0</v>
      </c>
      <c r="AB25" s="145">
        <v>0</v>
      </c>
      <c r="AC25" s="145">
        <v>0</v>
      </c>
      <c r="AD25" s="145">
        <v>0</v>
      </c>
      <c r="AE25" s="145">
        <v>0</v>
      </c>
      <c r="AF25" s="145">
        <v>0</v>
      </c>
      <c r="AG25" s="145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8"/>
      <c r="B26" s="98"/>
      <c r="C26" s="98"/>
      <c r="D26" s="182"/>
      <c r="E26" s="98"/>
      <c r="F26" s="98"/>
      <c r="G26" s="182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116</v>
      </c>
      <c r="D27" s="179"/>
      <c r="E27"/>
      <c r="G27" s="181" t="s">
        <v>117</v>
      </c>
      <c r="H27"/>
      <c r="I27" s="144">
        <v>0</v>
      </c>
      <c r="J27" s="144">
        <v>0</v>
      </c>
      <c r="K27" s="144">
        <v>0</v>
      </c>
      <c r="L27" s="144">
        <v>0</v>
      </c>
      <c r="M27" s="144">
        <v>0</v>
      </c>
      <c r="N27" s="144">
        <v>0</v>
      </c>
      <c r="O27" s="144">
        <v>0</v>
      </c>
      <c r="P27" s="144">
        <v>0</v>
      </c>
      <c r="Q27" s="144">
        <v>0</v>
      </c>
      <c r="R27" s="144">
        <v>0</v>
      </c>
      <c r="S27" s="144">
        <v>0</v>
      </c>
      <c r="T27" s="144">
        <v>0</v>
      </c>
      <c r="U27" s="144">
        <v>0</v>
      </c>
      <c r="V27" s="144">
        <v>0</v>
      </c>
      <c r="W27" s="144">
        <v>0</v>
      </c>
      <c r="X27" s="144">
        <v>0</v>
      </c>
      <c r="Y27" s="144">
        <v>0</v>
      </c>
      <c r="Z27" s="144">
        <v>0</v>
      </c>
      <c r="AA27" s="144">
        <v>0</v>
      </c>
      <c r="AB27" s="144">
        <v>0</v>
      </c>
      <c r="AC27" s="144">
        <v>0</v>
      </c>
      <c r="AD27" s="144">
        <v>0</v>
      </c>
      <c r="AE27" s="144">
        <v>0</v>
      </c>
      <c r="AF27" s="144">
        <v>0</v>
      </c>
      <c r="AG27" s="144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118</v>
      </c>
      <c r="D28" s="179" t="s">
        <v>108</v>
      </c>
      <c r="E28" s="100">
        <f>Assumptions!H41*vcr_esc</f>
        <v>44330.651153933512</v>
      </c>
      <c r="F28" s="211" t="str">
        <f>IF(AND(SUM(I27:AG27)&lt;&gt;0, E28=0), "!", "")</f>
        <v/>
      </c>
      <c r="G28" s="181">
        <f>input_dollars</f>
        <v>45291</v>
      </c>
      <c r="H28"/>
      <c r="I28" s="29">
        <f>Workings_risks!E23</f>
        <v>897865.0488590746</v>
      </c>
      <c r="J28" s="29">
        <f>Workings_risks!F23</f>
        <v>945320.30286267668</v>
      </c>
      <c r="K28" s="29">
        <f>Workings_risks!G23</f>
        <v>29959.989676824425</v>
      </c>
      <c r="L28" s="29">
        <f>Workings_risks!H23</f>
        <v>55667.735295576131</v>
      </c>
      <c r="M28" s="29">
        <f>Workings_risks!I23</f>
        <v>80798.744619449542</v>
      </c>
      <c r="N28" s="29">
        <f>Workings_risks!J23</f>
        <v>106302.40801755169</v>
      </c>
      <c r="O28" s="29">
        <f>Workings_risks!K23</f>
        <v>133405.18183906464</v>
      </c>
      <c r="P28" s="29">
        <f>Workings_risks!L23</f>
        <v>161725.02477451018</v>
      </c>
      <c r="Q28" s="29">
        <f>Workings_risks!M23</f>
        <v>189401.87122956483</v>
      </c>
      <c r="R28" s="29">
        <f>Workings_risks!N23</f>
        <v>214878.81379719748</v>
      </c>
      <c r="S28" s="29">
        <f>Workings_risks!O23</f>
        <v>240497.06220675437</v>
      </c>
      <c r="T28" s="29">
        <f>Workings_risks!P23</f>
        <v>266294.99990109733</v>
      </c>
      <c r="U28" s="29">
        <f>Workings_risks!Q23</f>
        <v>292301.5665746599</v>
      </c>
      <c r="V28" s="29">
        <f>Workings_risks!R23</f>
        <v>318539.23934864969</v>
      </c>
      <c r="W28" s="29">
        <f>Workings_risks!S23</f>
        <v>345025.73915623123</v>
      </c>
      <c r="X28" s="29">
        <f>Workings_risks!T23</f>
        <v>371775.21521984611</v>
      </c>
      <c r="Y28" s="29">
        <f>Workings_risks!U23</f>
        <v>398799.11582206941</v>
      </c>
      <c r="Z28" s="29">
        <f>Workings_risks!V23</f>
        <v>426106.8201599241</v>
      </c>
      <c r="AA28" s="29">
        <f>Workings_risks!W23</f>
        <v>453706.07088917523</v>
      </c>
      <c r="AB28" s="29">
        <f>Workings_risks!X23</f>
        <v>481603.22479011089</v>
      </c>
      <c r="AC28" s="29">
        <f>Workings_risks!Y23</f>
        <v>509803.6408879073</v>
      </c>
      <c r="AD28" s="29">
        <f>Workings_risks!Z23</f>
        <v>538311.79238523485</v>
      </c>
      <c r="AE28" s="29">
        <f>Workings_risks!AA23</f>
        <v>567131.38483434974</v>
      </c>
      <c r="AF28" s="29">
        <f>Workings_risks!AB23</f>
        <v>596265.58953829866</v>
      </c>
      <c r="AG28" s="29">
        <f>Workings_risks!AC23</f>
        <v>625717.0235985805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0"/>
      <c r="E29"/>
      <c r="G29" s="181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tr">
        <f>'Option1 (base case)'!C30</f>
        <v>Safety risk</v>
      </c>
      <c r="D30" s="179" t="s">
        <v>119</v>
      </c>
      <c r="G30" s="181">
        <f>input_dollars</f>
        <v>45291</v>
      </c>
      <c r="H30" s="127"/>
      <c r="I30" s="29">
        <f>Workings_risks!E24</f>
        <v>509.34510415978644</v>
      </c>
      <c r="J30" s="29">
        <f>Workings_risks!F24</f>
        <v>524.10805974729431</v>
      </c>
      <c r="K30" s="29">
        <f>Workings_risks!G24</f>
        <v>269.77075751347587</v>
      </c>
      <c r="L30" s="29">
        <f>Workings_risks!H24</f>
        <v>277.88419939979514</v>
      </c>
      <c r="M30" s="29">
        <f>Workings_risks!I24</f>
        <v>286.32582147855544</v>
      </c>
      <c r="N30" s="29">
        <f>Workings_risks!J24</f>
        <v>295.06638684457596</v>
      </c>
      <c r="O30" s="29">
        <f>Workings_risks!K24</f>
        <v>304.08750716602668</v>
      </c>
      <c r="P30" s="29">
        <f>Workings_risks!L24</f>
        <v>313.37599419390386</v>
      </c>
      <c r="Q30" s="29">
        <f>Workings_risks!M24</f>
        <v>322.92165750163991</v>
      </c>
      <c r="R30" s="29">
        <f>Workings_risks!N24</f>
        <v>332.71625578967905</v>
      </c>
      <c r="S30" s="29">
        <f>Workings_risks!O24</f>
        <v>342.75291467870795</v>
      </c>
      <c r="T30" s="29">
        <f>Workings_risks!P24</f>
        <v>353.02574339339708</v>
      </c>
      <c r="U30" s="29">
        <f>Workings_risks!Q24</f>
        <v>363.5296069423602</v>
      </c>
      <c r="V30" s="29">
        <f>Workings_risks!R24</f>
        <v>374.25997062193653</v>
      </c>
      <c r="W30" s="29">
        <f>Workings_risks!S24</f>
        <v>385.2127626009285</v>
      </c>
      <c r="X30" s="29">
        <f>Workings_risks!T24</f>
        <v>396.38431244535218</v>
      </c>
      <c r="Y30" s="29">
        <f>Workings_risks!U24</f>
        <v>407.77126794604237</v>
      </c>
      <c r="Z30" s="29">
        <f>Workings_risks!V24</f>
        <v>419.37055534054934</v>
      </c>
      <c r="AA30" s="29">
        <f>Workings_risks!W24</f>
        <v>431.17933230265521</v>
      </c>
      <c r="AB30" s="29">
        <f>Workings_risks!X24</f>
        <v>443.19495539665348</v>
      </c>
      <c r="AC30" s="29">
        <f>Workings_risks!Y24</f>
        <v>455.41496561258469</v>
      </c>
      <c r="AD30" s="29">
        <f>Workings_risks!Z24</f>
        <v>467.8370630528982</v>
      </c>
      <c r="AE30" s="29">
        <f>Workings_risks!AA24</f>
        <v>467.8370630528982</v>
      </c>
      <c r="AF30" s="29">
        <f>Workings_risks!AB24</f>
        <v>467.8370630528982</v>
      </c>
      <c r="AG30" s="29">
        <f>Workings_risks!AC24</f>
        <v>467.8370630528982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tr">
        <f>'Option1 (base case)'!C31</f>
        <v>Unplanned replacement risk</v>
      </c>
      <c r="D31" s="180"/>
      <c r="E31"/>
      <c r="G31" s="181">
        <f>input_dollars</f>
        <v>45291</v>
      </c>
      <c r="H31" s="127"/>
      <c r="I31" s="29">
        <f>Workings_risks!E25</f>
        <v>25689.870432828979</v>
      </c>
      <c r="J31" s="29">
        <f>Workings_risks!F25</f>
        <v>26434.470534314798</v>
      </c>
      <c r="K31" s="29">
        <f>Workings_risks!G25</f>
        <v>13606.444335063627</v>
      </c>
      <c r="L31" s="29">
        <f>Workings_risks!H25</f>
        <v>14015.662503887806</v>
      </c>
      <c r="M31" s="29">
        <f>Workings_risks!I25</f>
        <v>14441.433117318948</v>
      </c>
      <c r="N31" s="29">
        <f>Workings_risks!J25</f>
        <v>14882.281551767232</v>
      </c>
      <c r="O31" s="29">
        <f>Workings_risks!K25</f>
        <v>15337.280353806027</v>
      </c>
      <c r="P31" s="29">
        <f>Workings_risks!L25</f>
        <v>15805.764346906944</v>
      </c>
      <c r="Q31" s="29">
        <f>Workings_risks!M25</f>
        <v>16287.219555896676</v>
      </c>
      <c r="R31" s="29">
        <f>Workings_risks!N25</f>
        <v>16781.230313841254</v>
      </c>
      <c r="S31" s="29">
        <f>Workings_risks!O25</f>
        <v>17287.449897247254</v>
      </c>
      <c r="T31" s="29">
        <f>Workings_risks!P25</f>
        <v>17805.581192716068</v>
      </c>
      <c r="U31" s="29">
        <f>Workings_risks!Q25</f>
        <v>18335.365206370443</v>
      </c>
      <c r="V31" s="29">
        <f>Workings_risks!R25</f>
        <v>18876.573221082162</v>
      </c>
      <c r="W31" s="29">
        <f>Workings_risks!S25</f>
        <v>19428.99986564997</v>
      </c>
      <c r="X31" s="29">
        <f>Workings_risks!T25</f>
        <v>19992.46001416865</v>
      </c>
      <c r="Y31" s="29">
        <f>Workings_risks!U25</f>
        <v>20566.784591057778</v>
      </c>
      <c r="Z31" s="29">
        <f>Workings_risks!V25</f>
        <v>21151.818564771111</v>
      </c>
      <c r="AA31" s="29">
        <f>Workings_risks!W25</f>
        <v>21747.418576725886</v>
      </c>
      <c r="AB31" s="29">
        <f>Workings_risks!X25</f>
        <v>22353.451299792341</v>
      </c>
      <c r="AC31" s="29">
        <f>Workings_risks!Y25</f>
        <v>22969.79270873349</v>
      </c>
      <c r="AD31" s="29">
        <f>Workings_risks!Z25</f>
        <v>23596.326803474723</v>
      </c>
      <c r="AE31" s="29">
        <f>Workings_risks!AA25</f>
        <v>23596.326803474723</v>
      </c>
      <c r="AF31" s="29">
        <f>Workings_risks!AB25</f>
        <v>23596.326803474723</v>
      </c>
      <c r="AG31" s="29">
        <f>Workings_risks!AC25</f>
        <v>23596.326803474723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tr">
        <f>'Option1 (base case)'!C32</f>
        <v>Unplanned fault risk</v>
      </c>
      <c r="D32" s="179"/>
      <c r="E32"/>
      <c r="G32" s="181">
        <f>input_dollars</f>
        <v>45291</v>
      </c>
      <c r="H32"/>
      <c r="I32" s="29">
        <f>Workings_risks!E26</f>
        <v>1880.6461303360002</v>
      </c>
      <c r="J32" s="29">
        <f>Workings_risks!F26</f>
        <v>1935.1551362559999</v>
      </c>
      <c r="K32" s="29">
        <f>Workings_risks!G26</f>
        <v>996.06990830399991</v>
      </c>
      <c r="L32" s="29">
        <f>Workings_risks!H26</f>
        <v>1026.0270296399999</v>
      </c>
      <c r="M32" s="29">
        <f>Workings_risks!I26</f>
        <v>1057.195885032</v>
      </c>
      <c r="N32" s="29">
        <f>Workings_risks!J26</f>
        <v>1089.4685235600002</v>
      </c>
      <c r="O32" s="29">
        <f>Workings_risks!K26</f>
        <v>1122.7770503040001</v>
      </c>
      <c r="P32" s="29">
        <f>Workings_risks!L26</f>
        <v>1157.0727705200002</v>
      </c>
      <c r="Q32" s="29">
        <f>Workings_risks!M26</f>
        <v>1192.3180582719999</v>
      </c>
      <c r="R32" s="29">
        <f>Workings_risks!N26</f>
        <v>1228.482484352</v>
      </c>
      <c r="S32" s="29">
        <f>Workings_risks!O26</f>
        <v>1265.540666608</v>
      </c>
      <c r="T32" s="29">
        <f>Workings_risks!P26</f>
        <v>1303.4708546320001</v>
      </c>
      <c r="U32" s="29">
        <f>Workings_risks!Q26</f>
        <v>1342.2540885840001</v>
      </c>
      <c r="V32" s="29">
        <f>Workings_risks!R26</f>
        <v>1381.873625056</v>
      </c>
      <c r="W32" s="29">
        <f>Workings_risks!S26</f>
        <v>1422.3144296960002</v>
      </c>
      <c r="X32" s="29">
        <f>Workings_risks!T26</f>
        <v>1463.5629502239999</v>
      </c>
      <c r="Y32" s="29">
        <f>Workings_risks!U26</f>
        <v>1505.6068093360002</v>
      </c>
      <c r="Z32" s="29">
        <f>Workings_risks!V26</f>
        <v>1548.4346578320003</v>
      </c>
      <c r="AA32" s="29">
        <f>Workings_risks!W26</f>
        <v>1592.03600104</v>
      </c>
      <c r="AB32" s="29">
        <f>Workings_risks!X26</f>
        <v>1636.4010786480001</v>
      </c>
      <c r="AC32" s="29">
        <f>Workings_risks!Y26</f>
        <v>1681.5208112960001</v>
      </c>
      <c r="AD32" s="29">
        <f>Workings_risks!Z26</f>
        <v>1727.3867071120001</v>
      </c>
      <c r="AE32" s="29">
        <f>Workings_risks!AA26</f>
        <v>1727.3867071120001</v>
      </c>
      <c r="AF32" s="29">
        <f>Workings_risks!AB26</f>
        <v>1727.3867071120001</v>
      </c>
      <c r="AG32" s="29">
        <f>Workings_risks!AC26</f>
        <v>1727.3867071120001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1" t="str">
        <f>'Option1 (base case)'!C33</f>
        <v>Environmental risk</v>
      </c>
      <c r="D33" s="179" t="s">
        <v>119</v>
      </c>
      <c r="E33"/>
      <c r="G33" s="181">
        <f>input_dollars</f>
        <v>45291</v>
      </c>
      <c r="H33"/>
      <c r="I33" s="29">
        <f>Workings_risks!E27</f>
        <v>1998.2833333333333</v>
      </c>
      <c r="J33" s="29">
        <f>Workings_risks!F27</f>
        <v>1998.2833333333333</v>
      </c>
      <c r="K33" s="29">
        <f>Workings_risks!G27</f>
        <v>392.45</v>
      </c>
      <c r="L33" s="29">
        <f>Workings_risks!H27</f>
        <v>392.45</v>
      </c>
      <c r="M33" s="29">
        <f>Workings_risks!I27</f>
        <v>392.45</v>
      </c>
      <c r="N33" s="29">
        <f>Workings_risks!J27</f>
        <v>392.45</v>
      </c>
      <c r="O33" s="29">
        <f>Workings_risks!K27</f>
        <v>392.45</v>
      </c>
      <c r="P33" s="29">
        <f>Workings_risks!L27</f>
        <v>392.45</v>
      </c>
      <c r="Q33" s="29">
        <f>Workings_risks!M27</f>
        <v>392.45</v>
      </c>
      <c r="R33" s="29">
        <f>Workings_risks!N27</f>
        <v>392.45</v>
      </c>
      <c r="S33" s="29">
        <f>Workings_risks!O27</f>
        <v>392.45</v>
      </c>
      <c r="T33" s="29">
        <f>Workings_risks!P27</f>
        <v>392.45</v>
      </c>
      <c r="U33" s="29">
        <f>Workings_risks!Q27</f>
        <v>392.45</v>
      </c>
      <c r="V33" s="29">
        <f>Workings_risks!R27</f>
        <v>392.45</v>
      </c>
      <c r="W33" s="29">
        <f>Workings_risks!S27</f>
        <v>392.45</v>
      </c>
      <c r="X33" s="29">
        <f>Workings_risks!T27</f>
        <v>392.45</v>
      </c>
      <c r="Y33" s="29">
        <f>Workings_risks!U27</f>
        <v>392.45</v>
      </c>
      <c r="Z33" s="29">
        <f>Workings_risks!V27</f>
        <v>392.45</v>
      </c>
      <c r="AA33" s="29">
        <f>Workings_risks!W27</f>
        <v>392.45</v>
      </c>
      <c r="AB33" s="29">
        <f>Workings_risks!X27</f>
        <v>392.45</v>
      </c>
      <c r="AC33" s="29">
        <f>Workings_risks!Y27</f>
        <v>392.45</v>
      </c>
      <c r="AD33" s="29">
        <f>Workings_risks!Z27</f>
        <v>392.45</v>
      </c>
      <c r="AE33" s="29">
        <f>Workings_risks!AA27</f>
        <v>392.45</v>
      </c>
      <c r="AF33" s="29">
        <f>Workings_risks!AB27</f>
        <v>392.45</v>
      </c>
      <c r="AG33" s="29">
        <f>Workings_risks!AC27</f>
        <v>392.45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51" t="s">
        <v>120</v>
      </c>
      <c r="D34" s="180"/>
      <c r="E34"/>
      <c r="G34" s="181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D35" s="180"/>
      <c r="E35"/>
      <c r="G35" s="181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C36" s="3" t="s">
        <v>121</v>
      </c>
      <c r="D36" s="191"/>
      <c r="E36" s="94"/>
      <c r="F36" s="3"/>
      <c r="G36" s="183"/>
      <c r="H36" s="94"/>
      <c r="I36" s="146">
        <f>SUM(I28:I34)</f>
        <v>927943.19385973271</v>
      </c>
      <c r="J36" s="146">
        <f t="shared" ref="J36:AG36" si="2">SUM(J28:J34)</f>
        <v>976212.31992632803</v>
      </c>
      <c r="K36" s="146">
        <f t="shared" si="2"/>
        <v>45224.724677705526</v>
      </c>
      <c r="L36" s="146">
        <f t="shared" si="2"/>
        <v>71379.759028503729</v>
      </c>
      <c r="M36" s="146">
        <f t="shared" si="2"/>
        <v>96976.149443279035</v>
      </c>
      <c r="N36" s="146">
        <f t="shared" si="2"/>
        <v>122961.67447972349</v>
      </c>
      <c r="O36" s="146">
        <f t="shared" si="2"/>
        <v>150561.77675034071</v>
      </c>
      <c r="P36" s="146">
        <f t="shared" si="2"/>
        <v>179393.68788613103</v>
      </c>
      <c r="Q36" s="146">
        <f t="shared" si="2"/>
        <v>207596.78050123516</v>
      </c>
      <c r="R36" s="146">
        <f t="shared" si="2"/>
        <v>233613.69285118041</v>
      </c>
      <c r="S36" s="146">
        <f t="shared" si="2"/>
        <v>259785.25568528834</v>
      </c>
      <c r="T36" s="146">
        <f t="shared" si="2"/>
        <v>286149.5276918388</v>
      </c>
      <c r="U36" s="146">
        <f t="shared" si="2"/>
        <v>312735.16547655669</v>
      </c>
      <c r="V36" s="146">
        <f t="shared" si="2"/>
        <v>339564.39616540982</v>
      </c>
      <c r="W36" s="146">
        <f t="shared" si="2"/>
        <v>366654.71621417813</v>
      </c>
      <c r="X36" s="146">
        <f t="shared" si="2"/>
        <v>394020.07249668409</v>
      </c>
      <c r="Y36" s="146">
        <f t="shared" si="2"/>
        <v>421671.72849040927</v>
      </c>
      <c r="Z36" s="146">
        <f t="shared" si="2"/>
        <v>449618.89393786778</v>
      </c>
      <c r="AA36" s="146">
        <f t="shared" si="2"/>
        <v>477869.15479924378</v>
      </c>
      <c r="AB36" s="146">
        <f t="shared" si="2"/>
        <v>506428.72212394787</v>
      </c>
      <c r="AC36" s="146">
        <f t="shared" si="2"/>
        <v>535302.81937354931</v>
      </c>
      <c r="AD36" s="146">
        <f t="shared" si="2"/>
        <v>564495.79295887437</v>
      </c>
      <c r="AE36" s="146">
        <f t="shared" si="2"/>
        <v>593315.38540798926</v>
      </c>
      <c r="AF36" s="146">
        <f t="shared" si="2"/>
        <v>622449.59011193819</v>
      </c>
      <c r="AG36" s="146">
        <f t="shared" si="2"/>
        <v>651901.02417222003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x14ac:dyDescent="0.2">
      <c r="D37"/>
      <c r="E37"/>
      <c r="G37" s="181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5" x14ac:dyDescent="0.2">
      <c r="A38" s="78" t="s">
        <v>122</v>
      </c>
      <c r="B38" s="78"/>
      <c r="C38" s="78"/>
      <c r="D38" s="78"/>
      <c r="E38" s="78"/>
      <c r="F38" s="78"/>
      <c r="G38" s="1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1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x14ac:dyDescent="0.2">
      <c r="D40"/>
      <c r="E40"/>
      <c r="G40" s="181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25">
      <c r="C41" s="1" t="s">
        <v>123</v>
      </c>
      <c r="G41" s="179" t="s">
        <v>117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25">
      <c r="C42" s="1" t="s">
        <v>124</v>
      </c>
      <c r="G42" s="179" t="s">
        <v>125</v>
      </c>
      <c r="I42" s="75">
        <f t="shared" ref="I42:AG42" si="3">I41*I7</f>
        <v>0</v>
      </c>
      <c r="J42" s="75">
        <f t="shared" si="3"/>
        <v>0</v>
      </c>
      <c r="K42" s="75">
        <f t="shared" si="3"/>
        <v>0</v>
      </c>
      <c r="L42" s="75">
        <f t="shared" si="3"/>
        <v>0</v>
      </c>
      <c r="M42" s="75">
        <f t="shared" si="3"/>
        <v>0</v>
      </c>
      <c r="N42" s="75">
        <f t="shared" si="3"/>
        <v>0</v>
      </c>
      <c r="O42" s="75">
        <f t="shared" si="3"/>
        <v>0</v>
      </c>
      <c r="P42" s="75">
        <f t="shared" si="3"/>
        <v>0</v>
      </c>
      <c r="Q42" s="75">
        <f t="shared" si="3"/>
        <v>0</v>
      </c>
      <c r="R42" s="75">
        <f t="shared" si="3"/>
        <v>0</v>
      </c>
      <c r="S42" s="75">
        <f t="shared" si="3"/>
        <v>0</v>
      </c>
      <c r="T42" s="75">
        <f t="shared" si="3"/>
        <v>0</v>
      </c>
      <c r="U42" s="75">
        <f t="shared" si="3"/>
        <v>0</v>
      </c>
      <c r="V42" s="75">
        <f t="shared" si="3"/>
        <v>0</v>
      </c>
      <c r="W42" s="75">
        <f t="shared" si="3"/>
        <v>0</v>
      </c>
      <c r="X42" s="75">
        <f t="shared" si="3"/>
        <v>0</v>
      </c>
      <c r="Y42" s="75">
        <f t="shared" si="3"/>
        <v>0</v>
      </c>
      <c r="Z42" s="75">
        <f t="shared" si="3"/>
        <v>0</v>
      </c>
      <c r="AA42" s="75">
        <f t="shared" si="3"/>
        <v>0</v>
      </c>
      <c r="AB42" s="75">
        <f t="shared" si="3"/>
        <v>0</v>
      </c>
      <c r="AC42" s="75">
        <f t="shared" si="3"/>
        <v>0</v>
      </c>
      <c r="AD42" s="75">
        <f t="shared" si="3"/>
        <v>0</v>
      </c>
      <c r="AE42" s="75">
        <f t="shared" si="3"/>
        <v>0</v>
      </c>
      <c r="AF42" s="75">
        <f t="shared" si="3"/>
        <v>0</v>
      </c>
      <c r="AG42" s="75">
        <f t="shared" si="3"/>
        <v>0</v>
      </c>
    </row>
    <row r="43" spans="1:16372" x14ac:dyDescent="0.2">
      <c r="D43"/>
      <c r="E43"/>
      <c r="G43" s="181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 s="180"/>
      <c r="E44"/>
      <c r="G44" s="181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2">
      <c r="C45" s="1" t="s">
        <v>126</v>
      </c>
      <c r="D45" s="179" t="s">
        <v>108</v>
      </c>
      <c r="E45" s="100">
        <f>Assumptions!G94</f>
        <v>0</v>
      </c>
      <c r="G45" s="181" t="s">
        <v>117</v>
      </c>
      <c r="I45" s="274">
        <v>0</v>
      </c>
      <c r="J45" s="274">
        <v>0</v>
      </c>
      <c r="K45" s="274">
        <v>0</v>
      </c>
      <c r="L45" s="274">
        <v>0</v>
      </c>
      <c r="M45" s="274">
        <v>0</v>
      </c>
      <c r="N45" s="274">
        <v>0</v>
      </c>
      <c r="O45" s="274">
        <v>0</v>
      </c>
      <c r="P45" s="274">
        <v>0</v>
      </c>
      <c r="Q45" s="274">
        <v>0</v>
      </c>
      <c r="R45" s="274">
        <v>0</v>
      </c>
      <c r="S45" s="274">
        <v>0</v>
      </c>
      <c r="T45" s="274">
        <v>0</v>
      </c>
      <c r="U45" s="274">
        <v>0</v>
      </c>
      <c r="V45" s="274">
        <v>0</v>
      </c>
      <c r="W45" s="274">
        <v>0</v>
      </c>
      <c r="X45" s="274">
        <v>0</v>
      </c>
      <c r="Y45" s="274">
        <v>0</v>
      </c>
      <c r="Z45" s="274">
        <v>0</v>
      </c>
      <c r="AA45" s="274">
        <v>0</v>
      </c>
      <c r="AB45" s="274">
        <v>0</v>
      </c>
      <c r="AC45" s="274">
        <v>0</v>
      </c>
      <c r="AD45" s="274">
        <v>0</v>
      </c>
      <c r="AE45" s="274">
        <v>0</v>
      </c>
      <c r="AF45" s="274">
        <v>0</v>
      </c>
      <c r="AG45" s="274">
        <v>0</v>
      </c>
    </row>
    <row r="46" spans="1:16372" x14ac:dyDescent="0.2">
      <c r="C46" s="1" t="s">
        <v>127</v>
      </c>
      <c r="D46" s="179" t="s">
        <v>108</v>
      </c>
      <c r="E46" s="100">
        <f>Assumptions!G95</f>
        <v>0</v>
      </c>
      <c r="G46" s="181" t="s">
        <v>117</v>
      </c>
      <c r="I46" s="274">
        <v>0</v>
      </c>
      <c r="J46" s="274">
        <v>0</v>
      </c>
      <c r="K46" s="274">
        <v>0</v>
      </c>
      <c r="L46" s="274">
        <v>0</v>
      </c>
      <c r="M46" s="274">
        <v>0</v>
      </c>
      <c r="N46" s="274">
        <v>0</v>
      </c>
      <c r="O46" s="274">
        <v>0</v>
      </c>
      <c r="P46" s="274">
        <v>0</v>
      </c>
      <c r="Q46" s="274">
        <v>0</v>
      </c>
      <c r="R46" s="274">
        <v>0</v>
      </c>
      <c r="S46" s="274">
        <v>0</v>
      </c>
      <c r="T46" s="274">
        <v>0</v>
      </c>
      <c r="U46" s="274">
        <v>0</v>
      </c>
      <c r="V46" s="274">
        <v>0</v>
      </c>
      <c r="W46" s="274">
        <v>0</v>
      </c>
      <c r="X46" s="274">
        <v>0</v>
      </c>
      <c r="Y46" s="274">
        <v>0</v>
      </c>
      <c r="Z46" s="274">
        <v>0</v>
      </c>
      <c r="AA46" s="274">
        <v>0</v>
      </c>
      <c r="AB46" s="274">
        <v>0</v>
      </c>
      <c r="AC46" s="274">
        <v>0</v>
      </c>
      <c r="AD46" s="274">
        <v>0</v>
      </c>
      <c r="AE46" s="274">
        <v>0</v>
      </c>
      <c r="AF46" s="274">
        <v>0</v>
      </c>
      <c r="AG46" s="274">
        <v>0</v>
      </c>
    </row>
    <row r="47" spans="1:16372" x14ac:dyDescent="0.2">
      <c r="C47" s="1" t="s">
        <v>128</v>
      </c>
      <c r="D47" s="179" t="s">
        <v>108</v>
      </c>
      <c r="E47" s="100">
        <f>Assumptions!G96</f>
        <v>4220.9953699573898</v>
      </c>
      <c r="G47" s="181" t="s">
        <v>117</v>
      </c>
      <c r="I47" s="274">
        <v>0</v>
      </c>
      <c r="J47" s="274">
        <v>0</v>
      </c>
      <c r="K47" s="274">
        <v>0</v>
      </c>
      <c r="L47" s="274">
        <v>0</v>
      </c>
      <c r="M47" s="274">
        <v>0</v>
      </c>
      <c r="N47" s="274">
        <v>0</v>
      </c>
      <c r="O47" s="274">
        <v>0</v>
      </c>
      <c r="P47" s="274">
        <v>0</v>
      </c>
      <c r="Q47" s="274">
        <v>0</v>
      </c>
      <c r="R47" s="274">
        <v>0</v>
      </c>
      <c r="S47" s="274">
        <v>0</v>
      </c>
      <c r="T47" s="274">
        <v>0</v>
      </c>
      <c r="U47" s="274">
        <v>0</v>
      </c>
      <c r="V47" s="274">
        <v>0</v>
      </c>
      <c r="W47" s="274">
        <v>0</v>
      </c>
      <c r="X47" s="274">
        <v>0</v>
      </c>
      <c r="Y47" s="274">
        <v>0</v>
      </c>
      <c r="Z47" s="274">
        <v>0</v>
      </c>
      <c r="AA47" s="274">
        <v>0</v>
      </c>
      <c r="AB47" s="274">
        <v>0</v>
      </c>
      <c r="AC47" s="274">
        <v>0</v>
      </c>
      <c r="AD47" s="274">
        <v>0</v>
      </c>
      <c r="AE47" s="274">
        <v>0</v>
      </c>
      <c r="AF47" s="274">
        <v>0</v>
      </c>
      <c r="AG47" s="274">
        <v>0</v>
      </c>
    </row>
    <row r="48" spans="1:16372" x14ac:dyDescent="0.2">
      <c r="C48" s="1" t="s">
        <v>129</v>
      </c>
      <c r="D48" s="179" t="s">
        <v>130</v>
      </c>
      <c r="E48" s="99">
        <f>Assumptions!G97</f>
        <v>0</v>
      </c>
      <c r="G48" s="181" t="s">
        <v>131</v>
      </c>
      <c r="I48" s="274">
        <v>0</v>
      </c>
      <c r="J48" s="274">
        <v>0</v>
      </c>
      <c r="K48" s="274">
        <v>0</v>
      </c>
      <c r="L48" s="274">
        <v>0</v>
      </c>
      <c r="M48" s="274">
        <v>0</v>
      </c>
      <c r="N48" s="274">
        <v>0</v>
      </c>
      <c r="O48" s="274">
        <v>0</v>
      </c>
      <c r="P48" s="274">
        <v>0</v>
      </c>
      <c r="Q48" s="274">
        <v>0</v>
      </c>
      <c r="R48" s="274">
        <v>0</v>
      </c>
      <c r="S48" s="274">
        <v>0</v>
      </c>
      <c r="T48" s="274">
        <v>0</v>
      </c>
      <c r="U48" s="274">
        <v>0</v>
      </c>
      <c r="V48" s="274">
        <v>0</v>
      </c>
      <c r="W48" s="274">
        <v>0</v>
      </c>
      <c r="X48" s="274">
        <v>0</v>
      </c>
      <c r="Y48" s="274">
        <v>0</v>
      </c>
      <c r="Z48" s="274">
        <v>0</v>
      </c>
      <c r="AA48" s="274">
        <v>0</v>
      </c>
      <c r="AB48" s="274">
        <v>0</v>
      </c>
      <c r="AC48" s="274">
        <v>0</v>
      </c>
      <c r="AD48" s="274">
        <v>0</v>
      </c>
      <c r="AE48" s="274">
        <v>0</v>
      </c>
      <c r="AF48" s="274">
        <v>0</v>
      </c>
      <c r="AG48" s="274">
        <v>0</v>
      </c>
    </row>
    <row r="49" spans="1:43" x14ac:dyDescent="0.2">
      <c r="C49" s="1" t="s">
        <v>150</v>
      </c>
      <c r="D49" s="179" t="s">
        <v>133</v>
      </c>
      <c r="E49" s="99">
        <f>Assumptions!G98</f>
        <v>0.54769380678923496</v>
      </c>
      <c r="G49" s="181" t="s">
        <v>134</v>
      </c>
      <c r="I49" s="274">
        <v>0</v>
      </c>
      <c r="J49" s="274">
        <v>0</v>
      </c>
      <c r="K49" s="274">
        <v>0</v>
      </c>
      <c r="L49" s="274">
        <v>0</v>
      </c>
      <c r="M49" s="274">
        <v>0</v>
      </c>
      <c r="N49" s="274">
        <v>0</v>
      </c>
      <c r="O49" s="274">
        <v>0</v>
      </c>
      <c r="P49" s="274">
        <v>0</v>
      </c>
      <c r="Q49" s="274">
        <v>0</v>
      </c>
      <c r="R49" s="274">
        <v>0</v>
      </c>
      <c r="S49" s="274">
        <v>0</v>
      </c>
      <c r="T49" s="274">
        <v>0</v>
      </c>
      <c r="U49" s="274">
        <v>0</v>
      </c>
      <c r="V49" s="274">
        <v>0</v>
      </c>
      <c r="W49" s="274">
        <v>0</v>
      </c>
      <c r="X49" s="274">
        <v>0</v>
      </c>
      <c r="Y49" s="274">
        <v>0</v>
      </c>
      <c r="Z49" s="274">
        <v>0</v>
      </c>
      <c r="AA49" s="274">
        <v>0</v>
      </c>
      <c r="AB49" s="274">
        <v>0</v>
      </c>
      <c r="AC49" s="274">
        <v>0</v>
      </c>
      <c r="AD49" s="274">
        <v>0</v>
      </c>
      <c r="AE49" s="274">
        <v>0</v>
      </c>
      <c r="AF49" s="274">
        <v>0</v>
      </c>
      <c r="AG49" s="274">
        <v>0</v>
      </c>
    </row>
    <row r="50" spans="1:43" x14ac:dyDescent="0.2">
      <c r="C50" s="1" t="s">
        <v>151</v>
      </c>
      <c r="D50" s="179" t="s">
        <v>133</v>
      </c>
      <c r="E50" s="99">
        <f>Assumptions!G99</f>
        <v>0.54769380678923496</v>
      </c>
      <c r="G50" s="181" t="s">
        <v>134</v>
      </c>
      <c r="I50" s="274">
        <v>0</v>
      </c>
      <c r="J50" s="274">
        <v>0</v>
      </c>
      <c r="K50" s="274">
        <v>0</v>
      </c>
      <c r="L50" s="274">
        <v>0</v>
      </c>
      <c r="M50" s="274">
        <v>0</v>
      </c>
      <c r="N50" s="274">
        <v>0</v>
      </c>
      <c r="O50" s="274">
        <v>0</v>
      </c>
      <c r="P50" s="274">
        <v>0</v>
      </c>
      <c r="Q50" s="274">
        <v>0</v>
      </c>
      <c r="R50" s="274">
        <v>0</v>
      </c>
      <c r="S50" s="274">
        <v>0</v>
      </c>
      <c r="T50" s="274">
        <v>0</v>
      </c>
      <c r="U50" s="274">
        <v>0</v>
      </c>
      <c r="V50" s="274">
        <v>0</v>
      </c>
      <c r="W50" s="274">
        <v>0</v>
      </c>
      <c r="X50" s="274">
        <v>0</v>
      </c>
      <c r="Y50" s="274">
        <v>0</v>
      </c>
      <c r="Z50" s="274">
        <v>0</v>
      </c>
      <c r="AA50" s="274">
        <v>0</v>
      </c>
      <c r="AB50" s="274">
        <v>0</v>
      </c>
      <c r="AC50" s="274">
        <v>0</v>
      </c>
      <c r="AD50" s="274">
        <v>0</v>
      </c>
      <c r="AE50" s="274">
        <v>0</v>
      </c>
      <c r="AF50" s="274">
        <v>0</v>
      </c>
      <c r="AG50" s="274">
        <v>0</v>
      </c>
    </row>
    <row r="51" spans="1:43" x14ac:dyDescent="0.2">
      <c r="C51" s="1" t="s">
        <v>136</v>
      </c>
      <c r="D51" s="179" t="s">
        <v>130</v>
      </c>
      <c r="E51" s="99">
        <f>Assumptions!G100</f>
        <v>0</v>
      </c>
      <c r="G51" s="181" t="s">
        <v>131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2">
      <c r="C52" s="1" t="s">
        <v>137</v>
      </c>
      <c r="D52" s="179" t="s">
        <v>130</v>
      </c>
      <c r="E52" s="99">
        <f>Assumptions!G101</f>
        <v>0</v>
      </c>
      <c r="G52" s="181" t="s">
        <v>131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2">
      <c r="D53" s="179"/>
      <c r="G53" s="181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2">
      <c r="C54" s="1" t="s">
        <v>138</v>
      </c>
      <c r="D54" s="179"/>
      <c r="G54" s="181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2">
      <c r="C55" s="1" t="s">
        <v>139</v>
      </c>
      <c r="D55" s="179"/>
      <c r="G55" s="181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2">
      <c r="D56" s="179"/>
      <c r="G56" s="179"/>
    </row>
    <row r="57" spans="1:43" x14ac:dyDescent="0.2">
      <c r="C57" s="3" t="s">
        <v>140</v>
      </c>
      <c r="D57" s="191"/>
      <c r="E57" s="94"/>
      <c r="F57" s="3"/>
      <c r="G57" s="184">
        <f>input_dollars</f>
        <v>45291</v>
      </c>
      <c r="H57" s="94"/>
      <c r="I57" s="146" cm="1">
        <f t="array" ref="I57">SUMPRODUCT((I$45:I$52)*($E$45:$E$52))+SUM(I54:I55)+I42</f>
        <v>0</v>
      </c>
      <c r="J57" s="146" cm="1">
        <f t="array" ref="J57">SUMPRODUCT((J$45:J$52)*($E$45:$E$52))+SUM(J54:J55)+J42</f>
        <v>0</v>
      </c>
      <c r="K57" s="146" cm="1">
        <f t="array" ref="K57">SUMPRODUCT((K$45:K$52)*($E$45:$E$52))+SUM(K54:K55)+K42</f>
        <v>0</v>
      </c>
      <c r="L57" s="146" cm="1">
        <f t="array" ref="L57">SUMPRODUCT((L$45:L$52)*($E$45:$E$52))+SUM(L54:L55)+L42</f>
        <v>0</v>
      </c>
      <c r="M57" s="146" cm="1">
        <f t="array" ref="M57">SUMPRODUCT((M$45:M$52)*($E$45:$E$52))+SUM(M54:M55)+M42</f>
        <v>0</v>
      </c>
      <c r="N57" s="146" cm="1">
        <f t="array" ref="N57">SUMPRODUCT((N$45:N$52)*($E$45:$E$52))+SUM(N54:N55)+N42</f>
        <v>0</v>
      </c>
      <c r="O57" s="146" cm="1">
        <f t="array" ref="O57">SUMPRODUCT((O$45:O$52)*($E$45:$E$52))+SUM(O54:O55)+O42</f>
        <v>0</v>
      </c>
      <c r="P57" s="146" cm="1">
        <f t="array" ref="P57">SUMPRODUCT((P$45:P$52)*($E$45:$E$52))+SUM(P54:P55)+P42</f>
        <v>0</v>
      </c>
      <c r="Q57" s="146" cm="1">
        <f t="array" ref="Q57">SUMPRODUCT((Q$45:Q$52)*($E$45:$E$52))+SUM(Q54:Q55)+Q42</f>
        <v>0</v>
      </c>
      <c r="R57" s="146" cm="1">
        <f t="array" ref="R57">SUMPRODUCT((R$45:R$52)*($E$45:$E$52))+SUM(R54:R55)+R42</f>
        <v>0</v>
      </c>
      <c r="S57" s="146" cm="1">
        <f t="array" ref="S57">SUMPRODUCT((S$45:S$52)*($E$45:$E$52))+SUM(S54:S55)+S42</f>
        <v>0</v>
      </c>
      <c r="T57" s="146" cm="1">
        <f t="array" ref="T57">SUMPRODUCT((T$45:T$52)*($E$45:$E$52))+SUM(T54:T55)+T42</f>
        <v>0</v>
      </c>
      <c r="U57" s="146" cm="1">
        <f t="array" ref="U57">SUMPRODUCT((U$45:U$52)*($E$45:$E$52))+SUM(U54:U55)+U42</f>
        <v>0</v>
      </c>
      <c r="V57" s="146" cm="1">
        <f t="array" ref="V57">SUMPRODUCT((V$45:V$52)*($E$45:$E$52))+SUM(V54:V55)+V42</f>
        <v>0</v>
      </c>
      <c r="W57" s="146" cm="1">
        <f t="array" ref="W57">SUMPRODUCT((W$45:W$52)*($E$45:$E$52))+SUM(W54:W55)+W42</f>
        <v>0</v>
      </c>
      <c r="X57" s="146" cm="1">
        <f t="array" ref="X57">SUMPRODUCT((X$45:X$52)*($E$45:$E$52))+SUM(X54:X55)+X42</f>
        <v>0</v>
      </c>
      <c r="Y57" s="146" cm="1">
        <f t="array" ref="Y57">SUMPRODUCT((Y$45:Y$52)*($E$45:$E$52))+SUM(Y54:Y55)+Y42</f>
        <v>0</v>
      </c>
      <c r="Z57" s="146" cm="1">
        <f t="array" ref="Z57">SUMPRODUCT((Z$45:Z$52)*($E$45:$E$52))+SUM(Z54:Z55)+Z42</f>
        <v>0</v>
      </c>
      <c r="AA57" s="146" cm="1">
        <f t="array" ref="AA57">SUMPRODUCT((AA$45:AA$52)*($E$45:$E$52))+SUM(AA54:AA55)+AA42</f>
        <v>0</v>
      </c>
      <c r="AB57" s="146" cm="1">
        <f t="array" ref="AB57">SUMPRODUCT((AB$45:AB$52)*($E$45:$E$52))+SUM(AB54:AB55)+AB42</f>
        <v>0</v>
      </c>
      <c r="AC57" s="146" cm="1">
        <f t="array" ref="AC57">SUMPRODUCT((AC$45:AC$52)*($E$45:$E$52))+SUM(AC54:AC55)+AC42</f>
        <v>0</v>
      </c>
      <c r="AD57" s="146" cm="1">
        <f t="array" ref="AD57">SUMPRODUCT((AD$45:AD$52)*($E$45:$E$52))+SUM(AD54:AD55)+AD42</f>
        <v>0</v>
      </c>
      <c r="AE57" s="146" cm="1">
        <f t="array" ref="AE57">SUMPRODUCT((AE$45:AE$52)*($E$45:$E$52))+SUM(AE54:AE55)+AE42</f>
        <v>0</v>
      </c>
      <c r="AF57" s="146" cm="1">
        <f t="array" ref="AF57">SUMPRODUCT((AF$45:AF$52)*($E$45:$E$52))+SUM(AF54:AF55)+AF42</f>
        <v>0</v>
      </c>
      <c r="AG57" s="146" cm="1">
        <f t="array" ref="AG57">SUMPRODUCT((AG$45:AG$52)*($E$45:$E$52))+SUM(AG54:AG55)+AG42</f>
        <v>0</v>
      </c>
    </row>
    <row r="58" spans="1:43" x14ac:dyDescent="0.2">
      <c r="D58" s="179"/>
      <c r="G58" s="179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2">
      <c r="G59" s="179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5" x14ac:dyDescent="0.2">
      <c r="A60" s="78" t="s">
        <v>23</v>
      </c>
      <c r="B60" s="78"/>
      <c r="C60" s="78"/>
      <c r="D60" s="78"/>
      <c r="E60" s="78"/>
      <c r="F60" s="78"/>
      <c r="G60" s="1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5" x14ac:dyDescent="0.2">
      <c r="A61" s="98"/>
      <c r="B61" s="98"/>
      <c r="C61" s="98"/>
      <c r="D61" s="98"/>
      <c r="E61" s="98"/>
      <c r="F61" s="98"/>
      <c r="G61" s="182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2">
      <c r="A62" s="98"/>
      <c r="B62" s="98"/>
      <c r="C62" s="98"/>
      <c r="D62" s="98"/>
      <c r="E62" s="98"/>
      <c r="F62"/>
      <c r="G62" s="185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2">
      <c r="C63" s="4"/>
      <c r="F63" s="2"/>
      <c r="G63" s="18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</row>
    <row r="64" spans="1:43" x14ac:dyDescent="0.2">
      <c r="C64" s="4" t="str">
        <f>'Option1 (base case)'!C64</f>
        <v>Risks mitigated vs base case</v>
      </c>
      <c r="G64" s="184">
        <f>input_dollars</f>
        <v>45291</v>
      </c>
      <c r="I64" s="111">
        <f>(1-INDEX(Data!$C$9:$C$13, MATCH($A$3, options,0)))*('Option1 (base case)'!I36-I36)</f>
        <v>0</v>
      </c>
      <c r="J64" s="111">
        <f>(1-INDEX(Data!$C$9:$C$13, MATCH($A$3, options,0)))*('Option1 (base case)'!J36-J36)</f>
        <v>0</v>
      </c>
      <c r="K64" s="111">
        <f>(1-INDEX(Data!$C$9:$C$13, MATCH($A$3, options,0)))*('Option1 (base case)'!K36-K36)</f>
        <v>977472.16539818817</v>
      </c>
      <c r="L64" s="111">
        <f>(1-INDEX(Data!$C$9:$C$13, MATCH($A$3, options,0)))*('Option1 (base case)'!L36-L36)</f>
        <v>996930.52167989523</v>
      </c>
      <c r="M64" s="111">
        <f>(1-INDEX(Data!$C$9:$C$13, MATCH($A$3, options,0)))*('Option1 (base case)'!M36-M36)</f>
        <v>1016097.802596851</v>
      </c>
      <c r="N64" s="111">
        <f>(1-INDEX(Data!$C$9:$C$13, MATCH($A$3, options,0)))*('Option1 (base case)'!N36-N36)</f>
        <v>1038630.4898538457</v>
      </c>
      <c r="O64" s="111">
        <f>(1-INDEX(Data!$C$9:$C$13, MATCH($A$3, options,0)))*('Option1 (base case)'!O36-O36)</f>
        <v>1070434.5868793004</v>
      </c>
      <c r="P64" s="111">
        <f>(1-INDEX(Data!$C$9:$C$13, MATCH($A$3, options,0)))*('Option1 (base case)'!P36-P36)</f>
        <v>1103931.8173841168</v>
      </c>
      <c r="Q64" s="111">
        <f>(1-INDEX(Data!$C$9:$C$13, MATCH($A$3, options,0)))*('Option1 (base case)'!Q36-Q36)</f>
        <v>1127190.8566794195</v>
      </c>
      <c r="R64" s="111">
        <f>(1-INDEX(Data!$C$9:$C$13, MATCH($A$3, options,0)))*('Option1 (base case)'!R36-R36)</f>
        <v>1135353.6087252037</v>
      </c>
      <c r="S64" s="111">
        <f>(1-INDEX(Data!$C$9:$C$13, MATCH($A$3, options,0)))*('Option1 (base case)'!S36-S36)</f>
        <v>1143724.8135231864</v>
      </c>
      <c r="T64" s="111">
        <f>(1-INDEX(Data!$C$9:$C$13, MATCH($A$3, options,0)))*('Option1 (base case)'!T36-T36)</f>
        <v>1152265.1229435455</v>
      </c>
      <c r="U64" s="111">
        <f>(1-INDEX(Data!$C$9:$C$13, MATCH($A$3, options,0)))*('Option1 (base case)'!U36-U36)</f>
        <v>1160944.6688711867</v>
      </c>
      <c r="V64" s="111">
        <f>(1-INDEX(Data!$C$9:$C$13, MATCH($A$3, options,0)))*('Option1 (base case)'!V36-V36)</f>
        <v>1169740.0446215612</v>
      </c>
      <c r="W64" s="111">
        <f>(1-INDEX(Data!$C$9:$C$13, MATCH($A$3, options,0)))*('Option1 (base case)'!W36-W36)</f>
        <v>1178632.5447215647</v>
      </c>
      <c r="X64" s="111">
        <f>(1-INDEX(Data!$C$9:$C$13, MATCH($A$3, options,0)))*('Option1 (base case)'!X36-X36)</f>
        <v>1187607.1065948911</v>
      </c>
      <c r="Y64" s="111">
        <f>(1-INDEX(Data!$C$9:$C$13, MATCH($A$3, options,0)))*('Option1 (base case)'!Y36-Y36)</f>
        <v>1196651.352298181</v>
      </c>
      <c r="Z64" s="111">
        <f>(1-INDEX(Data!$C$9:$C$13, MATCH($A$3, options,0)))*('Option1 (base case)'!Z36-Z36)</f>
        <v>1205754.9895534853</v>
      </c>
      <c r="AA64" s="111">
        <f>(1-INDEX(Data!$C$9:$C$13, MATCH($A$3, options,0)))*('Option1 (base case)'!AA36-AA36)</f>
        <v>1214909.3510609483</v>
      </c>
      <c r="AB64" s="111">
        <f>(1-INDEX(Data!$C$9:$C$13, MATCH($A$3, options,0)))*('Option1 (base case)'!AB36-AB36)</f>
        <v>1224107.1917158065</v>
      </c>
      <c r="AC64" s="111">
        <f>(1-INDEX(Data!$C$9:$C$13, MATCH($A$3, options,0)))*('Option1 (base case)'!AC36-AC36)</f>
        <v>1233342.2705574399</v>
      </c>
      <c r="AD64" s="111">
        <f>(1-INDEX(Data!$C$9:$C$13, MATCH($A$3, options,0)))*('Option1 (base case)'!AD36-AD36)</f>
        <v>1242609.2709888602</v>
      </c>
      <c r="AE64" s="111">
        <f>(1-INDEX(Data!$C$9:$C$13, MATCH($A$3, options,0)))*('Option1 (base case)'!AE36-AE36)</f>
        <v>1251593.7888251035</v>
      </c>
      <c r="AF64" s="111">
        <f>(1-INDEX(Data!$C$9:$C$13, MATCH($A$3, options,0)))*('Option1 (base case)'!AF36-AF36)</f>
        <v>1260603.8267452507</v>
      </c>
      <c r="AG64" s="111">
        <f>(1-INDEX(Data!$C$9:$C$13, MATCH($A$3, options,0)))*('Option1 (base case)'!AG36-AG36)</f>
        <v>1269635.8639930924</v>
      </c>
    </row>
    <row r="65" spans="1:33" x14ac:dyDescent="0.2">
      <c r="G65" s="186"/>
    </row>
    <row r="66" spans="1:33" x14ac:dyDescent="0.2">
      <c r="A66" s="6"/>
      <c r="B66" s="6"/>
      <c r="C66" s="125" t="s">
        <v>32</v>
      </c>
      <c r="D66" s="34"/>
      <c r="F66" s="84"/>
      <c r="G66" s="187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2">
      <c r="A67" s="6"/>
      <c r="B67" s="6"/>
      <c r="C67" s="4" t="str">
        <f>C14</f>
        <v>Replace 1 transformer</v>
      </c>
      <c r="D67" s="34"/>
      <c r="F67" s="84"/>
      <c r="G67" s="184">
        <f>input_dollars</f>
        <v>45291</v>
      </c>
      <c r="H67" s="28"/>
      <c r="I67" s="28">
        <f t="shared" ref="I67:AG67" si="4">-I14</f>
        <v>-5066390.3999999994</v>
      </c>
      <c r="J67" s="28">
        <f t="shared" si="4"/>
        <v>-2533195.1999999997</v>
      </c>
      <c r="K67" s="28">
        <f t="shared" si="4"/>
        <v>0</v>
      </c>
      <c r="L67" s="28">
        <f t="shared" si="4"/>
        <v>0</v>
      </c>
      <c r="M67" s="28">
        <f t="shared" si="4"/>
        <v>0</v>
      </c>
      <c r="N67" s="28">
        <f t="shared" si="4"/>
        <v>0</v>
      </c>
      <c r="O67" s="28">
        <f t="shared" si="4"/>
        <v>0</v>
      </c>
      <c r="P67" s="28">
        <f t="shared" si="4"/>
        <v>0</v>
      </c>
      <c r="Q67" s="28">
        <f t="shared" si="4"/>
        <v>0</v>
      </c>
      <c r="R67" s="28">
        <f t="shared" si="4"/>
        <v>0</v>
      </c>
      <c r="S67" s="28">
        <f t="shared" si="4"/>
        <v>0</v>
      </c>
      <c r="T67" s="28">
        <f t="shared" si="4"/>
        <v>0</v>
      </c>
      <c r="U67" s="28">
        <f t="shared" si="4"/>
        <v>0</v>
      </c>
      <c r="V67" s="28">
        <f t="shared" si="4"/>
        <v>0</v>
      </c>
      <c r="W67" s="28">
        <f t="shared" si="4"/>
        <v>0</v>
      </c>
      <c r="X67" s="28">
        <f t="shared" si="4"/>
        <v>0</v>
      </c>
      <c r="Y67" s="28">
        <f t="shared" si="4"/>
        <v>0</v>
      </c>
      <c r="Z67" s="28">
        <f t="shared" si="4"/>
        <v>0</v>
      </c>
      <c r="AA67" s="28">
        <f t="shared" si="4"/>
        <v>0</v>
      </c>
      <c r="AB67" s="28">
        <f t="shared" si="4"/>
        <v>0</v>
      </c>
      <c r="AC67" s="28">
        <f t="shared" si="4"/>
        <v>0</v>
      </c>
      <c r="AD67" s="28">
        <f t="shared" si="4"/>
        <v>0</v>
      </c>
      <c r="AE67" s="28">
        <f t="shared" si="4"/>
        <v>0</v>
      </c>
      <c r="AF67" s="28">
        <f t="shared" si="4"/>
        <v>0</v>
      </c>
      <c r="AG67" s="28">
        <f t="shared" si="4"/>
        <v>0</v>
      </c>
    </row>
    <row r="68" spans="1:33" x14ac:dyDescent="0.2">
      <c r="A68" s="6"/>
      <c r="B68" s="6"/>
      <c r="C68" s="4">
        <f>C15</f>
        <v>0</v>
      </c>
      <c r="D68" s="34"/>
      <c r="F68" s="84"/>
      <c r="G68" s="184">
        <f>input_dollars</f>
        <v>45291</v>
      </c>
      <c r="H68" s="28"/>
      <c r="I68" s="28">
        <f t="shared" ref="I68:AG68" si="5">-I15</f>
        <v>0</v>
      </c>
      <c r="J68" s="28">
        <f t="shared" si="5"/>
        <v>0</v>
      </c>
      <c r="K68" s="28">
        <f t="shared" si="5"/>
        <v>0</v>
      </c>
      <c r="L68" s="28">
        <f t="shared" si="5"/>
        <v>0</v>
      </c>
      <c r="M68" s="28">
        <f t="shared" si="5"/>
        <v>0</v>
      </c>
      <c r="N68" s="28">
        <f t="shared" si="5"/>
        <v>0</v>
      </c>
      <c r="O68" s="28">
        <f t="shared" si="5"/>
        <v>0</v>
      </c>
      <c r="P68" s="28">
        <f t="shared" si="5"/>
        <v>0</v>
      </c>
      <c r="Q68" s="28">
        <f t="shared" si="5"/>
        <v>0</v>
      </c>
      <c r="R68" s="28">
        <f t="shared" si="5"/>
        <v>0</v>
      </c>
      <c r="S68" s="28">
        <f t="shared" si="5"/>
        <v>0</v>
      </c>
      <c r="T68" s="28">
        <f t="shared" si="5"/>
        <v>0</v>
      </c>
      <c r="U68" s="28">
        <f t="shared" si="5"/>
        <v>0</v>
      </c>
      <c r="V68" s="28">
        <f t="shared" si="5"/>
        <v>0</v>
      </c>
      <c r="W68" s="28">
        <f t="shared" si="5"/>
        <v>0</v>
      </c>
      <c r="X68" s="28">
        <f t="shared" si="5"/>
        <v>0</v>
      </c>
      <c r="Y68" s="28">
        <f t="shared" si="5"/>
        <v>0</v>
      </c>
      <c r="Z68" s="28">
        <f t="shared" si="5"/>
        <v>0</v>
      </c>
      <c r="AA68" s="28">
        <f t="shared" si="5"/>
        <v>0</v>
      </c>
      <c r="AB68" s="28">
        <f t="shared" si="5"/>
        <v>0</v>
      </c>
      <c r="AC68" s="28">
        <f t="shared" si="5"/>
        <v>0</v>
      </c>
      <c r="AD68" s="28">
        <f t="shared" si="5"/>
        <v>0</v>
      </c>
      <c r="AE68" s="28">
        <f t="shared" si="5"/>
        <v>0</v>
      </c>
      <c r="AF68" s="28">
        <f t="shared" si="5"/>
        <v>0</v>
      </c>
      <c r="AG68" s="28">
        <f t="shared" si="5"/>
        <v>0</v>
      </c>
    </row>
    <row r="69" spans="1:33" x14ac:dyDescent="0.2">
      <c r="A69" s="6"/>
      <c r="B69" s="6"/>
      <c r="C69" s="4">
        <f>C16</f>
        <v>0</v>
      </c>
      <c r="D69" s="34"/>
      <c r="F69" s="84"/>
      <c r="G69" s="184">
        <f>input_dollars</f>
        <v>45291</v>
      </c>
      <c r="H69" s="28"/>
      <c r="I69" s="28">
        <f t="shared" ref="I69:AG69" si="6">-I16</f>
        <v>0</v>
      </c>
      <c r="J69" s="28">
        <f t="shared" si="6"/>
        <v>0</v>
      </c>
      <c r="K69" s="28">
        <f t="shared" si="6"/>
        <v>0</v>
      </c>
      <c r="L69" s="28">
        <f t="shared" si="6"/>
        <v>0</v>
      </c>
      <c r="M69" s="28">
        <f t="shared" si="6"/>
        <v>0</v>
      </c>
      <c r="N69" s="28">
        <f t="shared" si="6"/>
        <v>0</v>
      </c>
      <c r="O69" s="28">
        <f t="shared" si="6"/>
        <v>0</v>
      </c>
      <c r="P69" s="28">
        <f t="shared" si="6"/>
        <v>0</v>
      </c>
      <c r="Q69" s="28">
        <f t="shared" si="6"/>
        <v>0</v>
      </c>
      <c r="R69" s="28">
        <f t="shared" si="6"/>
        <v>0</v>
      </c>
      <c r="S69" s="28">
        <f t="shared" si="6"/>
        <v>0</v>
      </c>
      <c r="T69" s="28">
        <f t="shared" si="6"/>
        <v>0</v>
      </c>
      <c r="U69" s="28">
        <f t="shared" si="6"/>
        <v>0</v>
      </c>
      <c r="V69" s="28">
        <f t="shared" si="6"/>
        <v>0</v>
      </c>
      <c r="W69" s="28">
        <f t="shared" si="6"/>
        <v>0</v>
      </c>
      <c r="X69" s="28">
        <f t="shared" si="6"/>
        <v>0</v>
      </c>
      <c r="Y69" s="28">
        <f t="shared" si="6"/>
        <v>0</v>
      </c>
      <c r="Z69" s="28">
        <f t="shared" si="6"/>
        <v>0</v>
      </c>
      <c r="AA69" s="28">
        <f t="shared" si="6"/>
        <v>0</v>
      </c>
      <c r="AB69" s="28">
        <f t="shared" si="6"/>
        <v>0</v>
      </c>
      <c r="AC69" s="28">
        <f t="shared" si="6"/>
        <v>0</v>
      </c>
      <c r="AD69" s="28">
        <f t="shared" si="6"/>
        <v>0</v>
      </c>
      <c r="AE69" s="28">
        <f t="shared" si="6"/>
        <v>0</v>
      </c>
      <c r="AF69" s="28">
        <f t="shared" si="6"/>
        <v>0</v>
      </c>
      <c r="AG69" s="28">
        <f t="shared" si="6"/>
        <v>0</v>
      </c>
    </row>
    <row r="70" spans="1:33" x14ac:dyDescent="0.2">
      <c r="A70" s="6"/>
      <c r="B70" s="6"/>
      <c r="C70" s="4"/>
      <c r="D70" s="34"/>
      <c r="F70" s="84"/>
      <c r="G70" s="18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2">
      <c r="A71" s="6"/>
      <c r="B71" s="6"/>
      <c r="C71" s="125" t="s">
        <v>142</v>
      </c>
      <c r="D71" s="34"/>
      <c r="F71" s="84"/>
      <c r="G71" s="187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2">
      <c r="A72" s="6"/>
      <c r="B72" s="6"/>
      <c r="C72" s="4" t="str">
        <f>C14</f>
        <v>Replace 1 transformer</v>
      </c>
      <c r="D72" s="34"/>
      <c r="F72" s="84"/>
      <c r="G72" s="184">
        <f>input_dollars</f>
        <v>45291</v>
      </c>
      <c r="H72" s="28"/>
      <c r="I72" s="28" cm="1">
        <f t="array" ref="I72">SUMPRODUCT(($I67:I67))-SUMPRODUCT(($I67:I67)*($I$6:I$6&lt;=(I$6-$E14)))</f>
        <v>-5066390.3999999994</v>
      </c>
      <c r="J72" s="28" cm="1">
        <f t="array" ref="J72">SUMPRODUCT(($I67:J67))-SUMPRODUCT(($I67:J67)*($I$6:J$6&lt;=(J$6-$E14)))</f>
        <v>-7599585.5999999996</v>
      </c>
      <c r="K72" s="28" cm="1">
        <f t="array" ref="K72">SUMPRODUCT(($I67:K67))-SUMPRODUCT(($I67:K67)*($I$6:K$6&lt;=(K$6-$E14)))</f>
        <v>-7599585.5999999996</v>
      </c>
      <c r="L72" s="28" cm="1">
        <f t="array" ref="L72">SUMPRODUCT(($I67:L67))-SUMPRODUCT(($I67:L67)*($I$6:L$6&lt;=(L$6-$E14)))</f>
        <v>-7599585.5999999996</v>
      </c>
      <c r="M72" s="28" cm="1">
        <f t="array" ref="M72">SUMPRODUCT(($I67:M67))-SUMPRODUCT(($I67:M67)*($I$6:M$6&lt;=(M$6-$E14)))</f>
        <v>-7599585.5999999996</v>
      </c>
      <c r="N72" s="28" cm="1">
        <f t="array" ref="N72">SUMPRODUCT(($I67:N67))-SUMPRODUCT(($I67:N67)*($I$6:N$6&lt;=(N$6-$E14)))</f>
        <v>-7599585.5999999996</v>
      </c>
      <c r="O72" s="28" cm="1">
        <f t="array" ref="O72">SUMPRODUCT(($I67:O67))-SUMPRODUCT(($I67:O67)*($I$6:O$6&lt;=(O$6-$E14)))</f>
        <v>-7599585.5999999996</v>
      </c>
      <c r="P72" s="28" cm="1">
        <f t="array" ref="P72">SUMPRODUCT(($I67:P67))-SUMPRODUCT(($I67:P67)*($I$6:P$6&lt;=(P$6-$E14)))</f>
        <v>-7599585.5999999996</v>
      </c>
      <c r="Q72" s="28" cm="1">
        <f t="array" ref="Q72">SUMPRODUCT(($I67:Q67))-SUMPRODUCT(($I67:Q67)*($I$6:Q$6&lt;=(Q$6-$E14)))</f>
        <v>-7599585.5999999996</v>
      </c>
      <c r="R72" s="28" cm="1">
        <f t="array" ref="R72">SUMPRODUCT(($I67:R67))-SUMPRODUCT(($I67:R67)*($I$6:R$6&lt;=(R$6-$E14)))</f>
        <v>-7599585.5999999996</v>
      </c>
      <c r="S72" s="28" cm="1">
        <f t="array" ref="S72">SUMPRODUCT(($I67:S67))-SUMPRODUCT(($I67:S67)*($I$6:S$6&lt;=(S$6-$E14)))</f>
        <v>-7599585.5999999996</v>
      </c>
      <c r="T72" s="28" cm="1">
        <f t="array" ref="T72">SUMPRODUCT(($I67:T67))-SUMPRODUCT(($I67:T67)*($I$6:T$6&lt;=(T$6-$E14)))</f>
        <v>-7599585.5999999996</v>
      </c>
      <c r="U72" s="28" cm="1">
        <f t="array" ref="U72">SUMPRODUCT(($I67:U67))-SUMPRODUCT(($I67:U67)*($I$6:U$6&lt;=(U$6-$E14)))</f>
        <v>-7599585.5999999996</v>
      </c>
      <c r="V72" s="28" cm="1">
        <f t="array" ref="V72">SUMPRODUCT(($I67:V67))-SUMPRODUCT(($I67:V67)*($I$6:V$6&lt;=(V$6-$E14)))</f>
        <v>-7599585.5999999996</v>
      </c>
      <c r="W72" s="28" cm="1">
        <f t="array" ref="W72">SUMPRODUCT(($I67:W67))-SUMPRODUCT(($I67:W67)*($I$6:W$6&lt;=(W$6-$E14)))</f>
        <v>-7599585.5999999996</v>
      </c>
      <c r="X72" s="28" cm="1">
        <f t="array" ref="X72">SUMPRODUCT(($I67:X67))-SUMPRODUCT(($I67:X67)*($I$6:X$6&lt;=(X$6-$E14)))</f>
        <v>-7599585.5999999996</v>
      </c>
      <c r="Y72" s="28" cm="1">
        <f t="array" ref="Y72">SUMPRODUCT(($I67:Y67))-SUMPRODUCT(($I67:Y67)*($I$6:Y$6&lt;=(Y$6-$E14)))</f>
        <v>-7599585.5999999996</v>
      </c>
      <c r="Z72" s="28" cm="1">
        <f t="array" ref="Z72">SUMPRODUCT(($I67:Z67))-SUMPRODUCT(($I67:Z67)*($I$6:Z$6&lt;=(Z$6-$E14)))</f>
        <v>-7599585.5999999996</v>
      </c>
      <c r="AA72" s="28" cm="1">
        <f t="array" ref="AA72">SUMPRODUCT(($I67:AA67))-SUMPRODUCT(($I67:AA67)*($I$6:AA$6&lt;=(AA$6-$E14)))</f>
        <v>-7599585.5999999996</v>
      </c>
      <c r="AB72" s="28" cm="1">
        <f t="array" ref="AB72">SUMPRODUCT(($I67:AB67))-SUMPRODUCT(($I67:AB67)*($I$6:AB$6&lt;=(AB$6-$E14)))</f>
        <v>-7599585.5999999996</v>
      </c>
      <c r="AC72" s="28" cm="1">
        <f t="array" ref="AC72">SUMPRODUCT(($I67:AC67))-SUMPRODUCT(($I67:AC67)*($I$6:AC$6&lt;=(AC$6-$E14)))</f>
        <v>-7599585.5999999996</v>
      </c>
      <c r="AD72" s="28" cm="1">
        <f t="array" ref="AD72">SUMPRODUCT(($I67:AD67))-SUMPRODUCT(($I67:AD67)*($I$6:AD$6&lt;=(AD$6-$E14)))</f>
        <v>-7599585.5999999996</v>
      </c>
      <c r="AE72" s="28" cm="1">
        <f t="array" ref="AE72">SUMPRODUCT(($I67:AE67))-SUMPRODUCT(($I67:AE67)*($I$6:AE$6&lt;=(AE$6-$E14)))</f>
        <v>-7599585.5999999996</v>
      </c>
      <c r="AF72" s="28" cm="1">
        <f t="array" ref="AF72">SUMPRODUCT(($I67:AF67))-SUMPRODUCT(($I67:AF67)*($I$6:AF$6&lt;=(AF$6-$E14)))</f>
        <v>-7599585.5999999996</v>
      </c>
      <c r="AG72" s="28" cm="1">
        <f t="array" ref="AG72">SUMPRODUCT(($I67:AG67))-SUMPRODUCT(($I67:AG67)*($I$6:AG$6&lt;=(AG$6-$E14)))</f>
        <v>-7599585.5999999996</v>
      </c>
    </row>
    <row r="73" spans="1:33" x14ac:dyDescent="0.2">
      <c r="A73" s="6"/>
      <c r="B73" s="6"/>
      <c r="C73" s="4">
        <f>C15</f>
        <v>0</v>
      </c>
      <c r="D73" s="34"/>
      <c r="F73" s="84"/>
      <c r="G73" s="184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2">
      <c r="A74" s="6"/>
      <c r="B74" s="6"/>
      <c r="C74" s="4">
        <f>C16</f>
        <v>0</v>
      </c>
      <c r="D74" s="34"/>
      <c r="F74" s="84"/>
      <c r="G74" s="184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2">
      <c r="A75" s="6"/>
      <c r="B75" s="6"/>
      <c r="C75" s="4"/>
      <c r="D75" s="34"/>
      <c r="F75" s="84"/>
      <c r="G75" s="18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2">
      <c r="A76" s="6"/>
      <c r="B76" s="6"/>
      <c r="C76" s="125" t="s">
        <v>143</v>
      </c>
      <c r="D76" s="34"/>
      <c r="F76" s="84"/>
      <c r="G76" s="187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2">
      <c r="A77" s="6"/>
      <c r="B77" s="6"/>
      <c r="C77" s="4" t="str">
        <f>$C$76&amp;" - "&amp;C14</f>
        <v>Annualised capex - Replace 1 transformer</v>
      </c>
      <c r="D77" s="34"/>
      <c r="F77" s="84"/>
      <c r="G77" s="184">
        <f>input_dollars</f>
        <v>45291</v>
      </c>
      <c r="H77" s="28"/>
      <c r="I77" s="28">
        <f t="shared" ref="I77:AG77" si="7">IF($E14=0,0,-PMT(real_disc, $E14,H72,))</f>
        <v>0</v>
      </c>
      <c r="J77" s="28">
        <f t="shared" si="7"/>
        <v>-215999.01686434684</v>
      </c>
      <c r="K77" s="28">
        <f t="shared" si="7"/>
        <v>-323998.52529652027</v>
      </c>
      <c r="L77" s="28">
        <f t="shared" si="7"/>
        <v>-323998.52529652027</v>
      </c>
      <c r="M77" s="28">
        <f t="shared" si="7"/>
        <v>-323998.52529652027</v>
      </c>
      <c r="N77" s="28">
        <f t="shared" si="7"/>
        <v>-323998.52529652027</v>
      </c>
      <c r="O77" s="28">
        <f t="shared" si="7"/>
        <v>-323998.52529652027</v>
      </c>
      <c r="P77" s="28">
        <f t="shared" si="7"/>
        <v>-323998.52529652027</v>
      </c>
      <c r="Q77" s="28">
        <f t="shared" si="7"/>
        <v>-323998.52529652027</v>
      </c>
      <c r="R77" s="28">
        <f t="shared" si="7"/>
        <v>-323998.52529652027</v>
      </c>
      <c r="S77" s="28">
        <f t="shared" si="7"/>
        <v>-323998.52529652027</v>
      </c>
      <c r="T77" s="28">
        <f t="shared" si="7"/>
        <v>-323998.52529652027</v>
      </c>
      <c r="U77" s="28">
        <f t="shared" si="7"/>
        <v>-323998.52529652027</v>
      </c>
      <c r="V77" s="28">
        <f t="shared" si="7"/>
        <v>-323998.52529652027</v>
      </c>
      <c r="W77" s="28">
        <f t="shared" si="7"/>
        <v>-323998.52529652027</v>
      </c>
      <c r="X77" s="28">
        <f t="shared" si="7"/>
        <v>-323998.52529652027</v>
      </c>
      <c r="Y77" s="28">
        <f t="shared" si="7"/>
        <v>-323998.52529652027</v>
      </c>
      <c r="Z77" s="28">
        <f t="shared" si="7"/>
        <v>-323998.52529652027</v>
      </c>
      <c r="AA77" s="28">
        <f t="shared" si="7"/>
        <v>-323998.52529652027</v>
      </c>
      <c r="AB77" s="28">
        <f t="shared" si="7"/>
        <v>-323998.52529652027</v>
      </c>
      <c r="AC77" s="28">
        <f t="shared" si="7"/>
        <v>-323998.52529652027</v>
      </c>
      <c r="AD77" s="28">
        <f t="shared" si="7"/>
        <v>-323998.52529652027</v>
      </c>
      <c r="AE77" s="28">
        <f t="shared" si="7"/>
        <v>-323998.52529652027</v>
      </c>
      <c r="AF77" s="28">
        <f t="shared" si="7"/>
        <v>-323998.52529652027</v>
      </c>
      <c r="AG77" s="28">
        <f t="shared" si="7"/>
        <v>-323998.52529652027</v>
      </c>
    </row>
    <row r="78" spans="1:33" x14ac:dyDescent="0.2">
      <c r="A78" s="6"/>
      <c r="B78" s="6"/>
      <c r="C78" s="4" t="str">
        <f>$C$76&amp;" - "&amp;C15</f>
        <v xml:space="preserve">Annualised capex - </v>
      </c>
      <c r="D78" s="34"/>
      <c r="F78" s="84"/>
      <c r="G78" s="184">
        <f>input_dollars</f>
        <v>45291</v>
      </c>
      <c r="H78" s="28"/>
      <c r="I78" s="28">
        <f t="shared" ref="I78:AG78" si="8">IF($E15=0,0,-PMT(real_disc, $E15,H73,))</f>
        <v>0</v>
      </c>
      <c r="J78" s="28">
        <f t="shared" si="8"/>
        <v>0</v>
      </c>
      <c r="K78" s="28">
        <f t="shared" si="8"/>
        <v>0</v>
      </c>
      <c r="L78" s="28">
        <f t="shared" si="8"/>
        <v>0</v>
      </c>
      <c r="M78" s="28">
        <f t="shared" si="8"/>
        <v>0</v>
      </c>
      <c r="N78" s="28">
        <f t="shared" si="8"/>
        <v>0</v>
      </c>
      <c r="O78" s="28">
        <f t="shared" si="8"/>
        <v>0</v>
      </c>
      <c r="P78" s="28">
        <f t="shared" si="8"/>
        <v>0</v>
      </c>
      <c r="Q78" s="28">
        <f t="shared" si="8"/>
        <v>0</v>
      </c>
      <c r="R78" s="28">
        <f t="shared" si="8"/>
        <v>0</v>
      </c>
      <c r="S78" s="28">
        <f t="shared" si="8"/>
        <v>0</v>
      </c>
      <c r="T78" s="28">
        <f t="shared" si="8"/>
        <v>0</v>
      </c>
      <c r="U78" s="28">
        <f t="shared" si="8"/>
        <v>0</v>
      </c>
      <c r="V78" s="28">
        <f t="shared" si="8"/>
        <v>0</v>
      </c>
      <c r="W78" s="28">
        <f t="shared" si="8"/>
        <v>0</v>
      </c>
      <c r="X78" s="28">
        <f t="shared" si="8"/>
        <v>0</v>
      </c>
      <c r="Y78" s="28">
        <f t="shared" si="8"/>
        <v>0</v>
      </c>
      <c r="Z78" s="28">
        <f t="shared" si="8"/>
        <v>0</v>
      </c>
      <c r="AA78" s="28">
        <f t="shared" si="8"/>
        <v>0</v>
      </c>
      <c r="AB78" s="28">
        <f t="shared" si="8"/>
        <v>0</v>
      </c>
      <c r="AC78" s="28">
        <f t="shared" si="8"/>
        <v>0</v>
      </c>
      <c r="AD78" s="28">
        <f t="shared" si="8"/>
        <v>0</v>
      </c>
      <c r="AE78" s="28">
        <f t="shared" si="8"/>
        <v>0</v>
      </c>
      <c r="AF78" s="28">
        <f t="shared" si="8"/>
        <v>0</v>
      </c>
      <c r="AG78" s="28">
        <f t="shared" si="8"/>
        <v>0</v>
      </c>
    </row>
    <row r="79" spans="1:33" x14ac:dyDescent="0.2">
      <c r="A79" s="6"/>
      <c r="B79" s="6"/>
      <c r="C79" s="4" t="str">
        <f>$C$76&amp;" - "&amp;C16</f>
        <v xml:space="preserve">Annualised capex - </v>
      </c>
      <c r="D79" s="34"/>
      <c r="F79" s="84"/>
      <c r="G79" s="184">
        <f>input_dollars</f>
        <v>45291</v>
      </c>
      <c r="H79" s="28"/>
      <c r="I79" s="28">
        <f t="shared" ref="I79:AG79" si="9">IF($E16=0,0,-PMT(real_disc, $E16,H74,))</f>
        <v>0</v>
      </c>
      <c r="J79" s="28">
        <f t="shared" si="9"/>
        <v>0</v>
      </c>
      <c r="K79" s="28">
        <f t="shared" si="9"/>
        <v>0</v>
      </c>
      <c r="L79" s="28">
        <f t="shared" si="9"/>
        <v>0</v>
      </c>
      <c r="M79" s="28">
        <f t="shared" si="9"/>
        <v>0</v>
      </c>
      <c r="N79" s="28">
        <f t="shared" si="9"/>
        <v>0</v>
      </c>
      <c r="O79" s="28">
        <f t="shared" si="9"/>
        <v>0</v>
      </c>
      <c r="P79" s="28">
        <f t="shared" si="9"/>
        <v>0</v>
      </c>
      <c r="Q79" s="28">
        <f t="shared" si="9"/>
        <v>0</v>
      </c>
      <c r="R79" s="28">
        <f t="shared" si="9"/>
        <v>0</v>
      </c>
      <c r="S79" s="28">
        <f t="shared" si="9"/>
        <v>0</v>
      </c>
      <c r="T79" s="28">
        <f t="shared" si="9"/>
        <v>0</v>
      </c>
      <c r="U79" s="28">
        <f t="shared" si="9"/>
        <v>0</v>
      </c>
      <c r="V79" s="28">
        <f t="shared" si="9"/>
        <v>0</v>
      </c>
      <c r="W79" s="28">
        <f t="shared" si="9"/>
        <v>0</v>
      </c>
      <c r="X79" s="28">
        <f t="shared" si="9"/>
        <v>0</v>
      </c>
      <c r="Y79" s="28">
        <f t="shared" si="9"/>
        <v>0</v>
      </c>
      <c r="Z79" s="28">
        <f t="shared" si="9"/>
        <v>0</v>
      </c>
      <c r="AA79" s="28">
        <f t="shared" si="9"/>
        <v>0</v>
      </c>
      <c r="AB79" s="28">
        <f t="shared" si="9"/>
        <v>0</v>
      </c>
      <c r="AC79" s="28">
        <f t="shared" si="9"/>
        <v>0</v>
      </c>
      <c r="AD79" s="28">
        <f t="shared" si="9"/>
        <v>0</v>
      </c>
      <c r="AE79" s="28">
        <f t="shared" si="9"/>
        <v>0</v>
      </c>
      <c r="AF79" s="28">
        <f t="shared" si="9"/>
        <v>0</v>
      </c>
      <c r="AG79" s="28">
        <f t="shared" si="9"/>
        <v>0</v>
      </c>
    </row>
    <row r="80" spans="1:33" x14ac:dyDescent="0.2">
      <c r="A80" s="6"/>
      <c r="B80" s="6"/>
      <c r="C80" s="148" t="s">
        <v>144</v>
      </c>
      <c r="D80" s="148"/>
      <c r="E80" s="149"/>
      <c r="F80" s="150"/>
      <c r="G80" s="189">
        <f>input_dollars</f>
        <v>45291</v>
      </c>
      <c r="H80" s="151"/>
      <c r="I80" s="151">
        <f>SUM(I77:I79)</f>
        <v>0</v>
      </c>
      <c r="J80" s="151">
        <f t="shared" ref="J80:AB80" si="10">SUM(J77:J79)</f>
        <v>-215999.01686434684</v>
      </c>
      <c r="K80" s="151">
        <f t="shared" si="10"/>
        <v>-323998.52529652027</v>
      </c>
      <c r="L80" s="151">
        <f t="shared" si="10"/>
        <v>-323998.52529652027</v>
      </c>
      <c r="M80" s="151">
        <f t="shared" si="10"/>
        <v>-323998.52529652027</v>
      </c>
      <c r="N80" s="151">
        <f t="shared" si="10"/>
        <v>-323998.52529652027</v>
      </c>
      <c r="O80" s="151">
        <f t="shared" si="10"/>
        <v>-323998.52529652027</v>
      </c>
      <c r="P80" s="151">
        <f t="shared" si="10"/>
        <v>-323998.52529652027</v>
      </c>
      <c r="Q80" s="151">
        <f t="shared" si="10"/>
        <v>-323998.52529652027</v>
      </c>
      <c r="R80" s="151">
        <f t="shared" si="10"/>
        <v>-323998.52529652027</v>
      </c>
      <c r="S80" s="151">
        <f t="shared" si="10"/>
        <v>-323998.52529652027</v>
      </c>
      <c r="T80" s="151">
        <f t="shared" si="10"/>
        <v>-323998.52529652027</v>
      </c>
      <c r="U80" s="151">
        <f t="shared" si="10"/>
        <v>-323998.52529652027</v>
      </c>
      <c r="V80" s="151">
        <f t="shared" si="10"/>
        <v>-323998.52529652027</v>
      </c>
      <c r="W80" s="151">
        <f t="shared" si="10"/>
        <v>-323998.52529652027</v>
      </c>
      <c r="X80" s="151">
        <f t="shared" si="10"/>
        <v>-323998.52529652027</v>
      </c>
      <c r="Y80" s="151">
        <f t="shared" si="10"/>
        <v>-323998.52529652027</v>
      </c>
      <c r="Z80" s="151">
        <f t="shared" si="10"/>
        <v>-323998.52529652027</v>
      </c>
      <c r="AA80" s="151">
        <f t="shared" si="10"/>
        <v>-323998.52529652027</v>
      </c>
      <c r="AB80" s="151">
        <f t="shared" si="10"/>
        <v>-323998.52529652027</v>
      </c>
      <c r="AC80" s="151">
        <f>SUM(AC77:AC79)</f>
        <v>-323998.52529652027</v>
      </c>
      <c r="AD80" s="151">
        <f>SUM(AD77:AD79)</f>
        <v>-323998.52529652027</v>
      </c>
      <c r="AE80" s="151">
        <f>SUM(AE77:AE79)</f>
        <v>-323998.52529652027</v>
      </c>
      <c r="AF80" s="151">
        <f>SUM(AF77:AF79)</f>
        <v>-323998.52529652027</v>
      </c>
      <c r="AG80" s="151">
        <f>SUM(AG77:AG79)</f>
        <v>-323998.52529652027</v>
      </c>
    </row>
    <row r="81" spans="1:33" x14ac:dyDescent="0.2">
      <c r="A81" s="6"/>
      <c r="B81" s="6"/>
      <c r="C81" s="12"/>
      <c r="D81" s="34"/>
      <c r="F81"/>
      <c r="G81" s="190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2">
      <c r="A82" s="6"/>
      <c r="B82" s="6"/>
      <c r="C82" s="4" t="s">
        <v>143</v>
      </c>
      <c r="D82" s="34"/>
      <c r="F82" s="84"/>
      <c r="G82" s="184">
        <f t="shared" ref="G82:G87" si="11">input_dollars</f>
        <v>45291</v>
      </c>
      <c r="H82" s="28"/>
      <c r="I82" s="28">
        <f>I80</f>
        <v>0</v>
      </c>
      <c r="J82" s="28">
        <f t="shared" ref="J82:AB82" si="12">J80</f>
        <v>-215999.01686434684</v>
      </c>
      <c r="K82" s="28">
        <f t="shared" si="12"/>
        <v>-323998.52529652027</v>
      </c>
      <c r="L82" s="28">
        <f t="shared" si="12"/>
        <v>-323998.52529652027</v>
      </c>
      <c r="M82" s="28">
        <f t="shared" si="12"/>
        <v>-323998.52529652027</v>
      </c>
      <c r="N82" s="28">
        <f t="shared" si="12"/>
        <v>-323998.52529652027</v>
      </c>
      <c r="O82" s="28">
        <f t="shared" si="12"/>
        <v>-323998.52529652027</v>
      </c>
      <c r="P82" s="28">
        <f t="shared" si="12"/>
        <v>-323998.52529652027</v>
      </c>
      <c r="Q82" s="28">
        <f t="shared" si="12"/>
        <v>-323998.52529652027</v>
      </c>
      <c r="R82" s="28">
        <f t="shared" si="12"/>
        <v>-323998.52529652027</v>
      </c>
      <c r="S82" s="28">
        <f t="shared" si="12"/>
        <v>-323998.52529652027</v>
      </c>
      <c r="T82" s="28">
        <f t="shared" si="12"/>
        <v>-323998.52529652027</v>
      </c>
      <c r="U82" s="28">
        <f t="shared" si="12"/>
        <v>-323998.52529652027</v>
      </c>
      <c r="V82" s="28">
        <f t="shared" si="12"/>
        <v>-323998.52529652027</v>
      </c>
      <c r="W82" s="28">
        <f t="shared" si="12"/>
        <v>-323998.52529652027</v>
      </c>
      <c r="X82" s="28">
        <f t="shared" si="12"/>
        <v>-323998.52529652027</v>
      </c>
      <c r="Y82" s="28">
        <f t="shared" si="12"/>
        <v>-323998.52529652027</v>
      </c>
      <c r="Z82" s="28">
        <f t="shared" si="12"/>
        <v>-323998.52529652027</v>
      </c>
      <c r="AA82" s="28">
        <f t="shared" si="12"/>
        <v>-323998.52529652027</v>
      </c>
      <c r="AB82" s="28">
        <f t="shared" si="12"/>
        <v>-323998.52529652027</v>
      </c>
      <c r="AC82" s="28">
        <f>AC80</f>
        <v>-323998.52529652027</v>
      </c>
      <c r="AD82" s="28">
        <f>AD80</f>
        <v>-323998.52529652027</v>
      </c>
      <c r="AE82" s="28">
        <f>AE80</f>
        <v>-323998.52529652027</v>
      </c>
      <c r="AF82" s="28">
        <f>AF80</f>
        <v>-323998.52529652027</v>
      </c>
      <c r="AG82" s="28">
        <f>AG80</f>
        <v>-323998.52529652027</v>
      </c>
    </row>
    <row r="83" spans="1:33" x14ac:dyDescent="0.2">
      <c r="A83" s="6"/>
      <c r="B83" s="6"/>
      <c r="C83" s="4" t="s">
        <v>33</v>
      </c>
      <c r="D83" s="34"/>
      <c r="F83" s="84"/>
      <c r="G83" s="184">
        <f t="shared" si="11"/>
        <v>45291</v>
      </c>
      <c r="H83" s="28"/>
      <c r="I83" s="28">
        <f t="shared" ref="I83:AG83" si="13">-I19</f>
        <v>0</v>
      </c>
      <c r="J83" s="28">
        <f t="shared" si="13"/>
        <v>0</v>
      </c>
      <c r="K83" s="28">
        <f t="shared" si="13"/>
        <v>0</v>
      </c>
      <c r="L83" s="28">
        <f t="shared" si="13"/>
        <v>0</v>
      </c>
      <c r="M83" s="28">
        <f t="shared" si="13"/>
        <v>0</v>
      </c>
      <c r="N83" s="28">
        <f t="shared" si="13"/>
        <v>0</v>
      </c>
      <c r="O83" s="28">
        <f t="shared" si="13"/>
        <v>0</v>
      </c>
      <c r="P83" s="28">
        <f t="shared" si="13"/>
        <v>0</v>
      </c>
      <c r="Q83" s="28">
        <f t="shared" si="13"/>
        <v>0</v>
      </c>
      <c r="R83" s="28">
        <f t="shared" si="13"/>
        <v>0</v>
      </c>
      <c r="S83" s="28">
        <f t="shared" si="13"/>
        <v>0</v>
      </c>
      <c r="T83" s="28">
        <f t="shared" si="13"/>
        <v>0</v>
      </c>
      <c r="U83" s="28">
        <f t="shared" si="13"/>
        <v>0</v>
      </c>
      <c r="V83" s="28">
        <f t="shared" si="13"/>
        <v>0</v>
      </c>
      <c r="W83" s="28">
        <f t="shared" si="13"/>
        <v>0</v>
      </c>
      <c r="X83" s="28">
        <f t="shared" si="13"/>
        <v>0</v>
      </c>
      <c r="Y83" s="28">
        <f t="shared" si="13"/>
        <v>0</v>
      </c>
      <c r="Z83" s="28">
        <f t="shared" si="13"/>
        <v>0</v>
      </c>
      <c r="AA83" s="28">
        <f t="shared" si="13"/>
        <v>0</v>
      </c>
      <c r="AB83" s="28">
        <f t="shared" si="13"/>
        <v>0</v>
      </c>
      <c r="AC83" s="28">
        <f t="shared" si="13"/>
        <v>0</v>
      </c>
      <c r="AD83" s="28">
        <f t="shared" si="13"/>
        <v>0</v>
      </c>
      <c r="AE83" s="28">
        <f t="shared" si="13"/>
        <v>0</v>
      </c>
      <c r="AF83" s="28">
        <f t="shared" si="13"/>
        <v>0</v>
      </c>
      <c r="AG83" s="28">
        <f t="shared" si="13"/>
        <v>0</v>
      </c>
    </row>
    <row r="84" spans="1:33" x14ac:dyDescent="0.2">
      <c r="A84" s="6"/>
      <c r="B84" s="6"/>
      <c r="C84" s="4" t="s">
        <v>145</v>
      </c>
      <c r="D84" s="34"/>
      <c r="F84" s="84"/>
      <c r="G84" s="184">
        <f t="shared" si="11"/>
        <v>45291</v>
      </c>
      <c r="H84" s="28"/>
      <c r="I84" s="28">
        <f>I64</f>
        <v>0</v>
      </c>
      <c r="J84" s="28">
        <f t="shared" ref="J84:AB84" si="14">J64</f>
        <v>0</v>
      </c>
      <c r="K84" s="28">
        <f t="shared" si="14"/>
        <v>977472.16539818817</v>
      </c>
      <c r="L84" s="28">
        <f t="shared" si="14"/>
        <v>996930.52167989523</v>
      </c>
      <c r="M84" s="28">
        <f t="shared" si="14"/>
        <v>1016097.802596851</v>
      </c>
      <c r="N84" s="28">
        <f t="shared" si="14"/>
        <v>1038630.4898538457</v>
      </c>
      <c r="O84" s="28">
        <f t="shared" si="14"/>
        <v>1070434.5868793004</v>
      </c>
      <c r="P84" s="28">
        <f t="shared" si="14"/>
        <v>1103931.8173841168</v>
      </c>
      <c r="Q84" s="28">
        <f t="shared" si="14"/>
        <v>1127190.8566794195</v>
      </c>
      <c r="R84" s="28">
        <f t="shared" si="14"/>
        <v>1135353.6087252037</v>
      </c>
      <c r="S84" s="28">
        <f t="shared" si="14"/>
        <v>1143724.8135231864</v>
      </c>
      <c r="T84" s="28">
        <f t="shared" si="14"/>
        <v>1152265.1229435455</v>
      </c>
      <c r="U84" s="28">
        <f t="shared" si="14"/>
        <v>1160944.6688711867</v>
      </c>
      <c r="V84" s="28">
        <f t="shared" si="14"/>
        <v>1169740.0446215612</v>
      </c>
      <c r="W84" s="28">
        <f t="shared" si="14"/>
        <v>1178632.5447215647</v>
      </c>
      <c r="X84" s="28">
        <f t="shared" si="14"/>
        <v>1187607.1065948911</v>
      </c>
      <c r="Y84" s="28">
        <f t="shared" si="14"/>
        <v>1196651.352298181</v>
      </c>
      <c r="Z84" s="28">
        <f t="shared" si="14"/>
        <v>1205754.9895534853</v>
      </c>
      <c r="AA84" s="28">
        <f t="shared" si="14"/>
        <v>1214909.3510609483</v>
      </c>
      <c r="AB84" s="28">
        <f t="shared" si="14"/>
        <v>1224107.1917158065</v>
      </c>
      <c r="AC84" s="28">
        <f>AC64</f>
        <v>1233342.2705574399</v>
      </c>
      <c r="AD84" s="28">
        <f>AD64</f>
        <v>1242609.2709888602</v>
      </c>
      <c r="AE84" s="28">
        <f>AE64</f>
        <v>1251593.7888251035</v>
      </c>
      <c r="AF84" s="28">
        <f>AF64</f>
        <v>1260603.8267452507</v>
      </c>
      <c r="AG84" s="28">
        <f>AG64</f>
        <v>1269635.8639930924</v>
      </c>
    </row>
    <row r="85" spans="1:33" x14ac:dyDescent="0.2">
      <c r="A85" s="6"/>
      <c r="B85" s="6"/>
      <c r="C85" s="4" t="s">
        <v>146</v>
      </c>
      <c r="D85" s="34"/>
      <c r="F85" s="84"/>
      <c r="G85" s="184">
        <f t="shared" si="11"/>
        <v>45291</v>
      </c>
      <c r="H85" s="28"/>
      <c r="I85" s="28">
        <f t="shared" ref="I85:AG85" si="15">I57</f>
        <v>0</v>
      </c>
      <c r="J85" s="28">
        <f t="shared" si="15"/>
        <v>0</v>
      </c>
      <c r="K85" s="28">
        <f t="shared" si="15"/>
        <v>0</v>
      </c>
      <c r="L85" s="28">
        <f t="shared" si="15"/>
        <v>0</v>
      </c>
      <c r="M85" s="28">
        <f t="shared" si="15"/>
        <v>0</v>
      </c>
      <c r="N85" s="28">
        <f t="shared" si="15"/>
        <v>0</v>
      </c>
      <c r="O85" s="28">
        <f t="shared" si="15"/>
        <v>0</v>
      </c>
      <c r="P85" s="28">
        <f t="shared" si="15"/>
        <v>0</v>
      </c>
      <c r="Q85" s="28">
        <f t="shared" si="15"/>
        <v>0</v>
      </c>
      <c r="R85" s="28">
        <f t="shared" si="15"/>
        <v>0</v>
      </c>
      <c r="S85" s="28">
        <f t="shared" si="15"/>
        <v>0</v>
      </c>
      <c r="T85" s="28">
        <f t="shared" si="15"/>
        <v>0</v>
      </c>
      <c r="U85" s="28">
        <f t="shared" si="15"/>
        <v>0</v>
      </c>
      <c r="V85" s="28">
        <f t="shared" si="15"/>
        <v>0</v>
      </c>
      <c r="W85" s="28">
        <f t="shared" si="15"/>
        <v>0</v>
      </c>
      <c r="X85" s="28">
        <f t="shared" si="15"/>
        <v>0</v>
      </c>
      <c r="Y85" s="28">
        <f t="shared" si="15"/>
        <v>0</v>
      </c>
      <c r="Z85" s="28">
        <f t="shared" si="15"/>
        <v>0</v>
      </c>
      <c r="AA85" s="28">
        <f t="shared" si="15"/>
        <v>0</v>
      </c>
      <c r="AB85" s="28">
        <f t="shared" si="15"/>
        <v>0</v>
      </c>
      <c r="AC85" s="28">
        <f t="shared" si="15"/>
        <v>0</v>
      </c>
      <c r="AD85" s="28">
        <f t="shared" si="15"/>
        <v>0</v>
      </c>
      <c r="AE85" s="28">
        <f t="shared" si="15"/>
        <v>0</v>
      </c>
      <c r="AF85" s="28">
        <f t="shared" si="15"/>
        <v>0</v>
      </c>
      <c r="AG85" s="28">
        <f t="shared" si="15"/>
        <v>0</v>
      </c>
    </row>
    <row r="86" spans="1:33" x14ac:dyDescent="0.2">
      <c r="A86" s="6"/>
      <c r="B86" s="6"/>
      <c r="C86" s="4"/>
      <c r="D86" s="34"/>
      <c r="F86" s="28"/>
      <c r="G86" s="184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2">
      <c r="A87" s="6"/>
      <c r="B87" s="6"/>
      <c r="C87" s="152" t="s">
        <v>147</v>
      </c>
      <c r="D87" s="153"/>
      <c r="E87" s="149"/>
      <c r="F87" s="154"/>
      <c r="G87" s="189">
        <f t="shared" si="11"/>
        <v>45291</v>
      </c>
      <c r="H87" s="154"/>
      <c r="I87" s="154">
        <f t="shared" ref="I87:AB87" si="16">SUM(I82:I86)</f>
        <v>0</v>
      </c>
      <c r="J87" s="154">
        <f t="shared" si="16"/>
        <v>-215999.01686434684</v>
      </c>
      <c r="K87" s="154">
        <f t="shared" si="16"/>
        <v>653473.64010166796</v>
      </c>
      <c r="L87" s="154">
        <f t="shared" si="16"/>
        <v>672931.99638337502</v>
      </c>
      <c r="M87" s="154">
        <f t="shared" si="16"/>
        <v>692099.27730033081</v>
      </c>
      <c r="N87" s="154">
        <f t="shared" si="16"/>
        <v>714631.96455732547</v>
      </c>
      <c r="O87" s="154">
        <f t="shared" si="16"/>
        <v>746436.06158278021</v>
      </c>
      <c r="P87" s="154">
        <f t="shared" si="16"/>
        <v>779933.29208759661</v>
      </c>
      <c r="Q87" s="154">
        <f t="shared" si="16"/>
        <v>803192.33138289931</v>
      </c>
      <c r="R87" s="154">
        <f t="shared" si="16"/>
        <v>811355.08342868346</v>
      </c>
      <c r="S87" s="154">
        <f t="shared" si="16"/>
        <v>819726.28822666616</v>
      </c>
      <c r="T87" s="154">
        <f t="shared" si="16"/>
        <v>828266.59764702525</v>
      </c>
      <c r="U87" s="154">
        <f t="shared" si="16"/>
        <v>836946.14357466646</v>
      </c>
      <c r="V87" s="154">
        <f t="shared" si="16"/>
        <v>845741.51932504098</v>
      </c>
      <c r="W87" s="154">
        <f t="shared" si="16"/>
        <v>854634.01942504453</v>
      </c>
      <c r="X87" s="154">
        <f t="shared" si="16"/>
        <v>863608.58129837085</v>
      </c>
      <c r="Y87" s="154">
        <f t="shared" si="16"/>
        <v>872652.82700166083</v>
      </c>
      <c r="Z87" s="154">
        <f t="shared" si="16"/>
        <v>881756.46425696509</v>
      </c>
      <c r="AA87" s="154">
        <f t="shared" si="16"/>
        <v>890910.82576442813</v>
      </c>
      <c r="AB87" s="154">
        <f t="shared" si="16"/>
        <v>900108.66641928628</v>
      </c>
      <c r="AC87" s="154">
        <f>SUM(AC82:AC86)</f>
        <v>909343.74526091968</v>
      </c>
      <c r="AD87" s="154">
        <f>SUM(AD82:AD86)</f>
        <v>918610.74569233996</v>
      </c>
      <c r="AE87" s="154">
        <f>SUM(AE82:AE86)</f>
        <v>927595.26352858334</v>
      </c>
      <c r="AF87" s="154">
        <f>SUM(AF82:AF86)</f>
        <v>936605.30144873052</v>
      </c>
      <c r="AG87" s="154">
        <f>SUM(AG82:AG86)</f>
        <v>945637.33869657223</v>
      </c>
    </row>
    <row r="88" spans="1:33" x14ac:dyDescent="0.2">
      <c r="A88" s="6"/>
      <c r="B88" s="6"/>
      <c r="C88" s="12"/>
      <c r="D88" s="34"/>
      <c r="F88" s="119"/>
      <c r="G88" s="184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</row>
    <row r="89" spans="1:33" x14ac:dyDescent="0.2">
      <c r="A89" s="6"/>
      <c r="B89" s="6"/>
      <c r="C89" s="12"/>
      <c r="D89" s="34"/>
      <c r="F89" s="119"/>
      <c r="G89" s="184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</row>
    <row r="90" spans="1:33" x14ac:dyDescent="0.2">
      <c r="A90" s="6"/>
      <c r="B90" s="6"/>
      <c r="C90" s="203" t="s">
        <v>152</v>
      </c>
      <c r="D90" s="72"/>
      <c r="E90" s="204"/>
      <c r="F90" s="205"/>
      <c r="G90" s="206" cm="1">
        <f t="array" ref="G90">IF(SUM($I17:$AG17)=0,0,(INDEX(I$6:AG$6,MATCH(TRUE,INDEX($I17:$AG17&lt;&gt;0,),0))))</f>
        <v>1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2">
      <c r="A91" s="6"/>
      <c r="B91" s="6"/>
      <c r="C91" s="72"/>
      <c r="D91" s="207"/>
      <c r="E91" s="204"/>
      <c r="F91" s="205"/>
      <c r="G91" s="206"/>
      <c r="H91" s="30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92"/>
      <c r="W91" s="92"/>
      <c r="X91" s="92"/>
      <c r="Y91" s="92"/>
      <c r="Z91" s="92"/>
      <c r="AA91" s="92"/>
      <c r="AB91" s="92"/>
      <c r="AC91" s="92"/>
      <c r="AD91" s="92"/>
      <c r="AE91" s="92"/>
      <c r="AF91" s="92"/>
      <c r="AG91" s="92"/>
    </row>
    <row r="92" spans="1:33" x14ac:dyDescent="0.2">
      <c r="C92" s="208" t="s">
        <v>153</v>
      </c>
      <c r="D92" s="209"/>
      <c r="E92" s="209"/>
      <c r="F92" s="209"/>
      <c r="G92" s="210">
        <f>IF(_xlfn.MINIFS($G$90:$G$91, $G$90:$G$91, "&gt;"&amp;0)=0, $A$4, _xlfn.MINIFS($G$90:$G$91, $G$90:$G$91, "&gt;"&amp;0))</f>
        <v>1</v>
      </c>
    </row>
    <row r="94" spans="1:33" x14ac:dyDescent="0.2">
      <c r="G94" s="10"/>
      <c r="I94" s="218"/>
      <c r="J94" s="218"/>
      <c r="K94" s="218"/>
      <c r="L94" s="218"/>
      <c r="M94" s="218"/>
      <c r="N94" s="218"/>
      <c r="O94" s="218"/>
      <c r="P94" s="218"/>
      <c r="Q94" s="218"/>
      <c r="R94" s="218"/>
      <c r="S94" s="218"/>
      <c r="T94" s="218"/>
      <c r="U94" s="218"/>
      <c r="V94" s="218"/>
      <c r="W94" s="218"/>
      <c r="X94" s="218"/>
      <c r="Y94" s="28"/>
      <c r="Z94" s="28"/>
      <c r="AA94" s="28"/>
      <c r="AB94" s="28"/>
      <c r="AC94" s="28"/>
      <c r="AD94" s="28"/>
      <c r="AE94" s="28"/>
      <c r="AF94" s="28"/>
      <c r="AG94" s="28"/>
    </row>
    <row r="95" spans="1:33" x14ac:dyDescent="0.2">
      <c r="I95" s="213"/>
      <c r="J95" s="213"/>
      <c r="K95" s="213"/>
      <c r="L95" s="213"/>
      <c r="M95" s="213"/>
      <c r="N95" s="213"/>
      <c r="O95" s="213"/>
      <c r="P95" s="213"/>
      <c r="Q95" s="213"/>
      <c r="R95" s="213"/>
      <c r="S95" s="213"/>
      <c r="T95" s="213"/>
      <c r="U95" s="213"/>
      <c r="V95" s="213"/>
      <c r="W95" s="213"/>
      <c r="X95" s="213"/>
      <c r="Y95" s="213"/>
      <c r="Z95" s="213"/>
    </row>
    <row r="96" spans="1:33" x14ac:dyDescent="0.2">
      <c r="I96" s="213"/>
      <c r="J96" s="213"/>
      <c r="K96" s="213"/>
      <c r="L96" s="213"/>
      <c r="M96" s="213"/>
      <c r="N96" s="213"/>
      <c r="O96" s="213"/>
      <c r="P96" s="213"/>
      <c r="Q96" s="213"/>
      <c r="R96" s="213"/>
      <c r="S96" s="213"/>
      <c r="T96" s="213"/>
      <c r="U96" s="213"/>
      <c r="V96" s="213"/>
      <c r="W96" s="213"/>
      <c r="X96" s="213"/>
      <c r="Y96" s="213"/>
      <c r="Z96" s="213"/>
    </row>
    <row r="97" spans="1:43" x14ac:dyDescent="0.2"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</row>
    <row r="98" spans="1:43" x14ac:dyDescent="0.2"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</row>
    <row r="99" spans="1:43" x14ac:dyDescent="0.2"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</row>
    <row r="100" spans="1:43" x14ac:dyDescent="0.2">
      <c r="I100" s="213"/>
      <c r="J100" s="213"/>
      <c r="K100" s="213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3"/>
    </row>
    <row r="101" spans="1:43" x14ac:dyDescent="0.2">
      <c r="I101" s="213"/>
      <c r="J101" s="213"/>
      <c r="K101" s="213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3"/>
    </row>
    <row r="102" spans="1:43" ht="15" x14ac:dyDescent="0.2">
      <c r="A102" s="78" t="s">
        <v>36</v>
      </c>
      <c r="B102" s="78"/>
      <c r="C102" s="78"/>
      <c r="D102" s="78"/>
      <c r="E102" s="78"/>
      <c r="F102" s="78"/>
      <c r="G102" s="1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2">
      <c r="I104" s="213"/>
      <c r="J104" s="213"/>
      <c r="K104" s="213"/>
      <c r="L104" s="213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</row>
    <row r="105" spans="1:43" x14ac:dyDescent="0.2">
      <c r="D105"/>
      <c r="E105"/>
      <c r="F105"/>
      <c r="G105"/>
      <c r="I105" s="213"/>
      <c r="J105" s="213"/>
      <c r="K105" s="213"/>
      <c r="L105" s="213"/>
      <c r="M105" s="213"/>
      <c r="N105" s="213"/>
      <c r="O105" s="213"/>
      <c r="P105" s="213"/>
      <c r="Q105" s="213"/>
      <c r="R105" s="213"/>
      <c r="S105" s="213"/>
      <c r="T105" s="213"/>
      <c r="U105" s="213"/>
      <c r="V105" s="213"/>
      <c r="W105" s="213"/>
      <c r="X105" s="213"/>
      <c r="Y105" s="213"/>
      <c r="Z105" s="213"/>
    </row>
    <row r="106" spans="1:43" x14ac:dyDescent="0.2">
      <c r="A106" s="1" t="s">
        <v>22</v>
      </c>
      <c r="C106" s="1" t="s">
        <v>147</v>
      </c>
      <c r="D106"/>
      <c r="E106"/>
      <c r="F106"/>
      <c r="G106" s="34" t="str">
        <f>PROPER($A$3)&amp;A106</f>
        <v>Option 2NPV</v>
      </c>
      <c r="I106" s="28">
        <f>I87</f>
        <v>0</v>
      </c>
      <c r="J106" s="28">
        <f t="shared" ref="J106:AG106" si="17">J87</f>
        <v>-215999.01686434684</v>
      </c>
      <c r="K106" s="28">
        <f t="shared" si="17"/>
        <v>653473.64010166796</v>
      </c>
      <c r="L106" s="28">
        <f t="shared" si="17"/>
        <v>672931.99638337502</v>
      </c>
      <c r="M106" s="28">
        <f t="shared" si="17"/>
        <v>692099.27730033081</v>
      </c>
      <c r="N106" s="28">
        <f t="shared" si="17"/>
        <v>714631.96455732547</v>
      </c>
      <c r="O106" s="28">
        <f t="shared" si="17"/>
        <v>746436.06158278021</v>
      </c>
      <c r="P106" s="28">
        <f t="shared" si="17"/>
        <v>779933.29208759661</v>
      </c>
      <c r="Q106" s="28">
        <f t="shared" si="17"/>
        <v>803192.33138289931</v>
      </c>
      <c r="R106" s="28">
        <f t="shared" si="17"/>
        <v>811355.08342868346</v>
      </c>
      <c r="S106" s="28">
        <f t="shared" si="17"/>
        <v>819726.28822666616</v>
      </c>
      <c r="T106" s="28">
        <f t="shared" si="17"/>
        <v>828266.59764702525</v>
      </c>
      <c r="U106" s="28">
        <f t="shared" si="17"/>
        <v>836946.14357466646</v>
      </c>
      <c r="V106" s="28">
        <f t="shared" si="17"/>
        <v>845741.51932504098</v>
      </c>
      <c r="W106" s="28">
        <f t="shared" si="17"/>
        <v>854634.01942504453</v>
      </c>
      <c r="X106" s="28">
        <f t="shared" si="17"/>
        <v>863608.58129837085</v>
      </c>
      <c r="Y106" s="28">
        <f t="shared" si="17"/>
        <v>872652.82700166083</v>
      </c>
      <c r="Z106" s="28">
        <f t="shared" si="17"/>
        <v>881756.46425696509</v>
      </c>
      <c r="AA106" s="28">
        <f t="shared" si="17"/>
        <v>890910.82576442813</v>
      </c>
      <c r="AB106" s="28">
        <f t="shared" si="17"/>
        <v>900108.66641928628</v>
      </c>
      <c r="AC106" s="28">
        <f t="shared" si="17"/>
        <v>909343.74526091968</v>
      </c>
      <c r="AD106" s="28">
        <f t="shared" si="17"/>
        <v>918610.74569233996</v>
      </c>
      <c r="AE106" s="28">
        <f t="shared" si="17"/>
        <v>927595.26352858334</v>
      </c>
      <c r="AF106" s="28">
        <f t="shared" si="17"/>
        <v>936605.30144873052</v>
      </c>
      <c r="AG106" s="28">
        <f t="shared" si="17"/>
        <v>945637.33869657223</v>
      </c>
    </row>
    <row r="107" spans="1:43" x14ac:dyDescent="0.2">
      <c r="C107" s="1" t="s">
        <v>144</v>
      </c>
      <c r="D107"/>
      <c r="E107"/>
      <c r="F107"/>
      <c r="G107"/>
      <c r="I107" s="28">
        <f>I82</f>
        <v>0</v>
      </c>
      <c r="J107" s="28">
        <f t="shared" ref="J107:AG107" si="18">J82</f>
        <v>-215999.01686434684</v>
      </c>
      <c r="K107" s="28">
        <f t="shared" si="18"/>
        <v>-323998.52529652027</v>
      </c>
      <c r="L107" s="28">
        <f t="shared" si="18"/>
        <v>-323998.52529652027</v>
      </c>
      <c r="M107" s="28">
        <f t="shared" si="18"/>
        <v>-323998.52529652027</v>
      </c>
      <c r="N107" s="28">
        <f t="shared" si="18"/>
        <v>-323998.52529652027</v>
      </c>
      <c r="O107" s="28">
        <f t="shared" si="18"/>
        <v>-323998.52529652027</v>
      </c>
      <c r="P107" s="28">
        <f t="shared" si="18"/>
        <v>-323998.52529652027</v>
      </c>
      <c r="Q107" s="28">
        <f t="shared" si="18"/>
        <v>-323998.52529652027</v>
      </c>
      <c r="R107" s="28">
        <f t="shared" si="18"/>
        <v>-323998.52529652027</v>
      </c>
      <c r="S107" s="28">
        <f t="shared" si="18"/>
        <v>-323998.52529652027</v>
      </c>
      <c r="T107" s="28">
        <f t="shared" si="18"/>
        <v>-323998.52529652027</v>
      </c>
      <c r="U107" s="28">
        <f t="shared" si="18"/>
        <v>-323998.52529652027</v>
      </c>
      <c r="V107" s="28">
        <f t="shared" si="18"/>
        <v>-323998.52529652027</v>
      </c>
      <c r="W107" s="28">
        <f t="shared" si="18"/>
        <v>-323998.52529652027</v>
      </c>
      <c r="X107" s="28">
        <f t="shared" si="18"/>
        <v>-323998.52529652027</v>
      </c>
      <c r="Y107" s="28">
        <f t="shared" si="18"/>
        <v>-323998.52529652027</v>
      </c>
      <c r="Z107" s="28">
        <f t="shared" si="18"/>
        <v>-323998.52529652027</v>
      </c>
      <c r="AA107" s="28">
        <f t="shared" si="18"/>
        <v>-323998.52529652027</v>
      </c>
      <c r="AB107" s="28">
        <f t="shared" si="18"/>
        <v>-323998.52529652027</v>
      </c>
      <c r="AC107" s="28">
        <f t="shared" si="18"/>
        <v>-323998.52529652027</v>
      </c>
      <c r="AD107" s="28">
        <f t="shared" si="18"/>
        <v>-323998.52529652027</v>
      </c>
      <c r="AE107" s="28">
        <f t="shared" si="18"/>
        <v>-323998.52529652027</v>
      </c>
      <c r="AF107" s="28">
        <f t="shared" si="18"/>
        <v>-323998.52529652027</v>
      </c>
      <c r="AG107" s="28">
        <f t="shared" si="18"/>
        <v>-323998.52529652027</v>
      </c>
    </row>
    <row r="108" spans="1:43" x14ac:dyDescent="0.2">
      <c r="C108" s="1" t="s">
        <v>104</v>
      </c>
      <c r="D108" s="221"/>
      <c r="E108" s="34"/>
      <c r="I108" s="28">
        <f>SUM(I84:I85)</f>
        <v>0</v>
      </c>
      <c r="J108" s="28">
        <f t="shared" ref="J108:AG108" si="19">SUM(J84:J85)</f>
        <v>0</v>
      </c>
      <c r="K108" s="28">
        <f t="shared" si="19"/>
        <v>977472.16539818817</v>
      </c>
      <c r="L108" s="28">
        <f t="shared" si="19"/>
        <v>996930.52167989523</v>
      </c>
      <c r="M108" s="28">
        <f t="shared" si="19"/>
        <v>1016097.802596851</v>
      </c>
      <c r="N108" s="28">
        <f t="shared" si="19"/>
        <v>1038630.4898538457</v>
      </c>
      <c r="O108" s="28">
        <f t="shared" si="19"/>
        <v>1070434.5868793004</v>
      </c>
      <c r="P108" s="28">
        <f t="shared" si="19"/>
        <v>1103931.8173841168</v>
      </c>
      <c r="Q108" s="28">
        <f t="shared" si="19"/>
        <v>1127190.8566794195</v>
      </c>
      <c r="R108" s="28">
        <f t="shared" si="19"/>
        <v>1135353.6087252037</v>
      </c>
      <c r="S108" s="28">
        <f t="shared" si="19"/>
        <v>1143724.8135231864</v>
      </c>
      <c r="T108" s="28">
        <f t="shared" si="19"/>
        <v>1152265.1229435455</v>
      </c>
      <c r="U108" s="28">
        <f t="shared" si="19"/>
        <v>1160944.6688711867</v>
      </c>
      <c r="V108" s="28">
        <f t="shared" si="19"/>
        <v>1169740.0446215612</v>
      </c>
      <c r="W108" s="28">
        <f t="shared" si="19"/>
        <v>1178632.5447215647</v>
      </c>
      <c r="X108" s="28">
        <f t="shared" si="19"/>
        <v>1187607.1065948911</v>
      </c>
      <c r="Y108" s="28">
        <f t="shared" si="19"/>
        <v>1196651.352298181</v>
      </c>
      <c r="Z108" s="28">
        <f t="shared" si="19"/>
        <v>1205754.9895534853</v>
      </c>
      <c r="AA108" s="28">
        <f t="shared" si="19"/>
        <v>1214909.3510609483</v>
      </c>
      <c r="AB108" s="28">
        <f t="shared" si="19"/>
        <v>1224107.1917158065</v>
      </c>
      <c r="AC108" s="28">
        <f t="shared" si="19"/>
        <v>1233342.2705574399</v>
      </c>
      <c r="AD108" s="28">
        <f t="shared" si="19"/>
        <v>1242609.2709888602</v>
      </c>
      <c r="AE108" s="28">
        <f t="shared" si="19"/>
        <v>1251593.7888251035</v>
      </c>
      <c r="AF108" s="28">
        <f t="shared" si="19"/>
        <v>1260603.8267452507</v>
      </c>
      <c r="AG108" s="28">
        <f t="shared" si="19"/>
        <v>1269635.8639930924</v>
      </c>
    </row>
    <row r="109" spans="1:43" x14ac:dyDescent="0.2">
      <c r="D109" s="253" t="str">
        <f>Assumptions!G110</f>
        <v>Capex</v>
      </c>
      <c r="E109" s="253" t="str">
        <f>Assumptions!H110</f>
        <v>Total benefits</v>
      </c>
      <c r="I109" s="213"/>
      <c r="J109" s="213"/>
      <c r="K109" s="213"/>
      <c r="L109" s="213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</row>
    <row r="110" spans="1:43" x14ac:dyDescent="0.2">
      <c r="A110" s="1" t="str">
        <f>"sens"&amp;Assumptions!B111</f>
        <v>sens1</v>
      </c>
      <c r="C110" s="252" t="str">
        <f>Assumptions!C111</f>
        <v>Capex 10% higher</v>
      </c>
      <c r="D110" s="253">
        <f>Assumptions!G111</f>
        <v>0.1</v>
      </c>
      <c r="E110" s="253">
        <f>Assumptions!H111</f>
        <v>0</v>
      </c>
      <c r="G110" s="34" t="str">
        <f>PROPER($A$3)&amp;A110</f>
        <v>Option 2sens1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-237598.91855078153</v>
      </c>
      <c r="K110" s="28" cm="1">
        <f t="array" ref="K110">K$106+IF($C110&lt;&gt;0,SUMPRODUCT((K$107:K$108)*TRANSPOSE(($D110:$E110))),0)</f>
        <v>621073.78757201589</v>
      </c>
      <c r="L110" s="28" cm="1">
        <f t="array" ref="L110">L$106+IF($C110&lt;&gt;0,SUMPRODUCT((L$107:L$108)*TRANSPOSE(($D110:$E110))),0)</f>
        <v>640532.14385372296</v>
      </c>
      <c r="M110" s="28" cm="1">
        <f t="array" ref="M110">M$106+IF($C110&lt;&gt;0,SUMPRODUCT((M$107:M$108)*TRANSPOSE(($D110:$E110))),0)</f>
        <v>659699.42477067874</v>
      </c>
      <c r="N110" s="28" cm="1">
        <f t="array" ref="N110">N$106+IF($C110&lt;&gt;0,SUMPRODUCT((N$107:N$108)*TRANSPOSE(($D110:$E110))),0)</f>
        <v>682232.1120276734</v>
      </c>
      <c r="O110" s="28" cm="1">
        <f t="array" ref="O110">O$106+IF($C110&lt;&gt;0,SUMPRODUCT((O$107:O$108)*TRANSPOSE(($D110:$E110))),0)</f>
        <v>714036.20905312814</v>
      </c>
      <c r="P110" s="28" cm="1">
        <f t="array" ref="P110">P$106+IF($C110&lt;&gt;0,SUMPRODUCT((P$107:P$108)*TRANSPOSE(($D110:$E110))),0)</f>
        <v>747533.43955794454</v>
      </c>
      <c r="Q110" s="28" cm="1">
        <f t="array" ref="Q110">Q$106+IF($C110&lt;&gt;0,SUMPRODUCT((Q$107:Q$108)*TRANSPOSE(($D110:$E110))),0)</f>
        <v>770792.47885324724</v>
      </c>
      <c r="R110" s="28" cm="1">
        <f t="array" ref="R110">R$106+IF($C110&lt;&gt;0,SUMPRODUCT((R$107:R$108)*TRANSPOSE(($D110:$E110))),0)</f>
        <v>778955.23089903139</v>
      </c>
      <c r="S110" s="28" cm="1">
        <f t="array" ref="S110">S$106+IF($C110&lt;&gt;0,SUMPRODUCT((S$107:S$108)*TRANSPOSE(($D110:$E110))),0)</f>
        <v>787326.43569701409</v>
      </c>
      <c r="T110" s="28" cm="1">
        <f t="array" ref="T110">T$106+IF($C110&lt;&gt;0,SUMPRODUCT((T$107:T$108)*TRANSPOSE(($D110:$E110))),0)</f>
        <v>795866.74511737318</v>
      </c>
      <c r="U110" s="28" cm="1">
        <f t="array" ref="U110">U$106+IF($C110&lt;&gt;0,SUMPRODUCT((U$107:U$108)*TRANSPOSE(($D110:$E110))),0)</f>
        <v>804546.2910450144</v>
      </c>
      <c r="V110" s="28" cm="1">
        <f t="array" ref="V110">V$106+IF($C110&lt;&gt;0,SUMPRODUCT((V$107:V$108)*TRANSPOSE(($D110:$E110))),0)</f>
        <v>813341.66679538891</v>
      </c>
      <c r="W110" s="28" cm="1">
        <f t="array" ref="W110">W$106+IF($C110&lt;&gt;0,SUMPRODUCT((W$107:W$108)*TRANSPOSE(($D110:$E110))),0)</f>
        <v>822234.16689539247</v>
      </c>
      <c r="X110" s="28" cm="1">
        <f t="array" ref="X110">X$106+IF($C110&lt;&gt;0,SUMPRODUCT((X$107:X$108)*TRANSPOSE(($D110:$E110))),0)</f>
        <v>831208.72876871878</v>
      </c>
      <c r="Y110" s="28" cm="1">
        <f t="array" ref="Y110">Y$106+IF($C110&lt;&gt;0,SUMPRODUCT((Y$107:Y$108)*TRANSPOSE(($D110:$E110))),0)</f>
        <v>840252.97447200876</v>
      </c>
      <c r="Z110" s="28" cm="1">
        <f t="array" ref="Z110">Z$106+IF($C110&lt;&gt;0,SUMPRODUCT((Z$107:Z$108)*TRANSPOSE(($D110:$E110))),0)</f>
        <v>849356.61172731302</v>
      </c>
      <c r="AA110" s="28" cm="1">
        <f t="array" ref="AA110">AA$106+IF($C110&lt;&gt;0,SUMPRODUCT((AA$107:AA$108)*TRANSPOSE(($D110:$E110))),0)</f>
        <v>858510.97323477606</v>
      </c>
      <c r="AB110" s="28" cm="1">
        <f t="array" ref="AB110">AB$106+IF($C110&lt;&gt;0,SUMPRODUCT((AB$107:AB$108)*TRANSPOSE(($D110:$E110))),0)</f>
        <v>867708.81388963421</v>
      </c>
      <c r="AC110" s="28" cm="1">
        <f t="array" ref="AC110">AC$106+IF($C110&lt;&gt;0,SUMPRODUCT((AC$107:AC$108)*TRANSPOSE(($D110:$E110))),0)</f>
        <v>876943.89273126761</v>
      </c>
      <c r="AD110" s="28" cm="1">
        <f t="array" ref="AD110">AD$106+IF($C110&lt;&gt;0,SUMPRODUCT((AD$107:AD$108)*TRANSPOSE(($D110:$E110))),0)</f>
        <v>886210.89316268789</v>
      </c>
      <c r="AE110" s="28" cm="1">
        <f t="array" ref="AE110">AE$106+IF($C110&lt;&gt;0,SUMPRODUCT((AE$107:AE$108)*TRANSPOSE(($D110:$E110))),0)</f>
        <v>895195.41099893127</v>
      </c>
      <c r="AF110" s="28" cm="1">
        <f t="array" ref="AF110">AF$106+IF($C110&lt;&gt;0,SUMPRODUCT((AF$107:AF$108)*TRANSPOSE(($D110:$E110))),0)</f>
        <v>904205.44891907845</v>
      </c>
      <c r="AG110" s="28" cm="1">
        <f t="array" ref="AG110">AG$106+IF($C110&lt;&gt;0,SUMPRODUCT((AG$107:AG$108)*TRANSPOSE(($D110:$E110))),0)</f>
        <v>913237.48616692016</v>
      </c>
    </row>
    <row r="111" spans="1:43" x14ac:dyDescent="0.2">
      <c r="A111" s="1" t="str">
        <f>"sens"&amp;Assumptions!B112</f>
        <v>sens2</v>
      </c>
      <c r="C111" s="252" t="str">
        <f>Assumptions!C112</f>
        <v>Capex 10% lower</v>
      </c>
      <c r="D111" s="253">
        <f>Assumptions!G112</f>
        <v>-0.1</v>
      </c>
      <c r="E111" s="253">
        <f>Assumptions!H112</f>
        <v>0</v>
      </c>
      <c r="G111" s="34" t="str">
        <f t="shared" ref="G111:G117" si="20">PROPER($A$3)&amp;A111</f>
        <v>Option 2sens2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-194399.11517791214</v>
      </c>
      <c r="K111" s="28" cm="1">
        <f t="array" ref="K111">K$106+IF($C111&lt;&gt;0,SUMPRODUCT((K$107:K$108)*TRANSPOSE(($D111:$E111))),0)</f>
        <v>685873.49263132003</v>
      </c>
      <c r="L111" s="28" cm="1">
        <f t="array" ref="L111">L$106+IF($C111&lt;&gt;0,SUMPRODUCT((L$107:L$108)*TRANSPOSE(($D111:$E111))),0)</f>
        <v>705331.84891302709</v>
      </c>
      <c r="M111" s="28" cm="1">
        <f t="array" ref="M111">M$106+IF($C111&lt;&gt;0,SUMPRODUCT((M$107:M$108)*TRANSPOSE(($D111:$E111))),0)</f>
        <v>724499.12982998288</v>
      </c>
      <c r="N111" s="28" cm="1">
        <f t="array" ref="N111">N$106+IF($C111&lt;&gt;0,SUMPRODUCT((N$107:N$108)*TRANSPOSE(($D111:$E111))),0)</f>
        <v>747031.81708697753</v>
      </c>
      <c r="O111" s="28" cm="1">
        <f t="array" ref="O111">O$106+IF($C111&lt;&gt;0,SUMPRODUCT((O$107:O$108)*TRANSPOSE(($D111:$E111))),0)</f>
        <v>778835.91411243228</v>
      </c>
      <c r="P111" s="28" cm="1">
        <f t="array" ref="P111">P$106+IF($C111&lt;&gt;0,SUMPRODUCT((P$107:P$108)*TRANSPOSE(($D111:$E111))),0)</f>
        <v>812333.14461724868</v>
      </c>
      <c r="Q111" s="28" cm="1">
        <f t="array" ref="Q111">Q$106+IF($C111&lt;&gt;0,SUMPRODUCT((Q$107:Q$108)*TRANSPOSE(($D111:$E111))),0)</f>
        <v>835592.18391255138</v>
      </c>
      <c r="R111" s="28" cm="1">
        <f t="array" ref="R111">R$106+IF($C111&lt;&gt;0,SUMPRODUCT((R$107:R$108)*TRANSPOSE(($D111:$E111))),0)</f>
        <v>843754.93595833553</v>
      </c>
      <c r="S111" s="28" cm="1">
        <f t="array" ref="S111">S$106+IF($C111&lt;&gt;0,SUMPRODUCT((S$107:S$108)*TRANSPOSE(($D111:$E111))),0)</f>
        <v>852126.14075631823</v>
      </c>
      <c r="T111" s="28" cm="1">
        <f t="array" ref="T111">T$106+IF($C111&lt;&gt;0,SUMPRODUCT((T$107:T$108)*TRANSPOSE(($D111:$E111))),0)</f>
        <v>860666.45017667732</v>
      </c>
      <c r="U111" s="28" cm="1">
        <f t="array" ref="U111">U$106+IF($C111&lt;&gt;0,SUMPRODUCT((U$107:U$108)*TRANSPOSE(($D111:$E111))),0)</f>
        <v>869345.99610431853</v>
      </c>
      <c r="V111" s="28" cm="1">
        <f t="array" ref="V111">V$106+IF($C111&lt;&gt;0,SUMPRODUCT((V$107:V$108)*TRANSPOSE(($D111:$E111))),0)</f>
        <v>878141.37185469305</v>
      </c>
      <c r="W111" s="28" cm="1">
        <f t="array" ref="W111">W$106+IF($C111&lt;&gt;0,SUMPRODUCT((W$107:W$108)*TRANSPOSE(($D111:$E111))),0)</f>
        <v>887033.8719546966</v>
      </c>
      <c r="X111" s="28" cm="1">
        <f t="array" ref="X111">X$106+IF($C111&lt;&gt;0,SUMPRODUCT((X$107:X$108)*TRANSPOSE(($D111:$E111))),0)</f>
        <v>896008.43382802291</v>
      </c>
      <c r="Y111" s="28" cm="1">
        <f t="array" ref="Y111">Y$106+IF($C111&lt;&gt;0,SUMPRODUCT((Y$107:Y$108)*TRANSPOSE(($D111:$E111))),0)</f>
        <v>905052.6795313129</v>
      </c>
      <c r="Z111" s="28" cm="1">
        <f t="array" ref="Z111">Z$106+IF($C111&lt;&gt;0,SUMPRODUCT((Z$107:Z$108)*TRANSPOSE(($D111:$E111))),0)</f>
        <v>914156.31678661716</v>
      </c>
      <c r="AA111" s="28" cm="1">
        <f t="array" ref="AA111">AA$106+IF($C111&lt;&gt;0,SUMPRODUCT((AA$107:AA$108)*TRANSPOSE(($D111:$E111))),0)</f>
        <v>923310.67829408019</v>
      </c>
      <c r="AB111" s="28" cm="1">
        <f t="array" ref="AB111">AB$106+IF($C111&lt;&gt;0,SUMPRODUCT((AB$107:AB$108)*TRANSPOSE(($D111:$E111))),0)</f>
        <v>932508.51894893835</v>
      </c>
      <c r="AC111" s="28" cm="1">
        <f t="array" ref="AC111">AC$106+IF($C111&lt;&gt;0,SUMPRODUCT((AC$107:AC$108)*TRANSPOSE(($D111:$E111))),0)</f>
        <v>941743.59779057174</v>
      </c>
      <c r="AD111" s="28" cm="1">
        <f t="array" ref="AD111">AD$106+IF($C111&lt;&gt;0,SUMPRODUCT((AD$107:AD$108)*TRANSPOSE(($D111:$E111))),0)</f>
        <v>951010.59822199203</v>
      </c>
      <c r="AE111" s="28" cm="1">
        <f t="array" ref="AE111">AE$106+IF($C111&lt;&gt;0,SUMPRODUCT((AE$107:AE$108)*TRANSPOSE(($D111:$E111))),0)</f>
        <v>959995.11605823541</v>
      </c>
      <c r="AF111" s="28" cm="1">
        <f t="array" ref="AF111">AF$106+IF($C111&lt;&gt;0,SUMPRODUCT((AF$107:AF$108)*TRANSPOSE(($D111:$E111))),0)</f>
        <v>969005.15397838259</v>
      </c>
      <c r="AG111" s="28" cm="1">
        <f t="array" ref="AG111">AG$106+IF($C111&lt;&gt;0,SUMPRODUCT((AG$107:AG$108)*TRANSPOSE(($D111:$E111))),0)</f>
        <v>978037.1912262243</v>
      </c>
    </row>
    <row r="112" spans="1:43" x14ac:dyDescent="0.2">
      <c r="A112" s="1" t="str">
        <f>"sens"&amp;Assumptions!B113</f>
        <v>sens3</v>
      </c>
      <c r="C112" s="252" t="str">
        <f>Assumptions!C113</f>
        <v>Total benefits 10% higher</v>
      </c>
      <c r="D112" s="253">
        <f>Assumptions!G113</f>
        <v>0</v>
      </c>
      <c r="E112" s="253">
        <f>Assumptions!H113</f>
        <v>0.1</v>
      </c>
      <c r="G112" s="34" t="str">
        <f t="shared" si="20"/>
        <v>Option 2sens3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-215999.01686434684</v>
      </c>
      <c r="K112" s="28" cm="1">
        <f t="array" ref="K112">K$106+IF($C112&lt;&gt;0,SUMPRODUCT((K$107:K$108)*TRANSPOSE(($D112:$E112))),0)</f>
        <v>751220.85664148675</v>
      </c>
      <c r="L112" s="28" cm="1">
        <f t="array" ref="L112">L$106+IF($C112&lt;&gt;0,SUMPRODUCT((L$107:L$108)*TRANSPOSE(($D112:$E112))),0)</f>
        <v>772625.04855136457</v>
      </c>
      <c r="M112" s="28" cm="1">
        <f t="array" ref="M112">M$106+IF($C112&lt;&gt;0,SUMPRODUCT((M$107:M$108)*TRANSPOSE(($D112:$E112))),0)</f>
        <v>793709.05756001594</v>
      </c>
      <c r="N112" s="28" cm="1">
        <f t="array" ref="N112">N$106+IF($C112&lt;&gt;0,SUMPRODUCT((N$107:N$108)*TRANSPOSE(($D112:$E112))),0)</f>
        <v>818495.0135427101</v>
      </c>
      <c r="O112" s="28" cm="1">
        <f t="array" ref="O112">O$106+IF($C112&lt;&gt;0,SUMPRODUCT((O$107:O$108)*TRANSPOSE(($D112:$E112))),0)</f>
        <v>853479.52027071023</v>
      </c>
      <c r="P112" s="28" cm="1">
        <f t="array" ref="P112">P$106+IF($C112&lt;&gt;0,SUMPRODUCT((P$107:P$108)*TRANSPOSE(($D112:$E112))),0)</f>
        <v>890326.47382600827</v>
      </c>
      <c r="Q112" s="28" cm="1">
        <f t="array" ref="Q112">Q$106+IF($C112&lt;&gt;0,SUMPRODUCT((Q$107:Q$108)*TRANSPOSE(($D112:$E112))),0)</f>
        <v>915911.41705084126</v>
      </c>
      <c r="R112" s="28" cm="1">
        <f t="array" ref="R112">R$106+IF($C112&lt;&gt;0,SUMPRODUCT((R$107:R$108)*TRANSPOSE(($D112:$E112))),0)</f>
        <v>924890.44430120382</v>
      </c>
      <c r="S112" s="28" cm="1">
        <f t="array" ref="S112">S$106+IF($C112&lt;&gt;0,SUMPRODUCT((S$107:S$108)*TRANSPOSE(($D112:$E112))),0)</f>
        <v>934098.76957898482</v>
      </c>
      <c r="T112" s="28" cm="1">
        <f t="array" ref="T112">T$106+IF($C112&lt;&gt;0,SUMPRODUCT((T$107:T$108)*TRANSPOSE(($D112:$E112))),0)</f>
        <v>943493.10994137987</v>
      </c>
      <c r="U112" s="28" cm="1">
        <f t="array" ref="U112">U$106+IF($C112&lt;&gt;0,SUMPRODUCT((U$107:U$108)*TRANSPOSE(($D112:$E112))),0)</f>
        <v>953040.61046178511</v>
      </c>
      <c r="V112" s="28" cm="1">
        <f t="array" ref="V112">V$106+IF($C112&lt;&gt;0,SUMPRODUCT((V$107:V$108)*TRANSPOSE(($D112:$E112))),0)</f>
        <v>962715.52378719707</v>
      </c>
      <c r="W112" s="28" cm="1">
        <f t="array" ref="W112">W$106+IF($C112&lt;&gt;0,SUMPRODUCT((W$107:W$108)*TRANSPOSE(($D112:$E112))),0)</f>
        <v>972497.27389720106</v>
      </c>
      <c r="X112" s="28" cm="1">
        <f t="array" ref="X112">X$106+IF($C112&lt;&gt;0,SUMPRODUCT((X$107:X$108)*TRANSPOSE(($D112:$E112))),0)</f>
        <v>982369.29195786</v>
      </c>
      <c r="Y112" s="28" cm="1">
        <f t="array" ref="Y112">Y$106+IF($C112&lt;&gt;0,SUMPRODUCT((Y$107:Y$108)*TRANSPOSE(($D112:$E112))),0)</f>
        <v>992317.96223147889</v>
      </c>
      <c r="Z112" s="28" cm="1">
        <f t="array" ref="Z112">Z$106+IF($C112&lt;&gt;0,SUMPRODUCT((Z$107:Z$108)*TRANSPOSE(($D112:$E112))),0)</f>
        <v>1002331.9632123136</v>
      </c>
      <c r="AA112" s="28" cm="1">
        <f t="array" ref="AA112">AA$106+IF($C112&lt;&gt;0,SUMPRODUCT((AA$107:AA$108)*TRANSPOSE(($D112:$E112))),0)</f>
        <v>1012401.7608705229</v>
      </c>
      <c r="AB112" s="28" cm="1">
        <f t="array" ref="AB112">AB$106+IF($C112&lt;&gt;0,SUMPRODUCT((AB$107:AB$108)*TRANSPOSE(($D112:$E112))),0)</f>
        <v>1022519.3855908669</v>
      </c>
      <c r="AC112" s="28" cm="1">
        <f t="array" ref="AC112">AC$106+IF($C112&lt;&gt;0,SUMPRODUCT((AC$107:AC$108)*TRANSPOSE(($D112:$E112))),0)</f>
        <v>1032677.9723166637</v>
      </c>
      <c r="AD112" s="28" cm="1">
        <f t="array" ref="AD112">AD$106+IF($C112&lt;&gt;0,SUMPRODUCT((AD$107:AD$108)*TRANSPOSE(($D112:$E112))),0)</f>
        <v>1042871.672791226</v>
      </c>
      <c r="AE112" s="28" cm="1">
        <f t="array" ref="AE112">AE$106+IF($C112&lt;&gt;0,SUMPRODUCT((AE$107:AE$108)*TRANSPOSE(($D112:$E112))),0)</f>
        <v>1052754.6424110937</v>
      </c>
      <c r="AF112" s="28" cm="1">
        <f t="array" ref="AF112">AF$106+IF($C112&lt;&gt;0,SUMPRODUCT((AF$107:AF$108)*TRANSPOSE(($D112:$E112))),0)</f>
        <v>1062665.6841232555</v>
      </c>
      <c r="AG112" s="28" cm="1">
        <f t="array" ref="AG112">AG$106+IF($C112&lt;&gt;0,SUMPRODUCT((AG$107:AG$108)*TRANSPOSE(($D112:$E112))),0)</f>
        <v>1072600.9250958816</v>
      </c>
    </row>
    <row r="113" spans="1:33" x14ac:dyDescent="0.2">
      <c r="A113" s="1" t="str">
        <f>"sens"&amp;Assumptions!B114</f>
        <v>sens4</v>
      </c>
      <c r="C113" s="252" t="str">
        <f>Assumptions!C114</f>
        <v>Total benefits 10% lower</v>
      </c>
      <c r="D113" s="253">
        <f>Assumptions!G114</f>
        <v>0</v>
      </c>
      <c r="E113" s="253">
        <f>Assumptions!H114</f>
        <v>-0.1</v>
      </c>
      <c r="G113" s="34" t="str">
        <f t="shared" si="20"/>
        <v>Option 2sens4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-215999.01686434684</v>
      </c>
      <c r="K113" s="28" cm="1">
        <f t="array" ref="K113">K$106+IF($C113&lt;&gt;0,SUMPRODUCT((K$107:K$108)*TRANSPOSE(($D113:$E113))),0)</f>
        <v>555726.42356184917</v>
      </c>
      <c r="L113" s="28" cm="1">
        <f t="array" ref="L113">L$106+IF($C113&lt;&gt;0,SUMPRODUCT((L$107:L$108)*TRANSPOSE(($D113:$E113))),0)</f>
        <v>573238.94421538548</v>
      </c>
      <c r="M113" s="28" cm="1">
        <f t="array" ref="M113">M$106+IF($C113&lt;&gt;0,SUMPRODUCT((M$107:M$108)*TRANSPOSE(($D113:$E113))),0)</f>
        <v>590489.49704064569</v>
      </c>
      <c r="N113" s="28" cm="1">
        <f t="array" ref="N113">N$106+IF($C113&lt;&gt;0,SUMPRODUCT((N$107:N$108)*TRANSPOSE(($D113:$E113))),0)</f>
        <v>610768.91557194083</v>
      </c>
      <c r="O113" s="28" cm="1">
        <f t="array" ref="O113">O$106+IF($C113&lt;&gt;0,SUMPRODUCT((O$107:O$108)*TRANSPOSE(($D113:$E113))),0)</f>
        <v>639392.60289485019</v>
      </c>
      <c r="P113" s="28" cm="1">
        <f t="array" ref="P113">P$106+IF($C113&lt;&gt;0,SUMPRODUCT((P$107:P$108)*TRANSPOSE(($D113:$E113))),0)</f>
        <v>669540.11034918495</v>
      </c>
      <c r="Q113" s="28" cm="1">
        <f t="array" ref="Q113">Q$106+IF($C113&lt;&gt;0,SUMPRODUCT((Q$107:Q$108)*TRANSPOSE(($D113:$E113))),0)</f>
        <v>690473.24571495736</v>
      </c>
      <c r="R113" s="28" cm="1">
        <f t="array" ref="R113">R$106+IF($C113&lt;&gt;0,SUMPRODUCT((R$107:R$108)*TRANSPOSE(($D113:$E113))),0)</f>
        <v>697819.72255616309</v>
      </c>
      <c r="S113" s="28" cm="1">
        <f t="array" ref="S113">S$106+IF($C113&lt;&gt;0,SUMPRODUCT((S$107:S$108)*TRANSPOSE(($D113:$E113))),0)</f>
        <v>705353.8068743475</v>
      </c>
      <c r="T113" s="28" cm="1">
        <f t="array" ref="T113">T$106+IF($C113&lt;&gt;0,SUMPRODUCT((T$107:T$108)*TRANSPOSE(($D113:$E113))),0)</f>
        <v>713040.08535267063</v>
      </c>
      <c r="U113" s="28" cm="1">
        <f t="array" ref="U113">U$106+IF($C113&lt;&gt;0,SUMPRODUCT((U$107:U$108)*TRANSPOSE(($D113:$E113))),0)</f>
        <v>720851.67668754782</v>
      </c>
      <c r="V113" s="28" cm="1">
        <f t="array" ref="V113">V$106+IF($C113&lt;&gt;0,SUMPRODUCT((V$107:V$108)*TRANSPOSE(($D113:$E113))),0)</f>
        <v>728767.51486288488</v>
      </c>
      <c r="W113" s="28" cm="1">
        <f t="array" ref="W113">W$106+IF($C113&lt;&gt;0,SUMPRODUCT((W$107:W$108)*TRANSPOSE(($D113:$E113))),0)</f>
        <v>736770.76495288801</v>
      </c>
      <c r="X113" s="28" cm="1">
        <f t="array" ref="X113">X$106+IF($C113&lt;&gt;0,SUMPRODUCT((X$107:X$108)*TRANSPOSE(($D113:$E113))),0)</f>
        <v>744847.87063888169</v>
      </c>
      <c r="Y113" s="28" cm="1">
        <f t="array" ref="Y113">Y$106+IF($C113&lt;&gt;0,SUMPRODUCT((Y$107:Y$108)*TRANSPOSE(($D113:$E113))),0)</f>
        <v>752987.69177184277</v>
      </c>
      <c r="Z113" s="28" cm="1">
        <f t="array" ref="Z113">Z$106+IF($C113&lt;&gt;0,SUMPRODUCT((Z$107:Z$108)*TRANSPOSE(($D113:$E113))),0)</f>
        <v>761180.96530161658</v>
      </c>
      <c r="AA113" s="28" cm="1">
        <f t="array" ref="AA113">AA$106+IF($C113&lt;&gt;0,SUMPRODUCT((AA$107:AA$108)*TRANSPOSE(($D113:$E113))),0)</f>
        <v>769419.89065833332</v>
      </c>
      <c r="AB113" s="28" cm="1">
        <f t="array" ref="AB113">AB$106+IF($C113&lt;&gt;0,SUMPRODUCT((AB$107:AB$108)*TRANSPOSE(($D113:$E113))),0)</f>
        <v>777697.94724770566</v>
      </c>
      <c r="AC113" s="28" cm="1">
        <f t="array" ref="AC113">AC$106+IF($C113&lt;&gt;0,SUMPRODUCT((AC$107:AC$108)*TRANSPOSE(($D113:$E113))),0)</f>
        <v>786009.51820517564</v>
      </c>
      <c r="AD113" s="28" cm="1">
        <f t="array" ref="AD113">AD$106+IF($C113&lt;&gt;0,SUMPRODUCT((AD$107:AD$108)*TRANSPOSE(($D113:$E113))),0)</f>
        <v>794349.81859345397</v>
      </c>
      <c r="AE113" s="28" cm="1">
        <f t="array" ref="AE113">AE$106+IF($C113&lt;&gt;0,SUMPRODUCT((AE$107:AE$108)*TRANSPOSE(($D113:$E113))),0)</f>
        <v>802435.88464607298</v>
      </c>
      <c r="AF113" s="28" cm="1">
        <f t="array" ref="AF113">AF$106+IF($C113&lt;&gt;0,SUMPRODUCT((AF$107:AF$108)*TRANSPOSE(($D113:$E113))),0)</f>
        <v>810544.91877420549</v>
      </c>
      <c r="AG113" s="28" cm="1">
        <f t="array" ref="AG113">AG$106+IF($C113&lt;&gt;0,SUMPRODUCT((AG$107:AG$108)*TRANSPOSE(($D113:$E113))),0)</f>
        <v>818673.75229726301</v>
      </c>
    </row>
    <row r="114" spans="1:33" x14ac:dyDescent="0.2">
      <c r="A114" s="1" t="str">
        <f>"sens"&amp;Assumptions!B115</f>
        <v>sens5</v>
      </c>
      <c r="C114" s="252" t="str">
        <f>Assumptions!C115</f>
        <v>Capex 10% higher &amp; Total benefits 10% lower</v>
      </c>
      <c r="D114" s="253">
        <f>Assumptions!G115</f>
        <v>0.1</v>
      </c>
      <c r="E114" s="253">
        <f>Assumptions!H115</f>
        <v>-0.1</v>
      </c>
      <c r="G114" s="34" t="str">
        <f t="shared" si="20"/>
        <v>Option 2sens5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-237598.91855078153</v>
      </c>
      <c r="K114" s="28" cm="1">
        <f t="array" ref="K114">K$106+IF($C114&lt;&gt;0,SUMPRODUCT((K$107:K$108)*TRANSPOSE(($D114:$E114))),0)</f>
        <v>523326.5710321971</v>
      </c>
      <c r="L114" s="28" cm="1">
        <f t="array" ref="L114">L$106+IF($C114&lt;&gt;0,SUMPRODUCT((L$107:L$108)*TRANSPOSE(($D114:$E114))),0)</f>
        <v>540839.09168573353</v>
      </c>
      <c r="M114" s="28" cm="1">
        <f t="array" ref="M114">M$106+IF($C114&lt;&gt;0,SUMPRODUCT((M$107:M$108)*TRANSPOSE(($D114:$E114))),0)</f>
        <v>558089.64451099373</v>
      </c>
      <c r="N114" s="28" cm="1">
        <f t="array" ref="N114">N$106+IF($C114&lt;&gt;0,SUMPRODUCT((N$107:N$108)*TRANSPOSE(($D114:$E114))),0)</f>
        <v>578369.06304228888</v>
      </c>
      <c r="O114" s="28" cm="1">
        <f t="array" ref="O114">O$106+IF($C114&lt;&gt;0,SUMPRODUCT((O$107:O$108)*TRANSPOSE(($D114:$E114))),0)</f>
        <v>606992.75036519812</v>
      </c>
      <c r="P114" s="28" cm="1">
        <f t="array" ref="P114">P$106+IF($C114&lt;&gt;0,SUMPRODUCT((P$107:P$108)*TRANSPOSE(($D114:$E114))),0)</f>
        <v>637140.25781953288</v>
      </c>
      <c r="Q114" s="28" cm="1">
        <f t="array" ref="Q114">Q$106+IF($C114&lt;&gt;0,SUMPRODUCT((Q$107:Q$108)*TRANSPOSE(($D114:$E114))),0)</f>
        <v>658073.39318530529</v>
      </c>
      <c r="R114" s="28" cm="1">
        <f t="array" ref="R114">R$106+IF($C114&lt;&gt;0,SUMPRODUCT((R$107:R$108)*TRANSPOSE(($D114:$E114))),0)</f>
        <v>665419.87002651102</v>
      </c>
      <c r="S114" s="28" cm="1">
        <f t="array" ref="S114">S$106+IF($C114&lt;&gt;0,SUMPRODUCT((S$107:S$108)*TRANSPOSE(($D114:$E114))),0)</f>
        <v>672953.95434469543</v>
      </c>
      <c r="T114" s="28" cm="1">
        <f t="array" ref="T114">T$106+IF($C114&lt;&gt;0,SUMPRODUCT((T$107:T$108)*TRANSPOSE(($D114:$E114))),0)</f>
        <v>680640.23282301868</v>
      </c>
      <c r="U114" s="28" cm="1">
        <f t="array" ref="U114">U$106+IF($C114&lt;&gt;0,SUMPRODUCT((U$107:U$108)*TRANSPOSE(($D114:$E114))),0)</f>
        <v>688451.82415789575</v>
      </c>
      <c r="V114" s="28" cm="1">
        <f t="array" ref="V114">V$106+IF($C114&lt;&gt;0,SUMPRODUCT((V$107:V$108)*TRANSPOSE(($D114:$E114))),0)</f>
        <v>696367.66233323282</v>
      </c>
      <c r="W114" s="28" cm="1">
        <f t="array" ref="W114">W$106+IF($C114&lt;&gt;0,SUMPRODUCT((W$107:W$108)*TRANSPOSE(($D114:$E114))),0)</f>
        <v>704370.91242323606</v>
      </c>
      <c r="X114" s="28" cm="1">
        <f t="array" ref="X114">X$106+IF($C114&lt;&gt;0,SUMPRODUCT((X$107:X$108)*TRANSPOSE(($D114:$E114))),0)</f>
        <v>712448.01810922974</v>
      </c>
      <c r="Y114" s="28" cm="1">
        <f t="array" ref="Y114">Y$106+IF($C114&lt;&gt;0,SUMPRODUCT((Y$107:Y$108)*TRANSPOSE(($D114:$E114))),0)</f>
        <v>720587.8392421907</v>
      </c>
      <c r="Z114" s="28" cm="1">
        <f t="array" ref="Z114">Z$106+IF($C114&lt;&gt;0,SUMPRODUCT((Z$107:Z$108)*TRANSPOSE(($D114:$E114))),0)</f>
        <v>728781.11277196452</v>
      </c>
      <c r="AA114" s="28" cm="1">
        <f t="array" ref="AA114">AA$106+IF($C114&lt;&gt;0,SUMPRODUCT((AA$107:AA$108)*TRANSPOSE(($D114:$E114))),0)</f>
        <v>737020.03812868125</v>
      </c>
      <c r="AB114" s="28" cm="1">
        <f t="array" ref="AB114">AB$106+IF($C114&lt;&gt;0,SUMPRODUCT((AB$107:AB$108)*TRANSPOSE(($D114:$E114))),0)</f>
        <v>745298.09471805359</v>
      </c>
      <c r="AC114" s="28" cm="1">
        <f t="array" ref="AC114">AC$106+IF($C114&lt;&gt;0,SUMPRODUCT((AC$107:AC$108)*TRANSPOSE(($D114:$E114))),0)</f>
        <v>753609.66567552369</v>
      </c>
      <c r="AD114" s="28" cm="1">
        <f t="array" ref="AD114">AD$106+IF($C114&lt;&gt;0,SUMPRODUCT((AD$107:AD$108)*TRANSPOSE(($D114:$E114))),0)</f>
        <v>761949.9660638019</v>
      </c>
      <c r="AE114" s="28" cm="1">
        <f t="array" ref="AE114">AE$106+IF($C114&lt;&gt;0,SUMPRODUCT((AE$107:AE$108)*TRANSPOSE(($D114:$E114))),0)</f>
        <v>770036.03211642092</v>
      </c>
      <c r="AF114" s="28" cm="1">
        <f t="array" ref="AF114">AF$106+IF($C114&lt;&gt;0,SUMPRODUCT((AF$107:AF$108)*TRANSPOSE(($D114:$E114))),0)</f>
        <v>778145.06624455343</v>
      </c>
      <c r="AG114" s="28" cm="1">
        <f t="array" ref="AG114">AG$106+IF($C114&lt;&gt;0,SUMPRODUCT((AG$107:AG$108)*TRANSPOSE(($D114:$E114))),0)</f>
        <v>786273.89976761094</v>
      </c>
    </row>
    <row r="115" spans="1:33" x14ac:dyDescent="0.2">
      <c r="A115" s="1" t="str">
        <f>"sens"&amp;Assumptions!B116</f>
        <v>sens</v>
      </c>
      <c r="C115" s="252">
        <f>Assumptions!C116</f>
        <v>0</v>
      </c>
      <c r="D115" s="253">
        <f>Assumptions!G116</f>
        <v>0</v>
      </c>
      <c r="E115" s="253">
        <f>Assumptions!H116</f>
        <v>0</v>
      </c>
      <c r="G115" s="34" t="str">
        <f t="shared" si="20"/>
        <v>Option 2sens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-215999.01686434684</v>
      </c>
      <c r="K115" s="28" cm="1">
        <f t="array" ref="K115">K$106+IF($C115&lt;&gt;0,SUMPRODUCT((K$107:K$108)*TRANSPOSE(($D115:$E115))),0)</f>
        <v>653473.64010166796</v>
      </c>
      <c r="L115" s="28" cm="1">
        <f t="array" ref="L115">L$106+IF($C115&lt;&gt;0,SUMPRODUCT((L$107:L$108)*TRANSPOSE(($D115:$E115))),0)</f>
        <v>672931.99638337502</v>
      </c>
      <c r="M115" s="28" cm="1">
        <f t="array" ref="M115">M$106+IF($C115&lt;&gt;0,SUMPRODUCT((M$107:M$108)*TRANSPOSE(($D115:$E115))),0)</f>
        <v>692099.27730033081</v>
      </c>
      <c r="N115" s="28" cm="1">
        <f t="array" ref="N115">N$106+IF($C115&lt;&gt;0,SUMPRODUCT((N$107:N$108)*TRANSPOSE(($D115:$E115))),0)</f>
        <v>714631.96455732547</v>
      </c>
      <c r="O115" s="28" cm="1">
        <f t="array" ref="O115">O$106+IF($C115&lt;&gt;0,SUMPRODUCT((O$107:O$108)*TRANSPOSE(($D115:$E115))),0)</f>
        <v>746436.06158278021</v>
      </c>
      <c r="P115" s="28" cm="1">
        <f t="array" ref="P115">P$106+IF($C115&lt;&gt;0,SUMPRODUCT((P$107:P$108)*TRANSPOSE(($D115:$E115))),0)</f>
        <v>779933.29208759661</v>
      </c>
      <c r="Q115" s="28" cm="1">
        <f t="array" ref="Q115">Q$106+IF($C115&lt;&gt;0,SUMPRODUCT((Q$107:Q$108)*TRANSPOSE(($D115:$E115))),0)</f>
        <v>803192.33138289931</v>
      </c>
      <c r="R115" s="28" cm="1">
        <f t="array" ref="R115">R$106+IF($C115&lt;&gt;0,SUMPRODUCT((R$107:R$108)*TRANSPOSE(($D115:$E115))),0)</f>
        <v>811355.08342868346</v>
      </c>
      <c r="S115" s="28" cm="1">
        <f t="array" ref="S115">S$106+IF($C115&lt;&gt;0,SUMPRODUCT((S$107:S$108)*TRANSPOSE(($D115:$E115))),0)</f>
        <v>819726.28822666616</v>
      </c>
      <c r="T115" s="28" cm="1">
        <f t="array" ref="T115">T$106+IF($C115&lt;&gt;0,SUMPRODUCT((T$107:T$108)*TRANSPOSE(($D115:$E115))),0)</f>
        <v>828266.59764702525</v>
      </c>
      <c r="U115" s="28" cm="1">
        <f t="array" ref="U115">U$106+IF($C115&lt;&gt;0,SUMPRODUCT((U$107:U$108)*TRANSPOSE(($D115:$E115))),0)</f>
        <v>836946.14357466646</v>
      </c>
      <c r="V115" s="28" cm="1">
        <f t="array" ref="V115">V$106+IF($C115&lt;&gt;0,SUMPRODUCT((V$107:V$108)*TRANSPOSE(($D115:$E115))),0)</f>
        <v>845741.51932504098</v>
      </c>
      <c r="W115" s="28" cm="1">
        <f t="array" ref="W115">W$106+IF($C115&lt;&gt;0,SUMPRODUCT((W$107:W$108)*TRANSPOSE(($D115:$E115))),0)</f>
        <v>854634.01942504453</v>
      </c>
      <c r="X115" s="28" cm="1">
        <f t="array" ref="X115">X$106+IF($C115&lt;&gt;0,SUMPRODUCT((X$107:X$108)*TRANSPOSE(($D115:$E115))),0)</f>
        <v>863608.58129837085</v>
      </c>
      <c r="Y115" s="28" cm="1">
        <f t="array" ref="Y115">Y$106+IF($C115&lt;&gt;0,SUMPRODUCT((Y$107:Y$108)*TRANSPOSE(($D115:$E115))),0)</f>
        <v>872652.82700166083</v>
      </c>
      <c r="Z115" s="28" cm="1">
        <f t="array" ref="Z115">Z$106+IF($C115&lt;&gt;0,SUMPRODUCT((Z$107:Z$108)*TRANSPOSE(($D115:$E115))),0)</f>
        <v>881756.46425696509</v>
      </c>
      <c r="AA115" s="28" cm="1">
        <f t="array" ref="AA115">AA$106+IF($C115&lt;&gt;0,SUMPRODUCT((AA$107:AA$108)*TRANSPOSE(($D115:$E115))),0)</f>
        <v>890910.82576442813</v>
      </c>
      <c r="AB115" s="28" cm="1">
        <f t="array" ref="AB115">AB$106+IF($C115&lt;&gt;0,SUMPRODUCT((AB$107:AB$108)*TRANSPOSE(($D115:$E115))),0)</f>
        <v>900108.66641928628</v>
      </c>
      <c r="AC115" s="28" cm="1">
        <f t="array" ref="AC115">AC$106+IF($C115&lt;&gt;0,SUMPRODUCT((AC$107:AC$108)*TRANSPOSE(($D115:$E115))),0)</f>
        <v>909343.74526091968</v>
      </c>
      <c r="AD115" s="28" cm="1">
        <f t="array" ref="AD115">AD$106+IF($C115&lt;&gt;0,SUMPRODUCT((AD$107:AD$108)*TRANSPOSE(($D115:$E115))),0)</f>
        <v>918610.74569233996</v>
      </c>
      <c r="AE115" s="28" cm="1">
        <f t="array" ref="AE115">AE$106+IF($C115&lt;&gt;0,SUMPRODUCT((AE$107:AE$108)*TRANSPOSE(($D115:$E115))),0)</f>
        <v>927595.26352858334</v>
      </c>
      <c r="AF115" s="28" cm="1">
        <f t="array" ref="AF115">AF$106+IF($C115&lt;&gt;0,SUMPRODUCT((AF$107:AF$108)*TRANSPOSE(($D115:$E115))),0)</f>
        <v>936605.30144873052</v>
      </c>
      <c r="AG115" s="28" cm="1">
        <f t="array" ref="AG115">AG$106+IF($C115&lt;&gt;0,SUMPRODUCT((AG$107:AG$108)*TRANSPOSE(($D115:$E115))),0)</f>
        <v>945637.33869657223</v>
      </c>
    </row>
    <row r="116" spans="1:33" x14ac:dyDescent="0.2">
      <c r="A116" s="1" t="str">
        <f>"sens"&amp;Assumptions!B117</f>
        <v>sens</v>
      </c>
      <c r="C116" s="252">
        <f>Assumptions!C117</f>
        <v>0</v>
      </c>
      <c r="D116" s="253">
        <f>Assumptions!G117</f>
        <v>0</v>
      </c>
      <c r="E116" s="253">
        <f>Assumptions!H117</f>
        <v>0</v>
      </c>
      <c r="G116" s="34" t="str">
        <f t="shared" si="20"/>
        <v>Option 2sens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-215999.01686434684</v>
      </c>
      <c r="K116" s="28" cm="1">
        <f t="array" ref="K116">K$106+IF($C116&lt;&gt;0,SUMPRODUCT((K$107:K$108)*TRANSPOSE(($D116:$E116))),0)</f>
        <v>653473.64010166796</v>
      </c>
      <c r="L116" s="28" cm="1">
        <f t="array" ref="L116">L$106+IF($C116&lt;&gt;0,SUMPRODUCT((L$107:L$108)*TRANSPOSE(($D116:$E116))),0)</f>
        <v>672931.99638337502</v>
      </c>
      <c r="M116" s="28" cm="1">
        <f t="array" ref="M116">M$106+IF($C116&lt;&gt;0,SUMPRODUCT((M$107:M$108)*TRANSPOSE(($D116:$E116))),0)</f>
        <v>692099.27730033081</v>
      </c>
      <c r="N116" s="28" cm="1">
        <f t="array" ref="N116">N$106+IF($C116&lt;&gt;0,SUMPRODUCT((N$107:N$108)*TRANSPOSE(($D116:$E116))),0)</f>
        <v>714631.96455732547</v>
      </c>
      <c r="O116" s="28" cm="1">
        <f t="array" ref="O116">O$106+IF($C116&lt;&gt;0,SUMPRODUCT((O$107:O$108)*TRANSPOSE(($D116:$E116))),0)</f>
        <v>746436.06158278021</v>
      </c>
      <c r="P116" s="28" cm="1">
        <f t="array" ref="P116">P$106+IF($C116&lt;&gt;0,SUMPRODUCT((P$107:P$108)*TRANSPOSE(($D116:$E116))),0)</f>
        <v>779933.29208759661</v>
      </c>
      <c r="Q116" s="28" cm="1">
        <f t="array" ref="Q116">Q$106+IF($C116&lt;&gt;0,SUMPRODUCT((Q$107:Q$108)*TRANSPOSE(($D116:$E116))),0)</f>
        <v>803192.33138289931</v>
      </c>
      <c r="R116" s="28" cm="1">
        <f t="array" ref="R116">R$106+IF($C116&lt;&gt;0,SUMPRODUCT((R$107:R$108)*TRANSPOSE(($D116:$E116))),0)</f>
        <v>811355.08342868346</v>
      </c>
      <c r="S116" s="28" cm="1">
        <f t="array" ref="S116">S$106+IF($C116&lt;&gt;0,SUMPRODUCT((S$107:S$108)*TRANSPOSE(($D116:$E116))),0)</f>
        <v>819726.28822666616</v>
      </c>
      <c r="T116" s="28" cm="1">
        <f t="array" ref="T116">T$106+IF($C116&lt;&gt;0,SUMPRODUCT((T$107:T$108)*TRANSPOSE(($D116:$E116))),0)</f>
        <v>828266.59764702525</v>
      </c>
      <c r="U116" s="28" cm="1">
        <f t="array" ref="U116">U$106+IF($C116&lt;&gt;0,SUMPRODUCT((U$107:U$108)*TRANSPOSE(($D116:$E116))),0)</f>
        <v>836946.14357466646</v>
      </c>
      <c r="V116" s="28" cm="1">
        <f t="array" ref="V116">V$106+IF($C116&lt;&gt;0,SUMPRODUCT((V$107:V$108)*TRANSPOSE(($D116:$E116))),0)</f>
        <v>845741.51932504098</v>
      </c>
      <c r="W116" s="28" cm="1">
        <f t="array" ref="W116">W$106+IF($C116&lt;&gt;0,SUMPRODUCT((W$107:W$108)*TRANSPOSE(($D116:$E116))),0)</f>
        <v>854634.01942504453</v>
      </c>
      <c r="X116" s="28" cm="1">
        <f t="array" ref="X116">X$106+IF($C116&lt;&gt;0,SUMPRODUCT((X$107:X$108)*TRANSPOSE(($D116:$E116))),0)</f>
        <v>863608.58129837085</v>
      </c>
      <c r="Y116" s="28" cm="1">
        <f t="array" ref="Y116">Y$106+IF($C116&lt;&gt;0,SUMPRODUCT((Y$107:Y$108)*TRANSPOSE(($D116:$E116))),0)</f>
        <v>872652.82700166083</v>
      </c>
      <c r="Z116" s="28" cm="1">
        <f t="array" ref="Z116">Z$106+IF($C116&lt;&gt;0,SUMPRODUCT((Z$107:Z$108)*TRANSPOSE(($D116:$E116))),0)</f>
        <v>881756.46425696509</v>
      </c>
      <c r="AA116" s="28" cm="1">
        <f t="array" ref="AA116">AA$106+IF($C116&lt;&gt;0,SUMPRODUCT((AA$107:AA$108)*TRANSPOSE(($D116:$E116))),0)</f>
        <v>890910.82576442813</v>
      </c>
      <c r="AB116" s="28" cm="1">
        <f t="array" ref="AB116">AB$106+IF($C116&lt;&gt;0,SUMPRODUCT((AB$107:AB$108)*TRANSPOSE(($D116:$E116))),0)</f>
        <v>900108.66641928628</v>
      </c>
      <c r="AC116" s="28" cm="1">
        <f t="array" ref="AC116">AC$106+IF($C116&lt;&gt;0,SUMPRODUCT((AC$107:AC$108)*TRANSPOSE(($D116:$E116))),0)</f>
        <v>909343.74526091968</v>
      </c>
      <c r="AD116" s="28" cm="1">
        <f t="array" ref="AD116">AD$106+IF($C116&lt;&gt;0,SUMPRODUCT((AD$107:AD$108)*TRANSPOSE(($D116:$E116))),0)</f>
        <v>918610.74569233996</v>
      </c>
      <c r="AE116" s="28" cm="1">
        <f t="array" ref="AE116">AE$106+IF($C116&lt;&gt;0,SUMPRODUCT((AE$107:AE$108)*TRANSPOSE(($D116:$E116))),0)</f>
        <v>927595.26352858334</v>
      </c>
      <c r="AF116" s="28" cm="1">
        <f t="array" ref="AF116">AF$106+IF($C116&lt;&gt;0,SUMPRODUCT((AF$107:AF$108)*TRANSPOSE(($D116:$E116))),0)</f>
        <v>936605.30144873052</v>
      </c>
      <c r="AG116" s="28" cm="1">
        <f t="array" ref="AG116">AG$106+IF($C116&lt;&gt;0,SUMPRODUCT((AG$107:AG$108)*TRANSPOSE(($D116:$E116))),0)</f>
        <v>945637.33869657223</v>
      </c>
    </row>
    <row r="117" spans="1:33" x14ac:dyDescent="0.2">
      <c r="A117" s="1" t="str">
        <f>"sens"&amp;Assumptions!B118</f>
        <v>sens</v>
      </c>
      <c r="C117" s="252">
        <f>Assumptions!C118</f>
        <v>0</v>
      </c>
      <c r="D117" s="253">
        <f>Assumptions!G118</f>
        <v>0</v>
      </c>
      <c r="E117" s="253">
        <f>Assumptions!H118</f>
        <v>0</v>
      </c>
      <c r="G117" s="34" t="str">
        <f t="shared" si="20"/>
        <v>Option 2sens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-215999.01686434684</v>
      </c>
      <c r="K117" s="28" cm="1">
        <f t="array" ref="K117">K$106+IF($C117&lt;&gt;0,SUMPRODUCT((K$107:K$108)*TRANSPOSE(($D117:$E117))),0)</f>
        <v>653473.64010166796</v>
      </c>
      <c r="L117" s="28" cm="1">
        <f t="array" ref="L117">L$106+IF($C117&lt;&gt;0,SUMPRODUCT((L$107:L$108)*TRANSPOSE(($D117:$E117))),0)</f>
        <v>672931.99638337502</v>
      </c>
      <c r="M117" s="28" cm="1">
        <f t="array" ref="M117">M$106+IF($C117&lt;&gt;0,SUMPRODUCT((M$107:M$108)*TRANSPOSE(($D117:$E117))),0)</f>
        <v>692099.27730033081</v>
      </c>
      <c r="N117" s="28" cm="1">
        <f t="array" ref="N117">N$106+IF($C117&lt;&gt;0,SUMPRODUCT((N$107:N$108)*TRANSPOSE(($D117:$E117))),0)</f>
        <v>714631.96455732547</v>
      </c>
      <c r="O117" s="28" cm="1">
        <f t="array" ref="O117">O$106+IF($C117&lt;&gt;0,SUMPRODUCT((O$107:O$108)*TRANSPOSE(($D117:$E117))),0)</f>
        <v>746436.06158278021</v>
      </c>
      <c r="P117" s="28" cm="1">
        <f t="array" ref="P117">P$106+IF($C117&lt;&gt;0,SUMPRODUCT((P$107:P$108)*TRANSPOSE(($D117:$E117))),0)</f>
        <v>779933.29208759661</v>
      </c>
      <c r="Q117" s="28" cm="1">
        <f t="array" ref="Q117">Q$106+IF($C117&lt;&gt;0,SUMPRODUCT((Q$107:Q$108)*TRANSPOSE(($D117:$E117))),0)</f>
        <v>803192.33138289931</v>
      </c>
      <c r="R117" s="28" cm="1">
        <f t="array" ref="R117">R$106+IF($C117&lt;&gt;0,SUMPRODUCT((R$107:R$108)*TRANSPOSE(($D117:$E117))),0)</f>
        <v>811355.08342868346</v>
      </c>
      <c r="S117" s="28" cm="1">
        <f t="array" ref="S117">S$106+IF($C117&lt;&gt;0,SUMPRODUCT((S$107:S$108)*TRANSPOSE(($D117:$E117))),0)</f>
        <v>819726.28822666616</v>
      </c>
      <c r="T117" s="28" cm="1">
        <f t="array" ref="T117">T$106+IF($C117&lt;&gt;0,SUMPRODUCT((T$107:T$108)*TRANSPOSE(($D117:$E117))),0)</f>
        <v>828266.59764702525</v>
      </c>
      <c r="U117" s="28" cm="1">
        <f t="array" ref="U117">U$106+IF($C117&lt;&gt;0,SUMPRODUCT((U$107:U$108)*TRANSPOSE(($D117:$E117))),0)</f>
        <v>836946.14357466646</v>
      </c>
      <c r="V117" s="28" cm="1">
        <f t="array" ref="V117">V$106+IF($C117&lt;&gt;0,SUMPRODUCT((V$107:V$108)*TRANSPOSE(($D117:$E117))),0)</f>
        <v>845741.51932504098</v>
      </c>
      <c r="W117" s="28" cm="1">
        <f t="array" ref="W117">W$106+IF($C117&lt;&gt;0,SUMPRODUCT((W$107:W$108)*TRANSPOSE(($D117:$E117))),0)</f>
        <v>854634.01942504453</v>
      </c>
      <c r="X117" s="28" cm="1">
        <f t="array" ref="X117">X$106+IF($C117&lt;&gt;0,SUMPRODUCT((X$107:X$108)*TRANSPOSE(($D117:$E117))),0)</f>
        <v>863608.58129837085</v>
      </c>
      <c r="Y117" s="28" cm="1">
        <f t="array" ref="Y117">Y$106+IF($C117&lt;&gt;0,SUMPRODUCT((Y$107:Y$108)*TRANSPOSE(($D117:$E117))),0)</f>
        <v>872652.82700166083</v>
      </c>
      <c r="Z117" s="28" cm="1">
        <f t="array" ref="Z117">Z$106+IF($C117&lt;&gt;0,SUMPRODUCT((Z$107:Z$108)*TRANSPOSE(($D117:$E117))),0)</f>
        <v>881756.46425696509</v>
      </c>
      <c r="AA117" s="28" cm="1">
        <f t="array" ref="AA117">AA$106+IF($C117&lt;&gt;0,SUMPRODUCT((AA$107:AA$108)*TRANSPOSE(($D117:$E117))),0)</f>
        <v>890910.82576442813</v>
      </c>
      <c r="AB117" s="28" cm="1">
        <f t="array" ref="AB117">AB$106+IF($C117&lt;&gt;0,SUMPRODUCT((AB$107:AB$108)*TRANSPOSE(($D117:$E117))),0)</f>
        <v>900108.66641928628</v>
      </c>
      <c r="AC117" s="28" cm="1">
        <f t="array" ref="AC117">AC$106+IF($C117&lt;&gt;0,SUMPRODUCT((AC$107:AC$108)*TRANSPOSE(($D117:$E117))),0)</f>
        <v>909343.74526091968</v>
      </c>
      <c r="AD117" s="28" cm="1">
        <f t="array" ref="AD117">AD$106+IF($C117&lt;&gt;0,SUMPRODUCT((AD$107:AD$108)*TRANSPOSE(($D117:$E117))),0)</f>
        <v>918610.74569233996</v>
      </c>
      <c r="AE117" s="28" cm="1">
        <f t="array" ref="AE117">AE$106+IF($C117&lt;&gt;0,SUMPRODUCT((AE$107:AE$108)*TRANSPOSE(($D117:$E117))),0)</f>
        <v>927595.26352858334</v>
      </c>
      <c r="AF117" s="28" cm="1">
        <f t="array" ref="AF117">AF$106+IF($C117&lt;&gt;0,SUMPRODUCT((AF$107:AF$108)*TRANSPOSE(($D117:$E117))),0)</f>
        <v>936605.30144873052</v>
      </c>
      <c r="AG117" s="28" cm="1">
        <f t="array" ref="AG117">AG$106+IF($C117&lt;&gt;0,SUMPRODUCT((AG$107:AG$108)*TRANSPOSE(($D117:$E117))),0)</f>
        <v>945637.33869657223</v>
      </c>
    </row>
    <row r="118" spans="1:33" x14ac:dyDescent="0.2">
      <c r="E118" s="214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</row>
    <row r="129" spans="9:12" x14ac:dyDescent="0.2">
      <c r="I129" s="218"/>
      <c r="J129" s="218"/>
      <c r="K129" s="218"/>
      <c r="L129" s="218"/>
    </row>
    <row r="130" spans="9:12" x14ac:dyDescent="0.2">
      <c r="I130" s="218"/>
      <c r="J130" s="218"/>
      <c r="K130" s="218"/>
      <c r="L130" s="218"/>
    </row>
    <row r="131" spans="9:12" x14ac:dyDescent="0.2">
      <c r="I131" s="218"/>
      <c r="J131" s="218"/>
      <c r="K131" s="218"/>
      <c r="L131" s="218"/>
    </row>
    <row r="132" spans="9:12" x14ac:dyDescent="0.2">
      <c r="I132" s="218"/>
      <c r="J132" s="218"/>
      <c r="K132" s="218"/>
      <c r="L132" s="218"/>
    </row>
    <row r="133" spans="9:12" x14ac:dyDescent="0.2">
      <c r="I133" s="218"/>
      <c r="J133" s="218"/>
      <c r="K133" s="218"/>
      <c r="L133" s="218"/>
    </row>
    <row r="134" spans="9:12" x14ac:dyDescent="0.2">
      <c r="I134" s="218"/>
      <c r="J134" s="218"/>
      <c r="K134" s="218"/>
      <c r="L134" s="218"/>
    </row>
    <row r="135" spans="9:12" x14ac:dyDescent="0.2">
      <c r="I135" s="218"/>
      <c r="J135" s="218"/>
      <c r="K135" s="218"/>
      <c r="L135" s="218"/>
    </row>
    <row r="136" spans="9:12" x14ac:dyDescent="0.2">
      <c r="I136" s="218"/>
      <c r="J136" s="218"/>
      <c r="K136" s="218"/>
      <c r="L136" s="218"/>
    </row>
  </sheetData>
  <conditionalFormatting sqref="E14:E16">
    <cfRule type="expression" dxfId="10" priority="1">
      <formula>AND(SUM($I14:$AB14)&lt;&gt;0, E14=0)</formula>
    </cfRule>
  </conditionalFormatting>
  <conditionalFormatting sqref="E28">
    <cfRule type="expression" dxfId="9" priority="236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4F65EB60-FCE6-4945-964C-D8B8AF8E6CEB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8E919-3C6A-4976-AA18-0C14B57A2441}">
  <sheetPr codeName="Sheet5">
    <tabColor rgb="FF0099FF"/>
  </sheetPr>
  <dimension ref="A1:XER117"/>
  <sheetViews>
    <sheetView showGridLines="0" zoomScale="85" zoomScaleNormal="85" workbookViewId="0">
      <pane xSplit="7" ySplit="10" topLeftCell="H11" activePane="bottomRight" state="frozen"/>
      <selection activeCell="A3" sqref="A3"/>
      <selection pane="topRight" activeCell="A3" sqref="A3"/>
      <selection pane="bottomLeft" activeCell="A3" sqref="A3"/>
      <selection pane="bottomRight" activeCell="A3" sqref="A3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3.3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CitiPower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NC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7" t="s">
        <v>154</v>
      </c>
      <c r="B3" s="5"/>
      <c r="C3" s="175" t="str">
        <f>INDEX(Assumptions!$E$14:$E$18, MATCH(A3,_xlfn.ANCHORARRAY( Assumptions!$C$14),0))</f>
        <v>Refurbish #1 transformer completed in 2026-2027</v>
      </c>
    </row>
    <row r="4" spans="1:43" x14ac:dyDescent="0.2">
      <c r="A4" s="1" t="str">
        <f>(INDEX(Data!$D$9:$D$13, MATCH(A3, options,0)))</f>
        <v/>
      </c>
      <c r="B4" s="162"/>
      <c r="C4" s="211"/>
    </row>
    <row r="5" spans="1:43" hidden="1" outlineLevel="1" x14ac:dyDescent="0.2">
      <c r="C5" s="86"/>
      <c r="D5" s="85"/>
      <c r="E5" s="87"/>
      <c r="F5" s="87"/>
      <c r="G5" s="85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</row>
    <row r="6" spans="1:43" hidden="1" outlineLevel="1" x14ac:dyDescent="0.2">
      <c r="A6" s="85" t="str">
        <f>'Option1 (base case)'!A6</f>
        <v>Count</v>
      </c>
      <c r="B6" s="85"/>
      <c r="C6" s="86"/>
      <c r="D6" s="85"/>
      <c r="E6" s="87"/>
      <c r="F6" s="87"/>
      <c r="G6" s="85"/>
      <c r="H6" s="88"/>
      <c r="I6" s="88">
        <f>'Option1 (base case)'!I6</f>
        <v>1</v>
      </c>
      <c r="J6" s="88">
        <f>'Option1 (base case)'!J6</f>
        <v>2</v>
      </c>
      <c r="K6" s="88">
        <f>'Option1 (base case)'!K6</f>
        <v>3</v>
      </c>
      <c r="L6" s="88">
        <f>'Option1 (base case)'!L6</f>
        <v>4</v>
      </c>
      <c r="M6" s="88">
        <f>'Option1 (base case)'!M6</f>
        <v>5</v>
      </c>
      <c r="N6" s="88">
        <f>'Option1 (base case)'!N6</f>
        <v>6</v>
      </c>
      <c r="O6" s="88">
        <f>'Option1 (base case)'!O6</f>
        <v>7</v>
      </c>
      <c r="P6" s="88">
        <f>'Option1 (base case)'!P6</f>
        <v>8</v>
      </c>
      <c r="Q6" s="88">
        <f>'Option1 (base case)'!Q6</f>
        <v>9</v>
      </c>
      <c r="R6" s="88">
        <f>'Option1 (base case)'!R6</f>
        <v>10</v>
      </c>
      <c r="S6" s="88">
        <f>'Option1 (base case)'!S6</f>
        <v>11</v>
      </c>
      <c r="T6" s="88">
        <f>'Option1 (base case)'!T6</f>
        <v>12</v>
      </c>
      <c r="U6" s="88">
        <f>'Option1 (base case)'!U6</f>
        <v>13</v>
      </c>
      <c r="V6" s="88">
        <f>'Option1 (base case)'!V6</f>
        <v>14</v>
      </c>
      <c r="W6" s="88">
        <f>'Option1 (base case)'!W6</f>
        <v>15</v>
      </c>
      <c r="X6" s="88">
        <f>'Option1 (base case)'!X6</f>
        <v>16</v>
      </c>
      <c r="Y6" s="88">
        <f>'Option1 (base case)'!Y6</f>
        <v>17</v>
      </c>
      <c r="Z6" s="88">
        <f>'Option1 (base case)'!Z6</f>
        <v>18</v>
      </c>
      <c r="AA6" s="88">
        <f>'Option1 (base case)'!AA6</f>
        <v>19</v>
      </c>
      <c r="AB6" s="88">
        <f>'Option1 (base case)'!AB6</f>
        <v>20</v>
      </c>
      <c r="AC6" s="88">
        <f>'Option1 (base case)'!AC6</f>
        <v>21</v>
      </c>
      <c r="AD6" s="88">
        <f>'Option1 (base case)'!AD6</f>
        <v>22</v>
      </c>
      <c r="AE6" s="88">
        <f>'Option1 (base case)'!AE6</f>
        <v>23</v>
      </c>
      <c r="AF6" s="88">
        <f>'Option1 (base case)'!AF6</f>
        <v>24</v>
      </c>
      <c r="AG6" s="88">
        <f>'Option1 (base case)'!AG6</f>
        <v>25</v>
      </c>
    </row>
    <row r="7" spans="1:43" hidden="1" outlineLevel="1" x14ac:dyDescent="0.2">
      <c r="A7" s="85" t="str">
        <f>'Option1 (base case)'!A7</f>
        <v>Value of CO2 reductions</v>
      </c>
      <c r="B7" s="85"/>
      <c r="G7" s="137" t="s">
        <v>108</v>
      </c>
      <c r="I7" s="86">
        <f>'Option1 (base case)'!I7</f>
        <v>24.730486797759085</v>
      </c>
      <c r="J7" s="86">
        <f>'Option1 (base case)'!J7</f>
        <v>22.340740091772258</v>
      </c>
      <c r="K7" s="86">
        <f>'Option1 (base case)'!K7</f>
        <v>20.196329122153124</v>
      </c>
      <c r="L7" s="86">
        <f>'Option1 (base case)'!L7</f>
        <v>18.06294207659629</v>
      </c>
      <c r="M7" s="86">
        <f>'Option1 (base case)'!M7</f>
        <v>15.913397615084225</v>
      </c>
      <c r="N7" s="86">
        <f>'Option1 (base case)'!N7</f>
        <v>13.715069432539002</v>
      </c>
      <c r="O7" s="86">
        <f>'Option1 (base case)'!O7</f>
        <v>13.715069432539002</v>
      </c>
      <c r="P7" s="86">
        <f>'Option1 (base case)'!P7</f>
        <v>13.715069432539002</v>
      </c>
      <c r="Q7" s="86">
        <f>'Option1 (base case)'!Q7</f>
        <v>13.715069432539002</v>
      </c>
      <c r="R7" s="86">
        <f>'Option1 (base case)'!R7</f>
        <v>13.715069432539002</v>
      </c>
      <c r="S7" s="86">
        <f>'Option1 (base case)'!S7</f>
        <v>13.715069432539002</v>
      </c>
      <c r="T7" s="86">
        <f>'Option1 (base case)'!T7</f>
        <v>13.715069432539002</v>
      </c>
      <c r="U7" s="86">
        <f>'Option1 (base case)'!U7</f>
        <v>13.715069432539002</v>
      </c>
      <c r="V7" s="86">
        <f>'Option1 (base case)'!V7</f>
        <v>13.715069432539002</v>
      </c>
      <c r="W7" s="86">
        <f>'Option1 (base case)'!W7</f>
        <v>13.715069432539002</v>
      </c>
      <c r="X7" s="86">
        <f>'Option1 (base case)'!X7</f>
        <v>13.715069432539002</v>
      </c>
      <c r="Y7" s="86">
        <f>'Option1 (base case)'!Y7</f>
        <v>13.715069432539002</v>
      </c>
      <c r="Z7" s="86">
        <f>'Option1 (base case)'!Z7</f>
        <v>13.715069432539002</v>
      </c>
      <c r="AA7" s="86">
        <f>'Option1 (base case)'!AA7</f>
        <v>13.715069432539002</v>
      </c>
      <c r="AB7" s="86">
        <f>'Option1 (base case)'!AB7</f>
        <v>13.715069432539002</v>
      </c>
      <c r="AC7" s="86">
        <f>'Option1 (base case)'!AC7</f>
        <v>13.715069432539002</v>
      </c>
      <c r="AD7" s="86">
        <f>'Option1 (base case)'!AD7</f>
        <v>13.715069432539002</v>
      </c>
      <c r="AE7" s="86">
        <f>'Option1 (base case)'!AE7</f>
        <v>13.715069432539002</v>
      </c>
      <c r="AF7" s="86">
        <f>'Option1 (base case)'!AF7</f>
        <v>13.715069432539002</v>
      </c>
      <c r="AG7" s="86">
        <f>'Option1 (base case)'!AG7</f>
        <v>13.715069432539002</v>
      </c>
    </row>
    <row r="8" spans="1:43" ht="6.75" customHeight="1" collapsed="1" x14ac:dyDescent="0.2">
      <c r="C8" s="86"/>
      <c r="D8" s="85"/>
      <c r="E8" s="87"/>
      <c r="F8" s="87"/>
      <c r="G8" s="85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</row>
    <row r="9" spans="1:43" ht="15" x14ac:dyDescent="0.2">
      <c r="A9" s="16"/>
      <c r="B9" s="16"/>
      <c r="C9" s="16"/>
      <c r="D9" s="16"/>
      <c r="E9" s="16"/>
      <c r="F9" s="120"/>
      <c r="G9" s="16" t="s">
        <v>109</v>
      </c>
      <c r="H9" s="193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110</v>
      </c>
      <c r="B11" s="78"/>
      <c r="C11" s="79"/>
      <c r="D11" s="79"/>
      <c r="E11" s="79"/>
      <c r="F11" s="79"/>
      <c r="G11" s="178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</row>
    <row r="12" spans="1:43" x14ac:dyDescent="0.2">
      <c r="A12" s="3"/>
      <c r="B12" s="3"/>
      <c r="C12" s="3"/>
      <c r="D12" s="3"/>
      <c r="G12" s="179"/>
      <c r="AH12"/>
    </row>
    <row r="13" spans="1:43" x14ac:dyDescent="0.2">
      <c r="C13" s="3" t="s">
        <v>103</v>
      </c>
      <c r="D13"/>
      <c r="E13" s="105" t="s">
        <v>111</v>
      </c>
      <c r="G13" s="180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155</v>
      </c>
      <c r="D14"/>
      <c r="E14" s="126">
        <v>20</v>
      </c>
      <c r="G14" s="181">
        <f>input_dollars</f>
        <v>45291</v>
      </c>
      <c r="H14" s="127"/>
      <c r="I14" s="29">
        <f>Workings_costs!E34</f>
        <v>530000</v>
      </c>
      <c r="J14" s="29">
        <f>Workings_costs!F34</f>
        <v>0</v>
      </c>
      <c r="K14" s="29">
        <f>Workings_costs!G34</f>
        <v>0</v>
      </c>
      <c r="L14" s="29">
        <f>Workings_costs!H34</f>
        <v>0</v>
      </c>
      <c r="M14" s="29">
        <f>Workings_costs!I34</f>
        <v>0</v>
      </c>
      <c r="N14" s="29">
        <f>Workings_costs!J34</f>
        <v>0</v>
      </c>
      <c r="O14" s="29">
        <f>Workings_costs!K34</f>
        <v>0</v>
      </c>
      <c r="P14" s="29">
        <f>Workings_costs!L34</f>
        <v>0</v>
      </c>
      <c r="Q14" s="29">
        <f>Workings_costs!M34</f>
        <v>0</v>
      </c>
      <c r="R14" s="29">
        <f>Workings_costs!N34</f>
        <v>0</v>
      </c>
      <c r="S14" s="29">
        <f>Workings_costs!O34</f>
        <v>0</v>
      </c>
      <c r="T14" s="29">
        <f>Workings_costs!P34</f>
        <v>0</v>
      </c>
      <c r="U14" s="29">
        <f>Workings_costs!Q34</f>
        <v>0</v>
      </c>
      <c r="V14" s="29">
        <f>Workings_costs!R34</f>
        <v>0</v>
      </c>
      <c r="W14" s="29">
        <f>Workings_costs!S34</f>
        <v>0</v>
      </c>
      <c r="X14" s="29">
        <f>Workings_costs!T34</f>
        <v>0</v>
      </c>
      <c r="Y14" s="29">
        <f>Workings_costs!U34</f>
        <v>0</v>
      </c>
      <c r="Z14" s="29">
        <f>Workings_costs!V34</f>
        <v>0</v>
      </c>
      <c r="AA14" s="29">
        <f>Workings_costs!W34</f>
        <v>0</v>
      </c>
      <c r="AB14" s="29">
        <f>Workings_costs!X34</f>
        <v>0</v>
      </c>
      <c r="AC14" s="29">
        <f>Workings_costs!Y34</f>
        <v>0</v>
      </c>
      <c r="AD14" s="29">
        <f>Workings_costs!Z34</f>
        <v>0</v>
      </c>
      <c r="AE14" s="29">
        <f>Workings_costs!AA34</f>
        <v>0</v>
      </c>
      <c r="AF14" s="29">
        <f>Workings_costs!AB34</f>
        <v>0</v>
      </c>
      <c r="AG14" s="29">
        <f>Workings_costs!AC34</f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/>
      <c r="D15"/>
      <c r="E15" s="126">
        <v>0</v>
      </c>
      <c r="G15" s="181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/>
      <c r="D16"/>
      <c r="E16" s="126">
        <v>0</v>
      </c>
      <c r="G16" s="181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32</v>
      </c>
      <c r="G17" s="181">
        <f>input_dollars</f>
        <v>45291</v>
      </c>
      <c r="H17" s="94"/>
      <c r="I17" s="93">
        <f t="shared" ref="I17:Q17" si="0">SUM(I14:I16)</f>
        <v>530000</v>
      </c>
      <c r="J17" s="93">
        <f t="shared" si="0"/>
        <v>0</v>
      </c>
      <c r="K17" s="93">
        <f t="shared" si="0"/>
        <v>0</v>
      </c>
      <c r="L17" s="93">
        <f t="shared" si="0"/>
        <v>0</v>
      </c>
      <c r="M17" s="93">
        <f t="shared" si="0"/>
        <v>0</v>
      </c>
      <c r="N17" s="93">
        <f t="shared" si="0"/>
        <v>0</v>
      </c>
      <c r="O17" s="93">
        <f t="shared" si="0"/>
        <v>0</v>
      </c>
      <c r="P17" s="93">
        <f t="shared" si="0"/>
        <v>0</v>
      </c>
      <c r="Q17" s="93">
        <f t="shared" si="0"/>
        <v>0</v>
      </c>
      <c r="R17" s="93">
        <f t="shared" ref="R17:AB17" si="1">SUM(R14:R16)</f>
        <v>0</v>
      </c>
      <c r="S17" s="93">
        <f t="shared" si="1"/>
        <v>0</v>
      </c>
      <c r="T17" s="93">
        <f t="shared" si="1"/>
        <v>0</v>
      </c>
      <c r="U17" s="93">
        <f t="shared" si="1"/>
        <v>0</v>
      </c>
      <c r="V17" s="93">
        <f t="shared" si="1"/>
        <v>0</v>
      </c>
      <c r="W17" s="93">
        <f t="shared" si="1"/>
        <v>0</v>
      </c>
      <c r="X17" s="93">
        <f t="shared" si="1"/>
        <v>0</v>
      </c>
      <c r="Y17" s="93">
        <f t="shared" si="1"/>
        <v>0</v>
      </c>
      <c r="Z17" s="93">
        <f t="shared" si="1"/>
        <v>0</v>
      </c>
      <c r="AA17" s="93">
        <f t="shared" si="1"/>
        <v>0</v>
      </c>
      <c r="AB17" s="93">
        <f t="shared" si="1"/>
        <v>0</v>
      </c>
      <c r="AC17" s="93">
        <f>SUM(AC14:AC16)</f>
        <v>0</v>
      </c>
      <c r="AD17" s="93">
        <f>SUM(AD14:AD16)</f>
        <v>0</v>
      </c>
      <c r="AE17" s="93">
        <f>SUM(AE14:AE16)</f>
        <v>0</v>
      </c>
      <c r="AF17" s="93">
        <f>SUM(AF14:AF16)</f>
        <v>0</v>
      </c>
      <c r="AG17" s="93">
        <f>SUM(AG14:AG16)</f>
        <v>0</v>
      </c>
      <c r="AH17"/>
    </row>
    <row r="18" spans="1:43" x14ac:dyDescent="0.2">
      <c r="C18"/>
      <c r="D18"/>
      <c r="E18"/>
      <c r="G18" s="180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33</v>
      </c>
      <c r="D19"/>
      <c r="E19"/>
      <c r="F19" s="94"/>
      <c r="G19" s="181">
        <f>input_dollars</f>
        <v>45291</v>
      </c>
      <c r="H19" s="94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  <c r="AH19"/>
    </row>
    <row r="20" spans="1:43" x14ac:dyDescent="0.2">
      <c r="G20" s="179"/>
      <c r="AH20"/>
    </row>
    <row r="21" spans="1:43" x14ac:dyDescent="0.2">
      <c r="C21"/>
      <c r="D21"/>
      <c r="E21"/>
      <c r="G21" s="180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113</v>
      </c>
      <c r="B22" s="78"/>
      <c r="C22" s="78"/>
      <c r="D22" s="78"/>
      <c r="E22" s="78"/>
      <c r="F22" s="78"/>
      <c r="G22" s="1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8"/>
      <c r="B23" s="98"/>
      <c r="C23" s="98"/>
      <c r="D23" s="98"/>
      <c r="E23" s="98"/>
      <c r="F23" s="98"/>
      <c r="G23" s="182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8"/>
      <c r="B24" s="98"/>
      <c r="C24" s="1" t="s">
        <v>114</v>
      </c>
      <c r="D24" s="98"/>
      <c r="E24" s="98"/>
      <c r="F24" s="98"/>
      <c r="G24" s="182"/>
      <c r="H24" s="98"/>
      <c r="I24" s="145">
        <v>0</v>
      </c>
      <c r="J24" s="145">
        <v>0</v>
      </c>
      <c r="K24" s="145">
        <v>0</v>
      </c>
      <c r="L24" s="145">
        <v>0</v>
      </c>
      <c r="M24" s="145">
        <v>0</v>
      </c>
      <c r="N24" s="145">
        <v>0</v>
      </c>
      <c r="O24" s="145">
        <v>0</v>
      </c>
      <c r="P24" s="145">
        <v>0</v>
      </c>
      <c r="Q24" s="145">
        <v>0</v>
      </c>
      <c r="R24" s="145">
        <v>0</v>
      </c>
      <c r="S24" s="145">
        <v>0</v>
      </c>
      <c r="T24" s="145">
        <v>0</v>
      </c>
      <c r="U24" s="145">
        <v>0</v>
      </c>
      <c r="V24" s="145">
        <v>0</v>
      </c>
      <c r="W24" s="145">
        <v>0</v>
      </c>
      <c r="X24" s="145">
        <v>0</v>
      </c>
      <c r="Y24" s="145">
        <v>0</v>
      </c>
      <c r="Z24" s="145">
        <v>0</v>
      </c>
      <c r="AA24" s="145">
        <v>0</v>
      </c>
      <c r="AB24" s="145">
        <v>0</v>
      </c>
      <c r="AC24" s="145">
        <v>0</v>
      </c>
      <c r="AD24" s="145">
        <v>0</v>
      </c>
      <c r="AE24" s="145">
        <v>0</v>
      </c>
      <c r="AF24" s="145">
        <v>0</v>
      </c>
      <c r="AG24" s="145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8"/>
      <c r="B25" s="98"/>
      <c r="C25" s="1" t="s">
        <v>115</v>
      </c>
      <c r="D25" s="182"/>
      <c r="E25" s="98"/>
      <c r="F25" s="98"/>
      <c r="G25" s="182"/>
      <c r="H25" s="98"/>
      <c r="I25" s="145">
        <v>0</v>
      </c>
      <c r="J25" s="145">
        <v>0</v>
      </c>
      <c r="K25" s="145">
        <v>0</v>
      </c>
      <c r="L25" s="145">
        <v>0</v>
      </c>
      <c r="M25" s="145">
        <v>0</v>
      </c>
      <c r="N25" s="145">
        <v>0</v>
      </c>
      <c r="O25" s="145">
        <v>0</v>
      </c>
      <c r="P25" s="145">
        <v>0</v>
      </c>
      <c r="Q25" s="145">
        <v>0</v>
      </c>
      <c r="R25" s="145">
        <v>0</v>
      </c>
      <c r="S25" s="145">
        <v>0</v>
      </c>
      <c r="T25" s="145">
        <v>0</v>
      </c>
      <c r="U25" s="145">
        <v>0</v>
      </c>
      <c r="V25" s="145">
        <v>0</v>
      </c>
      <c r="W25" s="145">
        <v>0</v>
      </c>
      <c r="X25" s="145">
        <v>0</v>
      </c>
      <c r="Y25" s="145">
        <v>0</v>
      </c>
      <c r="Z25" s="145">
        <v>0</v>
      </c>
      <c r="AA25" s="145">
        <v>0</v>
      </c>
      <c r="AB25" s="145">
        <v>0</v>
      </c>
      <c r="AC25" s="145">
        <v>0</v>
      </c>
      <c r="AD25" s="145">
        <v>0</v>
      </c>
      <c r="AE25" s="145">
        <v>0</v>
      </c>
      <c r="AF25" s="145">
        <v>0</v>
      </c>
      <c r="AG25" s="145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8"/>
      <c r="B26" s="98"/>
      <c r="C26" s="98"/>
      <c r="D26" s="182"/>
      <c r="E26" s="98"/>
      <c r="F26" s="98"/>
      <c r="G26" s="182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116</v>
      </c>
      <c r="D27" s="179"/>
      <c r="E27"/>
      <c r="G27" s="181" t="s">
        <v>117</v>
      </c>
      <c r="H27"/>
      <c r="I27" s="144">
        <v>0</v>
      </c>
      <c r="J27" s="144">
        <v>0</v>
      </c>
      <c r="K27" s="144">
        <v>0</v>
      </c>
      <c r="L27" s="144">
        <v>0</v>
      </c>
      <c r="M27" s="144">
        <v>0</v>
      </c>
      <c r="N27" s="144">
        <v>0</v>
      </c>
      <c r="O27" s="144">
        <v>0</v>
      </c>
      <c r="P27" s="144">
        <v>0</v>
      </c>
      <c r="Q27" s="144">
        <v>0</v>
      </c>
      <c r="R27" s="144">
        <v>0</v>
      </c>
      <c r="S27" s="144">
        <v>0</v>
      </c>
      <c r="T27" s="144">
        <v>0</v>
      </c>
      <c r="U27" s="144">
        <v>0</v>
      </c>
      <c r="V27" s="144">
        <v>0</v>
      </c>
      <c r="W27" s="144">
        <v>0</v>
      </c>
      <c r="X27" s="144">
        <v>0</v>
      </c>
      <c r="Y27" s="144">
        <v>0</v>
      </c>
      <c r="Z27" s="144">
        <v>0</v>
      </c>
      <c r="AA27" s="144">
        <v>0</v>
      </c>
      <c r="AB27" s="144">
        <v>0</v>
      </c>
      <c r="AC27" s="144">
        <v>0</v>
      </c>
      <c r="AD27" s="144">
        <v>0</v>
      </c>
      <c r="AE27" s="144">
        <v>0</v>
      </c>
      <c r="AF27" s="144">
        <v>0</v>
      </c>
      <c r="AG27" s="144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118</v>
      </c>
      <c r="D28" s="179" t="s">
        <v>108</v>
      </c>
      <c r="E28" s="100">
        <f>Assumptions!H41*vcr_esc</f>
        <v>44330.651153933512</v>
      </c>
      <c r="F28" s="211" t="str">
        <f>IF(AND(SUM(I27:AG27)&lt;&gt;0, E28=0), "!", "")</f>
        <v/>
      </c>
      <c r="G28" s="181">
        <f>input_dollars</f>
        <v>45291</v>
      </c>
      <c r="H28"/>
      <c r="I28" s="144">
        <f>Workings_risks!E35</f>
        <v>897865.0488590746</v>
      </c>
      <c r="J28" s="144">
        <f>Workings_risks!F35</f>
        <v>926328.66113121528</v>
      </c>
      <c r="K28" s="144">
        <f>Workings_risks!G35</f>
        <v>971070.01286631741</v>
      </c>
      <c r="L28" s="144">
        <f>Workings_risks!H35</f>
        <v>1014948.1328586424</v>
      </c>
      <c r="M28" s="144">
        <f>Workings_risks!I35</f>
        <v>1057984.1188091058</v>
      </c>
      <c r="N28" s="144">
        <f>Workings_risks!J35</f>
        <v>1104689.7270437279</v>
      </c>
      <c r="O28" s="144">
        <f>Workings_risks!K35</f>
        <v>1162053.1616432818</v>
      </c>
      <c r="P28" s="144">
        <f>Workings_risks!L35</f>
        <v>1222273.3401106261</v>
      </c>
      <c r="Q28" s="144">
        <f>Workings_risks!M35</f>
        <v>1271835.430639415</v>
      </c>
      <c r="R28" s="144">
        <f>Workings_risks!N35</f>
        <v>1304453.0737521735</v>
      </c>
      <c r="S28" s="144">
        <f>Workings_risks!O35</f>
        <v>1337417.2604431899</v>
      </c>
      <c r="T28" s="144">
        <f>Workings_risks!P35</f>
        <v>1370726.805863013</v>
      </c>
      <c r="U28" s="144">
        <f>Workings_risks!Q35</f>
        <v>1404380.5263744371</v>
      </c>
      <c r="V28" s="144">
        <f>Workings_risks!R35</f>
        <v>1438377.2813606029</v>
      </c>
      <c r="W28" s="144">
        <f>Workings_risks!S35</f>
        <v>1472715.9732440878</v>
      </c>
      <c r="X28" s="144">
        <f>Workings_risks!T35</f>
        <v>1507395.5056346867</v>
      </c>
      <c r="Y28" s="144">
        <f>Workings_risks!U35</f>
        <v>1542414.8251766525</v>
      </c>
      <c r="Z28" s="144">
        <f>Workings_risks!V35</f>
        <v>1577772.8796745602</v>
      </c>
      <c r="AA28" s="144">
        <f>Workings_risks!W35</f>
        <v>1613468.6599667785</v>
      </c>
      <c r="AB28" s="144">
        <f>Workings_risks!X35</f>
        <v>1649501.1999516834</v>
      </c>
      <c r="AC28" s="144">
        <f>Workings_risks!Y35</f>
        <v>1685869.4927448428</v>
      </c>
      <c r="AD28" s="144">
        <f>Workings_risks!Z35</f>
        <v>1722572.6164257242</v>
      </c>
      <c r="AE28" s="144">
        <f>Workings_risks!AA35</f>
        <v>1759609.6292288443</v>
      </c>
      <c r="AF28" s="144">
        <f>Workings_risks!AB35</f>
        <v>1796979.6534268553</v>
      </c>
      <c r="AG28" s="144">
        <f>Workings_risks!AC35</f>
        <v>1834681.8124149938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0"/>
      <c r="E29"/>
      <c r="G29" s="181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tr">
        <f>'Option1 (base case)'!C30</f>
        <v>Safety risk</v>
      </c>
      <c r="D30" s="179" t="s">
        <v>119</v>
      </c>
      <c r="G30" s="181">
        <f>input_dollars</f>
        <v>45291</v>
      </c>
      <c r="H30" s="127"/>
      <c r="I30" s="144">
        <f>Workings_risks!E36</f>
        <v>509.34510415978644</v>
      </c>
      <c r="J30" s="144">
        <f>Workings_risks!F36</f>
        <v>366.87564326958244</v>
      </c>
      <c r="K30" s="144">
        <f>Workings_risks!G36</f>
        <v>377.33099199851983</v>
      </c>
      <c r="L30" s="144">
        <f>Workings_risks!H36</f>
        <v>387.90700579264933</v>
      </c>
      <c r="M30" s="144">
        <f>Workings_risks!I36</f>
        <v>398.6031132937743</v>
      </c>
      <c r="N30" s="144">
        <f>Workings_risks!J36</f>
        <v>409.41873591131633</v>
      </c>
      <c r="O30" s="144">
        <f>Workings_risks!K36</f>
        <v>420.35330228707852</v>
      </c>
      <c r="P30" s="144">
        <f>Workings_risks!L36</f>
        <v>431.40626276001137</v>
      </c>
      <c r="Q30" s="144">
        <f>Workings_risks!M36</f>
        <v>442.57708213382955</v>
      </c>
      <c r="R30" s="144">
        <f>Workings_risks!N36</f>
        <v>453.86522521224754</v>
      </c>
      <c r="S30" s="144">
        <f>Workings_risks!O36</f>
        <v>465.27017126374471</v>
      </c>
      <c r="T30" s="144">
        <f>Workings_risks!P36</f>
        <v>476.79141402156455</v>
      </c>
      <c r="U30" s="144">
        <f>Workings_risks!Q36</f>
        <v>488.42844721895079</v>
      </c>
      <c r="V30" s="144">
        <f>Workings_risks!R36</f>
        <v>500.18077905391141</v>
      </c>
      <c r="W30" s="144">
        <f>Workings_risks!S36</f>
        <v>512.04793218921907</v>
      </c>
      <c r="X30" s="144">
        <f>Workings_risks!T36</f>
        <v>524.02942928764628</v>
      </c>
      <c r="Y30" s="144">
        <f>Workings_risks!U36</f>
        <v>536.12480747672998</v>
      </c>
      <c r="Z30" s="144">
        <f>Workings_risks!V36</f>
        <v>548.33360388400729</v>
      </c>
      <c r="AA30" s="144">
        <f>Workings_risks!W36</f>
        <v>560.65537010177968</v>
      </c>
      <c r="AB30" s="144">
        <f>Workings_risks!X36</f>
        <v>573.08967218711314</v>
      </c>
      <c r="AC30" s="144">
        <f>Workings_risks!Y36</f>
        <v>585.63606173230914</v>
      </c>
      <c r="AD30" s="144">
        <f>Workings_risks!Z36</f>
        <v>598.29411925919806</v>
      </c>
      <c r="AE30" s="144">
        <f>Workings_risks!AA36</f>
        <v>598.29411925919806</v>
      </c>
      <c r="AF30" s="144">
        <f>Workings_risks!AB36</f>
        <v>598.29411925919806</v>
      </c>
      <c r="AG30" s="144">
        <f>Workings_risks!AC36</f>
        <v>598.29411925919806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tr">
        <f>'Option1 (base case)'!C31</f>
        <v>Unplanned replacement risk</v>
      </c>
      <c r="D31" s="180"/>
      <c r="E31"/>
      <c r="G31" s="181">
        <f>input_dollars</f>
        <v>45291</v>
      </c>
      <c r="H31" s="127"/>
      <c r="I31" s="144">
        <f>Workings_risks!E37</f>
        <v>25689.870432828979</v>
      </c>
      <c r="J31" s="144">
        <f>Workings_risks!F37</f>
        <v>25905.781225766936</v>
      </c>
      <c r="K31" s="144">
        <f>Workings_risks!G37</f>
        <v>26644.053121925299</v>
      </c>
      <c r="L31" s="144">
        <f>Workings_risks!H37</f>
        <v>27390.845405952969</v>
      </c>
      <c r="M31" s="144">
        <f>Workings_risks!I37</f>
        <v>28146.117733169904</v>
      </c>
      <c r="N31" s="144">
        <f>Workings_risks!J37</f>
        <v>28909.82924820394</v>
      </c>
      <c r="O31" s="144">
        <f>Workings_risks!K37</f>
        <v>29681.939606375021</v>
      </c>
      <c r="P31" s="144">
        <f>Workings_risks!L37</f>
        <v>30462.409995079586</v>
      </c>
      <c r="Q31" s="144">
        <f>Workings_risks!M37</f>
        <v>31251.202623098357</v>
      </c>
      <c r="R31" s="144">
        <f>Workings_risks!N37</f>
        <v>32048.279699212064</v>
      </c>
      <c r="S31" s="144">
        <f>Workings_risks!O37</f>
        <v>32853.604453585736</v>
      </c>
      <c r="T31" s="144">
        <f>Workings_risks!P37</f>
        <v>33667.141137768711</v>
      </c>
      <c r="U31" s="144">
        <f>Workings_risks!Q37</f>
        <v>34488.854003310335</v>
      </c>
      <c r="V31" s="144">
        <f>Workings_risks!R37</f>
        <v>35318.708323144245</v>
      </c>
      <c r="W31" s="144">
        <f>Workings_risks!S37</f>
        <v>36156.670391588377</v>
      </c>
      <c r="X31" s="144">
        <f>Workings_risks!T37</f>
        <v>37002.706502960704</v>
      </c>
      <c r="Y31" s="144">
        <f>Workings_risks!U37</f>
        <v>37856.783972963451</v>
      </c>
      <c r="Z31" s="144">
        <f>Workings_risks!V37</f>
        <v>38718.87011729888</v>
      </c>
      <c r="AA31" s="144">
        <f>Workings_risks!W37</f>
        <v>39588.933273053546</v>
      </c>
      <c r="AB31" s="144">
        <f>Workings_risks!X37</f>
        <v>40466.942798698321</v>
      </c>
      <c r="AC31" s="144">
        <f>Workings_risks!Y37</f>
        <v>41352.867031319751</v>
      </c>
      <c r="AD31" s="144">
        <f>Workings_risks!Z37</f>
        <v>42246.676350772992</v>
      </c>
      <c r="AE31" s="144">
        <f>Workings_risks!AA37</f>
        <v>42246.676350772992</v>
      </c>
      <c r="AF31" s="144">
        <f>Workings_risks!AB37</f>
        <v>42246.676350772992</v>
      </c>
      <c r="AG31" s="144">
        <f>Workings_risks!AC37</f>
        <v>42246.676350772992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tr">
        <f>'Option1 (base case)'!C32</f>
        <v>Unplanned fault risk</v>
      </c>
      <c r="D32" s="179"/>
      <c r="E32"/>
      <c r="G32" s="181">
        <f>input_dollars</f>
        <v>45291</v>
      </c>
      <c r="H32"/>
      <c r="I32" s="144">
        <f>Workings_risks!E38</f>
        <v>1880.6461303360002</v>
      </c>
      <c r="J32" s="144">
        <f>Workings_risks!F38</f>
        <v>1219.1477406479999</v>
      </c>
      <c r="K32" s="144">
        <f>Workings_risks!G38</f>
        <v>1253.8914338159998</v>
      </c>
      <c r="L32" s="144">
        <f>Workings_risks!H38</f>
        <v>1289.0361035663998</v>
      </c>
      <c r="M32" s="144">
        <f>Workings_risks!I38</f>
        <v>1324.5798512447998</v>
      </c>
      <c r="N32" s="144">
        <f>Workings_risks!J38</f>
        <v>1360.5207541631999</v>
      </c>
      <c r="O32" s="144">
        <f>Workings_risks!K38</f>
        <v>1396.8569136671999</v>
      </c>
      <c r="P32" s="144">
        <f>Workings_risks!L38</f>
        <v>1433.5865032031998</v>
      </c>
      <c r="Q32" s="144">
        <f>Workings_risks!M38</f>
        <v>1470.7077442847999</v>
      </c>
      <c r="R32" s="144">
        <f>Workings_risks!N38</f>
        <v>1508.2188584256</v>
      </c>
      <c r="S32" s="144">
        <f>Workings_risks!O38</f>
        <v>1546.1181152064</v>
      </c>
      <c r="T32" s="144">
        <f>Workings_risks!P38</f>
        <v>1584.4038322751999</v>
      </c>
      <c r="U32" s="144">
        <f>Workings_risks!Q38</f>
        <v>1623.0743272799998</v>
      </c>
      <c r="V32" s="144">
        <f>Workings_risks!R38</f>
        <v>1662.1279659359998</v>
      </c>
      <c r="W32" s="144">
        <f>Workings_risks!S38</f>
        <v>1701.5631620255999</v>
      </c>
      <c r="X32" s="144">
        <f>Workings_risks!T38</f>
        <v>1741.3783293311999</v>
      </c>
      <c r="Y32" s="144">
        <f>Workings_risks!U38</f>
        <v>1781.5719297023998</v>
      </c>
      <c r="Z32" s="144">
        <f>Workings_risks!V38</f>
        <v>1822.1424249888</v>
      </c>
      <c r="AA32" s="144">
        <f>Workings_risks!W38</f>
        <v>1863.0883251071998</v>
      </c>
      <c r="AB32" s="144">
        <f>Workings_risks!X38</f>
        <v>1904.4081880415999</v>
      </c>
      <c r="AC32" s="144">
        <f>Workings_risks!Y38</f>
        <v>1946.1005237088</v>
      </c>
      <c r="AD32" s="144">
        <f>Workings_risks!Z38</f>
        <v>1988.1639381599998</v>
      </c>
      <c r="AE32" s="144">
        <f>Workings_risks!AA38</f>
        <v>1988.1639381599998</v>
      </c>
      <c r="AF32" s="144">
        <f>Workings_risks!AB38</f>
        <v>1988.1639381599998</v>
      </c>
      <c r="AG32" s="144">
        <f>Workings_risks!AC38</f>
        <v>1988.1639381599998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1" t="str">
        <f>'Option1 (base case)'!C33</f>
        <v>Environmental risk</v>
      </c>
      <c r="D33" s="179" t="s">
        <v>119</v>
      </c>
      <c r="E33"/>
      <c r="G33" s="181">
        <f>input_dollars</f>
        <v>45291</v>
      </c>
      <c r="H33"/>
      <c r="I33" s="144">
        <f>Workings_risks!E39</f>
        <v>1998.2833333333333</v>
      </c>
      <c r="J33" s="144">
        <f>Workings_risks!F39</f>
        <v>499.57083333333333</v>
      </c>
      <c r="K33" s="144">
        <f>Workings_risks!G39</f>
        <v>499.57083333333333</v>
      </c>
      <c r="L33" s="144">
        <f>Workings_risks!H39</f>
        <v>499.57083333333333</v>
      </c>
      <c r="M33" s="144">
        <f>Workings_risks!I39</f>
        <v>499.57083333333333</v>
      </c>
      <c r="N33" s="144">
        <f>Workings_risks!J39</f>
        <v>499.57083333333333</v>
      </c>
      <c r="O33" s="144">
        <f>Workings_risks!K39</f>
        <v>499.57083333333333</v>
      </c>
      <c r="P33" s="144">
        <f>Workings_risks!L39</f>
        <v>499.57083333333333</v>
      </c>
      <c r="Q33" s="144">
        <f>Workings_risks!M39</f>
        <v>499.57083333333333</v>
      </c>
      <c r="R33" s="144">
        <f>Workings_risks!N39</f>
        <v>499.57083333333333</v>
      </c>
      <c r="S33" s="144">
        <f>Workings_risks!O39</f>
        <v>499.57083333333333</v>
      </c>
      <c r="T33" s="144">
        <f>Workings_risks!P39</f>
        <v>499.57083333333333</v>
      </c>
      <c r="U33" s="144">
        <f>Workings_risks!Q39</f>
        <v>499.57083333333333</v>
      </c>
      <c r="V33" s="144">
        <f>Workings_risks!R39</f>
        <v>499.57083333333333</v>
      </c>
      <c r="W33" s="144">
        <f>Workings_risks!S39</f>
        <v>499.57083333333333</v>
      </c>
      <c r="X33" s="144">
        <f>Workings_risks!T39</f>
        <v>499.57083333333333</v>
      </c>
      <c r="Y33" s="144">
        <f>Workings_risks!U39</f>
        <v>499.57083333333333</v>
      </c>
      <c r="Z33" s="144">
        <f>Workings_risks!V39</f>
        <v>499.57083333333333</v>
      </c>
      <c r="AA33" s="144">
        <f>Workings_risks!W39</f>
        <v>499.57083333333333</v>
      </c>
      <c r="AB33" s="144">
        <f>Workings_risks!X39</f>
        <v>499.57083333333333</v>
      </c>
      <c r="AC33" s="144">
        <f>Workings_risks!Y39</f>
        <v>499.57083333333333</v>
      </c>
      <c r="AD33" s="144">
        <f>Workings_risks!Z39</f>
        <v>499.57083333333333</v>
      </c>
      <c r="AE33" s="144">
        <f>Workings_risks!AA39</f>
        <v>499.57083333333333</v>
      </c>
      <c r="AF33" s="144">
        <f>Workings_risks!AB39</f>
        <v>499.57083333333333</v>
      </c>
      <c r="AG33" s="144">
        <f>Workings_risks!AC39</f>
        <v>499.57083333333333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239" t="s">
        <v>120</v>
      </c>
      <c r="D34" s="180"/>
      <c r="E34"/>
      <c r="G34" s="181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D35" s="180"/>
      <c r="E35"/>
      <c r="G35" s="181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C36" s="3" t="s">
        <v>121</v>
      </c>
      <c r="D36" s="191"/>
      <c r="E36" s="94"/>
      <c r="F36" s="3"/>
      <c r="G36" s="183"/>
      <c r="H36" s="94"/>
      <c r="I36" s="146">
        <f>SUM(I28:I34)</f>
        <v>927943.19385973271</v>
      </c>
      <c r="J36" s="146">
        <f t="shared" ref="J36:AB36" si="2">SUM(J28:J34)</f>
        <v>954320.03657423321</v>
      </c>
      <c r="K36" s="146">
        <f t="shared" si="2"/>
        <v>999844.85924739065</v>
      </c>
      <c r="L36" s="146">
        <f t="shared" si="2"/>
        <v>1044515.4922072877</v>
      </c>
      <c r="M36" s="146">
        <f t="shared" si="2"/>
        <v>1088352.9903401476</v>
      </c>
      <c r="N36" s="146">
        <f t="shared" si="2"/>
        <v>1135869.0666153396</v>
      </c>
      <c r="O36" s="146">
        <f t="shared" si="2"/>
        <v>1194051.8822989445</v>
      </c>
      <c r="P36" s="146">
        <f t="shared" si="2"/>
        <v>1255100.3137050022</v>
      </c>
      <c r="Q36" s="146">
        <f t="shared" si="2"/>
        <v>1305499.4889222654</v>
      </c>
      <c r="R36" s="146">
        <f t="shared" si="2"/>
        <v>1338963.0083683566</v>
      </c>
      <c r="S36" s="146">
        <f t="shared" si="2"/>
        <v>1372781.8240165792</v>
      </c>
      <c r="T36" s="146">
        <f t="shared" si="2"/>
        <v>1406954.7130804118</v>
      </c>
      <c r="U36" s="146">
        <f t="shared" si="2"/>
        <v>1441480.4539855798</v>
      </c>
      <c r="V36" s="146">
        <f t="shared" si="2"/>
        <v>1476357.8692620704</v>
      </c>
      <c r="W36" s="146">
        <f t="shared" si="2"/>
        <v>1511585.8255632243</v>
      </c>
      <c r="X36" s="146">
        <f t="shared" si="2"/>
        <v>1547163.1907295997</v>
      </c>
      <c r="Y36" s="146">
        <f t="shared" si="2"/>
        <v>1583088.8767201283</v>
      </c>
      <c r="Z36" s="146">
        <f t="shared" si="2"/>
        <v>1619361.7966540651</v>
      </c>
      <c r="AA36" s="146">
        <f t="shared" si="2"/>
        <v>1655980.9077683743</v>
      </c>
      <c r="AB36" s="146">
        <f t="shared" si="2"/>
        <v>1692945.2114439437</v>
      </c>
      <c r="AC36" s="146">
        <f>SUM(AC28:AC34)</f>
        <v>1730253.6671949371</v>
      </c>
      <c r="AD36" s="146">
        <f>SUM(AD28:AD34)</f>
        <v>1767905.3216672498</v>
      </c>
      <c r="AE36" s="146">
        <f>SUM(AE28:AE34)</f>
        <v>1804942.3344703699</v>
      </c>
      <c r="AF36" s="146">
        <f>SUM(AF28:AF34)</f>
        <v>1842312.3586683809</v>
      </c>
      <c r="AG36" s="146">
        <f>SUM(AG28:AG34)</f>
        <v>1880014.5176565193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x14ac:dyDescent="0.2">
      <c r="D37"/>
      <c r="E37"/>
      <c r="G37" s="181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5" x14ac:dyDescent="0.2">
      <c r="A38" s="78" t="s">
        <v>122</v>
      </c>
      <c r="B38" s="78"/>
      <c r="C38" s="78"/>
      <c r="D38" s="78"/>
      <c r="E38" s="78"/>
      <c r="F38" s="78"/>
      <c r="G38" s="1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1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x14ac:dyDescent="0.2">
      <c r="D40"/>
      <c r="E40"/>
      <c r="G40" s="181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25">
      <c r="C41" s="1" t="s">
        <v>123</v>
      </c>
      <c r="G41" s="179" t="s">
        <v>117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  <c r="AH41"/>
    </row>
    <row r="42" spans="1:16372" ht="13.5" x14ac:dyDescent="0.25">
      <c r="C42" s="1" t="s">
        <v>124</v>
      </c>
      <c r="G42" s="179" t="s">
        <v>125</v>
      </c>
      <c r="I42" s="75">
        <f t="shared" ref="I42:AG42" si="3">I41*I7</f>
        <v>0</v>
      </c>
      <c r="J42" s="75">
        <f t="shared" si="3"/>
        <v>0</v>
      </c>
      <c r="K42" s="75">
        <f t="shared" si="3"/>
        <v>0</v>
      </c>
      <c r="L42" s="75">
        <f t="shared" si="3"/>
        <v>0</v>
      </c>
      <c r="M42" s="75">
        <f t="shared" si="3"/>
        <v>0</v>
      </c>
      <c r="N42" s="75">
        <f t="shared" si="3"/>
        <v>0</v>
      </c>
      <c r="O42" s="75">
        <f t="shared" si="3"/>
        <v>0</v>
      </c>
      <c r="P42" s="75">
        <f t="shared" si="3"/>
        <v>0</v>
      </c>
      <c r="Q42" s="75">
        <f t="shared" si="3"/>
        <v>0</v>
      </c>
      <c r="R42" s="75">
        <f t="shared" si="3"/>
        <v>0</v>
      </c>
      <c r="S42" s="75">
        <f t="shared" si="3"/>
        <v>0</v>
      </c>
      <c r="T42" s="75">
        <f t="shared" si="3"/>
        <v>0</v>
      </c>
      <c r="U42" s="75">
        <f t="shared" si="3"/>
        <v>0</v>
      </c>
      <c r="V42" s="75">
        <f t="shared" si="3"/>
        <v>0</v>
      </c>
      <c r="W42" s="75">
        <f t="shared" si="3"/>
        <v>0</v>
      </c>
      <c r="X42" s="75">
        <f t="shared" si="3"/>
        <v>0</v>
      </c>
      <c r="Y42" s="75">
        <f t="shared" si="3"/>
        <v>0</v>
      </c>
      <c r="Z42" s="75">
        <f t="shared" si="3"/>
        <v>0</v>
      </c>
      <c r="AA42" s="75">
        <f t="shared" si="3"/>
        <v>0</v>
      </c>
      <c r="AB42" s="75">
        <f t="shared" si="3"/>
        <v>0</v>
      </c>
      <c r="AC42" s="75">
        <f t="shared" si="3"/>
        <v>0</v>
      </c>
      <c r="AD42" s="75">
        <f t="shared" si="3"/>
        <v>0</v>
      </c>
      <c r="AE42" s="75">
        <f t="shared" si="3"/>
        <v>0</v>
      </c>
      <c r="AF42" s="75">
        <f t="shared" si="3"/>
        <v>0</v>
      </c>
      <c r="AG42" s="75">
        <f t="shared" si="3"/>
        <v>0</v>
      </c>
      <c r="AH42"/>
    </row>
    <row r="43" spans="1:16372" x14ac:dyDescent="0.2">
      <c r="D43"/>
      <c r="E43"/>
      <c r="G43" s="181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 s="180"/>
      <c r="E44"/>
      <c r="G44" s="181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2">
      <c r="C45" s="1" t="s">
        <v>126</v>
      </c>
      <c r="D45" s="179" t="s">
        <v>108</v>
      </c>
      <c r="E45" s="100">
        <f>Assumptions!G94</f>
        <v>0</v>
      </c>
      <c r="G45" s="181" t="s">
        <v>117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  <c r="AH45"/>
    </row>
    <row r="46" spans="1:16372" x14ac:dyDescent="0.2">
      <c r="C46" s="1" t="s">
        <v>127</v>
      </c>
      <c r="D46" s="179" t="s">
        <v>108</v>
      </c>
      <c r="E46" s="100">
        <f>Assumptions!G95</f>
        <v>0</v>
      </c>
      <c r="G46" s="181" t="s">
        <v>117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  <c r="AH46"/>
    </row>
    <row r="47" spans="1:16372" x14ac:dyDescent="0.2">
      <c r="C47" s="1" t="s">
        <v>128</v>
      </c>
      <c r="D47" s="179" t="s">
        <v>108</v>
      </c>
      <c r="E47" s="99">
        <f>Assumptions!G96</f>
        <v>4220.9953699573898</v>
      </c>
      <c r="G47" s="181" t="s">
        <v>117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  <c r="AH47"/>
    </row>
    <row r="48" spans="1:16372" x14ac:dyDescent="0.2">
      <c r="C48" s="1" t="s">
        <v>129</v>
      </c>
      <c r="D48" s="179" t="s">
        <v>130</v>
      </c>
      <c r="E48" s="99">
        <f>Assumptions!G97</f>
        <v>0</v>
      </c>
      <c r="G48" s="181" t="s">
        <v>131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  <c r="AH48"/>
    </row>
    <row r="49" spans="1:43" x14ac:dyDescent="0.2">
      <c r="C49" s="1" t="s">
        <v>132</v>
      </c>
      <c r="D49" s="179" t="s">
        <v>133</v>
      </c>
      <c r="E49" s="99">
        <f>Assumptions!G98</f>
        <v>0.54769380678923496</v>
      </c>
      <c r="G49" s="181" t="s">
        <v>134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  <c r="AH49"/>
    </row>
    <row r="50" spans="1:43" x14ac:dyDescent="0.2">
      <c r="C50" s="1" t="s">
        <v>135</v>
      </c>
      <c r="D50" s="179" t="s">
        <v>133</v>
      </c>
      <c r="E50" s="99">
        <f>Assumptions!G99</f>
        <v>0.54769380678923496</v>
      </c>
      <c r="G50" s="181" t="s">
        <v>134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  <c r="AH50"/>
    </row>
    <row r="51" spans="1:43" x14ac:dyDescent="0.2">
      <c r="C51" s="1" t="s">
        <v>136</v>
      </c>
      <c r="D51" s="179" t="s">
        <v>130</v>
      </c>
      <c r="E51" s="99">
        <f>Assumptions!G100</f>
        <v>0</v>
      </c>
      <c r="G51" s="181" t="s">
        <v>131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  <c r="AH51"/>
    </row>
    <row r="52" spans="1:43" x14ac:dyDescent="0.2">
      <c r="C52" s="1" t="s">
        <v>137</v>
      </c>
      <c r="D52" s="179" t="s">
        <v>130</v>
      </c>
      <c r="E52" s="99">
        <f>Assumptions!G101</f>
        <v>0</v>
      </c>
      <c r="G52" s="181" t="s">
        <v>131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  <c r="AH52"/>
    </row>
    <row r="53" spans="1:43" x14ac:dyDescent="0.2">
      <c r="D53" s="179"/>
      <c r="G53" s="181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/>
    </row>
    <row r="54" spans="1:43" x14ac:dyDescent="0.2">
      <c r="C54" s="1" t="s">
        <v>138</v>
      </c>
      <c r="D54" s="179"/>
      <c r="G54" s="181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  <c r="AH54"/>
    </row>
    <row r="55" spans="1:43" x14ac:dyDescent="0.2">
      <c r="C55" s="1" t="s">
        <v>139</v>
      </c>
      <c r="D55" s="179"/>
      <c r="G55" s="181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  <c r="AH55"/>
    </row>
    <row r="56" spans="1:43" x14ac:dyDescent="0.2">
      <c r="D56" s="179"/>
      <c r="G56" s="179"/>
      <c r="AH56"/>
    </row>
    <row r="57" spans="1:43" x14ac:dyDescent="0.2">
      <c r="C57" s="3" t="s">
        <v>140</v>
      </c>
      <c r="D57" s="191"/>
      <c r="E57" s="94"/>
      <c r="F57" s="3"/>
      <c r="G57" s="184">
        <f>input_dollars</f>
        <v>45291</v>
      </c>
      <c r="H57" s="94"/>
      <c r="I57" s="146" cm="1">
        <f t="array" ref="I57">SUMPRODUCT((I$45:I$52)*($E$45:$E$52))+SUM(I54:I55)+I42</f>
        <v>0</v>
      </c>
      <c r="J57" s="146" cm="1">
        <f t="array" ref="J57">SUMPRODUCT((J$45:J$52)*($E$45:$E$52))+SUM(J54:J55)+J42</f>
        <v>0</v>
      </c>
      <c r="K57" s="146" cm="1">
        <f t="array" ref="K57">SUMPRODUCT((K$45:K$52)*($E$45:$E$52))+SUM(K54:K55)+K42</f>
        <v>0</v>
      </c>
      <c r="L57" s="146" cm="1">
        <f t="array" ref="L57">SUMPRODUCT((L$45:L$52)*($E$45:$E$52))+SUM(L54:L55)+L42</f>
        <v>0</v>
      </c>
      <c r="M57" s="146" cm="1">
        <f t="array" ref="M57">SUMPRODUCT((M$45:M$52)*($E$45:$E$52))+SUM(M54:M55)+M42</f>
        <v>0</v>
      </c>
      <c r="N57" s="146" cm="1">
        <f t="array" ref="N57">SUMPRODUCT((N$45:N$52)*($E$45:$E$52))+SUM(N54:N55)+N42</f>
        <v>0</v>
      </c>
      <c r="O57" s="146" cm="1">
        <f t="array" ref="O57">SUMPRODUCT((O$45:O$52)*($E$45:$E$52))+SUM(O54:O55)+O42</f>
        <v>0</v>
      </c>
      <c r="P57" s="146" cm="1">
        <f t="array" ref="P57">SUMPRODUCT((P$45:P$52)*($E$45:$E$52))+SUM(P54:P55)+P42</f>
        <v>0</v>
      </c>
      <c r="Q57" s="146" cm="1">
        <f t="array" ref="Q57">SUMPRODUCT((Q$45:Q$52)*($E$45:$E$52))+SUM(Q54:Q55)+Q42</f>
        <v>0</v>
      </c>
      <c r="R57" s="146" cm="1">
        <f t="array" ref="R57">SUMPRODUCT((R$45:R$52)*($E$45:$E$52))+SUM(R54:R55)+R42</f>
        <v>0</v>
      </c>
      <c r="S57" s="146" cm="1">
        <f t="array" ref="S57">SUMPRODUCT((S$45:S$52)*($E$45:$E$52))+SUM(S54:S55)+S42</f>
        <v>0</v>
      </c>
      <c r="T57" s="146" cm="1">
        <f t="array" ref="T57">SUMPRODUCT((T$45:T$52)*($E$45:$E$52))+SUM(T54:T55)+T42</f>
        <v>0</v>
      </c>
      <c r="U57" s="146" cm="1">
        <f t="array" ref="U57">SUMPRODUCT((U$45:U$52)*($E$45:$E$52))+SUM(U54:U55)+U42</f>
        <v>0</v>
      </c>
      <c r="V57" s="146" cm="1">
        <f t="array" ref="V57">SUMPRODUCT((V$45:V$52)*($E$45:$E$52))+SUM(V54:V55)+V42</f>
        <v>0</v>
      </c>
      <c r="W57" s="146" cm="1">
        <f t="array" ref="W57">SUMPRODUCT((W$45:W$52)*($E$45:$E$52))+SUM(W54:W55)+W42</f>
        <v>0</v>
      </c>
      <c r="X57" s="146" cm="1">
        <f t="array" ref="X57">SUMPRODUCT((X$45:X$52)*($E$45:$E$52))+SUM(X54:X55)+X42</f>
        <v>0</v>
      </c>
      <c r="Y57" s="146" cm="1">
        <f t="array" ref="Y57">SUMPRODUCT((Y$45:Y$52)*($E$45:$E$52))+SUM(Y54:Y55)+Y42</f>
        <v>0</v>
      </c>
      <c r="Z57" s="146" cm="1">
        <f t="array" ref="Z57">SUMPRODUCT((Z$45:Z$52)*($E$45:$E$52))+SUM(Z54:Z55)+Z42</f>
        <v>0</v>
      </c>
      <c r="AA57" s="146" cm="1">
        <f t="array" ref="AA57">SUMPRODUCT((AA$45:AA$52)*($E$45:$E$52))+SUM(AA54:AA55)+AA42</f>
        <v>0</v>
      </c>
      <c r="AB57" s="146" cm="1">
        <f t="array" ref="AB57">SUMPRODUCT((AB$45:AB$52)*($E$45:$E$52))+SUM(AB54:AB55)+AB42</f>
        <v>0</v>
      </c>
      <c r="AC57" s="146" cm="1">
        <f t="array" ref="AC57">SUMPRODUCT((AC$45:AC$52)*($E$45:$E$52))+SUM(AC54:AC55)+AC42</f>
        <v>0</v>
      </c>
      <c r="AD57" s="146" cm="1">
        <f t="array" ref="AD57">SUMPRODUCT((AD$45:AD$52)*($E$45:$E$52))+SUM(AD54:AD55)+AD42</f>
        <v>0</v>
      </c>
      <c r="AE57" s="146" cm="1">
        <f t="array" ref="AE57">SUMPRODUCT((AE$45:AE$52)*($E$45:$E$52))+SUM(AE54:AE55)+AE42</f>
        <v>0</v>
      </c>
      <c r="AF57" s="146" cm="1">
        <f t="array" ref="AF57">SUMPRODUCT((AF$45:AF$52)*($E$45:$E$52))+SUM(AF54:AF55)+AF42</f>
        <v>0</v>
      </c>
      <c r="AG57" s="146" cm="1">
        <f t="array" ref="AG57">SUMPRODUCT((AG$45:AG$52)*($E$45:$E$52))+SUM(AG54:AG55)+AG42</f>
        <v>0</v>
      </c>
      <c r="AH57"/>
    </row>
    <row r="58" spans="1:43" x14ac:dyDescent="0.2">
      <c r="D58" s="179"/>
      <c r="G58" s="179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/>
    </row>
    <row r="59" spans="1:43" x14ac:dyDescent="0.2">
      <c r="G59" s="179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/>
    </row>
    <row r="60" spans="1:43" ht="15" x14ac:dyDescent="0.2">
      <c r="A60" s="78" t="s">
        <v>23</v>
      </c>
      <c r="B60" s="78"/>
      <c r="C60" s="78"/>
      <c r="D60" s="78"/>
      <c r="E60" s="78"/>
      <c r="F60" s="78"/>
      <c r="G60" s="1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5" x14ac:dyDescent="0.2">
      <c r="A61" s="98"/>
      <c r="B61" s="98"/>
      <c r="C61" s="98"/>
      <c r="D61" s="98"/>
      <c r="E61" s="98"/>
      <c r="F61" s="98"/>
      <c r="G61" s="182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2">
      <c r="A62" s="98"/>
      <c r="B62" s="98"/>
      <c r="C62" s="98"/>
      <c r="D62" s="98"/>
      <c r="E62" s="98"/>
      <c r="F62"/>
      <c r="G62" s="185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2">
      <c r="C63" s="4"/>
      <c r="F63" s="2"/>
      <c r="G63" s="18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/>
    </row>
    <row r="64" spans="1:43" x14ac:dyDescent="0.2">
      <c r="C64" s="4" t="str">
        <f>'Option1 (base case)'!C64</f>
        <v>Risks mitigated vs base case</v>
      </c>
      <c r="G64" s="184">
        <f>input_dollars</f>
        <v>45291</v>
      </c>
      <c r="I64" s="111">
        <f>(1-INDEX(Data!$C$9:$C$13, MATCH($A$3, options,0)))*('Option1 (base case)'!I36-I36)</f>
        <v>0</v>
      </c>
      <c r="J64" s="111">
        <f>(1-INDEX(Data!$C$9:$C$13, MATCH($A$3, options,0)))*('Option1 (base case)'!J36-J36)</f>
        <v>21892.283352094819</v>
      </c>
      <c r="K64" s="111">
        <f>(1-INDEX(Data!$C$9:$C$13, MATCH($A$3, options,0)))*('Option1 (base case)'!K36-K36)</f>
        <v>22852.030828503077</v>
      </c>
      <c r="L64" s="111">
        <f>(1-INDEX(Data!$C$9:$C$13, MATCH($A$3, options,0)))*('Option1 (base case)'!L36-L36)</f>
        <v>23794.788501111208</v>
      </c>
      <c r="M64" s="111">
        <f>(1-INDEX(Data!$C$9:$C$13, MATCH($A$3, options,0)))*('Option1 (base case)'!M36-M36)</f>
        <v>24720.961699982407</v>
      </c>
      <c r="N64" s="111">
        <f>(1-INDEX(Data!$C$9:$C$13, MATCH($A$3, options,0)))*('Option1 (base case)'!N36-N36)</f>
        <v>25723.097718229517</v>
      </c>
      <c r="O64" s="111">
        <f>(1-INDEX(Data!$C$9:$C$13, MATCH($A$3, options,0)))*('Option1 (base case)'!O36-O36)</f>
        <v>26944.481330696493</v>
      </c>
      <c r="P64" s="111">
        <f>(1-INDEX(Data!$C$9:$C$13, MATCH($A$3, options,0)))*('Option1 (base case)'!P36-P36)</f>
        <v>28225.191565245623</v>
      </c>
      <c r="Q64" s="111">
        <f>(1-INDEX(Data!$C$9:$C$13, MATCH($A$3, options,0)))*('Option1 (base case)'!Q36-Q36)</f>
        <v>29288.148258389207</v>
      </c>
      <c r="R64" s="111">
        <f>(1-INDEX(Data!$C$9:$C$13, MATCH($A$3, options,0)))*('Option1 (base case)'!R36-R36)</f>
        <v>30004.293208027491</v>
      </c>
      <c r="S64" s="111">
        <f>(1-INDEX(Data!$C$9:$C$13, MATCH($A$3, options,0)))*('Option1 (base case)'!S36-S36)</f>
        <v>30728.245191895636</v>
      </c>
      <c r="T64" s="111">
        <f>(1-INDEX(Data!$C$9:$C$13, MATCH($A$3, options,0)))*('Option1 (base case)'!T36-T36)</f>
        <v>31459.937554972479</v>
      </c>
      <c r="U64" s="111">
        <f>(1-INDEX(Data!$C$9:$C$13, MATCH($A$3, options,0)))*('Option1 (base case)'!U36-U36)</f>
        <v>32199.380362163531</v>
      </c>
      <c r="V64" s="111">
        <f>(1-INDEX(Data!$C$9:$C$13, MATCH($A$3, options,0)))*('Option1 (base case)'!V36-V36)</f>
        <v>32946.571524900617</v>
      </c>
      <c r="W64" s="111">
        <f>(1-INDEX(Data!$C$9:$C$13, MATCH($A$3, options,0)))*('Option1 (base case)'!W36-W36)</f>
        <v>33701.435372518608</v>
      </c>
      <c r="X64" s="111">
        <f>(1-INDEX(Data!$C$9:$C$13, MATCH($A$3, options,0)))*('Option1 (base case)'!X36-X36)</f>
        <v>34463.988361975411</v>
      </c>
      <c r="Y64" s="111">
        <f>(1-INDEX(Data!$C$9:$C$13, MATCH($A$3, options,0)))*('Option1 (base case)'!Y36-Y36)</f>
        <v>35234.204068461899</v>
      </c>
      <c r="Z64" s="111">
        <f>(1-INDEX(Data!$C$9:$C$13, MATCH($A$3, options,0)))*('Option1 (base case)'!Z36-Z36)</f>
        <v>36012.086837287992</v>
      </c>
      <c r="AA64" s="111">
        <f>(1-INDEX(Data!$C$9:$C$13, MATCH($A$3, options,0)))*('Option1 (base case)'!AA36-AA36)</f>
        <v>36797.598091817927</v>
      </c>
      <c r="AB64" s="111">
        <f>(1-INDEX(Data!$C$9:$C$13, MATCH($A$3, options,0)))*('Option1 (base case)'!AB36-AB36)</f>
        <v>37590.702395810746</v>
      </c>
      <c r="AC64" s="111">
        <f>(1-INDEX(Data!$C$9:$C$13, MATCH($A$3, options,0)))*('Option1 (base case)'!AC36-AC36)</f>
        <v>38391.422736052191</v>
      </c>
      <c r="AD64" s="111">
        <f>(1-INDEX(Data!$C$9:$C$13, MATCH($A$3, options,0)))*('Option1 (base case)'!AD36-AD36)</f>
        <v>39199.742280484643</v>
      </c>
      <c r="AE64" s="111">
        <f>(1-INDEX(Data!$C$9:$C$13, MATCH($A$3, options,0)))*('Option1 (base case)'!AE36-AE36)</f>
        <v>39966.839762723073</v>
      </c>
      <c r="AF64" s="111">
        <f>(1-INDEX(Data!$C$9:$C$13, MATCH($A$3, options,0)))*('Option1 (base case)'!AF36-AF36)</f>
        <v>40741.058188807918</v>
      </c>
      <c r="AG64" s="111">
        <f>(1-INDEX(Data!$C$9:$C$13, MATCH($A$3, options,0)))*('Option1 (base case)'!AG36-AG36)</f>
        <v>41522.370508793276</v>
      </c>
      <c r="AH64"/>
    </row>
    <row r="65" spans="1:34" x14ac:dyDescent="0.2">
      <c r="G65" s="186"/>
      <c r="AH65"/>
    </row>
    <row r="66" spans="1:34" x14ac:dyDescent="0.2">
      <c r="A66" s="6"/>
      <c r="B66" s="6"/>
      <c r="C66" s="125" t="s">
        <v>32</v>
      </c>
      <c r="D66" s="34"/>
      <c r="F66" s="84"/>
      <c r="G66" s="187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/>
    </row>
    <row r="67" spans="1:34" x14ac:dyDescent="0.2">
      <c r="A67" s="6"/>
      <c r="B67" s="6"/>
      <c r="C67" s="4" t="str">
        <f>C14</f>
        <v>Refurbish 1 transformer</v>
      </c>
      <c r="D67" s="34"/>
      <c r="F67" s="84"/>
      <c r="G67" s="184">
        <f>input_dollars</f>
        <v>45291</v>
      </c>
      <c r="H67" s="28"/>
      <c r="I67" s="28">
        <f t="shared" ref="I67:AG67" si="4">-I14</f>
        <v>-530000</v>
      </c>
      <c r="J67" s="28">
        <f t="shared" si="4"/>
        <v>0</v>
      </c>
      <c r="K67" s="28">
        <f t="shared" si="4"/>
        <v>0</v>
      </c>
      <c r="L67" s="28">
        <f t="shared" si="4"/>
        <v>0</v>
      </c>
      <c r="M67" s="28">
        <f t="shared" si="4"/>
        <v>0</v>
      </c>
      <c r="N67" s="28">
        <f t="shared" si="4"/>
        <v>0</v>
      </c>
      <c r="O67" s="28">
        <f t="shared" si="4"/>
        <v>0</v>
      </c>
      <c r="P67" s="28">
        <f t="shared" si="4"/>
        <v>0</v>
      </c>
      <c r="Q67" s="28">
        <f t="shared" si="4"/>
        <v>0</v>
      </c>
      <c r="R67" s="28">
        <f t="shared" si="4"/>
        <v>0</v>
      </c>
      <c r="S67" s="28">
        <f t="shared" si="4"/>
        <v>0</v>
      </c>
      <c r="T67" s="28">
        <f t="shared" si="4"/>
        <v>0</v>
      </c>
      <c r="U67" s="28">
        <f t="shared" si="4"/>
        <v>0</v>
      </c>
      <c r="V67" s="28">
        <f t="shared" si="4"/>
        <v>0</v>
      </c>
      <c r="W67" s="28">
        <f t="shared" si="4"/>
        <v>0</v>
      </c>
      <c r="X67" s="28">
        <f t="shared" si="4"/>
        <v>0</v>
      </c>
      <c r="Y67" s="28">
        <f t="shared" si="4"/>
        <v>0</v>
      </c>
      <c r="Z67" s="28">
        <f t="shared" si="4"/>
        <v>0</v>
      </c>
      <c r="AA67" s="28">
        <f t="shared" si="4"/>
        <v>0</v>
      </c>
      <c r="AB67" s="28">
        <f t="shared" si="4"/>
        <v>0</v>
      </c>
      <c r="AC67" s="28">
        <f t="shared" si="4"/>
        <v>0</v>
      </c>
      <c r="AD67" s="28">
        <f t="shared" si="4"/>
        <v>0</v>
      </c>
      <c r="AE67" s="28">
        <f t="shared" si="4"/>
        <v>0</v>
      </c>
      <c r="AF67" s="28">
        <f t="shared" si="4"/>
        <v>0</v>
      </c>
      <c r="AG67" s="28">
        <f t="shared" si="4"/>
        <v>0</v>
      </c>
      <c r="AH67"/>
    </row>
    <row r="68" spans="1:34" x14ac:dyDescent="0.2">
      <c r="A68" s="6"/>
      <c r="B68" s="6"/>
      <c r="C68" s="4">
        <f>C15</f>
        <v>0</v>
      </c>
      <c r="D68" s="34"/>
      <c r="F68" s="84"/>
      <c r="G68" s="184">
        <f>input_dollars</f>
        <v>45291</v>
      </c>
      <c r="H68" s="28"/>
      <c r="I68" s="28">
        <f t="shared" ref="I68:AG68" si="5">-I15</f>
        <v>0</v>
      </c>
      <c r="J68" s="28">
        <f t="shared" si="5"/>
        <v>0</v>
      </c>
      <c r="K68" s="28">
        <f t="shared" si="5"/>
        <v>0</v>
      </c>
      <c r="L68" s="28">
        <f t="shared" si="5"/>
        <v>0</v>
      </c>
      <c r="M68" s="28">
        <f t="shared" si="5"/>
        <v>0</v>
      </c>
      <c r="N68" s="28">
        <f t="shared" si="5"/>
        <v>0</v>
      </c>
      <c r="O68" s="28">
        <f t="shared" si="5"/>
        <v>0</v>
      </c>
      <c r="P68" s="28">
        <f t="shared" si="5"/>
        <v>0</v>
      </c>
      <c r="Q68" s="28">
        <f t="shared" si="5"/>
        <v>0</v>
      </c>
      <c r="R68" s="28">
        <f t="shared" si="5"/>
        <v>0</v>
      </c>
      <c r="S68" s="28">
        <f t="shared" si="5"/>
        <v>0</v>
      </c>
      <c r="T68" s="28">
        <f t="shared" si="5"/>
        <v>0</v>
      </c>
      <c r="U68" s="28">
        <f t="shared" si="5"/>
        <v>0</v>
      </c>
      <c r="V68" s="28">
        <f t="shared" si="5"/>
        <v>0</v>
      </c>
      <c r="W68" s="28">
        <f t="shared" si="5"/>
        <v>0</v>
      </c>
      <c r="X68" s="28">
        <f t="shared" si="5"/>
        <v>0</v>
      </c>
      <c r="Y68" s="28">
        <f t="shared" si="5"/>
        <v>0</v>
      </c>
      <c r="Z68" s="28">
        <f t="shared" si="5"/>
        <v>0</v>
      </c>
      <c r="AA68" s="28">
        <f t="shared" si="5"/>
        <v>0</v>
      </c>
      <c r="AB68" s="28">
        <f t="shared" si="5"/>
        <v>0</v>
      </c>
      <c r="AC68" s="28">
        <f t="shared" si="5"/>
        <v>0</v>
      </c>
      <c r="AD68" s="28">
        <f t="shared" si="5"/>
        <v>0</v>
      </c>
      <c r="AE68" s="28">
        <f t="shared" si="5"/>
        <v>0</v>
      </c>
      <c r="AF68" s="28">
        <f t="shared" si="5"/>
        <v>0</v>
      </c>
      <c r="AG68" s="28">
        <f t="shared" si="5"/>
        <v>0</v>
      </c>
      <c r="AH68"/>
    </row>
    <row r="69" spans="1:34" x14ac:dyDescent="0.2">
      <c r="A69" s="6"/>
      <c r="B69" s="6"/>
      <c r="C69" s="4">
        <f>C16</f>
        <v>0</v>
      </c>
      <c r="D69" s="34"/>
      <c r="F69" s="84"/>
      <c r="G69" s="184">
        <f>input_dollars</f>
        <v>45291</v>
      </c>
      <c r="H69" s="28"/>
      <c r="I69" s="28">
        <f t="shared" ref="I69:AG69" si="6">-I16</f>
        <v>0</v>
      </c>
      <c r="J69" s="28">
        <f t="shared" si="6"/>
        <v>0</v>
      </c>
      <c r="K69" s="28">
        <f t="shared" si="6"/>
        <v>0</v>
      </c>
      <c r="L69" s="28">
        <f t="shared" si="6"/>
        <v>0</v>
      </c>
      <c r="M69" s="28">
        <f t="shared" si="6"/>
        <v>0</v>
      </c>
      <c r="N69" s="28">
        <f t="shared" si="6"/>
        <v>0</v>
      </c>
      <c r="O69" s="28">
        <f t="shared" si="6"/>
        <v>0</v>
      </c>
      <c r="P69" s="28">
        <f t="shared" si="6"/>
        <v>0</v>
      </c>
      <c r="Q69" s="28">
        <f t="shared" si="6"/>
        <v>0</v>
      </c>
      <c r="R69" s="28">
        <f t="shared" si="6"/>
        <v>0</v>
      </c>
      <c r="S69" s="28">
        <f t="shared" si="6"/>
        <v>0</v>
      </c>
      <c r="T69" s="28">
        <f t="shared" si="6"/>
        <v>0</v>
      </c>
      <c r="U69" s="28">
        <f t="shared" si="6"/>
        <v>0</v>
      </c>
      <c r="V69" s="28">
        <f t="shared" si="6"/>
        <v>0</v>
      </c>
      <c r="W69" s="28">
        <f t="shared" si="6"/>
        <v>0</v>
      </c>
      <c r="X69" s="28">
        <f t="shared" si="6"/>
        <v>0</v>
      </c>
      <c r="Y69" s="28">
        <f t="shared" si="6"/>
        <v>0</v>
      </c>
      <c r="Z69" s="28">
        <f t="shared" si="6"/>
        <v>0</v>
      </c>
      <c r="AA69" s="28">
        <f t="shared" si="6"/>
        <v>0</v>
      </c>
      <c r="AB69" s="28">
        <f t="shared" si="6"/>
        <v>0</v>
      </c>
      <c r="AC69" s="28">
        <f t="shared" si="6"/>
        <v>0</v>
      </c>
      <c r="AD69" s="28">
        <f t="shared" si="6"/>
        <v>0</v>
      </c>
      <c r="AE69" s="28">
        <f t="shared" si="6"/>
        <v>0</v>
      </c>
      <c r="AF69" s="28">
        <f t="shared" si="6"/>
        <v>0</v>
      </c>
      <c r="AG69" s="28">
        <f t="shared" si="6"/>
        <v>0</v>
      </c>
      <c r="AH69"/>
    </row>
    <row r="70" spans="1:34" x14ac:dyDescent="0.2">
      <c r="A70" s="6"/>
      <c r="B70" s="6"/>
      <c r="C70" s="4"/>
      <c r="D70" s="34"/>
      <c r="F70" s="84"/>
      <c r="G70" s="18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/>
    </row>
    <row r="71" spans="1:34" x14ac:dyDescent="0.2">
      <c r="A71" s="6"/>
      <c r="B71" s="6"/>
      <c r="C71" s="125" t="s">
        <v>142</v>
      </c>
      <c r="D71" s="34"/>
      <c r="F71" s="84"/>
      <c r="G71" s="187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/>
    </row>
    <row r="72" spans="1:34" x14ac:dyDescent="0.2">
      <c r="A72" s="6"/>
      <c r="B72" s="6"/>
      <c r="C72" s="4" t="str">
        <f>C14</f>
        <v>Refurbish 1 transformer</v>
      </c>
      <c r="D72" s="34"/>
      <c r="F72" s="84"/>
      <c r="G72" s="184">
        <f>input_dollars</f>
        <v>45291</v>
      </c>
      <c r="H72" s="28"/>
      <c r="I72" s="28" cm="1">
        <f t="array" ref="I72">SUMPRODUCT(($I67:I67))-SUMPRODUCT(($I67:I67)*($I$6:I$6&lt;=(I$6-$E14)))</f>
        <v>-530000</v>
      </c>
      <c r="J72" s="28" cm="1">
        <f t="array" ref="J72">SUMPRODUCT(($I67:J67))-SUMPRODUCT(($I67:J67)*($I$6:J$6&lt;=(J$6-$E14)))</f>
        <v>-530000</v>
      </c>
      <c r="K72" s="28" cm="1">
        <f t="array" ref="K72">SUMPRODUCT(($I67:K67))-SUMPRODUCT(($I67:K67)*($I$6:K$6&lt;=(K$6-$E14)))</f>
        <v>-530000</v>
      </c>
      <c r="L72" s="28" cm="1">
        <f t="array" ref="L72">SUMPRODUCT(($I67:L67))-SUMPRODUCT(($I67:L67)*($I$6:L$6&lt;=(L$6-$E14)))</f>
        <v>-530000</v>
      </c>
      <c r="M72" s="28" cm="1">
        <f t="array" ref="M72">SUMPRODUCT(($I67:M67))-SUMPRODUCT(($I67:M67)*($I$6:M$6&lt;=(M$6-$E14)))</f>
        <v>-530000</v>
      </c>
      <c r="N72" s="28" cm="1">
        <f t="array" ref="N72">SUMPRODUCT(($I67:N67))-SUMPRODUCT(($I67:N67)*($I$6:N$6&lt;=(N$6-$E14)))</f>
        <v>-530000</v>
      </c>
      <c r="O72" s="28" cm="1">
        <f t="array" ref="O72">SUMPRODUCT(($I67:O67))-SUMPRODUCT(($I67:O67)*($I$6:O$6&lt;=(O$6-$E14)))</f>
        <v>-530000</v>
      </c>
      <c r="P72" s="28" cm="1">
        <f t="array" ref="P72">SUMPRODUCT(($I67:P67))-SUMPRODUCT(($I67:P67)*($I$6:P$6&lt;=(P$6-$E14)))</f>
        <v>-530000</v>
      </c>
      <c r="Q72" s="28" cm="1">
        <f t="array" ref="Q72">SUMPRODUCT(($I67:Q67))-SUMPRODUCT(($I67:Q67)*($I$6:Q$6&lt;=(Q$6-$E14)))</f>
        <v>-530000</v>
      </c>
      <c r="R72" s="28" cm="1">
        <f t="array" ref="R72">SUMPRODUCT(($I67:R67))-SUMPRODUCT(($I67:R67)*($I$6:R$6&lt;=(R$6-$E14)))</f>
        <v>-530000</v>
      </c>
      <c r="S72" s="28" cm="1">
        <f t="array" ref="S72">SUMPRODUCT(($I67:S67))-SUMPRODUCT(($I67:S67)*($I$6:S$6&lt;=(S$6-$E14)))</f>
        <v>-530000</v>
      </c>
      <c r="T72" s="28" cm="1">
        <f t="array" ref="T72">SUMPRODUCT(($I67:T67))-SUMPRODUCT(($I67:T67)*($I$6:T$6&lt;=(T$6-$E14)))</f>
        <v>-530000</v>
      </c>
      <c r="U72" s="28" cm="1">
        <f t="array" ref="U72">SUMPRODUCT(($I67:U67))-SUMPRODUCT(($I67:U67)*($I$6:U$6&lt;=(U$6-$E14)))</f>
        <v>-530000</v>
      </c>
      <c r="V72" s="28" cm="1">
        <f t="array" ref="V72">SUMPRODUCT(($I67:V67))-SUMPRODUCT(($I67:V67)*($I$6:V$6&lt;=(V$6-$E14)))</f>
        <v>-530000</v>
      </c>
      <c r="W72" s="28" cm="1">
        <f t="array" ref="W72">SUMPRODUCT(($I67:W67))-SUMPRODUCT(($I67:W67)*($I$6:W$6&lt;=(W$6-$E14)))</f>
        <v>-530000</v>
      </c>
      <c r="X72" s="28" cm="1">
        <f t="array" ref="X72">SUMPRODUCT(($I67:X67))-SUMPRODUCT(($I67:X67)*($I$6:X$6&lt;=(X$6-$E14)))</f>
        <v>-530000</v>
      </c>
      <c r="Y72" s="28" cm="1">
        <f t="array" ref="Y72">SUMPRODUCT(($I67:Y67))-SUMPRODUCT(($I67:Y67)*($I$6:Y$6&lt;=(Y$6-$E14)))</f>
        <v>-530000</v>
      </c>
      <c r="Z72" s="28" cm="1">
        <f t="array" ref="Z72">SUMPRODUCT(($I67:Z67))-SUMPRODUCT(($I67:Z67)*($I$6:Z$6&lt;=(Z$6-$E14)))</f>
        <v>-530000</v>
      </c>
      <c r="AA72" s="28" cm="1">
        <f t="array" ref="AA72">SUMPRODUCT(($I67:AA67))-SUMPRODUCT(($I67:AA67)*($I$6:AA$6&lt;=(AA$6-$E14)))</f>
        <v>-530000</v>
      </c>
      <c r="AB72" s="28" cm="1">
        <f t="array" ref="AB72">SUMPRODUCT(($I67:AB67))-SUMPRODUCT(($I67:AB67)*($I$6:AB$6&lt;=(AB$6-$E14)))</f>
        <v>-530000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  <c r="AH72"/>
    </row>
    <row r="73" spans="1:34" x14ac:dyDescent="0.2">
      <c r="A73" s="6"/>
      <c r="B73" s="6"/>
      <c r="C73" s="4">
        <f>C15</f>
        <v>0</v>
      </c>
      <c r="D73" s="34"/>
      <c r="F73" s="84"/>
      <c r="G73" s="184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  <c r="AH73"/>
    </row>
    <row r="74" spans="1:34" x14ac:dyDescent="0.2">
      <c r="A74" s="6"/>
      <c r="B74" s="6"/>
      <c r="C74" s="4">
        <f>C16</f>
        <v>0</v>
      </c>
      <c r="D74" s="34"/>
      <c r="F74" s="84"/>
      <c r="G74" s="184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  <c r="AH74"/>
    </row>
    <row r="75" spans="1:34" x14ac:dyDescent="0.2">
      <c r="A75" s="6"/>
      <c r="B75" s="6"/>
      <c r="C75" s="4"/>
      <c r="D75" s="34"/>
      <c r="F75" s="84"/>
      <c r="G75" s="18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/>
    </row>
    <row r="76" spans="1:34" x14ac:dyDescent="0.2">
      <c r="A76" s="6"/>
      <c r="B76" s="6"/>
      <c r="C76" s="125" t="s">
        <v>143</v>
      </c>
      <c r="D76" s="34"/>
      <c r="G76" s="187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/>
    </row>
    <row r="77" spans="1:34" x14ac:dyDescent="0.2">
      <c r="A77" s="6"/>
      <c r="B77" s="6"/>
      <c r="C77" s="4" t="str">
        <f>$C$76&amp;" - "&amp;C14</f>
        <v>Annualised capex - Refurbish 1 transformer</v>
      </c>
      <c r="D77" s="34"/>
      <c r="G77" s="184">
        <f>input_dollars</f>
        <v>45291</v>
      </c>
      <c r="H77" s="28"/>
      <c r="I77" s="28">
        <f t="shared" ref="I77:AG77" si="7">IF($E14=0,0,-PMT(real_disc, $E14,H72,))</f>
        <v>0</v>
      </c>
      <c r="J77" s="28">
        <f t="shared" si="7"/>
        <v>-37291.370695003883</v>
      </c>
      <c r="K77" s="28">
        <f t="shared" si="7"/>
        <v>-37291.370695003883</v>
      </c>
      <c r="L77" s="28">
        <f t="shared" si="7"/>
        <v>-37291.370695003883</v>
      </c>
      <c r="M77" s="28">
        <f t="shared" si="7"/>
        <v>-37291.370695003883</v>
      </c>
      <c r="N77" s="28">
        <f t="shared" si="7"/>
        <v>-37291.370695003883</v>
      </c>
      <c r="O77" s="28">
        <f t="shared" si="7"/>
        <v>-37291.370695003883</v>
      </c>
      <c r="P77" s="28">
        <f t="shared" si="7"/>
        <v>-37291.370695003883</v>
      </c>
      <c r="Q77" s="28">
        <f t="shared" si="7"/>
        <v>-37291.370695003883</v>
      </c>
      <c r="R77" s="28">
        <f t="shared" si="7"/>
        <v>-37291.370695003883</v>
      </c>
      <c r="S77" s="28">
        <f t="shared" si="7"/>
        <v>-37291.370695003883</v>
      </c>
      <c r="T77" s="28">
        <f t="shared" si="7"/>
        <v>-37291.370695003883</v>
      </c>
      <c r="U77" s="28">
        <f t="shared" si="7"/>
        <v>-37291.370695003883</v>
      </c>
      <c r="V77" s="28">
        <f t="shared" si="7"/>
        <v>-37291.370695003883</v>
      </c>
      <c r="W77" s="28">
        <f t="shared" si="7"/>
        <v>-37291.370695003883</v>
      </c>
      <c r="X77" s="28">
        <f t="shared" si="7"/>
        <v>-37291.370695003883</v>
      </c>
      <c r="Y77" s="28">
        <f t="shared" si="7"/>
        <v>-37291.370695003883</v>
      </c>
      <c r="Z77" s="28">
        <f t="shared" si="7"/>
        <v>-37291.370695003883</v>
      </c>
      <c r="AA77" s="28">
        <f t="shared" si="7"/>
        <v>-37291.370695003883</v>
      </c>
      <c r="AB77" s="28">
        <f t="shared" si="7"/>
        <v>-37291.370695003883</v>
      </c>
      <c r="AC77" s="28">
        <f t="shared" si="7"/>
        <v>-37291.370695003883</v>
      </c>
      <c r="AD77" s="28">
        <f t="shared" si="7"/>
        <v>0</v>
      </c>
      <c r="AE77" s="28">
        <f t="shared" si="7"/>
        <v>0</v>
      </c>
      <c r="AF77" s="28">
        <f t="shared" si="7"/>
        <v>0</v>
      </c>
      <c r="AG77" s="28">
        <f t="shared" si="7"/>
        <v>0</v>
      </c>
      <c r="AH77"/>
    </row>
    <row r="78" spans="1:34" x14ac:dyDescent="0.2">
      <c r="A78" s="6"/>
      <c r="B78" s="6"/>
      <c r="C78" s="4" t="str">
        <f>$C$76&amp;" - "&amp;C15</f>
        <v xml:space="preserve">Annualised capex - </v>
      </c>
      <c r="D78" s="34"/>
      <c r="G78" s="184">
        <f>input_dollars</f>
        <v>45291</v>
      </c>
      <c r="H78" s="28"/>
      <c r="I78" s="28">
        <f t="shared" ref="I78:AG78" si="8">IF($E15=0,0,-PMT(real_disc, $E15,H73,))</f>
        <v>0</v>
      </c>
      <c r="J78" s="28">
        <f t="shared" si="8"/>
        <v>0</v>
      </c>
      <c r="K78" s="28">
        <f t="shared" si="8"/>
        <v>0</v>
      </c>
      <c r="L78" s="28">
        <f t="shared" si="8"/>
        <v>0</v>
      </c>
      <c r="M78" s="28">
        <f t="shared" si="8"/>
        <v>0</v>
      </c>
      <c r="N78" s="28">
        <f t="shared" si="8"/>
        <v>0</v>
      </c>
      <c r="O78" s="28">
        <f t="shared" si="8"/>
        <v>0</v>
      </c>
      <c r="P78" s="28">
        <f t="shared" si="8"/>
        <v>0</v>
      </c>
      <c r="Q78" s="28">
        <f t="shared" si="8"/>
        <v>0</v>
      </c>
      <c r="R78" s="28">
        <f t="shared" si="8"/>
        <v>0</v>
      </c>
      <c r="S78" s="28">
        <f t="shared" si="8"/>
        <v>0</v>
      </c>
      <c r="T78" s="28">
        <f t="shared" si="8"/>
        <v>0</v>
      </c>
      <c r="U78" s="28">
        <f t="shared" si="8"/>
        <v>0</v>
      </c>
      <c r="V78" s="28">
        <f t="shared" si="8"/>
        <v>0</v>
      </c>
      <c r="W78" s="28">
        <f t="shared" si="8"/>
        <v>0</v>
      </c>
      <c r="X78" s="28">
        <f t="shared" si="8"/>
        <v>0</v>
      </c>
      <c r="Y78" s="28">
        <f t="shared" si="8"/>
        <v>0</v>
      </c>
      <c r="Z78" s="28">
        <f t="shared" si="8"/>
        <v>0</v>
      </c>
      <c r="AA78" s="28">
        <f t="shared" si="8"/>
        <v>0</v>
      </c>
      <c r="AB78" s="28">
        <f t="shared" si="8"/>
        <v>0</v>
      </c>
      <c r="AC78" s="28">
        <f t="shared" si="8"/>
        <v>0</v>
      </c>
      <c r="AD78" s="28">
        <f t="shared" si="8"/>
        <v>0</v>
      </c>
      <c r="AE78" s="28">
        <f t="shared" si="8"/>
        <v>0</v>
      </c>
      <c r="AF78" s="28">
        <f t="shared" si="8"/>
        <v>0</v>
      </c>
      <c r="AG78" s="28">
        <f t="shared" si="8"/>
        <v>0</v>
      </c>
      <c r="AH78"/>
    </row>
    <row r="79" spans="1:34" x14ac:dyDescent="0.2">
      <c r="A79" s="6"/>
      <c r="B79" s="6"/>
      <c r="C79" s="4" t="str">
        <f>$C$76&amp;" - "&amp;C16</f>
        <v xml:space="preserve">Annualised capex - </v>
      </c>
      <c r="D79" s="34"/>
      <c r="G79" s="184">
        <f>input_dollars</f>
        <v>45291</v>
      </c>
      <c r="H79" s="28"/>
      <c r="I79" s="28">
        <f t="shared" ref="I79:AG79" si="9">IF($E16=0,0,-PMT(real_disc, $E16,H74,))</f>
        <v>0</v>
      </c>
      <c r="J79" s="28">
        <f t="shared" si="9"/>
        <v>0</v>
      </c>
      <c r="K79" s="28">
        <f t="shared" si="9"/>
        <v>0</v>
      </c>
      <c r="L79" s="28">
        <f t="shared" si="9"/>
        <v>0</v>
      </c>
      <c r="M79" s="28">
        <f t="shared" si="9"/>
        <v>0</v>
      </c>
      <c r="N79" s="28">
        <f t="shared" si="9"/>
        <v>0</v>
      </c>
      <c r="O79" s="28">
        <f t="shared" si="9"/>
        <v>0</v>
      </c>
      <c r="P79" s="28">
        <f t="shared" si="9"/>
        <v>0</v>
      </c>
      <c r="Q79" s="28">
        <f t="shared" si="9"/>
        <v>0</v>
      </c>
      <c r="R79" s="28">
        <f t="shared" si="9"/>
        <v>0</v>
      </c>
      <c r="S79" s="28">
        <f t="shared" si="9"/>
        <v>0</v>
      </c>
      <c r="T79" s="28">
        <f t="shared" si="9"/>
        <v>0</v>
      </c>
      <c r="U79" s="28">
        <f t="shared" si="9"/>
        <v>0</v>
      </c>
      <c r="V79" s="28">
        <f t="shared" si="9"/>
        <v>0</v>
      </c>
      <c r="W79" s="28">
        <f t="shared" si="9"/>
        <v>0</v>
      </c>
      <c r="X79" s="28">
        <f t="shared" si="9"/>
        <v>0</v>
      </c>
      <c r="Y79" s="28">
        <f t="shared" si="9"/>
        <v>0</v>
      </c>
      <c r="Z79" s="28">
        <f t="shared" si="9"/>
        <v>0</v>
      </c>
      <c r="AA79" s="28">
        <f t="shared" si="9"/>
        <v>0</v>
      </c>
      <c r="AB79" s="28">
        <f t="shared" si="9"/>
        <v>0</v>
      </c>
      <c r="AC79" s="28">
        <f t="shared" si="9"/>
        <v>0</v>
      </c>
      <c r="AD79" s="28">
        <f t="shared" si="9"/>
        <v>0</v>
      </c>
      <c r="AE79" s="28">
        <f t="shared" si="9"/>
        <v>0</v>
      </c>
      <c r="AF79" s="28">
        <f t="shared" si="9"/>
        <v>0</v>
      </c>
      <c r="AG79" s="28">
        <f t="shared" si="9"/>
        <v>0</v>
      </c>
      <c r="AH79"/>
    </row>
    <row r="80" spans="1:34" x14ac:dyDescent="0.2">
      <c r="A80" s="6"/>
      <c r="B80" s="6"/>
      <c r="C80" s="148" t="s">
        <v>144</v>
      </c>
      <c r="D80" s="148"/>
      <c r="E80" s="149"/>
      <c r="F80" s="150"/>
      <c r="G80" s="189">
        <f>input_dollars</f>
        <v>45291</v>
      </c>
      <c r="H80" s="151"/>
      <c r="I80" s="151">
        <f>SUM(I77:I79)</f>
        <v>0</v>
      </c>
      <c r="J80" s="151">
        <f t="shared" ref="J80:AB80" si="10">SUM(J77:J79)</f>
        <v>-37291.370695003883</v>
      </c>
      <c r="K80" s="151">
        <f t="shared" si="10"/>
        <v>-37291.370695003883</v>
      </c>
      <c r="L80" s="151">
        <f t="shared" si="10"/>
        <v>-37291.370695003883</v>
      </c>
      <c r="M80" s="151">
        <f t="shared" si="10"/>
        <v>-37291.370695003883</v>
      </c>
      <c r="N80" s="151">
        <f t="shared" si="10"/>
        <v>-37291.370695003883</v>
      </c>
      <c r="O80" s="151">
        <f t="shared" si="10"/>
        <v>-37291.370695003883</v>
      </c>
      <c r="P80" s="151">
        <f t="shared" si="10"/>
        <v>-37291.370695003883</v>
      </c>
      <c r="Q80" s="151">
        <f t="shared" si="10"/>
        <v>-37291.370695003883</v>
      </c>
      <c r="R80" s="151">
        <f t="shared" si="10"/>
        <v>-37291.370695003883</v>
      </c>
      <c r="S80" s="151">
        <f t="shared" si="10"/>
        <v>-37291.370695003883</v>
      </c>
      <c r="T80" s="151">
        <f t="shared" si="10"/>
        <v>-37291.370695003883</v>
      </c>
      <c r="U80" s="151">
        <f t="shared" si="10"/>
        <v>-37291.370695003883</v>
      </c>
      <c r="V80" s="151">
        <f t="shared" si="10"/>
        <v>-37291.370695003883</v>
      </c>
      <c r="W80" s="151">
        <f t="shared" si="10"/>
        <v>-37291.370695003883</v>
      </c>
      <c r="X80" s="151">
        <f t="shared" si="10"/>
        <v>-37291.370695003883</v>
      </c>
      <c r="Y80" s="151">
        <f t="shared" si="10"/>
        <v>-37291.370695003883</v>
      </c>
      <c r="Z80" s="151">
        <f t="shared" si="10"/>
        <v>-37291.370695003883</v>
      </c>
      <c r="AA80" s="151">
        <f t="shared" si="10"/>
        <v>-37291.370695003883</v>
      </c>
      <c r="AB80" s="151">
        <f t="shared" si="10"/>
        <v>-37291.370695003883</v>
      </c>
      <c r="AC80" s="151">
        <f>SUM(AC77:AC79)</f>
        <v>-37291.370695003883</v>
      </c>
      <c r="AD80" s="151">
        <f>SUM(AD77:AD79)</f>
        <v>0</v>
      </c>
      <c r="AE80" s="151">
        <f>SUM(AE77:AE79)</f>
        <v>0</v>
      </c>
      <c r="AF80" s="151">
        <f>SUM(AF77:AF79)</f>
        <v>0</v>
      </c>
      <c r="AG80" s="151">
        <f>SUM(AG77:AG79)</f>
        <v>0</v>
      </c>
      <c r="AH80"/>
    </row>
    <row r="81" spans="1:34" x14ac:dyDescent="0.2">
      <c r="A81" s="6"/>
      <c r="B81" s="6"/>
      <c r="C81" s="12"/>
      <c r="D81" s="34"/>
      <c r="F81"/>
      <c r="G81" s="190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</row>
    <row r="82" spans="1:34" x14ac:dyDescent="0.2">
      <c r="A82" s="6"/>
      <c r="B82" s="6"/>
      <c r="C82" s="4" t="s">
        <v>143</v>
      </c>
      <c r="D82" s="34"/>
      <c r="F82" s="84"/>
      <c r="G82" s="184">
        <f t="shared" ref="G82:G87" si="11">input_dollars</f>
        <v>45291</v>
      </c>
      <c r="H82" s="28"/>
      <c r="I82" s="28">
        <f>I80</f>
        <v>0</v>
      </c>
      <c r="J82" s="28">
        <f t="shared" ref="J82:AB82" si="12">J80</f>
        <v>-37291.370695003883</v>
      </c>
      <c r="K82" s="28">
        <f t="shared" si="12"/>
        <v>-37291.370695003883</v>
      </c>
      <c r="L82" s="28">
        <f t="shared" si="12"/>
        <v>-37291.370695003883</v>
      </c>
      <c r="M82" s="28">
        <f t="shared" si="12"/>
        <v>-37291.370695003883</v>
      </c>
      <c r="N82" s="28">
        <f t="shared" si="12"/>
        <v>-37291.370695003883</v>
      </c>
      <c r="O82" s="28">
        <f t="shared" si="12"/>
        <v>-37291.370695003883</v>
      </c>
      <c r="P82" s="28">
        <f t="shared" si="12"/>
        <v>-37291.370695003883</v>
      </c>
      <c r="Q82" s="28">
        <f t="shared" si="12"/>
        <v>-37291.370695003883</v>
      </c>
      <c r="R82" s="28">
        <f t="shared" si="12"/>
        <v>-37291.370695003883</v>
      </c>
      <c r="S82" s="28">
        <f t="shared" si="12"/>
        <v>-37291.370695003883</v>
      </c>
      <c r="T82" s="28">
        <f t="shared" si="12"/>
        <v>-37291.370695003883</v>
      </c>
      <c r="U82" s="28">
        <f t="shared" si="12"/>
        <v>-37291.370695003883</v>
      </c>
      <c r="V82" s="28">
        <f t="shared" si="12"/>
        <v>-37291.370695003883</v>
      </c>
      <c r="W82" s="28">
        <f t="shared" si="12"/>
        <v>-37291.370695003883</v>
      </c>
      <c r="X82" s="28">
        <f t="shared" si="12"/>
        <v>-37291.370695003883</v>
      </c>
      <c r="Y82" s="28">
        <f t="shared" si="12"/>
        <v>-37291.370695003883</v>
      </c>
      <c r="Z82" s="28">
        <f t="shared" si="12"/>
        <v>-37291.370695003883</v>
      </c>
      <c r="AA82" s="28">
        <f t="shared" si="12"/>
        <v>-37291.370695003883</v>
      </c>
      <c r="AB82" s="28">
        <f t="shared" si="12"/>
        <v>-37291.370695003883</v>
      </c>
      <c r="AC82" s="28">
        <f>AC80</f>
        <v>-37291.370695003883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  <c r="AH82"/>
    </row>
    <row r="83" spans="1:34" x14ac:dyDescent="0.2">
      <c r="A83" s="6"/>
      <c r="B83" s="6"/>
      <c r="C83" s="4" t="s">
        <v>33</v>
      </c>
      <c r="D83" s="34"/>
      <c r="F83" s="84"/>
      <c r="G83" s="184">
        <f t="shared" si="11"/>
        <v>45291</v>
      </c>
      <c r="H83" s="28"/>
      <c r="I83" s="28">
        <f t="shared" ref="I83:AG83" si="13">-I19</f>
        <v>0</v>
      </c>
      <c r="J83" s="28">
        <f t="shared" si="13"/>
        <v>0</v>
      </c>
      <c r="K83" s="28">
        <f t="shared" si="13"/>
        <v>0</v>
      </c>
      <c r="L83" s="28">
        <f t="shared" si="13"/>
        <v>0</v>
      </c>
      <c r="M83" s="28">
        <f t="shared" si="13"/>
        <v>0</v>
      </c>
      <c r="N83" s="28">
        <f t="shared" si="13"/>
        <v>0</v>
      </c>
      <c r="O83" s="28">
        <f t="shared" si="13"/>
        <v>0</v>
      </c>
      <c r="P83" s="28">
        <f t="shared" si="13"/>
        <v>0</v>
      </c>
      <c r="Q83" s="28">
        <f t="shared" si="13"/>
        <v>0</v>
      </c>
      <c r="R83" s="28">
        <f t="shared" si="13"/>
        <v>0</v>
      </c>
      <c r="S83" s="28">
        <f t="shared" si="13"/>
        <v>0</v>
      </c>
      <c r="T83" s="28">
        <f t="shared" si="13"/>
        <v>0</v>
      </c>
      <c r="U83" s="28">
        <f t="shared" si="13"/>
        <v>0</v>
      </c>
      <c r="V83" s="28">
        <f t="shared" si="13"/>
        <v>0</v>
      </c>
      <c r="W83" s="28">
        <f t="shared" si="13"/>
        <v>0</v>
      </c>
      <c r="X83" s="28">
        <f t="shared" si="13"/>
        <v>0</v>
      </c>
      <c r="Y83" s="28">
        <f t="shared" si="13"/>
        <v>0</v>
      </c>
      <c r="Z83" s="28">
        <f t="shared" si="13"/>
        <v>0</v>
      </c>
      <c r="AA83" s="28">
        <f t="shared" si="13"/>
        <v>0</v>
      </c>
      <c r="AB83" s="28">
        <f t="shared" si="13"/>
        <v>0</v>
      </c>
      <c r="AC83" s="28">
        <f t="shared" si="13"/>
        <v>0</v>
      </c>
      <c r="AD83" s="28">
        <f t="shared" si="13"/>
        <v>0</v>
      </c>
      <c r="AE83" s="28">
        <f t="shared" si="13"/>
        <v>0</v>
      </c>
      <c r="AF83" s="28">
        <f t="shared" si="13"/>
        <v>0</v>
      </c>
      <c r="AG83" s="28">
        <f t="shared" si="13"/>
        <v>0</v>
      </c>
      <c r="AH83"/>
    </row>
    <row r="84" spans="1:34" x14ac:dyDescent="0.2">
      <c r="A84" s="6"/>
      <c r="B84" s="6"/>
      <c r="C84" s="4" t="s">
        <v>145</v>
      </c>
      <c r="D84" s="34"/>
      <c r="F84" s="84"/>
      <c r="G84" s="184">
        <f t="shared" si="11"/>
        <v>45291</v>
      </c>
      <c r="H84" s="28"/>
      <c r="I84" s="28">
        <f t="shared" ref="I84:AG84" si="14">I64</f>
        <v>0</v>
      </c>
      <c r="J84" s="28">
        <f t="shared" si="14"/>
        <v>21892.283352094819</v>
      </c>
      <c r="K84" s="28">
        <f t="shared" si="14"/>
        <v>22852.030828503077</v>
      </c>
      <c r="L84" s="28">
        <f t="shared" si="14"/>
        <v>23794.788501111208</v>
      </c>
      <c r="M84" s="28">
        <f t="shared" si="14"/>
        <v>24720.961699982407</v>
      </c>
      <c r="N84" s="28">
        <f t="shared" si="14"/>
        <v>25723.097718229517</v>
      </c>
      <c r="O84" s="28">
        <f t="shared" si="14"/>
        <v>26944.481330696493</v>
      </c>
      <c r="P84" s="28">
        <f t="shared" si="14"/>
        <v>28225.191565245623</v>
      </c>
      <c r="Q84" s="28">
        <f t="shared" si="14"/>
        <v>29288.148258389207</v>
      </c>
      <c r="R84" s="28">
        <f t="shared" si="14"/>
        <v>30004.293208027491</v>
      </c>
      <c r="S84" s="28">
        <f t="shared" si="14"/>
        <v>30728.245191895636</v>
      </c>
      <c r="T84" s="28">
        <f t="shared" si="14"/>
        <v>31459.937554972479</v>
      </c>
      <c r="U84" s="28">
        <f t="shared" si="14"/>
        <v>32199.380362163531</v>
      </c>
      <c r="V84" s="28">
        <f t="shared" si="14"/>
        <v>32946.571524900617</v>
      </c>
      <c r="W84" s="28">
        <f t="shared" si="14"/>
        <v>33701.435372518608</v>
      </c>
      <c r="X84" s="28">
        <f t="shared" si="14"/>
        <v>34463.988361975411</v>
      </c>
      <c r="Y84" s="28">
        <f t="shared" si="14"/>
        <v>35234.204068461899</v>
      </c>
      <c r="Z84" s="28">
        <f t="shared" si="14"/>
        <v>36012.086837287992</v>
      </c>
      <c r="AA84" s="28">
        <f t="shared" si="14"/>
        <v>36797.598091817927</v>
      </c>
      <c r="AB84" s="28">
        <f t="shared" si="14"/>
        <v>37590.702395810746</v>
      </c>
      <c r="AC84" s="28">
        <f t="shared" si="14"/>
        <v>38391.422736052191</v>
      </c>
      <c r="AD84" s="28">
        <f t="shared" si="14"/>
        <v>39199.742280484643</v>
      </c>
      <c r="AE84" s="28">
        <f t="shared" si="14"/>
        <v>39966.839762723073</v>
      </c>
      <c r="AF84" s="28">
        <f t="shared" si="14"/>
        <v>40741.058188807918</v>
      </c>
      <c r="AG84" s="28">
        <f t="shared" si="14"/>
        <v>41522.370508793276</v>
      </c>
      <c r="AH84"/>
    </row>
    <row r="85" spans="1:34" x14ac:dyDescent="0.2">
      <c r="A85" s="6"/>
      <c r="B85" s="6"/>
      <c r="C85" s="4" t="s">
        <v>146</v>
      </c>
      <c r="D85" s="34"/>
      <c r="F85" s="84"/>
      <c r="G85" s="184">
        <f t="shared" si="11"/>
        <v>45291</v>
      </c>
      <c r="H85" s="28"/>
      <c r="I85" s="28">
        <f t="shared" ref="I85:AG85" si="15">I57</f>
        <v>0</v>
      </c>
      <c r="J85" s="28">
        <f t="shared" si="15"/>
        <v>0</v>
      </c>
      <c r="K85" s="28">
        <f t="shared" si="15"/>
        <v>0</v>
      </c>
      <c r="L85" s="28">
        <f t="shared" si="15"/>
        <v>0</v>
      </c>
      <c r="M85" s="28">
        <f t="shared" si="15"/>
        <v>0</v>
      </c>
      <c r="N85" s="28">
        <f t="shared" si="15"/>
        <v>0</v>
      </c>
      <c r="O85" s="28">
        <f t="shared" si="15"/>
        <v>0</v>
      </c>
      <c r="P85" s="28">
        <f t="shared" si="15"/>
        <v>0</v>
      </c>
      <c r="Q85" s="28">
        <f t="shared" si="15"/>
        <v>0</v>
      </c>
      <c r="R85" s="28">
        <f t="shared" si="15"/>
        <v>0</v>
      </c>
      <c r="S85" s="28">
        <f t="shared" si="15"/>
        <v>0</v>
      </c>
      <c r="T85" s="28">
        <f t="shared" si="15"/>
        <v>0</v>
      </c>
      <c r="U85" s="28">
        <f t="shared" si="15"/>
        <v>0</v>
      </c>
      <c r="V85" s="28">
        <f t="shared" si="15"/>
        <v>0</v>
      </c>
      <c r="W85" s="28">
        <f t="shared" si="15"/>
        <v>0</v>
      </c>
      <c r="X85" s="28">
        <f t="shared" si="15"/>
        <v>0</v>
      </c>
      <c r="Y85" s="28">
        <f t="shared" si="15"/>
        <v>0</v>
      </c>
      <c r="Z85" s="28">
        <f t="shared" si="15"/>
        <v>0</v>
      </c>
      <c r="AA85" s="28">
        <f t="shared" si="15"/>
        <v>0</v>
      </c>
      <c r="AB85" s="28">
        <f t="shared" si="15"/>
        <v>0</v>
      </c>
      <c r="AC85" s="28">
        <f t="shared" si="15"/>
        <v>0</v>
      </c>
      <c r="AD85" s="28">
        <f t="shared" si="15"/>
        <v>0</v>
      </c>
      <c r="AE85" s="28">
        <f t="shared" si="15"/>
        <v>0</v>
      </c>
      <c r="AF85" s="28">
        <f t="shared" si="15"/>
        <v>0</v>
      </c>
      <c r="AG85" s="28">
        <f t="shared" si="15"/>
        <v>0</v>
      </c>
      <c r="AH85"/>
    </row>
    <row r="86" spans="1:34" x14ac:dyDescent="0.2">
      <c r="A86" s="6"/>
      <c r="B86" s="6"/>
      <c r="C86" s="4"/>
      <c r="D86" s="34"/>
      <c r="F86" s="28"/>
      <c r="G86" s="184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/>
    </row>
    <row r="87" spans="1:34" x14ac:dyDescent="0.2">
      <c r="A87" s="6"/>
      <c r="B87" s="6"/>
      <c r="C87" s="152" t="s">
        <v>147</v>
      </c>
      <c r="D87" s="153"/>
      <c r="E87" s="149"/>
      <c r="F87" s="154"/>
      <c r="G87" s="189">
        <f t="shared" si="11"/>
        <v>45291</v>
      </c>
      <c r="H87" s="154"/>
      <c r="I87" s="154">
        <f t="shared" ref="I87:AB87" si="16">SUM(I82:I86)</f>
        <v>0</v>
      </c>
      <c r="J87" s="154">
        <f t="shared" si="16"/>
        <v>-15399.087342909064</v>
      </c>
      <c r="K87" s="154">
        <f t="shared" si="16"/>
        <v>-14439.339866500806</v>
      </c>
      <c r="L87" s="154">
        <f t="shared" si="16"/>
        <v>-13496.582193892675</v>
      </c>
      <c r="M87" s="154">
        <f t="shared" si="16"/>
        <v>-12570.408995021477</v>
      </c>
      <c r="N87" s="154">
        <f t="shared" si="16"/>
        <v>-11568.272976774366</v>
      </c>
      <c r="O87" s="154">
        <f t="shared" si="16"/>
        <v>-10346.88936430739</v>
      </c>
      <c r="P87" s="154">
        <f t="shared" si="16"/>
        <v>-9066.1791297582604</v>
      </c>
      <c r="Q87" s="154">
        <f t="shared" si="16"/>
        <v>-8003.2224366146766</v>
      </c>
      <c r="R87" s="154">
        <f t="shared" si="16"/>
        <v>-7287.0774869763918</v>
      </c>
      <c r="S87" s="154">
        <f t="shared" si="16"/>
        <v>-6563.1255031082474</v>
      </c>
      <c r="T87" s="154">
        <f t="shared" si="16"/>
        <v>-5831.433140031404</v>
      </c>
      <c r="U87" s="154">
        <f t="shared" si="16"/>
        <v>-5091.9903328403525</v>
      </c>
      <c r="V87" s="154">
        <f t="shared" si="16"/>
        <v>-4344.7991701032661</v>
      </c>
      <c r="W87" s="154">
        <f t="shared" si="16"/>
        <v>-3589.9353224852748</v>
      </c>
      <c r="X87" s="154">
        <f t="shared" si="16"/>
        <v>-2827.3823330284722</v>
      </c>
      <c r="Y87" s="154">
        <f t="shared" si="16"/>
        <v>-2057.1666265419844</v>
      </c>
      <c r="Z87" s="154">
        <f t="shared" si="16"/>
        <v>-1279.2838577158909</v>
      </c>
      <c r="AA87" s="154">
        <f t="shared" si="16"/>
        <v>-493.77260318595654</v>
      </c>
      <c r="AB87" s="154">
        <f t="shared" si="16"/>
        <v>299.3317008068625</v>
      </c>
      <c r="AC87" s="154">
        <f>SUM(AC82:AC86)</f>
        <v>1100.0520410483077</v>
      </c>
      <c r="AD87" s="154">
        <f>SUM(AD82:AD86)</f>
        <v>39199.742280484643</v>
      </c>
      <c r="AE87" s="154">
        <f>SUM(AE82:AE86)</f>
        <v>39966.839762723073</v>
      </c>
      <c r="AF87" s="154">
        <f>SUM(AF82:AF86)</f>
        <v>40741.058188807918</v>
      </c>
      <c r="AG87" s="154">
        <f>SUM(AG82:AG86)</f>
        <v>41522.370508793276</v>
      </c>
      <c r="AH87"/>
    </row>
    <row r="88" spans="1:34" x14ac:dyDescent="0.2">
      <c r="A88" s="6"/>
      <c r="B88" s="6"/>
      <c r="C88" s="12"/>
      <c r="D88" s="34"/>
      <c r="F88" s="119"/>
      <c r="G88" s="184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  <c r="AH88"/>
    </row>
    <row r="89" spans="1:34" x14ac:dyDescent="0.2">
      <c r="A89" s="6"/>
      <c r="B89" s="6"/>
      <c r="C89" s="12"/>
      <c r="D89" s="34"/>
      <c r="F89" s="119"/>
      <c r="G89" s="184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  <c r="AH89"/>
    </row>
    <row r="90" spans="1:34" x14ac:dyDescent="0.2">
      <c r="A90" s="6"/>
      <c r="B90" s="6"/>
      <c r="C90" s="203" t="s">
        <v>152</v>
      </c>
      <c r="D90" s="72"/>
      <c r="E90" s="204"/>
      <c r="F90" s="205"/>
      <c r="G90" s="206" cm="1">
        <f t="array" ref="G90">IF(SUM($I17:$AG17)=0,0,(INDEX(I$6:AG$6,MATCH(TRUE,INDEX($I17:$AG17&lt;&gt;0,),0))))</f>
        <v>1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/>
    </row>
    <row r="91" spans="1:34" x14ac:dyDescent="0.2">
      <c r="C91" s="72"/>
      <c r="D91" s="207"/>
      <c r="E91" s="204"/>
      <c r="F91" s="204"/>
      <c r="G91" s="206"/>
    </row>
    <row r="92" spans="1:34" x14ac:dyDescent="0.2">
      <c r="C92" s="208" t="s">
        <v>153</v>
      </c>
      <c r="D92" s="209"/>
      <c r="E92" s="209"/>
      <c r="F92" s="209"/>
      <c r="G92" s="210">
        <f>IF(_xlfn.MINIFS($G$90:$G$91, $G$90:$G$91, "&gt;"&amp;0)=0, $A$4, _xlfn.MINIFS($G$90:$G$91, $G$90:$G$91, "&gt;"&amp;0))</f>
        <v>1</v>
      </c>
    </row>
    <row r="94" spans="1:34" x14ac:dyDescent="0.2">
      <c r="G94" s="10"/>
    </row>
    <row r="102" spans="1:43" ht="15" x14ac:dyDescent="0.2">
      <c r="A102" s="78" t="s">
        <v>36</v>
      </c>
      <c r="B102" s="78"/>
      <c r="C102" s="78"/>
      <c r="D102" s="78"/>
      <c r="E102" s="78"/>
      <c r="F102" s="78"/>
      <c r="G102" s="1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2">
      <c r="I104" s="213"/>
      <c r="J104" s="213"/>
      <c r="K104" s="213"/>
      <c r="L104" s="213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</row>
    <row r="105" spans="1:43" x14ac:dyDescent="0.2">
      <c r="I105" s="213"/>
      <c r="J105" s="213"/>
      <c r="K105" s="213"/>
      <c r="L105" s="213"/>
      <c r="M105" s="213"/>
      <c r="N105" s="213"/>
      <c r="O105" s="213"/>
      <c r="P105" s="213"/>
      <c r="Q105" s="213"/>
      <c r="R105" s="213"/>
      <c r="S105" s="213"/>
      <c r="T105" s="213"/>
      <c r="U105" s="213"/>
      <c r="V105" s="213"/>
      <c r="W105" s="213"/>
      <c r="X105" s="213"/>
      <c r="Y105" s="213"/>
      <c r="Z105" s="213"/>
    </row>
    <row r="106" spans="1:43" x14ac:dyDescent="0.2">
      <c r="A106" s="1" t="s">
        <v>22</v>
      </c>
      <c r="C106" s="1" t="s">
        <v>147</v>
      </c>
      <c r="D106"/>
      <c r="E106"/>
      <c r="F106"/>
      <c r="G106" s="34" t="str">
        <f>PROPER($A$3)&amp;A106</f>
        <v>Option 3NPV</v>
      </c>
      <c r="I106" s="28">
        <f>I87</f>
        <v>0</v>
      </c>
      <c r="J106" s="28">
        <f t="shared" ref="J106:AG106" si="17">J87</f>
        <v>-15399.087342909064</v>
      </c>
      <c r="K106" s="28">
        <f t="shared" si="17"/>
        <v>-14439.339866500806</v>
      </c>
      <c r="L106" s="28">
        <f t="shared" si="17"/>
        <v>-13496.582193892675</v>
      </c>
      <c r="M106" s="28">
        <f t="shared" si="17"/>
        <v>-12570.408995021477</v>
      </c>
      <c r="N106" s="28">
        <f t="shared" si="17"/>
        <v>-11568.272976774366</v>
      </c>
      <c r="O106" s="28">
        <f t="shared" si="17"/>
        <v>-10346.88936430739</v>
      </c>
      <c r="P106" s="28">
        <f t="shared" si="17"/>
        <v>-9066.1791297582604</v>
      </c>
      <c r="Q106" s="28">
        <f t="shared" si="17"/>
        <v>-8003.2224366146766</v>
      </c>
      <c r="R106" s="28">
        <f t="shared" si="17"/>
        <v>-7287.0774869763918</v>
      </c>
      <c r="S106" s="28">
        <f t="shared" si="17"/>
        <v>-6563.1255031082474</v>
      </c>
      <c r="T106" s="28">
        <f t="shared" si="17"/>
        <v>-5831.433140031404</v>
      </c>
      <c r="U106" s="28">
        <f t="shared" si="17"/>
        <v>-5091.9903328403525</v>
      </c>
      <c r="V106" s="28">
        <f t="shared" si="17"/>
        <v>-4344.7991701032661</v>
      </c>
      <c r="W106" s="28">
        <f t="shared" si="17"/>
        <v>-3589.9353224852748</v>
      </c>
      <c r="X106" s="28">
        <f t="shared" si="17"/>
        <v>-2827.3823330284722</v>
      </c>
      <c r="Y106" s="28">
        <f t="shared" si="17"/>
        <v>-2057.1666265419844</v>
      </c>
      <c r="Z106" s="28">
        <f t="shared" si="17"/>
        <v>-1279.2838577158909</v>
      </c>
      <c r="AA106" s="28">
        <f t="shared" si="17"/>
        <v>-493.77260318595654</v>
      </c>
      <c r="AB106" s="28">
        <f t="shared" si="17"/>
        <v>299.3317008068625</v>
      </c>
      <c r="AC106" s="28">
        <f t="shared" si="17"/>
        <v>1100.0520410483077</v>
      </c>
      <c r="AD106" s="28">
        <f t="shared" si="17"/>
        <v>39199.742280484643</v>
      </c>
      <c r="AE106" s="28">
        <f t="shared" si="17"/>
        <v>39966.839762723073</v>
      </c>
      <c r="AF106" s="28">
        <f t="shared" si="17"/>
        <v>40741.058188807918</v>
      </c>
      <c r="AG106" s="28">
        <f t="shared" si="17"/>
        <v>41522.370508793276</v>
      </c>
    </row>
    <row r="107" spans="1:43" x14ac:dyDescent="0.2">
      <c r="C107" s="1" t="s">
        <v>144</v>
      </c>
      <c r="D107"/>
      <c r="E107"/>
      <c r="F107"/>
      <c r="G107"/>
      <c r="I107" s="28">
        <f>I82</f>
        <v>0</v>
      </c>
      <c r="J107" s="28">
        <f t="shared" ref="J107:AG107" si="18">J82</f>
        <v>-37291.370695003883</v>
      </c>
      <c r="K107" s="28">
        <f t="shared" si="18"/>
        <v>-37291.370695003883</v>
      </c>
      <c r="L107" s="28">
        <f t="shared" si="18"/>
        <v>-37291.370695003883</v>
      </c>
      <c r="M107" s="28">
        <f t="shared" si="18"/>
        <v>-37291.370695003883</v>
      </c>
      <c r="N107" s="28">
        <f t="shared" si="18"/>
        <v>-37291.370695003883</v>
      </c>
      <c r="O107" s="28">
        <f t="shared" si="18"/>
        <v>-37291.370695003883</v>
      </c>
      <c r="P107" s="28">
        <f t="shared" si="18"/>
        <v>-37291.370695003883</v>
      </c>
      <c r="Q107" s="28">
        <f t="shared" si="18"/>
        <v>-37291.370695003883</v>
      </c>
      <c r="R107" s="28">
        <f t="shared" si="18"/>
        <v>-37291.370695003883</v>
      </c>
      <c r="S107" s="28">
        <f t="shared" si="18"/>
        <v>-37291.370695003883</v>
      </c>
      <c r="T107" s="28">
        <f t="shared" si="18"/>
        <v>-37291.370695003883</v>
      </c>
      <c r="U107" s="28">
        <f t="shared" si="18"/>
        <v>-37291.370695003883</v>
      </c>
      <c r="V107" s="28">
        <f t="shared" si="18"/>
        <v>-37291.370695003883</v>
      </c>
      <c r="W107" s="28">
        <f t="shared" si="18"/>
        <v>-37291.370695003883</v>
      </c>
      <c r="X107" s="28">
        <f t="shared" si="18"/>
        <v>-37291.370695003883</v>
      </c>
      <c r="Y107" s="28">
        <f t="shared" si="18"/>
        <v>-37291.370695003883</v>
      </c>
      <c r="Z107" s="28">
        <f t="shared" si="18"/>
        <v>-37291.370695003883</v>
      </c>
      <c r="AA107" s="28">
        <f t="shared" si="18"/>
        <v>-37291.370695003883</v>
      </c>
      <c r="AB107" s="28">
        <f t="shared" si="18"/>
        <v>-37291.370695003883</v>
      </c>
      <c r="AC107" s="28">
        <f t="shared" si="18"/>
        <v>-37291.370695003883</v>
      </c>
      <c r="AD107" s="28">
        <f t="shared" si="18"/>
        <v>0</v>
      </c>
      <c r="AE107" s="28">
        <f t="shared" si="18"/>
        <v>0</v>
      </c>
      <c r="AF107" s="28">
        <f t="shared" si="18"/>
        <v>0</v>
      </c>
      <c r="AG107" s="28">
        <f t="shared" si="18"/>
        <v>0</v>
      </c>
    </row>
    <row r="108" spans="1:43" x14ac:dyDescent="0.2">
      <c r="C108" s="1" t="s">
        <v>104</v>
      </c>
      <c r="D108"/>
      <c r="E108"/>
      <c r="F108"/>
      <c r="G108"/>
      <c r="I108" s="28">
        <f>SUM(I84:I85)</f>
        <v>0</v>
      </c>
      <c r="J108" s="28">
        <f t="shared" ref="J108:AG108" si="19">SUM(J84:J85)</f>
        <v>21892.283352094819</v>
      </c>
      <c r="K108" s="28">
        <f t="shared" si="19"/>
        <v>22852.030828503077</v>
      </c>
      <c r="L108" s="28">
        <f t="shared" si="19"/>
        <v>23794.788501111208</v>
      </c>
      <c r="M108" s="28">
        <f t="shared" si="19"/>
        <v>24720.961699982407</v>
      </c>
      <c r="N108" s="28">
        <f t="shared" si="19"/>
        <v>25723.097718229517</v>
      </c>
      <c r="O108" s="28">
        <f t="shared" si="19"/>
        <v>26944.481330696493</v>
      </c>
      <c r="P108" s="28">
        <f t="shared" si="19"/>
        <v>28225.191565245623</v>
      </c>
      <c r="Q108" s="28">
        <f t="shared" si="19"/>
        <v>29288.148258389207</v>
      </c>
      <c r="R108" s="28">
        <f t="shared" si="19"/>
        <v>30004.293208027491</v>
      </c>
      <c r="S108" s="28">
        <f t="shared" si="19"/>
        <v>30728.245191895636</v>
      </c>
      <c r="T108" s="28">
        <f t="shared" si="19"/>
        <v>31459.937554972479</v>
      </c>
      <c r="U108" s="28">
        <f t="shared" si="19"/>
        <v>32199.380362163531</v>
      </c>
      <c r="V108" s="28">
        <f t="shared" si="19"/>
        <v>32946.571524900617</v>
      </c>
      <c r="W108" s="28">
        <f t="shared" si="19"/>
        <v>33701.435372518608</v>
      </c>
      <c r="X108" s="28">
        <f t="shared" si="19"/>
        <v>34463.988361975411</v>
      </c>
      <c r="Y108" s="28">
        <f t="shared" si="19"/>
        <v>35234.204068461899</v>
      </c>
      <c r="Z108" s="28">
        <f t="shared" si="19"/>
        <v>36012.086837287992</v>
      </c>
      <c r="AA108" s="28">
        <f t="shared" si="19"/>
        <v>36797.598091817927</v>
      </c>
      <c r="AB108" s="28">
        <f t="shared" si="19"/>
        <v>37590.702395810746</v>
      </c>
      <c r="AC108" s="28">
        <f t="shared" si="19"/>
        <v>38391.422736052191</v>
      </c>
      <c r="AD108" s="28">
        <f t="shared" si="19"/>
        <v>39199.742280484643</v>
      </c>
      <c r="AE108" s="28">
        <f t="shared" si="19"/>
        <v>39966.839762723073</v>
      </c>
      <c r="AF108" s="28">
        <f t="shared" si="19"/>
        <v>40741.058188807918</v>
      </c>
      <c r="AG108" s="28">
        <f t="shared" si="19"/>
        <v>41522.370508793276</v>
      </c>
    </row>
    <row r="109" spans="1:43" x14ac:dyDescent="0.2">
      <c r="D109" s="253" t="str">
        <f>Assumptions!G110</f>
        <v>Capex</v>
      </c>
      <c r="E109" s="253" t="str">
        <f>Assumptions!H110</f>
        <v>Total benefits</v>
      </c>
      <c r="I109" s="213"/>
      <c r="J109" s="213"/>
      <c r="K109" s="213"/>
      <c r="L109" s="213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</row>
    <row r="110" spans="1:43" x14ac:dyDescent="0.2">
      <c r="A110" s="1" t="str">
        <f>"sens"&amp;Assumptions!B111</f>
        <v>sens1</v>
      </c>
      <c r="C110" s="252" t="str">
        <f>Assumptions!C111</f>
        <v>Capex 10% higher</v>
      </c>
      <c r="D110" s="253">
        <f>Assumptions!G111</f>
        <v>0.1</v>
      </c>
      <c r="E110" s="253">
        <f>Assumptions!H111</f>
        <v>0</v>
      </c>
      <c r="G110" s="34" t="str">
        <f>PROPER($A$3)&amp;A110</f>
        <v>Option 3sens1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-19128.224412409454</v>
      </c>
      <c r="K110" s="28" cm="1">
        <f t="array" ref="K110">K$106+IF($C110&lt;&gt;0,SUMPRODUCT((K$107:K$108)*TRANSPOSE(($D110:$E110))),0)</f>
        <v>-18168.476936001196</v>
      </c>
      <c r="L110" s="28" cm="1">
        <f t="array" ref="L110">L$106+IF($C110&lt;&gt;0,SUMPRODUCT((L$107:L$108)*TRANSPOSE(($D110:$E110))),0)</f>
        <v>-17225.719263393064</v>
      </c>
      <c r="M110" s="28" cm="1">
        <f t="array" ref="M110">M$106+IF($C110&lt;&gt;0,SUMPRODUCT((M$107:M$108)*TRANSPOSE(($D110:$E110))),0)</f>
        <v>-16299.546064521865</v>
      </c>
      <c r="N110" s="28" cm="1">
        <f t="array" ref="N110">N$106+IF($C110&lt;&gt;0,SUMPRODUCT((N$107:N$108)*TRANSPOSE(($D110:$E110))),0)</f>
        <v>-15297.410046274754</v>
      </c>
      <c r="O110" s="28" cm="1">
        <f t="array" ref="O110">O$106+IF($C110&lt;&gt;0,SUMPRODUCT((O$107:O$108)*TRANSPOSE(($D110:$E110))),0)</f>
        <v>-14076.026433807778</v>
      </c>
      <c r="P110" s="28" cm="1">
        <f t="array" ref="P110">P$106+IF($C110&lt;&gt;0,SUMPRODUCT((P$107:P$108)*TRANSPOSE(($D110:$E110))),0)</f>
        <v>-12795.316199258648</v>
      </c>
      <c r="Q110" s="28" cm="1">
        <f t="array" ref="Q110">Q$106+IF($C110&lt;&gt;0,SUMPRODUCT((Q$107:Q$108)*TRANSPOSE(($D110:$E110))),0)</f>
        <v>-11732.359506115065</v>
      </c>
      <c r="R110" s="28" cm="1">
        <f t="array" ref="R110">R$106+IF($C110&lt;&gt;0,SUMPRODUCT((R$107:R$108)*TRANSPOSE(($D110:$E110))),0)</f>
        <v>-11016.21455647678</v>
      </c>
      <c r="S110" s="28" cm="1">
        <f t="array" ref="S110">S$106+IF($C110&lt;&gt;0,SUMPRODUCT((S$107:S$108)*TRANSPOSE(($D110:$E110))),0)</f>
        <v>-10292.262572608635</v>
      </c>
      <c r="T110" s="28" cm="1">
        <f t="array" ref="T110">T$106+IF($C110&lt;&gt;0,SUMPRODUCT((T$107:T$108)*TRANSPOSE(($D110:$E110))),0)</f>
        <v>-9560.570209531792</v>
      </c>
      <c r="U110" s="28" cm="1">
        <f t="array" ref="U110">U$106+IF($C110&lt;&gt;0,SUMPRODUCT((U$107:U$108)*TRANSPOSE(($D110:$E110))),0)</f>
        <v>-8821.1274023407404</v>
      </c>
      <c r="V110" s="28" cm="1">
        <f t="array" ref="V110">V$106+IF($C110&lt;&gt;0,SUMPRODUCT((V$107:V$108)*TRANSPOSE(($D110:$E110))),0)</f>
        <v>-8073.936239603654</v>
      </c>
      <c r="W110" s="28" cm="1">
        <f t="array" ref="W110">W$106+IF($C110&lt;&gt;0,SUMPRODUCT((W$107:W$108)*TRANSPOSE(($D110:$E110))),0)</f>
        <v>-7319.0723919856628</v>
      </c>
      <c r="X110" s="28" cm="1">
        <f t="array" ref="X110">X$106+IF($C110&lt;&gt;0,SUMPRODUCT((X$107:X$108)*TRANSPOSE(($D110:$E110))),0)</f>
        <v>-6556.5194025288602</v>
      </c>
      <c r="Y110" s="28" cm="1">
        <f t="array" ref="Y110">Y$106+IF($C110&lt;&gt;0,SUMPRODUCT((Y$107:Y$108)*TRANSPOSE(($D110:$E110))),0)</f>
        <v>-5786.3036960423724</v>
      </c>
      <c r="Z110" s="28" cm="1">
        <f t="array" ref="Z110">Z$106+IF($C110&lt;&gt;0,SUMPRODUCT((Z$107:Z$108)*TRANSPOSE(($D110:$E110))),0)</f>
        <v>-5008.4209272162789</v>
      </c>
      <c r="AA110" s="28" cm="1">
        <f t="array" ref="AA110">AA$106+IF($C110&lt;&gt;0,SUMPRODUCT((AA$107:AA$108)*TRANSPOSE(($D110:$E110))),0)</f>
        <v>-4222.9096726863445</v>
      </c>
      <c r="AB110" s="28" cm="1">
        <f t="array" ref="AB110">AB$106+IF($C110&lt;&gt;0,SUMPRODUCT((AB$107:AB$108)*TRANSPOSE(($D110:$E110))),0)</f>
        <v>-3429.8053686935259</v>
      </c>
      <c r="AC110" s="28" cm="1">
        <f t="array" ref="AC110">AC$106+IF($C110&lt;&gt;0,SUMPRODUCT((AC$107:AC$108)*TRANSPOSE(($D110:$E110))),0)</f>
        <v>-2629.0850284520807</v>
      </c>
      <c r="AD110" s="28" cm="1">
        <f t="array" ref="AD110">AD$106+IF($C110&lt;&gt;0,SUMPRODUCT((AD$107:AD$108)*TRANSPOSE(($D110:$E110))),0)</f>
        <v>39199.742280484643</v>
      </c>
      <c r="AE110" s="28" cm="1">
        <f t="array" ref="AE110">AE$106+IF($C110&lt;&gt;0,SUMPRODUCT((AE$107:AE$108)*TRANSPOSE(($D110:$E110))),0)</f>
        <v>39966.839762723073</v>
      </c>
      <c r="AF110" s="28" cm="1">
        <f t="array" ref="AF110">AF$106+IF($C110&lt;&gt;0,SUMPRODUCT((AF$107:AF$108)*TRANSPOSE(($D110:$E110))),0)</f>
        <v>40741.058188807918</v>
      </c>
      <c r="AG110" s="28" cm="1">
        <f t="array" ref="AG110">AG$106+IF($C110&lt;&gt;0,SUMPRODUCT((AG$107:AG$108)*TRANSPOSE(($D110:$E110))),0)</f>
        <v>41522.370508793276</v>
      </c>
    </row>
    <row r="111" spans="1:43" x14ac:dyDescent="0.2">
      <c r="A111" s="1" t="str">
        <f>"sens"&amp;Assumptions!B112</f>
        <v>sens2</v>
      </c>
      <c r="C111" s="252" t="str">
        <f>Assumptions!C112</f>
        <v>Capex 10% lower</v>
      </c>
      <c r="D111" s="253">
        <f>Assumptions!G112</f>
        <v>-0.1</v>
      </c>
      <c r="E111" s="253">
        <f>Assumptions!H112</f>
        <v>0</v>
      </c>
      <c r="G111" s="34" t="str">
        <f t="shared" ref="G111:G117" si="20">PROPER($A$3)&amp;A111</f>
        <v>Option 3sens2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-11669.950273408676</v>
      </c>
      <c r="K111" s="28" cm="1">
        <f t="array" ref="K111">K$106+IF($C111&lt;&gt;0,SUMPRODUCT((K$107:K$108)*TRANSPOSE(($D111:$E111))),0)</f>
        <v>-10710.202797000418</v>
      </c>
      <c r="L111" s="28" cm="1">
        <f t="array" ref="L111">L$106+IF($C111&lt;&gt;0,SUMPRODUCT((L$107:L$108)*TRANSPOSE(($D111:$E111))),0)</f>
        <v>-9767.4451243922867</v>
      </c>
      <c r="M111" s="28" cm="1">
        <f t="array" ref="M111">M$106+IF($C111&lt;&gt;0,SUMPRODUCT((M$107:M$108)*TRANSPOSE(($D111:$E111))),0)</f>
        <v>-8841.2719255210886</v>
      </c>
      <c r="N111" s="28" cm="1">
        <f t="array" ref="N111">N$106+IF($C111&lt;&gt;0,SUMPRODUCT((N$107:N$108)*TRANSPOSE(($D111:$E111))),0)</f>
        <v>-7839.1359072739779</v>
      </c>
      <c r="O111" s="28" cm="1">
        <f t="array" ref="O111">O$106+IF($C111&lt;&gt;0,SUMPRODUCT((O$107:O$108)*TRANSPOSE(($D111:$E111))),0)</f>
        <v>-6617.7522948070018</v>
      </c>
      <c r="P111" s="28" cm="1">
        <f t="array" ref="P111">P$106+IF($C111&lt;&gt;0,SUMPRODUCT((P$107:P$108)*TRANSPOSE(($D111:$E111))),0)</f>
        <v>-5337.0420602578724</v>
      </c>
      <c r="Q111" s="28" cm="1">
        <f t="array" ref="Q111">Q$106+IF($C111&lt;&gt;0,SUMPRODUCT((Q$107:Q$108)*TRANSPOSE(($D111:$E111))),0)</f>
        <v>-4274.0853671142886</v>
      </c>
      <c r="R111" s="28" cm="1">
        <f t="array" ref="R111">R$106+IF($C111&lt;&gt;0,SUMPRODUCT((R$107:R$108)*TRANSPOSE(($D111:$E111))),0)</f>
        <v>-3557.9404174760034</v>
      </c>
      <c r="S111" s="28" cm="1">
        <f t="array" ref="S111">S$106+IF($C111&lt;&gt;0,SUMPRODUCT((S$107:S$108)*TRANSPOSE(($D111:$E111))),0)</f>
        <v>-2833.988433607859</v>
      </c>
      <c r="T111" s="28" cm="1">
        <f t="array" ref="T111">T$106+IF($C111&lt;&gt;0,SUMPRODUCT((T$107:T$108)*TRANSPOSE(($D111:$E111))),0)</f>
        <v>-2102.2960705310156</v>
      </c>
      <c r="U111" s="28" cm="1">
        <f t="array" ref="U111">U$106+IF($C111&lt;&gt;0,SUMPRODUCT((U$107:U$108)*TRANSPOSE(($D111:$E111))),0)</f>
        <v>-1362.8532633399641</v>
      </c>
      <c r="V111" s="28" cm="1">
        <f t="array" ref="V111">V$106+IF($C111&lt;&gt;0,SUMPRODUCT((V$107:V$108)*TRANSPOSE(($D111:$E111))),0)</f>
        <v>-615.66210060287767</v>
      </c>
      <c r="W111" s="28" cm="1">
        <f t="array" ref="W111">W$106+IF($C111&lt;&gt;0,SUMPRODUCT((W$107:W$108)*TRANSPOSE(($D111:$E111))),0)</f>
        <v>139.2017470151136</v>
      </c>
      <c r="X111" s="28" cm="1">
        <f t="array" ref="X111">X$106+IF($C111&lt;&gt;0,SUMPRODUCT((X$107:X$108)*TRANSPOSE(($D111:$E111))),0)</f>
        <v>901.7547364719162</v>
      </c>
      <c r="Y111" s="28" cm="1">
        <f t="array" ref="Y111">Y$106+IF($C111&lt;&gt;0,SUMPRODUCT((Y$107:Y$108)*TRANSPOSE(($D111:$E111))),0)</f>
        <v>1671.970442958404</v>
      </c>
      <c r="Z111" s="28" cm="1">
        <f t="array" ref="Z111">Z$106+IF($C111&lt;&gt;0,SUMPRODUCT((Z$107:Z$108)*TRANSPOSE(($D111:$E111))),0)</f>
        <v>2449.8532117844975</v>
      </c>
      <c r="AA111" s="28" cm="1">
        <f t="array" ref="AA111">AA$106+IF($C111&lt;&gt;0,SUMPRODUCT((AA$107:AA$108)*TRANSPOSE(($D111:$E111))),0)</f>
        <v>3235.3644663144319</v>
      </c>
      <c r="AB111" s="28" cm="1">
        <f t="array" ref="AB111">AB$106+IF($C111&lt;&gt;0,SUMPRODUCT((AB$107:AB$108)*TRANSPOSE(($D111:$E111))),0)</f>
        <v>4028.4687703072509</v>
      </c>
      <c r="AC111" s="28" cm="1">
        <f t="array" ref="AC111">AC$106+IF($C111&lt;&gt;0,SUMPRODUCT((AC$107:AC$108)*TRANSPOSE(($D111:$E111))),0)</f>
        <v>4829.1891105486957</v>
      </c>
      <c r="AD111" s="28" cm="1">
        <f t="array" ref="AD111">AD$106+IF($C111&lt;&gt;0,SUMPRODUCT((AD$107:AD$108)*TRANSPOSE(($D111:$E111))),0)</f>
        <v>39199.742280484643</v>
      </c>
      <c r="AE111" s="28" cm="1">
        <f t="array" ref="AE111">AE$106+IF($C111&lt;&gt;0,SUMPRODUCT((AE$107:AE$108)*TRANSPOSE(($D111:$E111))),0)</f>
        <v>39966.839762723073</v>
      </c>
      <c r="AF111" s="28" cm="1">
        <f t="array" ref="AF111">AF$106+IF($C111&lt;&gt;0,SUMPRODUCT((AF$107:AF$108)*TRANSPOSE(($D111:$E111))),0)</f>
        <v>40741.058188807918</v>
      </c>
      <c r="AG111" s="28" cm="1">
        <f t="array" ref="AG111">AG$106+IF($C111&lt;&gt;0,SUMPRODUCT((AG$107:AG$108)*TRANSPOSE(($D111:$E111))),0)</f>
        <v>41522.370508793276</v>
      </c>
    </row>
    <row r="112" spans="1:43" x14ac:dyDescent="0.2">
      <c r="A112" s="1" t="str">
        <f>"sens"&amp;Assumptions!B113</f>
        <v>sens3</v>
      </c>
      <c r="C112" s="252" t="str">
        <f>Assumptions!C113</f>
        <v>Total benefits 10% higher</v>
      </c>
      <c r="D112" s="253">
        <f>Assumptions!G113</f>
        <v>0</v>
      </c>
      <c r="E112" s="253">
        <f>Assumptions!H113</f>
        <v>0.1</v>
      </c>
      <c r="G112" s="34" t="str">
        <f t="shared" si="20"/>
        <v>Option 3sens3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-13209.859007699582</v>
      </c>
      <c r="K112" s="28" cm="1">
        <f t="array" ref="K112">K$106+IF($C112&lt;&gt;0,SUMPRODUCT((K$107:K$108)*TRANSPOSE(($D112:$E112))),0)</f>
        <v>-12154.136783650498</v>
      </c>
      <c r="L112" s="28" cm="1">
        <f t="array" ref="L112">L$106+IF($C112&lt;&gt;0,SUMPRODUCT((L$107:L$108)*TRANSPOSE(($D112:$E112))),0)</f>
        <v>-11117.103343781553</v>
      </c>
      <c r="M112" s="28" cm="1">
        <f t="array" ref="M112">M$106+IF($C112&lt;&gt;0,SUMPRODUCT((M$107:M$108)*TRANSPOSE(($D112:$E112))),0)</f>
        <v>-10098.312825023237</v>
      </c>
      <c r="N112" s="28" cm="1">
        <f t="array" ref="N112">N$106+IF($C112&lt;&gt;0,SUMPRODUCT((N$107:N$108)*TRANSPOSE(($D112:$E112))),0)</f>
        <v>-8995.9632049514148</v>
      </c>
      <c r="O112" s="28" cm="1">
        <f t="array" ref="O112">O$106+IF($C112&lt;&gt;0,SUMPRODUCT((O$107:O$108)*TRANSPOSE(($D112:$E112))),0)</f>
        <v>-7652.4412312377408</v>
      </c>
      <c r="P112" s="28" cm="1">
        <f t="array" ref="P112">P$106+IF($C112&lt;&gt;0,SUMPRODUCT((P$107:P$108)*TRANSPOSE(($D112:$E112))),0)</f>
        <v>-6243.6599732336981</v>
      </c>
      <c r="Q112" s="28" cm="1">
        <f t="array" ref="Q112">Q$106+IF($C112&lt;&gt;0,SUMPRODUCT((Q$107:Q$108)*TRANSPOSE(($D112:$E112))),0)</f>
        <v>-5074.4076107757555</v>
      </c>
      <c r="R112" s="28" cm="1">
        <f t="array" ref="R112">R$106+IF($C112&lt;&gt;0,SUMPRODUCT((R$107:R$108)*TRANSPOSE(($D112:$E112))),0)</f>
        <v>-4286.6481661736425</v>
      </c>
      <c r="S112" s="28" cm="1">
        <f t="array" ref="S112">S$106+IF($C112&lt;&gt;0,SUMPRODUCT((S$107:S$108)*TRANSPOSE(($D112:$E112))),0)</f>
        <v>-3490.3009839186834</v>
      </c>
      <c r="T112" s="28" cm="1">
        <f t="array" ref="T112">T$106+IF($C112&lt;&gt;0,SUMPRODUCT((T$107:T$108)*TRANSPOSE(($D112:$E112))),0)</f>
        <v>-2685.439384534156</v>
      </c>
      <c r="U112" s="28" cm="1">
        <f t="array" ref="U112">U$106+IF($C112&lt;&gt;0,SUMPRODUCT((U$107:U$108)*TRANSPOSE(($D112:$E112))),0)</f>
        <v>-1872.0522966239992</v>
      </c>
      <c r="V112" s="28" cm="1">
        <f t="array" ref="V112">V$106+IF($C112&lt;&gt;0,SUMPRODUCT((V$107:V$108)*TRANSPOSE(($D112:$E112))),0)</f>
        <v>-1050.1420176132042</v>
      </c>
      <c r="W112" s="28" cm="1">
        <f t="array" ref="W112">W$106+IF($C112&lt;&gt;0,SUMPRODUCT((W$107:W$108)*TRANSPOSE(($D112:$E112))),0)</f>
        <v>-219.79178523341398</v>
      </c>
      <c r="X112" s="28" cm="1">
        <f t="array" ref="X112">X$106+IF($C112&lt;&gt;0,SUMPRODUCT((X$107:X$108)*TRANSPOSE(($D112:$E112))),0)</f>
        <v>619.01650316906898</v>
      </c>
      <c r="Y112" s="28" cm="1">
        <f t="array" ref="Y112">Y$106+IF($C112&lt;&gt;0,SUMPRODUCT((Y$107:Y$108)*TRANSPOSE(($D112:$E112))),0)</f>
        <v>1466.2537803042055</v>
      </c>
      <c r="Z112" s="28" cm="1">
        <f t="array" ref="Z112">Z$106+IF($C112&lt;&gt;0,SUMPRODUCT((Z$107:Z$108)*TRANSPOSE(($D112:$E112))),0)</f>
        <v>2321.9248260129084</v>
      </c>
      <c r="AA112" s="28" cm="1">
        <f t="array" ref="AA112">AA$106+IF($C112&lt;&gt;0,SUMPRODUCT((AA$107:AA$108)*TRANSPOSE(($D112:$E112))),0)</f>
        <v>3185.9872059958361</v>
      </c>
      <c r="AB112" s="28" cm="1">
        <f t="array" ref="AB112">AB$106+IF($C112&lt;&gt;0,SUMPRODUCT((AB$107:AB$108)*TRANSPOSE(($D112:$E112))),0)</f>
        <v>4058.4019403879374</v>
      </c>
      <c r="AC112" s="28" cm="1">
        <f t="array" ref="AC112">AC$106+IF($C112&lt;&gt;0,SUMPRODUCT((AC$107:AC$108)*TRANSPOSE(($D112:$E112))),0)</f>
        <v>4939.1943146535268</v>
      </c>
      <c r="AD112" s="28" cm="1">
        <f t="array" ref="AD112">AD$106+IF($C112&lt;&gt;0,SUMPRODUCT((AD$107:AD$108)*TRANSPOSE(($D112:$E112))),0)</f>
        <v>43119.716508533107</v>
      </c>
      <c r="AE112" s="28" cm="1">
        <f t="array" ref="AE112">AE$106+IF($C112&lt;&gt;0,SUMPRODUCT((AE$107:AE$108)*TRANSPOSE(($D112:$E112))),0)</f>
        <v>43963.523738995384</v>
      </c>
      <c r="AF112" s="28" cm="1">
        <f t="array" ref="AF112">AF$106+IF($C112&lt;&gt;0,SUMPRODUCT((AF$107:AF$108)*TRANSPOSE(($D112:$E112))),0)</f>
        <v>44815.164007688712</v>
      </c>
      <c r="AG112" s="28" cm="1">
        <f t="array" ref="AG112">AG$106+IF($C112&lt;&gt;0,SUMPRODUCT((AG$107:AG$108)*TRANSPOSE(($D112:$E112))),0)</f>
        <v>45674.6075596726</v>
      </c>
    </row>
    <row r="113" spans="1:33" x14ac:dyDescent="0.2">
      <c r="A113" s="1" t="str">
        <f>"sens"&amp;Assumptions!B114</f>
        <v>sens4</v>
      </c>
      <c r="C113" s="252" t="str">
        <f>Assumptions!C114</f>
        <v>Total benefits 10% lower</v>
      </c>
      <c r="D113" s="253">
        <f>Assumptions!G114</f>
        <v>0</v>
      </c>
      <c r="E113" s="253">
        <f>Assumptions!H114</f>
        <v>-0.1</v>
      </c>
      <c r="G113" s="34" t="str">
        <f t="shared" si="20"/>
        <v>Option 3sens4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-17588.315678118546</v>
      </c>
      <c r="K113" s="28" cm="1">
        <f t="array" ref="K113">K$106+IF($C113&lt;&gt;0,SUMPRODUCT((K$107:K$108)*TRANSPOSE(($D113:$E113))),0)</f>
        <v>-16724.542949351115</v>
      </c>
      <c r="L113" s="28" cm="1">
        <f t="array" ref="L113">L$106+IF($C113&lt;&gt;0,SUMPRODUCT((L$107:L$108)*TRANSPOSE(($D113:$E113))),0)</f>
        <v>-15876.061044003796</v>
      </c>
      <c r="M113" s="28" cm="1">
        <f t="array" ref="M113">M$106+IF($C113&lt;&gt;0,SUMPRODUCT((M$107:M$108)*TRANSPOSE(($D113:$E113))),0)</f>
        <v>-15042.505165019717</v>
      </c>
      <c r="N113" s="28" cm="1">
        <f t="array" ref="N113">N$106+IF($C113&lt;&gt;0,SUMPRODUCT((N$107:N$108)*TRANSPOSE(($D113:$E113))),0)</f>
        <v>-14140.582748597317</v>
      </c>
      <c r="O113" s="28" cm="1">
        <f t="array" ref="O113">O$106+IF($C113&lt;&gt;0,SUMPRODUCT((O$107:O$108)*TRANSPOSE(($D113:$E113))),0)</f>
        <v>-13041.337497377039</v>
      </c>
      <c r="P113" s="28" cm="1">
        <f t="array" ref="P113">P$106+IF($C113&lt;&gt;0,SUMPRODUCT((P$107:P$108)*TRANSPOSE(($D113:$E113))),0)</f>
        <v>-11888.698286282823</v>
      </c>
      <c r="Q113" s="28" cm="1">
        <f t="array" ref="Q113">Q$106+IF($C113&lt;&gt;0,SUMPRODUCT((Q$107:Q$108)*TRANSPOSE(($D113:$E113))),0)</f>
        <v>-10932.037262453598</v>
      </c>
      <c r="R113" s="28" cm="1">
        <f t="array" ref="R113">R$106+IF($C113&lt;&gt;0,SUMPRODUCT((R$107:R$108)*TRANSPOSE(($D113:$E113))),0)</f>
        <v>-10287.50680777914</v>
      </c>
      <c r="S113" s="28" cm="1">
        <f t="array" ref="S113">S$106+IF($C113&lt;&gt;0,SUMPRODUCT((S$107:S$108)*TRANSPOSE(($D113:$E113))),0)</f>
        <v>-9635.9500222978113</v>
      </c>
      <c r="T113" s="28" cm="1">
        <f t="array" ref="T113">T$106+IF($C113&lt;&gt;0,SUMPRODUCT((T$107:T$108)*TRANSPOSE(($D113:$E113))),0)</f>
        <v>-8977.4268955286516</v>
      </c>
      <c r="U113" s="28" cm="1">
        <f t="array" ref="U113">U$106+IF($C113&lt;&gt;0,SUMPRODUCT((U$107:U$108)*TRANSPOSE(($D113:$E113))),0)</f>
        <v>-8311.9283690567063</v>
      </c>
      <c r="V113" s="28" cm="1">
        <f t="array" ref="V113">V$106+IF($C113&lt;&gt;0,SUMPRODUCT((V$107:V$108)*TRANSPOSE(($D113:$E113))),0)</f>
        <v>-7639.456322593328</v>
      </c>
      <c r="W113" s="28" cm="1">
        <f t="array" ref="W113">W$106+IF($C113&lt;&gt;0,SUMPRODUCT((W$107:W$108)*TRANSPOSE(($D113:$E113))),0)</f>
        <v>-6960.0788597371356</v>
      </c>
      <c r="X113" s="28" cm="1">
        <f t="array" ref="X113">X$106+IF($C113&lt;&gt;0,SUMPRODUCT((X$107:X$108)*TRANSPOSE(($D113:$E113))),0)</f>
        <v>-6273.7811692260129</v>
      </c>
      <c r="Y113" s="28" cm="1">
        <f t="array" ref="Y113">Y$106+IF($C113&lt;&gt;0,SUMPRODUCT((Y$107:Y$108)*TRANSPOSE(($D113:$E113))),0)</f>
        <v>-5580.5870333881739</v>
      </c>
      <c r="Z113" s="28" cm="1">
        <f t="array" ref="Z113">Z$106+IF($C113&lt;&gt;0,SUMPRODUCT((Z$107:Z$108)*TRANSPOSE(($D113:$E113))),0)</f>
        <v>-4880.4925414446898</v>
      </c>
      <c r="AA113" s="28" cm="1">
        <f t="array" ref="AA113">AA$106+IF($C113&lt;&gt;0,SUMPRODUCT((AA$107:AA$108)*TRANSPOSE(($D113:$E113))),0)</f>
        <v>-4173.5324123677492</v>
      </c>
      <c r="AB113" s="28" cm="1">
        <f t="array" ref="AB113">AB$106+IF($C113&lt;&gt;0,SUMPRODUCT((AB$107:AB$108)*TRANSPOSE(($D113:$E113))),0)</f>
        <v>-3459.7385387742124</v>
      </c>
      <c r="AC113" s="28" cm="1">
        <f t="array" ref="AC113">AC$106+IF($C113&lt;&gt;0,SUMPRODUCT((AC$107:AC$108)*TRANSPOSE(($D113:$E113))),0)</f>
        <v>-2739.0902325569114</v>
      </c>
      <c r="AD113" s="28" cm="1">
        <f t="array" ref="AD113">AD$106+IF($C113&lt;&gt;0,SUMPRODUCT((AD$107:AD$108)*TRANSPOSE(($D113:$E113))),0)</f>
        <v>35279.768052436179</v>
      </c>
      <c r="AE113" s="28" cm="1">
        <f t="array" ref="AE113">AE$106+IF($C113&lt;&gt;0,SUMPRODUCT((AE$107:AE$108)*TRANSPOSE(($D113:$E113))),0)</f>
        <v>35970.155786450763</v>
      </c>
      <c r="AF113" s="28" cm="1">
        <f t="array" ref="AF113">AF$106+IF($C113&lt;&gt;0,SUMPRODUCT((AF$107:AF$108)*TRANSPOSE(($D113:$E113))),0)</f>
        <v>36666.952369927123</v>
      </c>
      <c r="AG113" s="28" cm="1">
        <f t="array" ref="AG113">AG$106+IF($C113&lt;&gt;0,SUMPRODUCT((AG$107:AG$108)*TRANSPOSE(($D113:$E113))),0)</f>
        <v>37370.133457913951</v>
      </c>
    </row>
    <row r="114" spans="1:33" x14ac:dyDescent="0.2">
      <c r="A114" s="1" t="str">
        <f>"sens"&amp;Assumptions!B115</f>
        <v>sens5</v>
      </c>
      <c r="C114" s="252" t="str">
        <f>Assumptions!C115</f>
        <v>Capex 10% higher &amp; Total benefits 10% lower</v>
      </c>
      <c r="D114" s="253">
        <f>Assumptions!G115</f>
        <v>0.1</v>
      </c>
      <c r="E114" s="253">
        <f>Assumptions!H115</f>
        <v>-0.1</v>
      </c>
      <c r="G114" s="34" t="str">
        <f t="shared" si="20"/>
        <v>Option 3sens5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-21317.452747618932</v>
      </c>
      <c r="K114" s="28" cm="1">
        <f t="array" ref="K114">K$106+IF($C114&lt;&gt;0,SUMPRODUCT((K$107:K$108)*TRANSPOSE(($D114:$E114))),0)</f>
        <v>-20453.680018851504</v>
      </c>
      <c r="L114" s="28" cm="1">
        <f t="array" ref="L114">L$106+IF($C114&lt;&gt;0,SUMPRODUCT((L$107:L$108)*TRANSPOSE(($D114:$E114))),0)</f>
        <v>-19605.198113504186</v>
      </c>
      <c r="M114" s="28" cm="1">
        <f t="array" ref="M114">M$106+IF($C114&lt;&gt;0,SUMPRODUCT((M$107:M$108)*TRANSPOSE(($D114:$E114))),0)</f>
        <v>-18771.642234520106</v>
      </c>
      <c r="N114" s="28" cm="1">
        <f t="array" ref="N114">N$106+IF($C114&lt;&gt;0,SUMPRODUCT((N$107:N$108)*TRANSPOSE(($D114:$E114))),0)</f>
        <v>-17869.719818097707</v>
      </c>
      <c r="O114" s="28" cm="1">
        <f t="array" ref="O114">O$106+IF($C114&lt;&gt;0,SUMPRODUCT((O$107:O$108)*TRANSPOSE(($D114:$E114))),0)</f>
        <v>-16770.474566877427</v>
      </c>
      <c r="P114" s="28" cm="1">
        <f t="array" ref="P114">P$106+IF($C114&lt;&gt;0,SUMPRODUCT((P$107:P$108)*TRANSPOSE(($D114:$E114))),0)</f>
        <v>-15617.835355783211</v>
      </c>
      <c r="Q114" s="28" cm="1">
        <f t="array" ref="Q114">Q$106+IF($C114&lt;&gt;0,SUMPRODUCT((Q$107:Q$108)*TRANSPOSE(($D114:$E114))),0)</f>
        <v>-14661.174331953986</v>
      </c>
      <c r="R114" s="28" cm="1">
        <f t="array" ref="R114">R$106+IF($C114&lt;&gt;0,SUMPRODUCT((R$107:R$108)*TRANSPOSE(($D114:$E114))),0)</f>
        <v>-14016.64387727953</v>
      </c>
      <c r="S114" s="28" cm="1">
        <f t="array" ref="S114">S$106+IF($C114&lt;&gt;0,SUMPRODUCT((S$107:S$108)*TRANSPOSE(($D114:$E114))),0)</f>
        <v>-13365.087091798199</v>
      </c>
      <c r="T114" s="28" cm="1">
        <f t="array" ref="T114">T$106+IF($C114&lt;&gt;0,SUMPRODUCT((T$107:T$108)*TRANSPOSE(($D114:$E114))),0)</f>
        <v>-12706.56396502904</v>
      </c>
      <c r="U114" s="28" cm="1">
        <f t="array" ref="U114">U$106+IF($C114&lt;&gt;0,SUMPRODUCT((U$107:U$108)*TRANSPOSE(($D114:$E114))),0)</f>
        <v>-12041.065438557094</v>
      </c>
      <c r="V114" s="28" cm="1">
        <f t="array" ref="V114">V$106+IF($C114&lt;&gt;0,SUMPRODUCT((V$107:V$108)*TRANSPOSE(($D114:$E114))),0)</f>
        <v>-11368.593392093717</v>
      </c>
      <c r="W114" s="28" cm="1">
        <f t="array" ref="W114">W$106+IF($C114&lt;&gt;0,SUMPRODUCT((W$107:W$108)*TRANSPOSE(($D114:$E114))),0)</f>
        <v>-10689.215929237524</v>
      </c>
      <c r="X114" s="28" cm="1">
        <f t="array" ref="X114">X$106+IF($C114&lt;&gt;0,SUMPRODUCT((X$107:X$108)*TRANSPOSE(($D114:$E114))),0)</f>
        <v>-10002.918238726401</v>
      </c>
      <c r="Y114" s="28" cm="1">
        <f t="array" ref="Y114">Y$106+IF($C114&lt;&gt;0,SUMPRODUCT((Y$107:Y$108)*TRANSPOSE(($D114:$E114))),0)</f>
        <v>-9309.7241028885619</v>
      </c>
      <c r="Z114" s="28" cm="1">
        <f t="array" ref="Z114">Z$106+IF($C114&lt;&gt;0,SUMPRODUCT((Z$107:Z$108)*TRANSPOSE(($D114:$E114))),0)</f>
        <v>-8609.6296109450777</v>
      </c>
      <c r="AA114" s="28" cm="1">
        <f t="array" ref="AA114">AA$106+IF($C114&lt;&gt;0,SUMPRODUCT((AA$107:AA$108)*TRANSPOSE(($D114:$E114))),0)</f>
        <v>-7902.6694818681372</v>
      </c>
      <c r="AB114" s="28" cm="1">
        <f t="array" ref="AB114">AB$106+IF($C114&lt;&gt;0,SUMPRODUCT((AB$107:AB$108)*TRANSPOSE(($D114:$E114))),0)</f>
        <v>-7188.8756082746004</v>
      </c>
      <c r="AC114" s="28" cm="1">
        <f t="array" ref="AC114">AC$106+IF($C114&lt;&gt;0,SUMPRODUCT((AC$107:AC$108)*TRANSPOSE(($D114:$E114))),0)</f>
        <v>-6468.2273020572993</v>
      </c>
      <c r="AD114" s="28" cm="1">
        <f t="array" ref="AD114">AD$106+IF($C114&lt;&gt;0,SUMPRODUCT((AD$107:AD$108)*TRANSPOSE(($D114:$E114))),0)</f>
        <v>35279.768052436179</v>
      </c>
      <c r="AE114" s="28" cm="1">
        <f t="array" ref="AE114">AE$106+IF($C114&lt;&gt;0,SUMPRODUCT((AE$107:AE$108)*TRANSPOSE(($D114:$E114))),0)</f>
        <v>35970.155786450763</v>
      </c>
      <c r="AF114" s="28" cm="1">
        <f t="array" ref="AF114">AF$106+IF($C114&lt;&gt;0,SUMPRODUCT((AF$107:AF$108)*TRANSPOSE(($D114:$E114))),0)</f>
        <v>36666.952369927123</v>
      </c>
      <c r="AG114" s="28" cm="1">
        <f t="array" ref="AG114">AG$106+IF($C114&lt;&gt;0,SUMPRODUCT((AG$107:AG$108)*TRANSPOSE(($D114:$E114))),0)</f>
        <v>37370.133457913951</v>
      </c>
    </row>
    <row r="115" spans="1:33" x14ac:dyDescent="0.2">
      <c r="A115" s="1" t="str">
        <f>"sens"&amp;Assumptions!B116</f>
        <v>sens</v>
      </c>
      <c r="C115" s="252">
        <f>Assumptions!C116</f>
        <v>0</v>
      </c>
      <c r="D115" s="253">
        <f>Assumptions!G116</f>
        <v>0</v>
      </c>
      <c r="E115" s="253">
        <f>Assumptions!H116</f>
        <v>0</v>
      </c>
      <c r="G115" s="34" t="str">
        <f t="shared" si="20"/>
        <v>Option 3sens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-15399.087342909064</v>
      </c>
      <c r="K115" s="28" cm="1">
        <f t="array" ref="K115">K$106+IF($C115&lt;&gt;0,SUMPRODUCT((K$107:K$108)*TRANSPOSE(($D115:$E115))),0)</f>
        <v>-14439.339866500806</v>
      </c>
      <c r="L115" s="28" cm="1">
        <f t="array" ref="L115">L$106+IF($C115&lt;&gt;0,SUMPRODUCT((L$107:L$108)*TRANSPOSE(($D115:$E115))),0)</f>
        <v>-13496.582193892675</v>
      </c>
      <c r="M115" s="28" cm="1">
        <f t="array" ref="M115">M$106+IF($C115&lt;&gt;0,SUMPRODUCT((M$107:M$108)*TRANSPOSE(($D115:$E115))),0)</f>
        <v>-12570.408995021477</v>
      </c>
      <c r="N115" s="28" cm="1">
        <f t="array" ref="N115">N$106+IF($C115&lt;&gt;0,SUMPRODUCT((N$107:N$108)*TRANSPOSE(($D115:$E115))),0)</f>
        <v>-11568.272976774366</v>
      </c>
      <c r="O115" s="28" cm="1">
        <f t="array" ref="O115">O$106+IF($C115&lt;&gt;0,SUMPRODUCT((O$107:O$108)*TRANSPOSE(($D115:$E115))),0)</f>
        <v>-10346.88936430739</v>
      </c>
      <c r="P115" s="28" cm="1">
        <f t="array" ref="P115">P$106+IF($C115&lt;&gt;0,SUMPRODUCT((P$107:P$108)*TRANSPOSE(($D115:$E115))),0)</f>
        <v>-9066.1791297582604</v>
      </c>
      <c r="Q115" s="28" cm="1">
        <f t="array" ref="Q115">Q$106+IF($C115&lt;&gt;0,SUMPRODUCT((Q$107:Q$108)*TRANSPOSE(($D115:$E115))),0)</f>
        <v>-8003.2224366146766</v>
      </c>
      <c r="R115" s="28" cm="1">
        <f t="array" ref="R115">R$106+IF($C115&lt;&gt;0,SUMPRODUCT((R$107:R$108)*TRANSPOSE(($D115:$E115))),0)</f>
        <v>-7287.0774869763918</v>
      </c>
      <c r="S115" s="28" cm="1">
        <f t="array" ref="S115">S$106+IF($C115&lt;&gt;0,SUMPRODUCT((S$107:S$108)*TRANSPOSE(($D115:$E115))),0)</f>
        <v>-6563.1255031082474</v>
      </c>
      <c r="T115" s="28" cm="1">
        <f t="array" ref="T115">T$106+IF($C115&lt;&gt;0,SUMPRODUCT((T$107:T$108)*TRANSPOSE(($D115:$E115))),0)</f>
        <v>-5831.433140031404</v>
      </c>
      <c r="U115" s="28" cm="1">
        <f t="array" ref="U115">U$106+IF($C115&lt;&gt;0,SUMPRODUCT((U$107:U$108)*TRANSPOSE(($D115:$E115))),0)</f>
        <v>-5091.9903328403525</v>
      </c>
      <c r="V115" s="28" cm="1">
        <f t="array" ref="V115">V$106+IF($C115&lt;&gt;0,SUMPRODUCT((V$107:V$108)*TRANSPOSE(($D115:$E115))),0)</f>
        <v>-4344.7991701032661</v>
      </c>
      <c r="W115" s="28" cm="1">
        <f t="array" ref="W115">W$106+IF($C115&lt;&gt;0,SUMPRODUCT((W$107:W$108)*TRANSPOSE(($D115:$E115))),0)</f>
        <v>-3589.9353224852748</v>
      </c>
      <c r="X115" s="28" cm="1">
        <f t="array" ref="X115">X$106+IF($C115&lt;&gt;0,SUMPRODUCT((X$107:X$108)*TRANSPOSE(($D115:$E115))),0)</f>
        <v>-2827.3823330284722</v>
      </c>
      <c r="Y115" s="28" cm="1">
        <f t="array" ref="Y115">Y$106+IF($C115&lt;&gt;0,SUMPRODUCT((Y$107:Y$108)*TRANSPOSE(($D115:$E115))),0)</f>
        <v>-2057.1666265419844</v>
      </c>
      <c r="Z115" s="28" cm="1">
        <f t="array" ref="Z115">Z$106+IF($C115&lt;&gt;0,SUMPRODUCT((Z$107:Z$108)*TRANSPOSE(($D115:$E115))),0)</f>
        <v>-1279.2838577158909</v>
      </c>
      <c r="AA115" s="28" cm="1">
        <f t="array" ref="AA115">AA$106+IF($C115&lt;&gt;0,SUMPRODUCT((AA$107:AA$108)*TRANSPOSE(($D115:$E115))),0)</f>
        <v>-493.77260318595654</v>
      </c>
      <c r="AB115" s="28" cm="1">
        <f t="array" ref="AB115">AB$106+IF($C115&lt;&gt;0,SUMPRODUCT((AB$107:AB$108)*TRANSPOSE(($D115:$E115))),0)</f>
        <v>299.3317008068625</v>
      </c>
      <c r="AC115" s="28" cm="1">
        <f t="array" ref="AC115">AC$106+IF($C115&lt;&gt;0,SUMPRODUCT((AC$107:AC$108)*TRANSPOSE(($D115:$E115))),0)</f>
        <v>1100.0520410483077</v>
      </c>
      <c r="AD115" s="28" cm="1">
        <f t="array" ref="AD115">AD$106+IF($C115&lt;&gt;0,SUMPRODUCT((AD$107:AD$108)*TRANSPOSE(($D115:$E115))),0)</f>
        <v>39199.742280484643</v>
      </c>
      <c r="AE115" s="28" cm="1">
        <f t="array" ref="AE115">AE$106+IF($C115&lt;&gt;0,SUMPRODUCT((AE$107:AE$108)*TRANSPOSE(($D115:$E115))),0)</f>
        <v>39966.839762723073</v>
      </c>
      <c r="AF115" s="28" cm="1">
        <f t="array" ref="AF115">AF$106+IF($C115&lt;&gt;0,SUMPRODUCT((AF$107:AF$108)*TRANSPOSE(($D115:$E115))),0)</f>
        <v>40741.058188807918</v>
      </c>
      <c r="AG115" s="28" cm="1">
        <f t="array" ref="AG115">AG$106+IF($C115&lt;&gt;0,SUMPRODUCT((AG$107:AG$108)*TRANSPOSE(($D115:$E115))),0)</f>
        <v>41522.370508793276</v>
      </c>
    </row>
    <row r="116" spans="1:33" x14ac:dyDescent="0.2">
      <c r="A116" s="1" t="str">
        <f>"sens"&amp;Assumptions!B117</f>
        <v>sens</v>
      </c>
      <c r="C116" s="252">
        <f>Assumptions!C117</f>
        <v>0</v>
      </c>
      <c r="D116" s="253">
        <f>Assumptions!G117</f>
        <v>0</v>
      </c>
      <c r="E116" s="253">
        <f>Assumptions!H117</f>
        <v>0</v>
      </c>
      <c r="G116" s="34" t="str">
        <f t="shared" si="20"/>
        <v>Option 3sens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-15399.087342909064</v>
      </c>
      <c r="K116" s="28" cm="1">
        <f t="array" ref="K116">K$106+IF($C116&lt;&gt;0,SUMPRODUCT((K$107:K$108)*TRANSPOSE(($D116:$E116))),0)</f>
        <v>-14439.339866500806</v>
      </c>
      <c r="L116" s="28" cm="1">
        <f t="array" ref="L116">L$106+IF($C116&lt;&gt;0,SUMPRODUCT((L$107:L$108)*TRANSPOSE(($D116:$E116))),0)</f>
        <v>-13496.582193892675</v>
      </c>
      <c r="M116" s="28" cm="1">
        <f t="array" ref="M116">M$106+IF($C116&lt;&gt;0,SUMPRODUCT((M$107:M$108)*TRANSPOSE(($D116:$E116))),0)</f>
        <v>-12570.408995021477</v>
      </c>
      <c r="N116" s="28" cm="1">
        <f t="array" ref="N116">N$106+IF($C116&lt;&gt;0,SUMPRODUCT((N$107:N$108)*TRANSPOSE(($D116:$E116))),0)</f>
        <v>-11568.272976774366</v>
      </c>
      <c r="O116" s="28" cm="1">
        <f t="array" ref="O116">O$106+IF($C116&lt;&gt;0,SUMPRODUCT((O$107:O$108)*TRANSPOSE(($D116:$E116))),0)</f>
        <v>-10346.88936430739</v>
      </c>
      <c r="P116" s="28" cm="1">
        <f t="array" ref="P116">P$106+IF($C116&lt;&gt;0,SUMPRODUCT((P$107:P$108)*TRANSPOSE(($D116:$E116))),0)</f>
        <v>-9066.1791297582604</v>
      </c>
      <c r="Q116" s="28" cm="1">
        <f t="array" ref="Q116">Q$106+IF($C116&lt;&gt;0,SUMPRODUCT((Q$107:Q$108)*TRANSPOSE(($D116:$E116))),0)</f>
        <v>-8003.2224366146766</v>
      </c>
      <c r="R116" s="28" cm="1">
        <f t="array" ref="R116">R$106+IF($C116&lt;&gt;0,SUMPRODUCT((R$107:R$108)*TRANSPOSE(($D116:$E116))),0)</f>
        <v>-7287.0774869763918</v>
      </c>
      <c r="S116" s="28" cm="1">
        <f t="array" ref="S116">S$106+IF($C116&lt;&gt;0,SUMPRODUCT((S$107:S$108)*TRANSPOSE(($D116:$E116))),0)</f>
        <v>-6563.1255031082474</v>
      </c>
      <c r="T116" s="28" cm="1">
        <f t="array" ref="T116">T$106+IF($C116&lt;&gt;0,SUMPRODUCT((T$107:T$108)*TRANSPOSE(($D116:$E116))),0)</f>
        <v>-5831.433140031404</v>
      </c>
      <c r="U116" s="28" cm="1">
        <f t="array" ref="U116">U$106+IF($C116&lt;&gt;0,SUMPRODUCT((U$107:U$108)*TRANSPOSE(($D116:$E116))),0)</f>
        <v>-5091.9903328403525</v>
      </c>
      <c r="V116" s="28" cm="1">
        <f t="array" ref="V116">V$106+IF($C116&lt;&gt;0,SUMPRODUCT((V$107:V$108)*TRANSPOSE(($D116:$E116))),0)</f>
        <v>-4344.7991701032661</v>
      </c>
      <c r="W116" s="28" cm="1">
        <f t="array" ref="W116">W$106+IF($C116&lt;&gt;0,SUMPRODUCT((W$107:W$108)*TRANSPOSE(($D116:$E116))),0)</f>
        <v>-3589.9353224852748</v>
      </c>
      <c r="X116" s="28" cm="1">
        <f t="array" ref="X116">X$106+IF($C116&lt;&gt;0,SUMPRODUCT((X$107:X$108)*TRANSPOSE(($D116:$E116))),0)</f>
        <v>-2827.3823330284722</v>
      </c>
      <c r="Y116" s="28" cm="1">
        <f t="array" ref="Y116">Y$106+IF($C116&lt;&gt;0,SUMPRODUCT((Y$107:Y$108)*TRANSPOSE(($D116:$E116))),0)</f>
        <v>-2057.1666265419844</v>
      </c>
      <c r="Z116" s="28" cm="1">
        <f t="array" ref="Z116">Z$106+IF($C116&lt;&gt;0,SUMPRODUCT((Z$107:Z$108)*TRANSPOSE(($D116:$E116))),0)</f>
        <v>-1279.2838577158909</v>
      </c>
      <c r="AA116" s="28" cm="1">
        <f t="array" ref="AA116">AA$106+IF($C116&lt;&gt;0,SUMPRODUCT((AA$107:AA$108)*TRANSPOSE(($D116:$E116))),0)</f>
        <v>-493.77260318595654</v>
      </c>
      <c r="AB116" s="28" cm="1">
        <f t="array" ref="AB116">AB$106+IF($C116&lt;&gt;0,SUMPRODUCT((AB$107:AB$108)*TRANSPOSE(($D116:$E116))),0)</f>
        <v>299.3317008068625</v>
      </c>
      <c r="AC116" s="28" cm="1">
        <f t="array" ref="AC116">AC$106+IF($C116&lt;&gt;0,SUMPRODUCT((AC$107:AC$108)*TRANSPOSE(($D116:$E116))),0)</f>
        <v>1100.0520410483077</v>
      </c>
      <c r="AD116" s="28" cm="1">
        <f t="array" ref="AD116">AD$106+IF($C116&lt;&gt;0,SUMPRODUCT((AD$107:AD$108)*TRANSPOSE(($D116:$E116))),0)</f>
        <v>39199.742280484643</v>
      </c>
      <c r="AE116" s="28" cm="1">
        <f t="array" ref="AE116">AE$106+IF($C116&lt;&gt;0,SUMPRODUCT((AE$107:AE$108)*TRANSPOSE(($D116:$E116))),0)</f>
        <v>39966.839762723073</v>
      </c>
      <c r="AF116" s="28" cm="1">
        <f t="array" ref="AF116">AF$106+IF($C116&lt;&gt;0,SUMPRODUCT((AF$107:AF$108)*TRANSPOSE(($D116:$E116))),0)</f>
        <v>40741.058188807918</v>
      </c>
      <c r="AG116" s="28" cm="1">
        <f t="array" ref="AG116">AG$106+IF($C116&lt;&gt;0,SUMPRODUCT((AG$107:AG$108)*TRANSPOSE(($D116:$E116))),0)</f>
        <v>41522.370508793276</v>
      </c>
    </row>
    <row r="117" spans="1:33" x14ac:dyDescent="0.2">
      <c r="A117" s="1" t="str">
        <f>"sens"&amp;Assumptions!B118</f>
        <v>sens</v>
      </c>
      <c r="C117" s="252">
        <f>Assumptions!C118</f>
        <v>0</v>
      </c>
      <c r="D117" s="253">
        <f>Assumptions!G118</f>
        <v>0</v>
      </c>
      <c r="E117" s="253">
        <f>Assumptions!H118</f>
        <v>0</v>
      </c>
      <c r="G117" s="34" t="str">
        <f t="shared" si="20"/>
        <v>Option 3sens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-15399.087342909064</v>
      </c>
      <c r="K117" s="28" cm="1">
        <f t="array" ref="K117">K$106+IF($C117&lt;&gt;0,SUMPRODUCT((K$107:K$108)*TRANSPOSE(($D117:$E117))),0)</f>
        <v>-14439.339866500806</v>
      </c>
      <c r="L117" s="28" cm="1">
        <f t="array" ref="L117">L$106+IF($C117&lt;&gt;0,SUMPRODUCT((L$107:L$108)*TRANSPOSE(($D117:$E117))),0)</f>
        <v>-13496.582193892675</v>
      </c>
      <c r="M117" s="28" cm="1">
        <f t="array" ref="M117">M$106+IF($C117&lt;&gt;0,SUMPRODUCT((M$107:M$108)*TRANSPOSE(($D117:$E117))),0)</f>
        <v>-12570.408995021477</v>
      </c>
      <c r="N117" s="28" cm="1">
        <f t="array" ref="N117">N$106+IF($C117&lt;&gt;0,SUMPRODUCT((N$107:N$108)*TRANSPOSE(($D117:$E117))),0)</f>
        <v>-11568.272976774366</v>
      </c>
      <c r="O117" s="28" cm="1">
        <f t="array" ref="O117">O$106+IF($C117&lt;&gt;0,SUMPRODUCT((O$107:O$108)*TRANSPOSE(($D117:$E117))),0)</f>
        <v>-10346.88936430739</v>
      </c>
      <c r="P117" s="28" cm="1">
        <f t="array" ref="P117">P$106+IF($C117&lt;&gt;0,SUMPRODUCT((P$107:P$108)*TRANSPOSE(($D117:$E117))),0)</f>
        <v>-9066.1791297582604</v>
      </c>
      <c r="Q117" s="28" cm="1">
        <f t="array" ref="Q117">Q$106+IF($C117&lt;&gt;0,SUMPRODUCT((Q$107:Q$108)*TRANSPOSE(($D117:$E117))),0)</f>
        <v>-8003.2224366146766</v>
      </c>
      <c r="R117" s="28" cm="1">
        <f t="array" ref="R117">R$106+IF($C117&lt;&gt;0,SUMPRODUCT((R$107:R$108)*TRANSPOSE(($D117:$E117))),0)</f>
        <v>-7287.0774869763918</v>
      </c>
      <c r="S117" s="28" cm="1">
        <f t="array" ref="S117">S$106+IF($C117&lt;&gt;0,SUMPRODUCT((S$107:S$108)*TRANSPOSE(($D117:$E117))),0)</f>
        <v>-6563.1255031082474</v>
      </c>
      <c r="T117" s="28" cm="1">
        <f t="array" ref="T117">T$106+IF($C117&lt;&gt;0,SUMPRODUCT((T$107:T$108)*TRANSPOSE(($D117:$E117))),0)</f>
        <v>-5831.433140031404</v>
      </c>
      <c r="U117" s="28" cm="1">
        <f t="array" ref="U117">U$106+IF($C117&lt;&gt;0,SUMPRODUCT((U$107:U$108)*TRANSPOSE(($D117:$E117))),0)</f>
        <v>-5091.9903328403525</v>
      </c>
      <c r="V117" s="28" cm="1">
        <f t="array" ref="V117">V$106+IF($C117&lt;&gt;0,SUMPRODUCT((V$107:V$108)*TRANSPOSE(($D117:$E117))),0)</f>
        <v>-4344.7991701032661</v>
      </c>
      <c r="W117" s="28" cm="1">
        <f t="array" ref="W117">W$106+IF($C117&lt;&gt;0,SUMPRODUCT((W$107:W$108)*TRANSPOSE(($D117:$E117))),0)</f>
        <v>-3589.9353224852748</v>
      </c>
      <c r="X117" s="28" cm="1">
        <f t="array" ref="X117">X$106+IF($C117&lt;&gt;0,SUMPRODUCT((X$107:X$108)*TRANSPOSE(($D117:$E117))),0)</f>
        <v>-2827.3823330284722</v>
      </c>
      <c r="Y117" s="28" cm="1">
        <f t="array" ref="Y117">Y$106+IF($C117&lt;&gt;0,SUMPRODUCT((Y$107:Y$108)*TRANSPOSE(($D117:$E117))),0)</f>
        <v>-2057.1666265419844</v>
      </c>
      <c r="Z117" s="28" cm="1">
        <f t="array" ref="Z117">Z$106+IF($C117&lt;&gt;0,SUMPRODUCT((Z$107:Z$108)*TRANSPOSE(($D117:$E117))),0)</f>
        <v>-1279.2838577158909</v>
      </c>
      <c r="AA117" s="28" cm="1">
        <f t="array" ref="AA117">AA$106+IF($C117&lt;&gt;0,SUMPRODUCT((AA$107:AA$108)*TRANSPOSE(($D117:$E117))),0)</f>
        <v>-493.77260318595654</v>
      </c>
      <c r="AB117" s="28" cm="1">
        <f t="array" ref="AB117">AB$106+IF($C117&lt;&gt;0,SUMPRODUCT((AB$107:AB$108)*TRANSPOSE(($D117:$E117))),0)</f>
        <v>299.3317008068625</v>
      </c>
      <c r="AC117" s="28" cm="1">
        <f t="array" ref="AC117">AC$106+IF($C117&lt;&gt;0,SUMPRODUCT((AC$107:AC$108)*TRANSPOSE(($D117:$E117))),0)</f>
        <v>1100.0520410483077</v>
      </c>
      <c r="AD117" s="28" cm="1">
        <f t="array" ref="AD117">AD$106+IF($C117&lt;&gt;0,SUMPRODUCT((AD$107:AD$108)*TRANSPOSE(($D117:$E117))),0)</f>
        <v>39199.742280484643</v>
      </c>
      <c r="AE117" s="28" cm="1">
        <f t="array" ref="AE117">AE$106+IF($C117&lt;&gt;0,SUMPRODUCT((AE$107:AE$108)*TRANSPOSE(($D117:$E117))),0)</f>
        <v>39966.839762723073</v>
      </c>
      <c r="AF117" s="28" cm="1">
        <f t="array" ref="AF117">AF$106+IF($C117&lt;&gt;0,SUMPRODUCT((AF$107:AF$108)*TRANSPOSE(($D117:$E117))),0)</f>
        <v>40741.058188807918</v>
      </c>
      <c r="AG117" s="28" cm="1">
        <f t="array" ref="AG117">AG$106+IF($C117&lt;&gt;0,SUMPRODUCT((AG$107:AG$108)*TRANSPOSE(($D117:$E117))),0)</f>
        <v>41522.370508793276</v>
      </c>
    </row>
  </sheetData>
  <conditionalFormatting sqref="E14:E16">
    <cfRule type="expression" dxfId="7" priority="1">
      <formula>AND(SUM($I14:$AB14)&lt;&gt;0, E14=0)</formula>
    </cfRule>
  </conditionalFormatting>
  <conditionalFormatting sqref="E28">
    <cfRule type="expression" dxfId="6" priority="5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4" id="{1712F874-B643-4BE5-934F-196C6E7538A2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28DE2-E846-427B-B371-240E3FF764AB}">
  <sheetPr codeName="Sheet6">
    <tabColor rgb="FF0099FF"/>
  </sheetPr>
  <dimension ref="A1:XER117"/>
  <sheetViews>
    <sheetView showGridLines="0" zoomScale="90" zoomScaleNormal="90" workbookViewId="0">
      <pane xSplit="7" ySplit="10" topLeftCell="H11" activePane="bottomRight" state="frozen"/>
      <selection activeCell="A3" sqref="A3"/>
      <selection pane="topRight" activeCell="A3" sqref="A3"/>
      <selection pane="bottomLeft" activeCell="A3" sqref="A3"/>
      <selection pane="bottomRight" activeCell="A3" sqref="A3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3.3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CitiPower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NC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7" t="s">
        <v>156</v>
      </c>
      <c r="B3" s="5"/>
      <c r="C3" s="175">
        <f>INDEX(Assumptions!$E$14:$E$18, MATCH(A3,_xlfn.ANCHORARRAY( Assumptions!$C$14),0))</f>
        <v>0</v>
      </c>
    </row>
    <row r="4" spans="1:43" x14ac:dyDescent="0.2">
      <c r="A4" s="1" t="str">
        <f>(INDEX(Data!$D$9:$D$13, MATCH(A3, options,0)))</f>
        <v>Not used</v>
      </c>
      <c r="B4" s="162"/>
      <c r="C4" s="211"/>
    </row>
    <row r="5" spans="1:43" hidden="1" outlineLevel="1" x14ac:dyDescent="0.2">
      <c r="C5" s="86"/>
      <c r="D5" s="85"/>
      <c r="E5" s="87"/>
      <c r="F5" s="87"/>
      <c r="G5" s="85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</row>
    <row r="6" spans="1:43" hidden="1" outlineLevel="1" x14ac:dyDescent="0.2">
      <c r="A6" s="85" t="str">
        <f>'Option1 (base case)'!A6</f>
        <v>Count</v>
      </c>
      <c r="B6" s="85"/>
      <c r="C6" s="86"/>
      <c r="D6" s="85"/>
      <c r="E6" s="87"/>
      <c r="F6" s="87"/>
      <c r="G6" s="85"/>
      <c r="H6" s="88"/>
      <c r="I6" s="88">
        <f>'Option1 (base case)'!I6</f>
        <v>1</v>
      </c>
      <c r="J6" s="88">
        <f>'Option1 (base case)'!J6</f>
        <v>2</v>
      </c>
      <c r="K6" s="88">
        <f>'Option1 (base case)'!K6</f>
        <v>3</v>
      </c>
      <c r="L6" s="88">
        <f>'Option1 (base case)'!L6</f>
        <v>4</v>
      </c>
      <c r="M6" s="88">
        <f>'Option1 (base case)'!M6</f>
        <v>5</v>
      </c>
      <c r="N6" s="88">
        <f>'Option1 (base case)'!N6</f>
        <v>6</v>
      </c>
      <c r="O6" s="88">
        <f>'Option1 (base case)'!O6</f>
        <v>7</v>
      </c>
      <c r="P6" s="88">
        <f>'Option1 (base case)'!P6</f>
        <v>8</v>
      </c>
      <c r="Q6" s="88">
        <f>'Option1 (base case)'!Q6</f>
        <v>9</v>
      </c>
      <c r="R6" s="88">
        <f>'Option1 (base case)'!R6</f>
        <v>10</v>
      </c>
      <c r="S6" s="88">
        <f>'Option1 (base case)'!S6</f>
        <v>11</v>
      </c>
      <c r="T6" s="88">
        <f>'Option1 (base case)'!T6</f>
        <v>12</v>
      </c>
      <c r="U6" s="88">
        <f>'Option1 (base case)'!U6</f>
        <v>13</v>
      </c>
      <c r="V6" s="88">
        <f>'Option1 (base case)'!V6</f>
        <v>14</v>
      </c>
      <c r="W6" s="88">
        <f>'Option1 (base case)'!W6</f>
        <v>15</v>
      </c>
      <c r="X6" s="88">
        <f>'Option1 (base case)'!X6</f>
        <v>16</v>
      </c>
      <c r="Y6" s="88">
        <f>'Option1 (base case)'!Y6</f>
        <v>17</v>
      </c>
      <c r="Z6" s="88">
        <f>'Option1 (base case)'!Z6</f>
        <v>18</v>
      </c>
      <c r="AA6" s="88">
        <f>'Option1 (base case)'!AA6</f>
        <v>19</v>
      </c>
      <c r="AB6" s="88">
        <f>'Option1 (base case)'!AB6</f>
        <v>20</v>
      </c>
      <c r="AC6" s="88">
        <f>'Option1 (base case)'!AC6</f>
        <v>21</v>
      </c>
      <c r="AD6" s="88">
        <f>'Option1 (base case)'!AD6</f>
        <v>22</v>
      </c>
      <c r="AE6" s="88">
        <f>'Option1 (base case)'!AE6</f>
        <v>23</v>
      </c>
      <c r="AF6" s="88">
        <f>'Option1 (base case)'!AF6</f>
        <v>24</v>
      </c>
      <c r="AG6" s="88">
        <f>'Option1 (base case)'!AG6</f>
        <v>25</v>
      </c>
    </row>
    <row r="7" spans="1:43" hidden="1" outlineLevel="1" x14ac:dyDescent="0.2">
      <c r="A7" s="85" t="str">
        <f>'Option1 (base case)'!A7</f>
        <v>Value of CO2 reductions</v>
      </c>
      <c r="B7" s="85"/>
      <c r="G7" s="137" t="s">
        <v>108</v>
      </c>
      <c r="I7" s="86">
        <f>'Option1 (base case)'!I7</f>
        <v>24.730486797759085</v>
      </c>
      <c r="J7" s="86">
        <f>'Option1 (base case)'!J7</f>
        <v>22.340740091772258</v>
      </c>
      <c r="K7" s="86">
        <f>'Option1 (base case)'!K7</f>
        <v>20.196329122153124</v>
      </c>
      <c r="L7" s="86">
        <f>'Option1 (base case)'!L7</f>
        <v>18.06294207659629</v>
      </c>
      <c r="M7" s="86">
        <f>'Option1 (base case)'!M7</f>
        <v>15.913397615084225</v>
      </c>
      <c r="N7" s="86">
        <f>'Option1 (base case)'!N7</f>
        <v>13.715069432539002</v>
      </c>
      <c r="O7" s="86">
        <f>'Option1 (base case)'!O7</f>
        <v>13.715069432539002</v>
      </c>
      <c r="P7" s="86">
        <f>'Option1 (base case)'!P7</f>
        <v>13.715069432539002</v>
      </c>
      <c r="Q7" s="86">
        <f>'Option1 (base case)'!Q7</f>
        <v>13.715069432539002</v>
      </c>
      <c r="R7" s="86">
        <f>'Option1 (base case)'!R7</f>
        <v>13.715069432539002</v>
      </c>
      <c r="S7" s="86">
        <f>'Option1 (base case)'!S7</f>
        <v>13.715069432539002</v>
      </c>
      <c r="T7" s="86">
        <f>'Option1 (base case)'!T7</f>
        <v>13.715069432539002</v>
      </c>
      <c r="U7" s="86">
        <f>'Option1 (base case)'!U7</f>
        <v>13.715069432539002</v>
      </c>
      <c r="V7" s="86">
        <f>'Option1 (base case)'!V7</f>
        <v>13.715069432539002</v>
      </c>
      <c r="W7" s="86">
        <f>'Option1 (base case)'!W7</f>
        <v>13.715069432539002</v>
      </c>
      <c r="X7" s="86">
        <f>'Option1 (base case)'!X7</f>
        <v>13.715069432539002</v>
      </c>
      <c r="Y7" s="86">
        <f>'Option1 (base case)'!Y7</f>
        <v>13.715069432539002</v>
      </c>
      <c r="Z7" s="86">
        <f>'Option1 (base case)'!Z7</f>
        <v>13.715069432539002</v>
      </c>
      <c r="AA7" s="86">
        <f>'Option1 (base case)'!AA7</f>
        <v>13.715069432539002</v>
      </c>
      <c r="AB7" s="86">
        <f>'Option1 (base case)'!AB7</f>
        <v>13.715069432539002</v>
      </c>
      <c r="AC7" s="86">
        <f>'Option1 (base case)'!AC7</f>
        <v>13.715069432539002</v>
      </c>
      <c r="AD7" s="86">
        <f>'Option1 (base case)'!AD7</f>
        <v>13.715069432539002</v>
      </c>
      <c r="AE7" s="86">
        <f>'Option1 (base case)'!AE7</f>
        <v>13.715069432539002</v>
      </c>
      <c r="AF7" s="86">
        <f>'Option1 (base case)'!AF7</f>
        <v>13.715069432539002</v>
      </c>
      <c r="AG7" s="86">
        <f>'Option1 (base case)'!AG7</f>
        <v>13.715069432539002</v>
      </c>
    </row>
    <row r="8" spans="1:43" ht="6.75" customHeight="1" collapsed="1" x14ac:dyDescent="0.2">
      <c r="C8" s="86"/>
      <c r="D8" s="85"/>
      <c r="E8" s="87"/>
      <c r="F8" s="87"/>
      <c r="G8" s="85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</row>
    <row r="9" spans="1:43" ht="15" x14ac:dyDescent="0.2">
      <c r="A9" s="16"/>
      <c r="B9" s="16"/>
      <c r="C9" s="16"/>
      <c r="D9" s="16"/>
      <c r="E9" s="16"/>
      <c r="F9" s="120"/>
      <c r="G9" s="16" t="s">
        <v>109</v>
      </c>
      <c r="H9" s="193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110</v>
      </c>
      <c r="B11" s="78"/>
      <c r="C11" s="79"/>
      <c r="D11" s="79"/>
      <c r="E11" s="79"/>
      <c r="F11" s="79"/>
      <c r="G11" s="178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/>
      <c r="AI11"/>
      <c r="AJ11"/>
      <c r="AK11"/>
      <c r="AL11"/>
      <c r="AM11"/>
    </row>
    <row r="12" spans="1:43" x14ac:dyDescent="0.2">
      <c r="A12" s="3"/>
      <c r="B12" s="3"/>
      <c r="C12" s="3"/>
      <c r="D12" s="3"/>
      <c r="G12" s="179"/>
      <c r="AH12"/>
      <c r="AI12"/>
      <c r="AJ12"/>
      <c r="AK12"/>
      <c r="AL12"/>
      <c r="AM12"/>
    </row>
    <row r="13" spans="1:43" x14ac:dyDescent="0.2">
      <c r="C13" s="3" t="s">
        <v>103</v>
      </c>
      <c r="D13"/>
      <c r="E13" s="105" t="s">
        <v>111</v>
      </c>
      <c r="G13" s="180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112</v>
      </c>
      <c r="D14"/>
      <c r="E14" s="126">
        <v>0</v>
      </c>
      <c r="G14" s="181">
        <f>input_dollars</f>
        <v>45291</v>
      </c>
      <c r="H14" s="127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 t="s">
        <v>112</v>
      </c>
      <c r="D15"/>
      <c r="E15" s="126">
        <v>0</v>
      </c>
      <c r="G15" s="181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 t="s">
        <v>112</v>
      </c>
      <c r="D16"/>
      <c r="E16" s="126">
        <v>0</v>
      </c>
      <c r="G16" s="181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32</v>
      </c>
      <c r="G17" s="181">
        <f>input_dollars</f>
        <v>45291</v>
      </c>
      <c r="H17" s="94"/>
      <c r="I17" s="93">
        <f t="shared" ref="I17:Q17" si="0">SUM(I14:I16)</f>
        <v>0</v>
      </c>
      <c r="J17" s="93">
        <f t="shared" si="0"/>
        <v>0</v>
      </c>
      <c r="K17" s="93">
        <f t="shared" si="0"/>
        <v>0</v>
      </c>
      <c r="L17" s="93">
        <f t="shared" si="0"/>
        <v>0</v>
      </c>
      <c r="M17" s="93">
        <f t="shared" si="0"/>
        <v>0</v>
      </c>
      <c r="N17" s="93">
        <f t="shared" si="0"/>
        <v>0</v>
      </c>
      <c r="O17" s="93">
        <f t="shared" si="0"/>
        <v>0</v>
      </c>
      <c r="P17" s="93">
        <f t="shared" si="0"/>
        <v>0</v>
      </c>
      <c r="Q17" s="93">
        <f t="shared" si="0"/>
        <v>0</v>
      </c>
      <c r="R17" s="93">
        <f t="shared" ref="R17:AG17" si="1">SUM(R14:R16)</f>
        <v>0</v>
      </c>
      <c r="S17" s="93">
        <f t="shared" si="1"/>
        <v>0</v>
      </c>
      <c r="T17" s="93">
        <f t="shared" si="1"/>
        <v>0</v>
      </c>
      <c r="U17" s="93">
        <f t="shared" si="1"/>
        <v>0</v>
      </c>
      <c r="V17" s="93">
        <f t="shared" si="1"/>
        <v>0</v>
      </c>
      <c r="W17" s="93">
        <f t="shared" si="1"/>
        <v>0</v>
      </c>
      <c r="X17" s="93">
        <f t="shared" si="1"/>
        <v>0</v>
      </c>
      <c r="Y17" s="93">
        <f t="shared" si="1"/>
        <v>0</v>
      </c>
      <c r="Z17" s="93">
        <f t="shared" si="1"/>
        <v>0</v>
      </c>
      <c r="AA17" s="93">
        <f t="shared" si="1"/>
        <v>0</v>
      </c>
      <c r="AB17" s="93">
        <f t="shared" si="1"/>
        <v>0</v>
      </c>
      <c r="AC17" s="93">
        <f t="shared" si="1"/>
        <v>0</v>
      </c>
      <c r="AD17" s="93">
        <f t="shared" si="1"/>
        <v>0</v>
      </c>
      <c r="AE17" s="93">
        <f t="shared" si="1"/>
        <v>0</v>
      </c>
      <c r="AF17" s="93">
        <f t="shared" si="1"/>
        <v>0</v>
      </c>
      <c r="AG17" s="93">
        <f t="shared" si="1"/>
        <v>0</v>
      </c>
      <c r="AH17"/>
      <c r="AI17"/>
      <c r="AJ17"/>
      <c r="AK17"/>
      <c r="AL17"/>
      <c r="AM17"/>
    </row>
    <row r="18" spans="1:43" x14ac:dyDescent="0.2">
      <c r="C18"/>
      <c r="D18"/>
      <c r="E18"/>
      <c r="G18" s="180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33</v>
      </c>
      <c r="D19"/>
      <c r="E19"/>
      <c r="F19" s="94"/>
      <c r="G19" s="181">
        <f>input_dollars</f>
        <v>45291</v>
      </c>
      <c r="H19" s="94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115">
        <v>0</v>
      </c>
      <c r="T19" s="115">
        <v>0</v>
      </c>
      <c r="U19" s="115">
        <v>0</v>
      </c>
      <c r="V19" s="115">
        <v>0</v>
      </c>
      <c r="W19" s="115">
        <v>0</v>
      </c>
      <c r="X19" s="115">
        <v>0</v>
      </c>
      <c r="Y19" s="115">
        <v>0</v>
      </c>
      <c r="Z19" s="115">
        <v>0</v>
      </c>
      <c r="AA19" s="115">
        <v>0</v>
      </c>
      <c r="AB19" s="115">
        <v>0</v>
      </c>
      <c r="AC19" s="115">
        <v>0</v>
      </c>
      <c r="AD19" s="115">
        <v>0</v>
      </c>
      <c r="AE19" s="115">
        <v>0</v>
      </c>
      <c r="AF19" s="115">
        <v>0</v>
      </c>
      <c r="AG19" s="115">
        <v>0</v>
      </c>
      <c r="AH19"/>
      <c r="AI19"/>
      <c r="AJ19"/>
      <c r="AK19"/>
      <c r="AL19"/>
      <c r="AM19"/>
    </row>
    <row r="20" spans="1:43" x14ac:dyDescent="0.2">
      <c r="G20" s="179"/>
      <c r="AH20"/>
      <c r="AI20"/>
      <c r="AJ20"/>
      <c r="AK20"/>
      <c r="AL20"/>
      <c r="AM20"/>
    </row>
    <row r="21" spans="1:43" x14ac:dyDescent="0.2">
      <c r="C21"/>
      <c r="D21"/>
      <c r="E21"/>
      <c r="G21" s="180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113</v>
      </c>
      <c r="B22" s="78"/>
      <c r="C22" s="78"/>
      <c r="D22" s="78"/>
      <c r="E22" s="78"/>
      <c r="F22" s="78"/>
      <c r="G22" s="1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8"/>
      <c r="B23" s="98"/>
      <c r="C23" s="98"/>
      <c r="D23" s="98"/>
      <c r="E23" s="98"/>
      <c r="F23" s="98"/>
      <c r="G23" s="182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8"/>
      <c r="B24" s="98"/>
      <c r="C24" s="1" t="s">
        <v>114</v>
      </c>
      <c r="D24" s="98"/>
      <c r="E24" s="98"/>
      <c r="F24" s="98"/>
      <c r="G24" s="182"/>
      <c r="H24" s="98"/>
      <c r="I24" s="144">
        <v>0</v>
      </c>
      <c r="J24" s="144">
        <v>0</v>
      </c>
      <c r="K24" s="144">
        <v>0</v>
      </c>
      <c r="L24" s="144">
        <v>0</v>
      </c>
      <c r="M24" s="144">
        <v>0</v>
      </c>
      <c r="N24" s="144">
        <v>0</v>
      </c>
      <c r="O24" s="144">
        <v>0</v>
      </c>
      <c r="P24" s="144">
        <v>0</v>
      </c>
      <c r="Q24" s="144">
        <v>0</v>
      </c>
      <c r="R24" s="144">
        <v>0</v>
      </c>
      <c r="S24" s="144">
        <v>0</v>
      </c>
      <c r="T24" s="144">
        <v>0</v>
      </c>
      <c r="U24" s="145">
        <v>0</v>
      </c>
      <c r="V24" s="145">
        <v>0</v>
      </c>
      <c r="W24" s="145">
        <v>0</v>
      </c>
      <c r="X24" s="145">
        <v>0</v>
      </c>
      <c r="Y24" s="145">
        <v>0</v>
      </c>
      <c r="Z24" s="145">
        <v>0</v>
      </c>
      <c r="AA24" s="145">
        <v>0</v>
      </c>
      <c r="AB24" s="145">
        <v>0</v>
      </c>
      <c r="AC24" s="145">
        <v>0</v>
      </c>
      <c r="AD24" s="145">
        <v>0</v>
      </c>
      <c r="AE24" s="145">
        <v>0</v>
      </c>
      <c r="AF24" s="145">
        <v>0</v>
      </c>
      <c r="AG24" s="145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8"/>
      <c r="B25" s="98"/>
      <c r="C25" s="1" t="s">
        <v>115</v>
      </c>
      <c r="D25" s="182"/>
      <c r="E25" s="98"/>
      <c r="F25" s="98"/>
      <c r="G25" s="182"/>
      <c r="H25" s="98"/>
      <c r="I25" s="145">
        <v>0</v>
      </c>
      <c r="J25" s="145">
        <v>0</v>
      </c>
      <c r="K25" s="145">
        <v>0</v>
      </c>
      <c r="L25" s="145">
        <v>0</v>
      </c>
      <c r="M25" s="145">
        <v>0</v>
      </c>
      <c r="N25" s="144">
        <v>0</v>
      </c>
      <c r="O25" s="144">
        <v>0</v>
      </c>
      <c r="P25" s="144">
        <v>0</v>
      </c>
      <c r="Q25" s="144">
        <v>0</v>
      </c>
      <c r="R25" s="144">
        <v>0</v>
      </c>
      <c r="S25" s="144">
        <v>0</v>
      </c>
      <c r="T25" s="144">
        <v>0</v>
      </c>
      <c r="U25" s="145">
        <v>0</v>
      </c>
      <c r="V25" s="145">
        <v>0</v>
      </c>
      <c r="W25" s="145">
        <v>0</v>
      </c>
      <c r="X25" s="145">
        <v>0</v>
      </c>
      <c r="Y25" s="145">
        <v>0</v>
      </c>
      <c r="Z25" s="145">
        <v>0</v>
      </c>
      <c r="AA25" s="145">
        <v>0</v>
      </c>
      <c r="AB25" s="145">
        <v>0</v>
      </c>
      <c r="AC25" s="145">
        <v>0</v>
      </c>
      <c r="AD25" s="145">
        <v>0</v>
      </c>
      <c r="AE25" s="145">
        <v>0</v>
      </c>
      <c r="AF25" s="145">
        <v>0</v>
      </c>
      <c r="AG25" s="145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8"/>
      <c r="B26" s="98"/>
      <c r="C26" s="98"/>
      <c r="D26" s="182"/>
      <c r="E26" s="98"/>
      <c r="F26" s="98"/>
      <c r="G26" s="182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116</v>
      </c>
      <c r="D27" s="179"/>
      <c r="E27"/>
      <c r="G27" s="181" t="s">
        <v>117</v>
      </c>
      <c r="H27"/>
      <c r="I27" s="144">
        <v>0</v>
      </c>
      <c r="J27" s="144">
        <v>0</v>
      </c>
      <c r="K27" s="144">
        <v>0</v>
      </c>
      <c r="L27" s="144">
        <v>0</v>
      </c>
      <c r="M27" s="144">
        <v>0</v>
      </c>
      <c r="N27" s="144">
        <v>0</v>
      </c>
      <c r="O27" s="144">
        <v>0</v>
      </c>
      <c r="P27" s="144">
        <v>0</v>
      </c>
      <c r="Q27" s="144">
        <v>0</v>
      </c>
      <c r="R27" s="144">
        <v>0</v>
      </c>
      <c r="S27" s="144">
        <v>0</v>
      </c>
      <c r="T27" s="144">
        <v>0</v>
      </c>
      <c r="U27" s="144">
        <v>0</v>
      </c>
      <c r="V27" s="144">
        <v>0</v>
      </c>
      <c r="W27" s="144">
        <v>0</v>
      </c>
      <c r="X27" s="144">
        <v>0</v>
      </c>
      <c r="Y27" s="144">
        <v>0</v>
      </c>
      <c r="Z27" s="144">
        <v>0</v>
      </c>
      <c r="AA27" s="144">
        <v>0</v>
      </c>
      <c r="AB27" s="144">
        <v>0</v>
      </c>
      <c r="AC27" s="144">
        <v>0</v>
      </c>
      <c r="AD27" s="144">
        <v>0</v>
      </c>
      <c r="AE27" s="144">
        <v>0</v>
      </c>
      <c r="AF27" s="144">
        <v>0</v>
      </c>
      <c r="AG27" s="144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118</v>
      </c>
      <c r="D28" s="179" t="s">
        <v>108</v>
      </c>
      <c r="E28" s="100">
        <f>Assumptions!H41*vcr_esc</f>
        <v>44330.651153933512</v>
      </c>
      <c r="F28" s="211" t="str">
        <f>IF(AND(SUM(I27:AG27)&lt;&gt;0, E28=0), "!", "")</f>
        <v/>
      </c>
      <c r="G28" s="181">
        <f>input_dollars</f>
        <v>45291</v>
      </c>
      <c r="H28"/>
      <c r="I28" s="28">
        <f>I27*$E$28</f>
        <v>0</v>
      </c>
      <c r="J28" s="28">
        <f t="shared" ref="J28:AG28" si="2">J27*$E$28</f>
        <v>0</v>
      </c>
      <c r="K28" s="28">
        <f t="shared" si="2"/>
        <v>0</v>
      </c>
      <c r="L28" s="28">
        <f t="shared" si="2"/>
        <v>0</v>
      </c>
      <c r="M28" s="28">
        <f t="shared" si="2"/>
        <v>0</v>
      </c>
      <c r="N28" s="28">
        <f t="shared" si="2"/>
        <v>0</v>
      </c>
      <c r="O28" s="28">
        <f t="shared" si="2"/>
        <v>0</v>
      </c>
      <c r="P28" s="28">
        <f t="shared" si="2"/>
        <v>0</v>
      </c>
      <c r="Q28" s="28">
        <f t="shared" si="2"/>
        <v>0</v>
      </c>
      <c r="R28" s="28">
        <f t="shared" si="2"/>
        <v>0</v>
      </c>
      <c r="S28" s="28">
        <f t="shared" si="2"/>
        <v>0</v>
      </c>
      <c r="T28" s="28">
        <f t="shared" si="2"/>
        <v>0</v>
      </c>
      <c r="U28" s="28">
        <f t="shared" si="2"/>
        <v>0</v>
      </c>
      <c r="V28" s="28">
        <f t="shared" si="2"/>
        <v>0</v>
      </c>
      <c r="W28" s="28">
        <f t="shared" si="2"/>
        <v>0</v>
      </c>
      <c r="X28" s="28">
        <f t="shared" si="2"/>
        <v>0</v>
      </c>
      <c r="Y28" s="28">
        <f t="shared" si="2"/>
        <v>0</v>
      </c>
      <c r="Z28" s="28">
        <f t="shared" si="2"/>
        <v>0</v>
      </c>
      <c r="AA28" s="28">
        <f t="shared" si="2"/>
        <v>0</v>
      </c>
      <c r="AB28" s="28">
        <f t="shared" si="2"/>
        <v>0</v>
      </c>
      <c r="AC28" s="28">
        <f t="shared" si="2"/>
        <v>0</v>
      </c>
      <c r="AD28" s="28">
        <f t="shared" si="2"/>
        <v>0</v>
      </c>
      <c r="AE28" s="28">
        <f t="shared" si="2"/>
        <v>0</v>
      </c>
      <c r="AF28" s="28">
        <f t="shared" si="2"/>
        <v>0</v>
      </c>
      <c r="AG28" s="28">
        <f t="shared" si="2"/>
        <v>0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0"/>
      <c r="E29"/>
      <c r="G29" s="181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">
        <v>157</v>
      </c>
      <c r="D30" s="179" t="s">
        <v>119</v>
      </c>
      <c r="G30" s="181">
        <f>input_dollars</f>
        <v>45291</v>
      </c>
      <c r="H30" s="127"/>
      <c r="I30" s="146" cm="1">
        <f t="array" ref="I30">SUMPRODUCT((Assumptions!$H$70:$H$71)*(Assumptions!$G$70:$G$71)*(Assumptions!$I$70:$I$71)*(I$24:I$25))</f>
        <v>0</v>
      </c>
      <c r="J30" s="146" cm="1">
        <f t="array" ref="J30">SUMPRODUCT((Assumptions!$H$70:$H$71)*(Assumptions!$G$70:$G$71)*(Assumptions!$I$70:$I$71)*(J$24:J$25))</f>
        <v>0</v>
      </c>
      <c r="K30" s="146" cm="1">
        <f t="array" ref="K30">SUMPRODUCT((Assumptions!$H$70:$H$71)*(Assumptions!$G$70:$G$71)*(Assumptions!$I$70:$I$71)*(K$24:K$25))</f>
        <v>0</v>
      </c>
      <c r="L30" s="146" cm="1">
        <f t="array" ref="L30">SUMPRODUCT((Assumptions!$H$70:$H$71)*(Assumptions!$G$70:$G$71)*(Assumptions!$I$70:$I$71)*(L$24:L$25))</f>
        <v>0</v>
      </c>
      <c r="M30" s="146" cm="1">
        <f t="array" ref="M30">SUMPRODUCT((Assumptions!$H$70:$H$71)*(Assumptions!$G$70:$G$71)*(Assumptions!$I$70:$I$71)*(M$24:M$25))</f>
        <v>0</v>
      </c>
      <c r="N30" s="146" cm="1">
        <f t="array" ref="N30">SUMPRODUCT((Assumptions!$H$70:$H$71)*(Assumptions!$G$70:$G$71)*(Assumptions!$I$70:$I$71)*(N$24:N$25))</f>
        <v>0</v>
      </c>
      <c r="O30" s="146" cm="1">
        <f t="array" ref="O30">SUMPRODUCT((Assumptions!$H$70:$H$71)*(Assumptions!$G$70:$G$71)*(Assumptions!$I$70:$I$71)*(O$24:O$25))</f>
        <v>0</v>
      </c>
      <c r="P30" s="146" cm="1">
        <f t="array" ref="P30">SUMPRODUCT((Assumptions!$H$70:$H$71)*(Assumptions!$G$70:$G$71)*(Assumptions!$I$70:$I$71)*(P$24:P$25))</f>
        <v>0</v>
      </c>
      <c r="Q30" s="146" cm="1">
        <f t="array" ref="Q30">SUMPRODUCT((Assumptions!$H$70:$H$71)*(Assumptions!$G$70:$G$71)*(Assumptions!$I$70:$I$71)*(Q$24:Q$25))</f>
        <v>0</v>
      </c>
      <c r="R30" s="146" cm="1">
        <f t="array" ref="R30">SUMPRODUCT((Assumptions!$H$70:$H$71)*(Assumptions!$G$70:$G$71)*(Assumptions!$I$70:$I$71)*(R$24:R$25))</f>
        <v>0</v>
      </c>
      <c r="S30" s="146" cm="1">
        <f t="array" ref="S30">SUMPRODUCT((Assumptions!$H$70:$H$71)*(Assumptions!$G$70:$G$71)*(Assumptions!$I$70:$I$71)*(S$24:S$25))</f>
        <v>0</v>
      </c>
      <c r="T30" s="146" cm="1">
        <f t="array" ref="T30">SUMPRODUCT((Assumptions!$H$70:$H$71)*(Assumptions!$G$70:$G$71)*(Assumptions!$I$70:$I$71)*(T$24:T$25))</f>
        <v>0</v>
      </c>
      <c r="U30" s="146" cm="1">
        <f t="array" ref="U30">SUMPRODUCT((Assumptions!$H$70:$H$71)*(Assumptions!$G$70:$G$71)*(Assumptions!$I$70:$I$71)*(U$24:U$25))</f>
        <v>0</v>
      </c>
      <c r="V30" s="146" cm="1">
        <f t="array" ref="V30">SUMPRODUCT((Assumptions!$H$70:$H$71)*(Assumptions!$G$70:$G$71)*(Assumptions!$I$70:$I$71)*(V$24:V$25))</f>
        <v>0</v>
      </c>
      <c r="W30" s="146" cm="1">
        <f t="array" ref="W30">SUMPRODUCT((Assumptions!$H$70:$H$71)*(Assumptions!$G$70:$G$71)*(Assumptions!$I$70:$I$71)*(W$24:W$25))</f>
        <v>0</v>
      </c>
      <c r="X30" s="146" cm="1">
        <f t="array" ref="X30">SUMPRODUCT((Assumptions!$H$70:$H$71)*(Assumptions!$G$70:$G$71)*(Assumptions!$I$70:$I$71)*(X$24:X$25))</f>
        <v>0</v>
      </c>
      <c r="Y30" s="146" cm="1">
        <f t="array" ref="Y30">SUMPRODUCT((Assumptions!$H$70:$H$71)*(Assumptions!$G$70:$G$71)*(Assumptions!$I$70:$I$71)*(Y$24:Y$25))</f>
        <v>0</v>
      </c>
      <c r="Z30" s="146" cm="1">
        <f t="array" ref="Z30">SUMPRODUCT((Assumptions!$H$70:$H$71)*(Assumptions!$G$70:$G$71)*(Assumptions!$I$70:$I$71)*(Z$24:Z$25))</f>
        <v>0</v>
      </c>
      <c r="AA30" s="146" cm="1">
        <f t="array" ref="AA30">SUMPRODUCT((Assumptions!$H$70:$H$71)*(Assumptions!$G$70:$G$71)*(Assumptions!$I$70:$I$71)*(AA$24:AA$25))</f>
        <v>0</v>
      </c>
      <c r="AB30" s="146" cm="1">
        <f t="array" ref="AB30">SUMPRODUCT((Assumptions!$H$70:$H$71)*(Assumptions!$G$70:$G$71)*(Assumptions!$I$70:$I$71)*(AB$24:AB$25))</f>
        <v>0</v>
      </c>
      <c r="AC30" s="146" cm="1">
        <f t="array" ref="AC30">SUMPRODUCT((Assumptions!$H$70:$H$71)*(Assumptions!$G$70:$G$71)*(Assumptions!$I$70:$I$71)*(AC$24:AC$25))</f>
        <v>0</v>
      </c>
      <c r="AD30" s="146" cm="1">
        <f t="array" ref="AD30">SUMPRODUCT((Assumptions!$H$70:$H$71)*(Assumptions!$G$70:$G$71)*(Assumptions!$I$70:$I$71)*(AD$24:AD$25))</f>
        <v>0</v>
      </c>
      <c r="AE30" s="146" cm="1">
        <f t="array" ref="AE30">SUMPRODUCT((Assumptions!$H$70:$H$71)*(Assumptions!$G$70:$G$71)*(Assumptions!$I$70:$I$71)*(AE$24:AE$25))</f>
        <v>0</v>
      </c>
      <c r="AF30" s="146" cm="1">
        <f t="array" ref="AF30">SUMPRODUCT((Assumptions!$H$70:$H$71)*(Assumptions!$G$70:$G$71)*(Assumptions!$I$70:$I$71)*(AF$24:AF$25))</f>
        <v>0</v>
      </c>
      <c r="AG30" s="146" cm="1">
        <f t="array" ref="AG30">SUMPRODUCT((Assumptions!$H$70:$H$71)*(Assumptions!$G$70:$G$71)*(Assumptions!$I$70:$I$71)*(AG$24:AG$25))</f>
        <v>0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">
        <v>158</v>
      </c>
      <c r="D31" s="180"/>
      <c r="E31"/>
      <c r="G31" s="181">
        <f>input_dollars</f>
        <v>45291</v>
      </c>
      <c r="H31" s="127"/>
      <c r="I31" s="146" cm="1">
        <f t="array" ref="I31">(1+Assumptions!$G$81)*SUMPRODUCT((Assumptions!$G$78:$G$79)*(I$24:I$25))</f>
        <v>0</v>
      </c>
      <c r="J31" s="146" cm="1">
        <f t="array" ref="J31">(1+Assumptions!$G$81)*SUMPRODUCT((Assumptions!$G$78:$G$79)*(J$24:J$25))</f>
        <v>0</v>
      </c>
      <c r="K31" s="146" cm="1">
        <f t="array" ref="K31">(1+Assumptions!$G$81)*SUMPRODUCT((Assumptions!$G$78:$G$79)*(K$24:K$25))</f>
        <v>0</v>
      </c>
      <c r="L31" s="146" cm="1">
        <f t="array" ref="L31">(1+Assumptions!$G$81)*SUMPRODUCT((Assumptions!$G$78:$G$79)*(L$24:L$25))</f>
        <v>0</v>
      </c>
      <c r="M31" s="146" cm="1">
        <f t="array" ref="M31">(1+Assumptions!$G$81)*SUMPRODUCT((Assumptions!$G$78:$G$79)*(M$24:M$25))</f>
        <v>0</v>
      </c>
      <c r="N31" s="146" cm="1">
        <f t="array" ref="N31">(1+Assumptions!$G$81)*SUMPRODUCT((Assumptions!$G$78:$G$79)*(N$24:N$25))</f>
        <v>0</v>
      </c>
      <c r="O31" s="146" cm="1">
        <f t="array" ref="O31">(1+Assumptions!$G$81)*SUMPRODUCT((Assumptions!$G$78:$G$79)*(O$24:O$25))</f>
        <v>0</v>
      </c>
      <c r="P31" s="146" cm="1">
        <f t="array" ref="P31">(1+Assumptions!$G$81)*SUMPRODUCT((Assumptions!$G$78:$G$79)*(P$24:P$25))</f>
        <v>0</v>
      </c>
      <c r="Q31" s="146" cm="1">
        <f t="array" ref="Q31">(1+Assumptions!$G$81)*SUMPRODUCT((Assumptions!$G$78:$G$79)*(Q$24:Q$25))</f>
        <v>0</v>
      </c>
      <c r="R31" s="146" cm="1">
        <f t="array" ref="R31">(1+Assumptions!$G$81)*SUMPRODUCT((Assumptions!$G$78:$G$79)*(R$24:R$25))</f>
        <v>0</v>
      </c>
      <c r="S31" s="146" cm="1">
        <f t="array" ref="S31">(1+Assumptions!$G$81)*SUMPRODUCT((Assumptions!$G$78:$G$79)*(S$24:S$25))</f>
        <v>0</v>
      </c>
      <c r="T31" s="146" cm="1">
        <f t="array" ref="T31">(1+Assumptions!$G$81)*SUMPRODUCT((Assumptions!$G$78:$G$79)*(T$24:T$25))</f>
        <v>0</v>
      </c>
      <c r="U31" s="146" cm="1">
        <f t="array" ref="U31">(1+Assumptions!$G$81)*SUMPRODUCT((Assumptions!$G$78:$G$79)*(U$24:U$25))</f>
        <v>0</v>
      </c>
      <c r="V31" s="146" cm="1">
        <f t="array" ref="V31">(1+Assumptions!$G$81)*SUMPRODUCT((Assumptions!$G$78:$G$79)*(V$24:V$25))</f>
        <v>0</v>
      </c>
      <c r="W31" s="146" cm="1">
        <f t="array" ref="W31">(1+Assumptions!$G$81)*SUMPRODUCT((Assumptions!$G$78:$G$79)*(W$24:W$25))</f>
        <v>0</v>
      </c>
      <c r="X31" s="146" cm="1">
        <f t="array" ref="X31">(1+Assumptions!$G$81)*SUMPRODUCT((Assumptions!$G$78:$G$79)*(X$24:X$25))</f>
        <v>0</v>
      </c>
      <c r="Y31" s="146" cm="1">
        <f t="array" ref="Y31">(1+Assumptions!$G$81)*SUMPRODUCT((Assumptions!$G$78:$G$79)*(Y$24:Y$25))</f>
        <v>0</v>
      </c>
      <c r="Z31" s="146" cm="1">
        <f t="array" ref="Z31">(1+Assumptions!$G$81)*SUMPRODUCT((Assumptions!$G$78:$G$79)*(Z$24:Z$25))</f>
        <v>0</v>
      </c>
      <c r="AA31" s="146" cm="1">
        <f t="array" ref="AA31">(1+Assumptions!$G$81)*SUMPRODUCT((Assumptions!$G$78:$G$79)*(AA$24:AA$25))</f>
        <v>0</v>
      </c>
      <c r="AB31" s="146" cm="1">
        <f t="array" ref="AB31">(1+Assumptions!$G$81)*SUMPRODUCT((Assumptions!$G$78:$G$79)*(AB$24:AB$25))</f>
        <v>0</v>
      </c>
      <c r="AC31" s="146" cm="1">
        <f t="array" ref="AC31">(1+Assumptions!$G$81)*SUMPRODUCT((Assumptions!$G$78:$G$79)*(AC$24:AC$25))</f>
        <v>0</v>
      </c>
      <c r="AD31" s="146" cm="1">
        <f t="array" ref="AD31">(1+Assumptions!$G$81)*SUMPRODUCT((Assumptions!$G$78:$G$79)*(AD$24:AD$25))</f>
        <v>0</v>
      </c>
      <c r="AE31" s="146" cm="1">
        <f t="array" ref="AE31">(1+Assumptions!$G$81)*SUMPRODUCT((Assumptions!$G$78:$G$79)*(AE$24:AE$25))</f>
        <v>0</v>
      </c>
      <c r="AF31" s="146" cm="1">
        <f t="array" ref="AF31">(1+Assumptions!$G$81)*SUMPRODUCT((Assumptions!$G$78:$G$79)*(AF$24:AF$25))</f>
        <v>0</v>
      </c>
      <c r="AG31" s="146" cm="1">
        <f t="array" ref="AG31">(1+Assumptions!$G$81)*SUMPRODUCT((Assumptions!$G$78:$G$79)*(AG$24:AG$25))</f>
        <v>0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">
        <v>159</v>
      </c>
      <c r="D32" s="179" t="s">
        <v>119</v>
      </c>
      <c r="E32"/>
      <c r="G32" s="181">
        <f>input_dollars</f>
        <v>45291</v>
      </c>
      <c r="H32"/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115">
        <v>0</v>
      </c>
      <c r="S32" s="115">
        <v>0</v>
      </c>
      <c r="T32" s="115">
        <v>0</v>
      </c>
      <c r="U32" s="115">
        <v>0</v>
      </c>
      <c r="V32" s="115">
        <v>0</v>
      </c>
      <c r="W32" s="115">
        <v>0</v>
      </c>
      <c r="X32" s="115">
        <v>0</v>
      </c>
      <c r="Y32" s="115">
        <v>0</v>
      </c>
      <c r="Z32" s="115">
        <v>0</v>
      </c>
      <c r="AA32" s="115">
        <v>0</v>
      </c>
      <c r="AB32" s="115">
        <v>0</v>
      </c>
      <c r="AC32" s="115">
        <v>0</v>
      </c>
      <c r="AD32" s="115">
        <v>0</v>
      </c>
      <c r="AE32" s="115">
        <v>0</v>
      </c>
      <c r="AF32" s="115">
        <v>0</v>
      </c>
      <c r="AG32" s="115">
        <v>0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239" t="s">
        <v>120</v>
      </c>
      <c r="D33" s="192"/>
      <c r="E33"/>
      <c r="G33" s="181">
        <f>input_dollars</f>
        <v>45291</v>
      </c>
      <c r="H33"/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115">
        <v>0</v>
      </c>
      <c r="S33" s="115">
        <v>0</v>
      </c>
      <c r="T33" s="115">
        <v>0</v>
      </c>
      <c r="U33" s="115">
        <v>0</v>
      </c>
      <c r="V33" s="115">
        <v>0</v>
      </c>
      <c r="W33" s="115">
        <v>0</v>
      </c>
      <c r="X33" s="115">
        <v>0</v>
      </c>
      <c r="Y33" s="115">
        <v>0</v>
      </c>
      <c r="Z33" s="115">
        <v>0</v>
      </c>
      <c r="AA33" s="115">
        <v>0</v>
      </c>
      <c r="AB33" s="115">
        <v>0</v>
      </c>
      <c r="AC33" s="115">
        <v>0</v>
      </c>
      <c r="AD33" s="115">
        <v>0</v>
      </c>
      <c r="AE33" s="115">
        <v>0</v>
      </c>
      <c r="AF33" s="115">
        <v>0</v>
      </c>
      <c r="AG33" s="115">
        <v>0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239" t="s">
        <v>120</v>
      </c>
      <c r="D34" s="180"/>
      <c r="E34"/>
      <c r="G34" s="181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D35" s="180"/>
      <c r="E35"/>
      <c r="G35" s="181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C36" s="3" t="s">
        <v>121</v>
      </c>
      <c r="D36" s="191"/>
      <c r="E36" s="94"/>
      <c r="F36" s="3"/>
      <c r="G36" s="183"/>
      <c r="H36" s="94"/>
      <c r="I36" s="146">
        <f>SUM(I28:I34)</f>
        <v>0</v>
      </c>
      <c r="J36" s="146">
        <f t="shared" ref="J36:AG36" si="3">SUM(J28:J34)</f>
        <v>0</v>
      </c>
      <c r="K36" s="146">
        <f t="shared" si="3"/>
        <v>0</v>
      </c>
      <c r="L36" s="146">
        <f t="shared" si="3"/>
        <v>0</v>
      </c>
      <c r="M36" s="146">
        <f t="shared" si="3"/>
        <v>0</v>
      </c>
      <c r="N36" s="146">
        <f t="shared" si="3"/>
        <v>0</v>
      </c>
      <c r="O36" s="146">
        <f t="shared" si="3"/>
        <v>0</v>
      </c>
      <c r="P36" s="146">
        <f t="shared" si="3"/>
        <v>0</v>
      </c>
      <c r="Q36" s="146">
        <f t="shared" si="3"/>
        <v>0</v>
      </c>
      <c r="R36" s="146">
        <f t="shared" si="3"/>
        <v>0</v>
      </c>
      <c r="S36" s="146">
        <f t="shared" si="3"/>
        <v>0</v>
      </c>
      <c r="T36" s="146">
        <f t="shared" si="3"/>
        <v>0</v>
      </c>
      <c r="U36" s="146">
        <f t="shared" si="3"/>
        <v>0</v>
      </c>
      <c r="V36" s="146">
        <f t="shared" si="3"/>
        <v>0</v>
      </c>
      <c r="W36" s="146">
        <f t="shared" si="3"/>
        <v>0</v>
      </c>
      <c r="X36" s="146">
        <f t="shared" si="3"/>
        <v>0</v>
      </c>
      <c r="Y36" s="146">
        <f t="shared" si="3"/>
        <v>0</v>
      </c>
      <c r="Z36" s="146">
        <f t="shared" si="3"/>
        <v>0</v>
      </c>
      <c r="AA36" s="146">
        <f t="shared" si="3"/>
        <v>0</v>
      </c>
      <c r="AB36" s="146">
        <f t="shared" si="3"/>
        <v>0</v>
      </c>
      <c r="AC36" s="146">
        <f t="shared" si="3"/>
        <v>0</v>
      </c>
      <c r="AD36" s="146">
        <f t="shared" si="3"/>
        <v>0</v>
      </c>
      <c r="AE36" s="146">
        <f t="shared" si="3"/>
        <v>0</v>
      </c>
      <c r="AF36" s="146">
        <f t="shared" si="3"/>
        <v>0</v>
      </c>
      <c r="AG36" s="146">
        <f t="shared" si="3"/>
        <v>0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x14ac:dyDescent="0.2">
      <c r="D37"/>
      <c r="E37"/>
      <c r="G37" s="181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5" x14ac:dyDescent="0.2">
      <c r="A38" s="78" t="s">
        <v>122</v>
      </c>
      <c r="B38" s="78"/>
      <c r="C38" s="78"/>
      <c r="D38" s="78"/>
      <c r="E38" s="78"/>
      <c r="F38" s="78"/>
      <c r="G38" s="1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1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x14ac:dyDescent="0.2">
      <c r="D40"/>
      <c r="E40"/>
      <c r="G40" s="181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25">
      <c r="C41" s="1" t="s">
        <v>123</v>
      </c>
      <c r="G41" s="179" t="s">
        <v>117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25">
      <c r="C42" s="1" t="s">
        <v>124</v>
      </c>
      <c r="G42" s="179" t="s">
        <v>125</v>
      </c>
      <c r="I42" s="75">
        <f t="shared" ref="I42:AG42" si="4">I41*I7</f>
        <v>0</v>
      </c>
      <c r="J42" s="75">
        <f t="shared" si="4"/>
        <v>0</v>
      </c>
      <c r="K42" s="75">
        <f t="shared" si="4"/>
        <v>0</v>
      </c>
      <c r="L42" s="75">
        <f t="shared" si="4"/>
        <v>0</v>
      </c>
      <c r="M42" s="75">
        <f t="shared" si="4"/>
        <v>0</v>
      </c>
      <c r="N42" s="75">
        <f t="shared" si="4"/>
        <v>0</v>
      </c>
      <c r="O42" s="75">
        <f t="shared" si="4"/>
        <v>0</v>
      </c>
      <c r="P42" s="75">
        <f t="shared" si="4"/>
        <v>0</v>
      </c>
      <c r="Q42" s="75">
        <f t="shared" si="4"/>
        <v>0</v>
      </c>
      <c r="R42" s="75">
        <f t="shared" si="4"/>
        <v>0</v>
      </c>
      <c r="S42" s="75">
        <f t="shared" si="4"/>
        <v>0</v>
      </c>
      <c r="T42" s="75">
        <f t="shared" si="4"/>
        <v>0</v>
      </c>
      <c r="U42" s="75">
        <f t="shared" si="4"/>
        <v>0</v>
      </c>
      <c r="V42" s="75">
        <f t="shared" si="4"/>
        <v>0</v>
      </c>
      <c r="W42" s="75">
        <f t="shared" si="4"/>
        <v>0</v>
      </c>
      <c r="X42" s="75">
        <f t="shared" si="4"/>
        <v>0</v>
      </c>
      <c r="Y42" s="75">
        <f t="shared" si="4"/>
        <v>0</v>
      </c>
      <c r="Z42" s="75">
        <f t="shared" si="4"/>
        <v>0</v>
      </c>
      <c r="AA42" s="75">
        <f t="shared" si="4"/>
        <v>0</v>
      </c>
      <c r="AB42" s="75">
        <f t="shared" si="4"/>
        <v>0</v>
      </c>
      <c r="AC42" s="75">
        <f t="shared" si="4"/>
        <v>0</v>
      </c>
      <c r="AD42" s="75">
        <f t="shared" si="4"/>
        <v>0</v>
      </c>
      <c r="AE42" s="75">
        <f t="shared" si="4"/>
        <v>0</v>
      </c>
      <c r="AF42" s="75">
        <f t="shared" si="4"/>
        <v>0</v>
      </c>
      <c r="AG42" s="75">
        <f t="shared" si="4"/>
        <v>0</v>
      </c>
    </row>
    <row r="43" spans="1:16372" x14ac:dyDescent="0.2">
      <c r="D43"/>
      <c r="E43"/>
      <c r="G43" s="181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 s="180"/>
      <c r="E44"/>
      <c r="G44" s="181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2">
      <c r="C45" s="1" t="s">
        <v>126</v>
      </c>
      <c r="D45" s="179" t="s">
        <v>108</v>
      </c>
      <c r="E45" s="100">
        <f>Assumptions!G94</f>
        <v>0</v>
      </c>
      <c r="G45" s="181" t="s">
        <v>117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2">
      <c r="C46" s="1" t="s">
        <v>127</v>
      </c>
      <c r="D46" s="179" t="s">
        <v>108</v>
      </c>
      <c r="E46" s="100">
        <f>Assumptions!G95</f>
        <v>0</v>
      </c>
      <c r="G46" s="181" t="s">
        <v>117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2">
      <c r="C47" s="1" t="s">
        <v>128</v>
      </c>
      <c r="D47" s="179" t="s">
        <v>108</v>
      </c>
      <c r="E47" s="99">
        <f>Assumptions!G96</f>
        <v>4220.9953699573898</v>
      </c>
      <c r="G47" s="181" t="s">
        <v>117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2">
      <c r="C48" s="1" t="s">
        <v>129</v>
      </c>
      <c r="D48" s="179" t="s">
        <v>130</v>
      </c>
      <c r="E48" s="99">
        <f>Assumptions!G97</f>
        <v>0</v>
      </c>
      <c r="G48" s="181" t="s">
        <v>131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2">
      <c r="C49" s="1" t="s">
        <v>132</v>
      </c>
      <c r="D49" s="179" t="s">
        <v>133</v>
      </c>
      <c r="E49" s="99">
        <f>Assumptions!G98</f>
        <v>0.54769380678923496</v>
      </c>
      <c r="G49" s="181" t="s">
        <v>134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2">
      <c r="C50" s="1" t="s">
        <v>135</v>
      </c>
      <c r="D50" s="179" t="s">
        <v>133</v>
      </c>
      <c r="E50" s="99">
        <f>Assumptions!G99</f>
        <v>0.54769380678923496</v>
      </c>
      <c r="G50" s="181" t="s">
        <v>134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2">
      <c r="C51" s="1" t="s">
        <v>136</v>
      </c>
      <c r="D51" s="179" t="s">
        <v>130</v>
      </c>
      <c r="E51" s="99">
        <f>Assumptions!G100</f>
        <v>0</v>
      </c>
      <c r="G51" s="181" t="s">
        <v>131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2">
      <c r="C52" s="1" t="s">
        <v>137</v>
      </c>
      <c r="D52" s="179" t="s">
        <v>130</v>
      </c>
      <c r="E52" s="99">
        <f>Assumptions!G101</f>
        <v>0</v>
      </c>
      <c r="G52" s="181" t="s">
        <v>131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2">
      <c r="D53" s="179"/>
      <c r="G53" s="181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2">
      <c r="C54" s="1" t="s">
        <v>138</v>
      </c>
      <c r="D54" s="179"/>
      <c r="G54" s="181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2">
      <c r="C55" s="1" t="s">
        <v>139</v>
      </c>
      <c r="D55" s="179"/>
      <c r="G55" s="181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2">
      <c r="D56" s="179"/>
      <c r="G56" s="179"/>
    </row>
    <row r="57" spans="1:43" x14ac:dyDescent="0.2">
      <c r="C57" s="3" t="s">
        <v>140</v>
      </c>
      <c r="D57" s="191"/>
      <c r="E57" s="94"/>
      <c r="F57" s="3"/>
      <c r="G57" s="181">
        <f>input_dollars</f>
        <v>45291</v>
      </c>
      <c r="H57" s="94"/>
      <c r="I57" s="146" cm="1">
        <f t="array" ref="I57">SUMPRODUCT((I$45:I$52)*($E$45:$E$52))+SUM(I54:I55)+I42</f>
        <v>0</v>
      </c>
      <c r="J57" s="146" cm="1">
        <f t="array" ref="J57">SUMPRODUCT((J$45:J$52)*($E$45:$E$52))+SUM(J54:J55)+J42</f>
        <v>0</v>
      </c>
      <c r="K57" s="146" cm="1">
        <f t="array" ref="K57">SUMPRODUCT((K$45:K$52)*($E$45:$E$52))+SUM(K54:K55)+K42</f>
        <v>0</v>
      </c>
      <c r="L57" s="146" cm="1">
        <f t="array" ref="L57">SUMPRODUCT((L$45:L$52)*($E$45:$E$52))+SUM(L54:L55)+L42</f>
        <v>0</v>
      </c>
      <c r="M57" s="146" cm="1">
        <f t="array" ref="M57">SUMPRODUCT((M$45:M$52)*($E$45:$E$52))+SUM(M54:M55)+M42</f>
        <v>0</v>
      </c>
      <c r="N57" s="146" cm="1">
        <f t="array" ref="N57">SUMPRODUCT((N$45:N$52)*($E$45:$E$52))+SUM(N54:N55)+N42</f>
        <v>0</v>
      </c>
      <c r="O57" s="146" cm="1">
        <f t="array" ref="O57">SUMPRODUCT((O$45:O$52)*($E$45:$E$52))+SUM(O54:O55)+O42</f>
        <v>0</v>
      </c>
      <c r="P57" s="146" cm="1">
        <f t="array" ref="P57">SUMPRODUCT((P$45:P$52)*($E$45:$E$52))+SUM(P54:P55)+P42</f>
        <v>0</v>
      </c>
      <c r="Q57" s="146" cm="1">
        <f t="array" ref="Q57">SUMPRODUCT((Q$45:Q$52)*($E$45:$E$52))+SUM(Q54:Q55)+Q42</f>
        <v>0</v>
      </c>
      <c r="R57" s="146" cm="1">
        <f t="array" ref="R57">SUMPRODUCT((R$45:R$52)*($E$45:$E$52))+SUM(R54:R55)+R42</f>
        <v>0</v>
      </c>
      <c r="S57" s="146" cm="1">
        <f t="array" ref="S57">SUMPRODUCT((S$45:S$52)*($E$45:$E$52))+SUM(S54:S55)+S42</f>
        <v>0</v>
      </c>
      <c r="T57" s="146" cm="1">
        <f t="array" ref="T57">SUMPRODUCT((T$45:T$52)*($E$45:$E$52))+SUM(T54:T55)+T42</f>
        <v>0</v>
      </c>
      <c r="U57" s="146" cm="1">
        <f t="array" ref="U57">SUMPRODUCT((U$45:U$52)*($E$45:$E$52))+SUM(U54:U55)+U42</f>
        <v>0</v>
      </c>
      <c r="V57" s="146" cm="1">
        <f t="array" ref="V57">SUMPRODUCT((V$45:V$52)*($E$45:$E$52))+SUM(V54:V55)+V42</f>
        <v>0</v>
      </c>
      <c r="W57" s="146" cm="1">
        <f t="array" ref="W57">SUMPRODUCT((W$45:W$52)*($E$45:$E$52))+SUM(W54:W55)+W42</f>
        <v>0</v>
      </c>
      <c r="X57" s="146" cm="1">
        <f t="array" ref="X57">SUMPRODUCT((X$45:X$52)*($E$45:$E$52))+SUM(X54:X55)+X42</f>
        <v>0</v>
      </c>
      <c r="Y57" s="146" cm="1">
        <f t="array" ref="Y57">SUMPRODUCT((Y$45:Y$52)*($E$45:$E$52))+SUM(Y54:Y55)+Y42</f>
        <v>0</v>
      </c>
      <c r="Z57" s="146" cm="1">
        <f t="array" ref="Z57">SUMPRODUCT((Z$45:Z$52)*($E$45:$E$52))+SUM(Z54:Z55)+Z42</f>
        <v>0</v>
      </c>
      <c r="AA57" s="146" cm="1">
        <f t="array" ref="AA57">SUMPRODUCT((AA$45:AA$52)*($E$45:$E$52))+SUM(AA54:AA55)+AA42</f>
        <v>0</v>
      </c>
      <c r="AB57" s="146" cm="1">
        <f t="array" ref="AB57">SUMPRODUCT((AB$45:AB$52)*($E$45:$E$52))+SUM(AB54:AB55)+AB42</f>
        <v>0</v>
      </c>
      <c r="AC57" s="146" cm="1">
        <f t="array" ref="AC57">SUMPRODUCT((AC$45:AC$52)*($E$45:$E$52))+SUM(AC54:AC55)+AC42</f>
        <v>0</v>
      </c>
      <c r="AD57" s="146" cm="1">
        <f t="array" ref="AD57">SUMPRODUCT((AD$45:AD$52)*($E$45:$E$52))+SUM(AD54:AD55)+AD42</f>
        <v>0</v>
      </c>
      <c r="AE57" s="146" cm="1">
        <f t="array" ref="AE57">SUMPRODUCT((AE$45:AE$52)*($E$45:$E$52))+SUM(AE54:AE55)+AE42</f>
        <v>0</v>
      </c>
      <c r="AF57" s="146" cm="1">
        <f t="array" ref="AF57">SUMPRODUCT((AF$45:AF$52)*($E$45:$E$52))+SUM(AF54:AF55)+AF42</f>
        <v>0</v>
      </c>
      <c r="AG57" s="146" cm="1">
        <f t="array" ref="AG57">SUMPRODUCT((AG$45:AG$52)*($E$45:$E$52))+SUM(AG54:AG55)+AG42</f>
        <v>0</v>
      </c>
    </row>
    <row r="58" spans="1:43" x14ac:dyDescent="0.2">
      <c r="D58" s="179"/>
      <c r="G58" s="179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2">
      <c r="G59" s="179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5" x14ac:dyDescent="0.2">
      <c r="A60" s="78" t="s">
        <v>23</v>
      </c>
      <c r="B60" s="78"/>
      <c r="C60" s="78"/>
      <c r="D60" s="78"/>
      <c r="E60" s="78"/>
      <c r="F60" s="78"/>
      <c r="G60" s="1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5" x14ac:dyDescent="0.2">
      <c r="A61" s="98"/>
      <c r="B61" s="98"/>
      <c r="C61" s="98"/>
      <c r="D61" s="98"/>
      <c r="E61" s="98"/>
      <c r="F61" s="98"/>
      <c r="G61" s="182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2">
      <c r="A62" s="98"/>
      <c r="B62" s="98"/>
      <c r="C62" s="98"/>
      <c r="D62" s="98"/>
      <c r="E62" s="98"/>
      <c r="F62"/>
      <c r="G62" s="185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2">
      <c r="F63" s="2"/>
      <c r="G63" s="186"/>
    </row>
    <row r="64" spans="1:43" x14ac:dyDescent="0.2">
      <c r="C64" s="4" t="str">
        <f>'Option1 (base case)'!C64</f>
        <v>Risks mitigated vs base case</v>
      </c>
      <c r="G64" s="184">
        <f>input_dollars</f>
        <v>45291</v>
      </c>
      <c r="I64" s="111">
        <f>(1-INDEX(Data!$C$9:$C$13, MATCH($A$3, options,0)))*('Option1 (base case)'!I36-I36)</f>
        <v>0</v>
      </c>
      <c r="J64" s="111">
        <f>(1-INDEX(Data!$C$9:$C$13, MATCH($A$3, options,0)))*('Option1 (base case)'!J36-J36)</f>
        <v>0</v>
      </c>
      <c r="K64" s="111">
        <f>(1-INDEX(Data!$C$9:$C$13, MATCH($A$3, options,0)))*('Option1 (base case)'!K36-K36)</f>
        <v>0</v>
      </c>
      <c r="L64" s="111">
        <f>(1-INDEX(Data!$C$9:$C$13, MATCH($A$3, options,0)))*('Option1 (base case)'!L36-L36)</f>
        <v>0</v>
      </c>
      <c r="M64" s="111">
        <f>(1-INDEX(Data!$C$9:$C$13, MATCH($A$3, options,0)))*('Option1 (base case)'!M36-M36)</f>
        <v>0</v>
      </c>
      <c r="N64" s="111">
        <f>(1-INDEX(Data!$C$9:$C$13, MATCH($A$3, options,0)))*('Option1 (base case)'!N36-N36)</f>
        <v>0</v>
      </c>
      <c r="O64" s="111">
        <f>(1-INDEX(Data!$C$9:$C$13, MATCH($A$3, options,0)))*('Option1 (base case)'!O36-O36)</f>
        <v>0</v>
      </c>
      <c r="P64" s="111">
        <f>(1-INDEX(Data!$C$9:$C$13, MATCH($A$3, options,0)))*('Option1 (base case)'!P36-P36)</f>
        <v>0</v>
      </c>
      <c r="Q64" s="111">
        <f>(1-INDEX(Data!$C$9:$C$13, MATCH($A$3, options,0)))*('Option1 (base case)'!Q36-Q36)</f>
        <v>0</v>
      </c>
      <c r="R64" s="111">
        <f>(1-INDEX(Data!$C$9:$C$13, MATCH($A$3, options,0)))*('Option1 (base case)'!R36-R36)</f>
        <v>0</v>
      </c>
      <c r="S64" s="111">
        <f>(1-INDEX(Data!$C$9:$C$13, MATCH($A$3, options,0)))*('Option1 (base case)'!S36-S36)</f>
        <v>0</v>
      </c>
      <c r="T64" s="111">
        <f>(1-INDEX(Data!$C$9:$C$13, MATCH($A$3, options,0)))*('Option1 (base case)'!T36-T36)</f>
        <v>0</v>
      </c>
      <c r="U64" s="111">
        <f>(1-INDEX(Data!$C$9:$C$13, MATCH($A$3, options,0)))*('Option1 (base case)'!U36-U36)</f>
        <v>0</v>
      </c>
      <c r="V64" s="111">
        <f>(1-INDEX(Data!$C$9:$C$13, MATCH($A$3, options,0)))*('Option1 (base case)'!V36-V36)</f>
        <v>0</v>
      </c>
      <c r="W64" s="111">
        <f>(1-INDEX(Data!$C$9:$C$13, MATCH($A$3, options,0)))*('Option1 (base case)'!W36-W36)</f>
        <v>0</v>
      </c>
      <c r="X64" s="111">
        <f>(1-INDEX(Data!$C$9:$C$13, MATCH($A$3, options,0)))*('Option1 (base case)'!X36-X36)</f>
        <v>0</v>
      </c>
      <c r="Y64" s="111">
        <f>(1-INDEX(Data!$C$9:$C$13, MATCH($A$3, options,0)))*('Option1 (base case)'!Y36-Y36)</f>
        <v>0</v>
      </c>
      <c r="Z64" s="111">
        <f>(1-INDEX(Data!$C$9:$C$13, MATCH($A$3, options,0)))*('Option1 (base case)'!Z36-Z36)</f>
        <v>0</v>
      </c>
      <c r="AA64" s="111">
        <f>(1-INDEX(Data!$C$9:$C$13, MATCH($A$3, options,0)))*('Option1 (base case)'!AA36-AA36)</f>
        <v>0</v>
      </c>
      <c r="AB64" s="111">
        <f>(1-INDEX(Data!$C$9:$C$13, MATCH($A$3, options,0)))*('Option1 (base case)'!AB36-AB36)</f>
        <v>0</v>
      </c>
      <c r="AC64" s="111">
        <f>(1-INDEX(Data!$C$9:$C$13, MATCH($A$3, options,0)))*('Option1 (base case)'!AC36-AC36)</f>
        <v>0</v>
      </c>
      <c r="AD64" s="111">
        <f>(1-INDEX(Data!$C$9:$C$13, MATCH($A$3, options,0)))*('Option1 (base case)'!AD36-AD36)</f>
        <v>0</v>
      </c>
      <c r="AE64" s="111">
        <f>(1-INDEX(Data!$C$9:$C$13, MATCH($A$3, options,0)))*('Option1 (base case)'!AE36-AE36)</f>
        <v>0</v>
      </c>
      <c r="AF64" s="111">
        <f>(1-INDEX(Data!$C$9:$C$13, MATCH($A$3, options,0)))*('Option1 (base case)'!AF36-AF36)</f>
        <v>0</v>
      </c>
      <c r="AG64" s="111">
        <f>(1-INDEX(Data!$C$9:$C$13, MATCH($A$3, options,0)))*('Option1 (base case)'!AG36-AG36)</f>
        <v>0</v>
      </c>
    </row>
    <row r="65" spans="1:33" x14ac:dyDescent="0.2">
      <c r="G65" s="186"/>
    </row>
    <row r="66" spans="1:33" x14ac:dyDescent="0.2">
      <c r="A66" s="6"/>
      <c r="B66" s="6"/>
      <c r="C66" s="125" t="s">
        <v>32</v>
      </c>
      <c r="D66" s="34"/>
      <c r="F66" s="84"/>
      <c r="G66" s="187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2">
      <c r="A67" s="6"/>
      <c r="B67" s="6"/>
      <c r="C67" s="4" t="str">
        <f>C14</f>
        <v>&lt; Enter description &gt;</v>
      </c>
      <c r="D67" s="34"/>
      <c r="F67" s="84"/>
      <c r="G67" s="184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0</v>
      </c>
      <c r="M67" s="28">
        <f t="shared" si="5"/>
        <v>0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2">
      <c r="A68" s="6"/>
      <c r="B68" s="6"/>
      <c r="C68" s="4" t="str">
        <f>C15</f>
        <v>&lt; Enter description &gt;</v>
      </c>
      <c r="D68" s="34"/>
      <c r="F68" s="84"/>
      <c r="G68" s="184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2">
      <c r="A69" s="6"/>
      <c r="B69" s="6"/>
      <c r="C69" s="4" t="str">
        <f>C16</f>
        <v>&lt; Enter description &gt;</v>
      </c>
      <c r="D69" s="34"/>
      <c r="F69" s="84"/>
      <c r="G69" s="184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2">
      <c r="A70" s="6"/>
      <c r="B70" s="6"/>
      <c r="C70" s="4"/>
      <c r="D70" s="34"/>
      <c r="F70" s="84"/>
      <c r="G70" s="18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2">
      <c r="A71" s="6"/>
      <c r="B71" s="6"/>
      <c r="C71" s="125" t="s">
        <v>142</v>
      </c>
      <c r="D71" s="34"/>
      <c r="F71" s="84"/>
      <c r="G71" s="187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2">
      <c r="A72" s="6"/>
      <c r="B72" s="6"/>
      <c r="C72" s="4" t="str">
        <f>C14</f>
        <v>&lt; Enter description &gt;</v>
      </c>
      <c r="D72" s="34"/>
      <c r="F72" s="84"/>
      <c r="G72" s="184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0</v>
      </c>
      <c r="N72" s="28" cm="1">
        <f t="array" ref="N72">SUMPRODUCT(($I67:N67))-SUMPRODUCT(($I67:N67)*($I$6:N$6&lt;=(N$6-$E14)))</f>
        <v>0</v>
      </c>
      <c r="O72" s="28" cm="1">
        <f t="array" ref="O72">SUMPRODUCT(($I67:O67))-SUMPRODUCT(($I67:O67)*($I$6:O$6&lt;=(O$6-$E14)))</f>
        <v>0</v>
      </c>
      <c r="P72" s="28" cm="1">
        <f t="array" ref="P72">SUMPRODUCT(($I67:P67))-SUMPRODUCT(($I67:P67)*($I$6:P$6&lt;=(P$6-$E14)))</f>
        <v>0</v>
      </c>
      <c r="Q72" s="28" cm="1">
        <f t="array" ref="Q72">SUMPRODUCT(($I67:Q67))-SUMPRODUCT(($I67:Q67)*($I$6:Q$6&lt;=(Q$6-$E14)))</f>
        <v>0</v>
      </c>
      <c r="R72" s="28" cm="1">
        <f t="array" ref="R72">SUMPRODUCT(($I67:R67))-SUMPRODUCT(($I67:R67)*($I$6:R$6&lt;=(R$6-$E14)))</f>
        <v>0</v>
      </c>
      <c r="S72" s="28" cm="1">
        <f t="array" ref="S72">SUMPRODUCT(($I67:S67))-SUMPRODUCT(($I67:S67)*($I$6:S$6&lt;=(S$6-$E14)))</f>
        <v>0</v>
      </c>
      <c r="T72" s="28" cm="1">
        <f t="array" ref="T72">SUMPRODUCT(($I67:T67))-SUMPRODUCT(($I67:T67)*($I$6:T$6&lt;=(T$6-$E14)))</f>
        <v>0</v>
      </c>
      <c r="U72" s="28" cm="1">
        <f t="array" ref="U72">SUMPRODUCT(($I67:U67))-SUMPRODUCT(($I67:U67)*($I$6:U$6&lt;=(U$6-$E14)))</f>
        <v>0</v>
      </c>
      <c r="V72" s="28" cm="1">
        <f t="array" ref="V72">SUMPRODUCT(($I67:V67))-SUMPRODUCT(($I67:V67)*($I$6:V$6&lt;=(V$6-$E14)))</f>
        <v>0</v>
      </c>
      <c r="W72" s="28" cm="1">
        <f t="array" ref="W72">SUMPRODUCT(($I67:W67))-SUMPRODUCT(($I67:W67)*($I$6:W$6&lt;=(W$6-$E14)))</f>
        <v>0</v>
      </c>
      <c r="X72" s="28" cm="1">
        <f t="array" ref="X72">SUMPRODUCT(($I67:X67))-SUMPRODUCT(($I67:X67)*($I$6:X$6&lt;=(X$6-$E14)))</f>
        <v>0</v>
      </c>
      <c r="Y72" s="28" cm="1">
        <f t="array" ref="Y72">SUMPRODUCT(($I67:Y67))-SUMPRODUCT(($I67:Y67)*($I$6:Y$6&lt;=(Y$6-$E14)))</f>
        <v>0</v>
      </c>
      <c r="Z72" s="28" cm="1">
        <f t="array" ref="Z72">SUMPRODUCT(($I67:Z67))-SUMPRODUCT(($I67:Z67)*($I$6:Z$6&lt;=(Z$6-$E14)))</f>
        <v>0</v>
      </c>
      <c r="AA72" s="28" cm="1">
        <f t="array" ref="AA72">SUMPRODUCT(($I67:AA67))-SUMPRODUCT(($I67:AA67)*($I$6:AA$6&lt;=(AA$6-$E14)))</f>
        <v>0</v>
      </c>
      <c r="AB72" s="28" cm="1">
        <f t="array" ref="AB72">SUMPRODUCT(($I67:AB67))-SUMPRODUCT(($I67:AB67)*($I$6:AB$6&lt;=(AB$6-$E14)))</f>
        <v>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2">
      <c r="A73" s="6"/>
      <c r="B73" s="6"/>
      <c r="C73" s="4" t="str">
        <f>C15</f>
        <v>&lt; Enter description &gt;</v>
      </c>
      <c r="D73" s="34"/>
      <c r="F73" s="84"/>
      <c r="G73" s="184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2">
      <c r="A74" s="6"/>
      <c r="B74" s="6"/>
      <c r="C74" s="4" t="str">
        <f>C16</f>
        <v>&lt; Enter description &gt;</v>
      </c>
      <c r="D74" s="34"/>
      <c r="F74" s="84"/>
      <c r="G74" s="184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2">
      <c r="A75" s="6"/>
      <c r="B75" s="6"/>
      <c r="C75" s="4"/>
      <c r="D75" s="34"/>
      <c r="F75" s="84"/>
      <c r="G75" s="18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2">
      <c r="A76" s="6"/>
      <c r="B76" s="6"/>
      <c r="C76" s="125" t="s">
        <v>143</v>
      </c>
      <c r="D76" s="34"/>
      <c r="F76" s="84"/>
      <c r="G76" s="187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2">
      <c r="A77" s="6"/>
      <c r="B77" s="6"/>
      <c r="C77" s="4" t="str">
        <f>$C$76&amp;" - "&amp;C14</f>
        <v>Annualised capex - &lt; Enter description &gt;</v>
      </c>
      <c r="D77" s="34"/>
      <c r="F77" s="84"/>
      <c r="G77" s="184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0</v>
      </c>
      <c r="N77" s="28">
        <f t="shared" si="8"/>
        <v>0</v>
      </c>
      <c r="O77" s="28">
        <f t="shared" si="8"/>
        <v>0</v>
      </c>
      <c r="P77" s="28">
        <f t="shared" si="8"/>
        <v>0</v>
      </c>
      <c r="Q77" s="28">
        <f t="shared" si="8"/>
        <v>0</v>
      </c>
      <c r="R77" s="28">
        <f t="shared" si="8"/>
        <v>0</v>
      </c>
      <c r="S77" s="28">
        <f t="shared" si="8"/>
        <v>0</v>
      </c>
      <c r="T77" s="28">
        <f t="shared" si="8"/>
        <v>0</v>
      </c>
      <c r="U77" s="28">
        <f t="shared" si="8"/>
        <v>0</v>
      </c>
      <c r="V77" s="28">
        <f t="shared" si="8"/>
        <v>0</v>
      </c>
      <c r="W77" s="28">
        <f t="shared" si="8"/>
        <v>0</v>
      </c>
      <c r="X77" s="28">
        <f t="shared" si="8"/>
        <v>0</v>
      </c>
      <c r="Y77" s="28">
        <f t="shared" si="8"/>
        <v>0</v>
      </c>
      <c r="Z77" s="28">
        <f t="shared" si="8"/>
        <v>0</v>
      </c>
      <c r="AA77" s="28">
        <f t="shared" si="8"/>
        <v>0</v>
      </c>
      <c r="AB77" s="28">
        <f t="shared" si="8"/>
        <v>0</v>
      </c>
      <c r="AC77" s="28">
        <f t="shared" si="8"/>
        <v>0</v>
      </c>
      <c r="AD77" s="28">
        <f t="shared" si="8"/>
        <v>0</v>
      </c>
      <c r="AE77" s="28">
        <f t="shared" si="8"/>
        <v>0</v>
      </c>
      <c r="AF77" s="28">
        <f t="shared" si="8"/>
        <v>0</v>
      </c>
      <c r="AG77" s="28">
        <f t="shared" si="8"/>
        <v>0</v>
      </c>
    </row>
    <row r="78" spans="1:33" x14ac:dyDescent="0.2">
      <c r="A78" s="6"/>
      <c r="B78" s="6"/>
      <c r="C78" s="4" t="str">
        <f>$C$76&amp;" - "&amp;C15</f>
        <v>Annualised capex - &lt; Enter description &gt;</v>
      </c>
      <c r="D78" s="34"/>
      <c r="F78" s="84"/>
      <c r="G78" s="184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2">
      <c r="A79" s="6"/>
      <c r="B79" s="6"/>
      <c r="C79" s="4" t="str">
        <f>$C$76&amp;" - "&amp;C16</f>
        <v>Annualised capex - &lt; Enter description &gt;</v>
      </c>
      <c r="D79" s="34"/>
      <c r="F79" s="84"/>
      <c r="G79" s="184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2">
      <c r="A80" s="6"/>
      <c r="B80" s="6"/>
      <c r="C80" s="148" t="s">
        <v>144</v>
      </c>
      <c r="D80" s="148"/>
      <c r="E80" s="149"/>
      <c r="F80" s="150"/>
      <c r="G80" s="189">
        <f>input_dollars</f>
        <v>45291</v>
      </c>
      <c r="H80" s="151"/>
      <c r="I80" s="151">
        <f>SUM(I77:I79)</f>
        <v>0</v>
      </c>
      <c r="J80" s="151">
        <f t="shared" ref="J80:AB80" si="11">SUM(J77:J79)</f>
        <v>0</v>
      </c>
      <c r="K80" s="151">
        <f t="shared" si="11"/>
        <v>0</v>
      </c>
      <c r="L80" s="151">
        <f t="shared" si="11"/>
        <v>0</v>
      </c>
      <c r="M80" s="151">
        <f t="shared" si="11"/>
        <v>0</v>
      </c>
      <c r="N80" s="151">
        <f t="shared" si="11"/>
        <v>0</v>
      </c>
      <c r="O80" s="151">
        <f t="shared" si="11"/>
        <v>0</v>
      </c>
      <c r="P80" s="151">
        <f t="shared" si="11"/>
        <v>0</v>
      </c>
      <c r="Q80" s="151">
        <f t="shared" si="11"/>
        <v>0</v>
      </c>
      <c r="R80" s="151">
        <f t="shared" si="11"/>
        <v>0</v>
      </c>
      <c r="S80" s="151">
        <f t="shared" si="11"/>
        <v>0</v>
      </c>
      <c r="T80" s="151">
        <f t="shared" si="11"/>
        <v>0</v>
      </c>
      <c r="U80" s="151">
        <f t="shared" si="11"/>
        <v>0</v>
      </c>
      <c r="V80" s="151">
        <f t="shared" si="11"/>
        <v>0</v>
      </c>
      <c r="W80" s="151">
        <f t="shared" si="11"/>
        <v>0</v>
      </c>
      <c r="X80" s="151">
        <f t="shared" si="11"/>
        <v>0</v>
      </c>
      <c r="Y80" s="151">
        <f t="shared" si="11"/>
        <v>0</v>
      </c>
      <c r="Z80" s="151">
        <f t="shared" si="11"/>
        <v>0</v>
      </c>
      <c r="AA80" s="151">
        <f t="shared" si="11"/>
        <v>0</v>
      </c>
      <c r="AB80" s="151">
        <f t="shared" si="11"/>
        <v>0</v>
      </c>
      <c r="AC80" s="151">
        <f>SUM(AC77:AC79)</f>
        <v>0</v>
      </c>
      <c r="AD80" s="151">
        <f>SUM(AD77:AD79)</f>
        <v>0</v>
      </c>
      <c r="AE80" s="151">
        <f>SUM(AE77:AE79)</f>
        <v>0</v>
      </c>
      <c r="AF80" s="151">
        <f>SUM(AF77:AF79)</f>
        <v>0</v>
      </c>
      <c r="AG80" s="151">
        <f>SUM(AG77:AG79)</f>
        <v>0</v>
      </c>
    </row>
    <row r="81" spans="1:33" x14ac:dyDescent="0.2">
      <c r="A81" s="6"/>
      <c r="B81" s="6"/>
      <c r="C81" s="12"/>
      <c r="D81" s="34"/>
      <c r="F81"/>
      <c r="G81" s="190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2">
      <c r="A82" s="6"/>
      <c r="B82" s="6"/>
      <c r="C82" s="4" t="s">
        <v>143</v>
      </c>
      <c r="D82" s="34"/>
      <c r="F82" s="84"/>
      <c r="G82" s="184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0</v>
      </c>
      <c r="N82" s="28">
        <f t="shared" si="13"/>
        <v>0</v>
      </c>
      <c r="O82" s="28">
        <f t="shared" si="13"/>
        <v>0</v>
      </c>
      <c r="P82" s="28">
        <f t="shared" si="13"/>
        <v>0</v>
      </c>
      <c r="Q82" s="28">
        <f t="shared" si="13"/>
        <v>0</v>
      </c>
      <c r="R82" s="28">
        <f t="shared" si="13"/>
        <v>0</v>
      </c>
      <c r="S82" s="28">
        <f t="shared" si="13"/>
        <v>0</v>
      </c>
      <c r="T82" s="28">
        <f t="shared" si="13"/>
        <v>0</v>
      </c>
      <c r="U82" s="28">
        <f t="shared" si="13"/>
        <v>0</v>
      </c>
      <c r="V82" s="28">
        <f t="shared" si="13"/>
        <v>0</v>
      </c>
      <c r="W82" s="28">
        <f t="shared" si="13"/>
        <v>0</v>
      </c>
      <c r="X82" s="28">
        <f t="shared" si="13"/>
        <v>0</v>
      </c>
      <c r="Y82" s="28">
        <f t="shared" si="13"/>
        <v>0</v>
      </c>
      <c r="Z82" s="28">
        <f t="shared" si="13"/>
        <v>0</v>
      </c>
      <c r="AA82" s="28">
        <f t="shared" si="13"/>
        <v>0</v>
      </c>
      <c r="AB82" s="28">
        <f t="shared" si="13"/>
        <v>0</v>
      </c>
      <c r="AC82" s="28">
        <f>AC80</f>
        <v>0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2">
      <c r="A83" s="6"/>
      <c r="B83" s="6"/>
      <c r="C83" s="4" t="s">
        <v>33</v>
      </c>
      <c r="D83" s="34"/>
      <c r="F83" s="84"/>
      <c r="G83" s="184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2">
      <c r="A84" s="6"/>
      <c r="B84" s="6"/>
      <c r="C84" s="4" t="s">
        <v>145</v>
      </c>
      <c r="D84" s="34"/>
      <c r="F84" s="84"/>
      <c r="G84" s="184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0</v>
      </c>
      <c r="P84" s="28">
        <f t="shared" si="15"/>
        <v>0</v>
      </c>
      <c r="Q84" s="28">
        <f t="shared" si="15"/>
        <v>0</v>
      </c>
      <c r="R84" s="28">
        <f t="shared" si="15"/>
        <v>0</v>
      </c>
      <c r="S84" s="28">
        <f t="shared" si="15"/>
        <v>0</v>
      </c>
      <c r="T84" s="28">
        <f t="shared" si="15"/>
        <v>0</v>
      </c>
      <c r="U84" s="28">
        <f t="shared" si="15"/>
        <v>0</v>
      </c>
      <c r="V84" s="28">
        <f t="shared" si="15"/>
        <v>0</v>
      </c>
      <c r="W84" s="28">
        <f t="shared" si="15"/>
        <v>0</v>
      </c>
      <c r="X84" s="28">
        <f t="shared" si="15"/>
        <v>0</v>
      </c>
      <c r="Y84" s="28">
        <f t="shared" si="15"/>
        <v>0</v>
      </c>
      <c r="Z84" s="28">
        <f t="shared" si="15"/>
        <v>0</v>
      </c>
      <c r="AA84" s="28">
        <f t="shared" si="15"/>
        <v>0</v>
      </c>
      <c r="AB84" s="28">
        <f t="shared" si="15"/>
        <v>0</v>
      </c>
      <c r="AC84" s="28">
        <f>AC64</f>
        <v>0</v>
      </c>
      <c r="AD84" s="28">
        <f>AD64</f>
        <v>0</v>
      </c>
      <c r="AE84" s="28">
        <f>AE64</f>
        <v>0</v>
      </c>
      <c r="AF84" s="28">
        <f>AF64</f>
        <v>0</v>
      </c>
      <c r="AG84" s="28">
        <f>AG64</f>
        <v>0</v>
      </c>
    </row>
    <row r="85" spans="1:33" x14ac:dyDescent="0.2">
      <c r="A85" s="6"/>
      <c r="B85" s="6"/>
      <c r="C85" s="4" t="s">
        <v>146</v>
      </c>
      <c r="D85" s="34"/>
      <c r="F85" s="84"/>
      <c r="G85" s="184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2">
      <c r="A86" s="6"/>
      <c r="B86" s="6"/>
      <c r="C86" s="4"/>
      <c r="D86" s="34"/>
      <c r="F86" s="28"/>
      <c r="G86" s="184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2">
      <c r="A87" s="6"/>
      <c r="B87" s="6"/>
      <c r="C87" s="152" t="s">
        <v>147</v>
      </c>
      <c r="D87" s="153"/>
      <c r="E87" s="149"/>
      <c r="F87" s="154"/>
      <c r="G87" s="189">
        <f t="shared" si="12"/>
        <v>45291</v>
      </c>
      <c r="H87" s="154"/>
      <c r="I87" s="154">
        <f t="shared" ref="I87:AB87" si="17">SUM(I82:I86)</f>
        <v>0</v>
      </c>
      <c r="J87" s="154">
        <f t="shared" si="17"/>
        <v>0</v>
      </c>
      <c r="K87" s="154">
        <f t="shared" si="17"/>
        <v>0</v>
      </c>
      <c r="L87" s="154">
        <f t="shared" si="17"/>
        <v>0</v>
      </c>
      <c r="M87" s="154">
        <f t="shared" si="17"/>
        <v>0</v>
      </c>
      <c r="N87" s="154">
        <f t="shared" si="17"/>
        <v>0</v>
      </c>
      <c r="O87" s="154">
        <f t="shared" si="17"/>
        <v>0</v>
      </c>
      <c r="P87" s="154">
        <f t="shared" si="17"/>
        <v>0</v>
      </c>
      <c r="Q87" s="154">
        <f t="shared" si="17"/>
        <v>0</v>
      </c>
      <c r="R87" s="154">
        <f t="shared" si="17"/>
        <v>0</v>
      </c>
      <c r="S87" s="154">
        <f t="shared" si="17"/>
        <v>0</v>
      </c>
      <c r="T87" s="154">
        <f t="shared" si="17"/>
        <v>0</v>
      </c>
      <c r="U87" s="154">
        <f t="shared" si="17"/>
        <v>0</v>
      </c>
      <c r="V87" s="154">
        <f t="shared" si="17"/>
        <v>0</v>
      </c>
      <c r="W87" s="154">
        <f t="shared" si="17"/>
        <v>0</v>
      </c>
      <c r="X87" s="154">
        <f t="shared" si="17"/>
        <v>0</v>
      </c>
      <c r="Y87" s="154">
        <f t="shared" si="17"/>
        <v>0</v>
      </c>
      <c r="Z87" s="154">
        <f t="shared" si="17"/>
        <v>0</v>
      </c>
      <c r="AA87" s="154">
        <f t="shared" si="17"/>
        <v>0</v>
      </c>
      <c r="AB87" s="154">
        <f t="shared" si="17"/>
        <v>0</v>
      </c>
      <c r="AC87" s="154">
        <f>SUM(AC82:AC86)</f>
        <v>0</v>
      </c>
      <c r="AD87" s="154">
        <f>SUM(AD82:AD86)</f>
        <v>0</v>
      </c>
      <c r="AE87" s="154">
        <f>SUM(AE82:AE86)</f>
        <v>0</v>
      </c>
      <c r="AF87" s="154">
        <f>SUM(AF82:AF86)</f>
        <v>0</v>
      </c>
      <c r="AG87" s="154">
        <f>SUM(AG82:AG86)</f>
        <v>0</v>
      </c>
    </row>
    <row r="88" spans="1:33" x14ac:dyDescent="0.2">
      <c r="A88" s="6"/>
      <c r="B88" s="6"/>
      <c r="C88" s="12"/>
      <c r="D88" s="34"/>
      <c r="F88" s="119"/>
      <c r="G88" s="184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</row>
    <row r="89" spans="1:33" x14ac:dyDescent="0.2">
      <c r="A89" s="6"/>
      <c r="B89" s="6"/>
      <c r="C89" s="12"/>
      <c r="D89" s="34"/>
      <c r="F89" s="119"/>
      <c r="G89" s="184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</row>
    <row r="90" spans="1:33" x14ac:dyDescent="0.2">
      <c r="A90" s="6"/>
      <c r="B90" s="6"/>
      <c r="C90" s="203" t="s">
        <v>152</v>
      </c>
      <c r="D90" s="72"/>
      <c r="E90" s="204"/>
      <c r="F90" s="205"/>
      <c r="G90" s="206" cm="1">
        <f t="array" ref="G90">IF(SUM($I17:$AG17)=0,0,(INDEX(I$6:AG$6,MATCH(TRUE,INDEX($I17:$AG17&lt;&gt;0,),0))))</f>
        <v>0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2">
      <c r="C91" s="72"/>
      <c r="D91" s="207"/>
      <c r="E91" s="204"/>
      <c r="F91" s="204"/>
      <c r="G91" s="206"/>
    </row>
    <row r="92" spans="1:33" x14ac:dyDescent="0.2">
      <c r="C92" s="208" t="s">
        <v>153</v>
      </c>
      <c r="D92" s="209"/>
      <c r="E92" s="209"/>
      <c r="F92" s="209"/>
      <c r="G92" s="210" t="str">
        <f>IF(_xlfn.MINIFS($G$90:$G$91, $G$90:$G$91, "&gt;"&amp;0)=0, $A$4, _xlfn.MINIFS($G$90:$G$91, $G$90:$G$91, "&gt;"&amp;0))</f>
        <v>Not used</v>
      </c>
    </row>
    <row r="94" spans="1:33" x14ac:dyDescent="0.2">
      <c r="G94" s="10"/>
    </row>
    <row r="102" spans="1:43" ht="15" x14ac:dyDescent="0.2">
      <c r="A102" s="78" t="s">
        <v>36</v>
      </c>
      <c r="B102" s="78"/>
      <c r="C102" s="78"/>
      <c r="D102" s="78"/>
      <c r="E102" s="78"/>
      <c r="F102" s="78"/>
      <c r="G102" s="1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2">
      <c r="I104" s="213"/>
      <c r="J104" s="213"/>
      <c r="K104" s="213"/>
      <c r="L104" s="213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</row>
    <row r="105" spans="1:43" x14ac:dyDescent="0.2">
      <c r="I105" s="213"/>
      <c r="J105" s="213"/>
      <c r="K105" s="213"/>
      <c r="L105" s="213"/>
      <c r="M105" s="213"/>
      <c r="N105" s="213"/>
      <c r="O105" s="213"/>
      <c r="P105" s="213"/>
      <c r="Q105" s="213"/>
      <c r="R105" s="213"/>
      <c r="S105" s="213"/>
      <c r="T105" s="213"/>
      <c r="U105" s="213"/>
      <c r="V105" s="213"/>
      <c r="W105" s="213"/>
      <c r="X105" s="213"/>
      <c r="Y105" s="213"/>
      <c r="Z105" s="213"/>
    </row>
    <row r="106" spans="1:43" x14ac:dyDescent="0.2">
      <c r="A106" s="1" t="s">
        <v>22</v>
      </c>
      <c r="C106" s="1" t="s">
        <v>147</v>
      </c>
      <c r="D106"/>
      <c r="E106"/>
      <c r="F106"/>
      <c r="G106" s="34" t="str">
        <f>PROPER($A$3)&amp;A106</f>
        <v>Option 4NPV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0</v>
      </c>
      <c r="N106" s="28">
        <f t="shared" si="18"/>
        <v>0</v>
      </c>
      <c r="O106" s="28">
        <f t="shared" si="18"/>
        <v>0</v>
      </c>
      <c r="P106" s="28">
        <f t="shared" si="18"/>
        <v>0</v>
      </c>
      <c r="Q106" s="28">
        <f t="shared" si="18"/>
        <v>0</v>
      </c>
      <c r="R106" s="28">
        <f t="shared" si="18"/>
        <v>0</v>
      </c>
      <c r="S106" s="28">
        <f t="shared" si="18"/>
        <v>0</v>
      </c>
      <c r="T106" s="28">
        <f t="shared" si="18"/>
        <v>0</v>
      </c>
      <c r="U106" s="28">
        <f t="shared" si="18"/>
        <v>0</v>
      </c>
      <c r="V106" s="28">
        <f t="shared" si="18"/>
        <v>0</v>
      </c>
      <c r="W106" s="28">
        <f t="shared" si="18"/>
        <v>0</v>
      </c>
      <c r="X106" s="28">
        <f t="shared" si="18"/>
        <v>0</v>
      </c>
      <c r="Y106" s="28">
        <f t="shared" si="18"/>
        <v>0</v>
      </c>
      <c r="Z106" s="28">
        <f t="shared" si="18"/>
        <v>0</v>
      </c>
      <c r="AA106" s="28">
        <f t="shared" si="18"/>
        <v>0</v>
      </c>
      <c r="AB106" s="28">
        <f t="shared" si="18"/>
        <v>0</v>
      </c>
      <c r="AC106" s="28">
        <f t="shared" si="18"/>
        <v>0</v>
      </c>
      <c r="AD106" s="28">
        <f t="shared" si="18"/>
        <v>0</v>
      </c>
      <c r="AE106" s="28">
        <f t="shared" si="18"/>
        <v>0</v>
      </c>
      <c r="AF106" s="28">
        <f t="shared" si="18"/>
        <v>0</v>
      </c>
      <c r="AG106" s="28">
        <f t="shared" si="18"/>
        <v>0</v>
      </c>
    </row>
    <row r="107" spans="1:43" x14ac:dyDescent="0.2">
      <c r="C107" s="1" t="s">
        <v>144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0</v>
      </c>
      <c r="N107" s="28">
        <f t="shared" si="19"/>
        <v>0</v>
      </c>
      <c r="O107" s="28">
        <f t="shared" si="19"/>
        <v>0</v>
      </c>
      <c r="P107" s="28">
        <f t="shared" si="19"/>
        <v>0</v>
      </c>
      <c r="Q107" s="28">
        <f t="shared" si="19"/>
        <v>0</v>
      </c>
      <c r="R107" s="28">
        <f t="shared" si="19"/>
        <v>0</v>
      </c>
      <c r="S107" s="28">
        <f t="shared" si="19"/>
        <v>0</v>
      </c>
      <c r="T107" s="28">
        <f t="shared" si="19"/>
        <v>0</v>
      </c>
      <c r="U107" s="28">
        <f t="shared" si="19"/>
        <v>0</v>
      </c>
      <c r="V107" s="28">
        <f t="shared" si="19"/>
        <v>0</v>
      </c>
      <c r="W107" s="28">
        <f t="shared" si="19"/>
        <v>0</v>
      </c>
      <c r="X107" s="28">
        <f t="shared" si="19"/>
        <v>0</v>
      </c>
      <c r="Y107" s="28">
        <f t="shared" si="19"/>
        <v>0</v>
      </c>
      <c r="Z107" s="28">
        <f t="shared" si="19"/>
        <v>0</v>
      </c>
      <c r="AA107" s="28">
        <f t="shared" si="19"/>
        <v>0</v>
      </c>
      <c r="AB107" s="28">
        <f t="shared" si="19"/>
        <v>0</v>
      </c>
      <c r="AC107" s="28">
        <f t="shared" si="19"/>
        <v>0</v>
      </c>
      <c r="AD107" s="28">
        <f t="shared" si="19"/>
        <v>0</v>
      </c>
      <c r="AE107" s="28">
        <f t="shared" si="19"/>
        <v>0</v>
      </c>
      <c r="AF107" s="28">
        <f t="shared" si="19"/>
        <v>0</v>
      </c>
      <c r="AG107" s="28">
        <f t="shared" si="19"/>
        <v>0</v>
      </c>
    </row>
    <row r="108" spans="1:43" x14ac:dyDescent="0.2">
      <c r="C108" s="1" t="s">
        <v>104</v>
      </c>
      <c r="D108"/>
      <c r="E108"/>
      <c r="F108"/>
      <c r="G108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0</v>
      </c>
      <c r="P108" s="28">
        <f t="shared" si="20"/>
        <v>0</v>
      </c>
      <c r="Q108" s="28">
        <f t="shared" si="20"/>
        <v>0</v>
      </c>
      <c r="R108" s="28">
        <f t="shared" si="20"/>
        <v>0</v>
      </c>
      <c r="S108" s="28">
        <f t="shared" si="20"/>
        <v>0</v>
      </c>
      <c r="T108" s="28">
        <f t="shared" si="20"/>
        <v>0</v>
      </c>
      <c r="U108" s="28">
        <f t="shared" si="20"/>
        <v>0</v>
      </c>
      <c r="V108" s="28">
        <f t="shared" si="20"/>
        <v>0</v>
      </c>
      <c r="W108" s="28">
        <f t="shared" si="20"/>
        <v>0</v>
      </c>
      <c r="X108" s="28">
        <f t="shared" si="20"/>
        <v>0</v>
      </c>
      <c r="Y108" s="28">
        <f t="shared" si="20"/>
        <v>0</v>
      </c>
      <c r="Z108" s="28">
        <f t="shared" si="20"/>
        <v>0</v>
      </c>
      <c r="AA108" s="28">
        <f t="shared" si="20"/>
        <v>0</v>
      </c>
      <c r="AB108" s="28">
        <f t="shared" si="20"/>
        <v>0</v>
      </c>
      <c r="AC108" s="28">
        <f t="shared" si="20"/>
        <v>0</v>
      </c>
      <c r="AD108" s="28">
        <f t="shared" si="20"/>
        <v>0</v>
      </c>
      <c r="AE108" s="28">
        <f t="shared" si="20"/>
        <v>0</v>
      </c>
      <c r="AF108" s="28">
        <f t="shared" si="20"/>
        <v>0</v>
      </c>
      <c r="AG108" s="28">
        <f t="shared" si="20"/>
        <v>0</v>
      </c>
    </row>
    <row r="109" spans="1:43" x14ac:dyDescent="0.2">
      <c r="D109" s="253" t="str">
        <f>Assumptions!G110</f>
        <v>Capex</v>
      </c>
      <c r="E109" s="253" t="str">
        <f>Assumptions!H110</f>
        <v>Total benefits</v>
      </c>
      <c r="I109" s="213"/>
      <c r="J109" s="213"/>
      <c r="K109" s="213"/>
      <c r="L109" s="213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</row>
    <row r="110" spans="1:43" x14ac:dyDescent="0.2">
      <c r="A110" s="1" t="str">
        <f>"sens"&amp;Assumptions!B111</f>
        <v>sens1</v>
      </c>
      <c r="C110" s="252" t="str">
        <f>Assumptions!C111</f>
        <v>Capex 10% higher</v>
      </c>
      <c r="D110" s="253">
        <f>Assumptions!G111</f>
        <v>0.1</v>
      </c>
      <c r="E110" s="253">
        <f>Assumptions!H111</f>
        <v>0</v>
      </c>
      <c r="G110" s="34" t="str">
        <f>PROPER($A$3)&amp;A110</f>
        <v>Option 4sens1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0</v>
      </c>
      <c r="O110" s="28" cm="1">
        <f t="array" ref="O110">O$106+IF($C110&lt;&gt;0,SUMPRODUCT((O$107:O$108)*TRANSPOSE(($D110:$E110))),0)</f>
        <v>0</v>
      </c>
      <c r="P110" s="28" cm="1">
        <f t="array" ref="P110">P$106+IF($C110&lt;&gt;0,SUMPRODUCT((P$107:P$108)*TRANSPOSE(($D110:$E110))),0)</f>
        <v>0</v>
      </c>
      <c r="Q110" s="28" cm="1">
        <f t="array" ref="Q110">Q$106+IF($C110&lt;&gt;0,SUMPRODUCT((Q$107:Q$108)*TRANSPOSE(($D110:$E110))),0)</f>
        <v>0</v>
      </c>
      <c r="R110" s="28" cm="1">
        <f t="array" ref="R110">R$106+IF($C110&lt;&gt;0,SUMPRODUCT((R$107:R$108)*TRANSPOSE(($D110:$E110))),0)</f>
        <v>0</v>
      </c>
      <c r="S110" s="28" cm="1">
        <f t="array" ref="S110">S$106+IF($C110&lt;&gt;0,SUMPRODUCT((S$107:S$108)*TRANSPOSE(($D110:$E110))),0)</f>
        <v>0</v>
      </c>
      <c r="T110" s="28" cm="1">
        <f t="array" ref="T110">T$106+IF($C110&lt;&gt;0,SUMPRODUCT((T$107:T$108)*TRANSPOSE(($D110:$E110))),0)</f>
        <v>0</v>
      </c>
      <c r="U110" s="28" cm="1">
        <f t="array" ref="U110">U$106+IF($C110&lt;&gt;0,SUMPRODUCT((U$107:U$108)*TRANSPOSE(($D110:$E110))),0)</f>
        <v>0</v>
      </c>
      <c r="V110" s="28" cm="1">
        <f t="array" ref="V110">V$106+IF($C110&lt;&gt;0,SUMPRODUCT((V$107:V$108)*TRANSPOSE(($D110:$E110))),0)</f>
        <v>0</v>
      </c>
      <c r="W110" s="28" cm="1">
        <f t="array" ref="W110">W$106+IF($C110&lt;&gt;0,SUMPRODUCT((W$107:W$108)*TRANSPOSE(($D110:$E110))),0)</f>
        <v>0</v>
      </c>
      <c r="X110" s="28" cm="1">
        <f t="array" ref="X110">X$106+IF($C110&lt;&gt;0,SUMPRODUCT((X$107:X$108)*TRANSPOSE(($D110:$E110))),0)</f>
        <v>0</v>
      </c>
      <c r="Y110" s="28" cm="1">
        <f t="array" ref="Y110">Y$106+IF($C110&lt;&gt;0,SUMPRODUCT((Y$107:Y$108)*TRANSPOSE(($D110:$E110))),0)</f>
        <v>0</v>
      </c>
      <c r="Z110" s="28" cm="1">
        <f t="array" ref="Z110">Z$106+IF($C110&lt;&gt;0,SUMPRODUCT((Z$107:Z$108)*TRANSPOSE(($D110:$E110))),0)</f>
        <v>0</v>
      </c>
      <c r="AA110" s="28" cm="1">
        <f t="array" ref="AA110">AA$106+IF($C110&lt;&gt;0,SUMPRODUCT((AA$107:AA$108)*TRANSPOSE(($D110:$E110))),0)</f>
        <v>0</v>
      </c>
      <c r="AB110" s="28" cm="1">
        <f t="array" ref="AB110">AB$106+IF($C110&lt;&gt;0,SUMPRODUCT((AB$107:AB$108)*TRANSPOSE(($D110:$E110))),0)</f>
        <v>0</v>
      </c>
      <c r="AC110" s="28" cm="1">
        <f t="array" ref="AC110">AC$106+IF($C110&lt;&gt;0,SUMPRODUCT((AC$107:AC$108)*TRANSPOSE(($D110:$E110))),0)</f>
        <v>0</v>
      </c>
      <c r="AD110" s="28" cm="1">
        <f t="array" ref="AD110">AD$106+IF($C110&lt;&gt;0,SUMPRODUCT((AD$107:AD$108)*TRANSPOSE(($D110:$E110))),0)</f>
        <v>0</v>
      </c>
      <c r="AE110" s="28" cm="1">
        <f t="array" ref="AE110">AE$106+IF($C110&lt;&gt;0,SUMPRODUCT((AE$107:AE$108)*TRANSPOSE(($D110:$E110))),0)</f>
        <v>0</v>
      </c>
      <c r="AF110" s="28" cm="1">
        <f t="array" ref="AF110">AF$106+IF($C110&lt;&gt;0,SUMPRODUCT((AF$107:AF$108)*TRANSPOSE(($D110:$E110))),0)</f>
        <v>0</v>
      </c>
      <c r="AG110" s="28" cm="1">
        <f t="array" ref="AG110">AG$106+IF($C110&lt;&gt;0,SUMPRODUCT((AG$107:AG$108)*TRANSPOSE(($D110:$E110))),0)</f>
        <v>0</v>
      </c>
    </row>
    <row r="111" spans="1:43" x14ac:dyDescent="0.2">
      <c r="A111" s="1" t="str">
        <f>"sens"&amp;Assumptions!B112</f>
        <v>sens2</v>
      </c>
      <c r="C111" s="252" t="str">
        <f>Assumptions!C112</f>
        <v>Capex 10% lower</v>
      </c>
      <c r="D111" s="253">
        <f>Assumptions!G112</f>
        <v>-0.1</v>
      </c>
      <c r="E111" s="253">
        <f>Assumptions!H112</f>
        <v>0</v>
      </c>
      <c r="G111" s="34" t="str">
        <f t="shared" ref="G111:G117" si="21">PROPER($A$3)&amp;A111</f>
        <v>Option 4sens2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0</v>
      </c>
      <c r="O111" s="28" cm="1">
        <f t="array" ref="O111">O$106+IF($C111&lt;&gt;0,SUMPRODUCT((O$107:O$108)*TRANSPOSE(($D111:$E111))),0)</f>
        <v>0</v>
      </c>
      <c r="P111" s="28" cm="1">
        <f t="array" ref="P111">P$106+IF($C111&lt;&gt;0,SUMPRODUCT((P$107:P$108)*TRANSPOSE(($D111:$E111))),0)</f>
        <v>0</v>
      </c>
      <c r="Q111" s="28" cm="1">
        <f t="array" ref="Q111">Q$106+IF($C111&lt;&gt;0,SUMPRODUCT((Q$107:Q$108)*TRANSPOSE(($D111:$E111))),0)</f>
        <v>0</v>
      </c>
      <c r="R111" s="28" cm="1">
        <f t="array" ref="R111">R$106+IF($C111&lt;&gt;0,SUMPRODUCT((R$107:R$108)*TRANSPOSE(($D111:$E111))),0)</f>
        <v>0</v>
      </c>
      <c r="S111" s="28" cm="1">
        <f t="array" ref="S111">S$106+IF($C111&lt;&gt;0,SUMPRODUCT((S$107:S$108)*TRANSPOSE(($D111:$E111))),0)</f>
        <v>0</v>
      </c>
      <c r="T111" s="28" cm="1">
        <f t="array" ref="T111">T$106+IF($C111&lt;&gt;0,SUMPRODUCT((T$107:T$108)*TRANSPOSE(($D111:$E111))),0)</f>
        <v>0</v>
      </c>
      <c r="U111" s="28" cm="1">
        <f t="array" ref="U111">U$106+IF($C111&lt;&gt;0,SUMPRODUCT((U$107:U$108)*TRANSPOSE(($D111:$E111))),0)</f>
        <v>0</v>
      </c>
      <c r="V111" s="28" cm="1">
        <f t="array" ref="V111">V$106+IF($C111&lt;&gt;0,SUMPRODUCT((V$107:V$108)*TRANSPOSE(($D111:$E111))),0)</f>
        <v>0</v>
      </c>
      <c r="W111" s="28" cm="1">
        <f t="array" ref="W111">W$106+IF($C111&lt;&gt;0,SUMPRODUCT((W$107:W$108)*TRANSPOSE(($D111:$E111))),0)</f>
        <v>0</v>
      </c>
      <c r="X111" s="28" cm="1">
        <f t="array" ref="X111">X$106+IF($C111&lt;&gt;0,SUMPRODUCT((X$107:X$108)*TRANSPOSE(($D111:$E111))),0)</f>
        <v>0</v>
      </c>
      <c r="Y111" s="28" cm="1">
        <f t="array" ref="Y111">Y$106+IF($C111&lt;&gt;0,SUMPRODUCT((Y$107:Y$108)*TRANSPOSE(($D111:$E111))),0)</f>
        <v>0</v>
      </c>
      <c r="Z111" s="28" cm="1">
        <f t="array" ref="Z111">Z$106+IF($C111&lt;&gt;0,SUMPRODUCT((Z$107:Z$108)*TRANSPOSE(($D111:$E111))),0)</f>
        <v>0</v>
      </c>
      <c r="AA111" s="28" cm="1">
        <f t="array" ref="AA111">AA$106+IF($C111&lt;&gt;0,SUMPRODUCT((AA$107:AA$108)*TRANSPOSE(($D111:$E111))),0)</f>
        <v>0</v>
      </c>
      <c r="AB111" s="28" cm="1">
        <f t="array" ref="AB111">AB$106+IF($C111&lt;&gt;0,SUMPRODUCT((AB$107:AB$108)*TRANSPOSE(($D111:$E111))),0)</f>
        <v>0</v>
      </c>
      <c r="AC111" s="28" cm="1">
        <f t="array" ref="AC111">AC$106+IF($C111&lt;&gt;0,SUMPRODUCT((AC$107:AC$108)*TRANSPOSE(($D111:$E111))),0)</f>
        <v>0</v>
      </c>
      <c r="AD111" s="28" cm="1">
        <f t="array" ref="AD111">AD$106+IF($C111&lt;&gt;0,SUMPRODUCT((AD$107:AD$108)*TRANSPOSE(($D111:$E111))),0)</f>
        <v>0</v>
      </c>
      <c r="AE111" s="28" cm="1">
        <f t="array" ref="AE111">AE$106+IF($C111&lt;&gt;0,SUMPRODUCT((AE$107:AE$108)*TRANSPOSE(($D111:$E111))),0)</f>
        <v>0</v>
      </c>
      <c r="AF111" s="28" cm="1">
        <f t="array" ref="AF111">AF$106+IF($C111&lt;&gt;0,SUMPRODUCT((AF$107:AF$108)*TRANSPOSE(($D111:$E111))),0)</f>
        <v>0</v>
      </c>
      <c r="AG111" s="28" cm="1">
        <f t="array" ref="AG111">AG$106+IF($C111&lt;&gt;0,SUMPRODUCT((AG$107:AG$108)*TRANSPOSE(($D111:$E111))),0)</f>
        <v>0</v>
      </c>
    </row>
    <row r="112" spans="1:43" x14ac:dyDescent="0.2">
      <c r="A112" s="1" t="str">
        <f>"sens"&amp;Assumptions!B113</f>
        <v>sens3</v>
      </c>
      <c r="C112" s="252" t="str">
        <f>Assumptions!C113</f>
        <v>Total benefits 10% higher</v>
      </c>
      <c r="D112" s="253">
        <f>Assumptions!G113</f>
        <v>0</v>
      </c>
      <c r="E112" s="253">
        <f>Assumptions!H113</f>
        <v>0.1</v>
      </c>
      <c r="G112" s="34" t="str">
        <f t="shared" si="21"/>
        <v>Option 4sens3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0</v>
      </c>
      <c r="O112" s="28" cm="1">
        <f t="array" ref="O112">O$106+IF($C112&lt;&gt;0,SUMPRODUCT((O$107:O$108)*TRANSPOSE(($D112:$E112))),0)</f>
        <v>0</v>
      </c>
      <c r="P112" s="28" cm="1">
        <f t="array" ref="P112">P$106+IF($C112&lt;&gt;0,SUMPRODUCT((P$107:P$108)*TRANSPOSE(($D112:$E112))),0)</f>
        <v>0</v>
      </c>
      <c r="Q112" s="28" cm="1">
        <f t="array" ref="Q112">Q$106+IF($C112&lt;&gt;0,SUMPRODUCT((Q$107:Q$108)*TRANSPOSE(($D112:$E112))),0)</f>
        <v>0</v>
      </c>
      <c r="R112" s="28" cm="1">
        <f t="array" ref="R112">R$106+IF($C112&lt;&gt;0,SUMPRODUCT((R$107:R$108)*TRANSPOSE(($D112:$E112))),0)</f>
        <v>0</v>
      </c>
      <c r="S112" s="28" cm="1">
        <f t="array" ref="S112">S$106+IF($C112&lt;&gt;0,SUMPRODUCT((S$107:S$108)*TRANSPOSE(($D112:$E112))),0)</f>
        <v>0</v>
      </c>
      <c r="T112" s="28" cm="1">
        <f t="array" ref="T112">T$106+IF($C112&lt;&gt;0,SUMPRODUCT((T$107:T$108)*TRANSPOSE(($D112:$E112))),0)</f>
        <v>0</v>
      </c>
      <c r="U112" s="28" cm="1">
        <f t="array" ref="U112">U$106+IF($C112&lt;&gt;0,SUMPRODUCT((U$107:U$108)*TRANSPOSE(($D112:$E112))),0)</f>
        <v>0</v>
      </c>
      <c r="V112" s="28" cm="1">
        <f t="array" ref="V112">V$106+IF($C112&lt;&gt;0,SUMPRODUCT((V$107:V$108)*TRANSPOSE(($D112:$E112))),0)</f>
        <v>0</v>
      </c>
      <c r="W112" s="28" cm="1">
        <f t="array" ref="W112">W$106+IF($C112&lt;&gt;0,SUMPRODUCT((W$107:W$108)*TRANSPOSE(($D112:$E112))),0)</f>
        <v>0</v>
      </c>
      <c r="X112" s="28" cm="1">
        <f t="array" ref="X112">X$106+IF($C112&lt;&gt;0,SUMPRODUCT((X$107:X$108)*TRANSPOSE(($D112:$E112))),0)</f>
        <v>0</v>
      </c>
      <c r="Y112" s="28" cm="1">
        <f t="array" ref="Y112">Y$106+IF($C112&lt;&gt;0,SUMPRODUCT((Y$107:Y$108)*TRANSPOSE(($D112:$E112))),0)</f>
        <v>0</v>
      </c>
      <c r="Z112" s="28" cm="1">
        <f t="array" ref="Z112">Z$106+IF($C112&lt;&gt;0,SUMPRODUCT((Z$107:Z$108)*TRANSPOSE(($D112:$E112))),0)</f>
        <v>0</v>
      </c>
      <c r="AA112" s="28" cm="1">
        <f t="array" ref="AA112">AA$106+IF($C112&lt;&gt;0,SUMPRODUCT((AA$107:AA$108)*TRANSPOSE(($D112:$E112))),0)</f>
        <v>0</v>
      </c>
      <c r="AB112" s="28" cm="1">
        <f t="array" ref="AB112">AB$106+IF($C112&lt;&gt;0,SUMPRODUCT((AB$107:AB$108)*TRANSPOSE(($D112:$E112))),0)</f>
        <v>0</v>
      </c>
      <c r="AC112" s="28" cm="1">
        <f t="array" ref="AC112">AC$106+IF($C112&lt;&gt;0,SUMPRODUCT((AC$107:AC$108)*TRANSPOSE(($D112:$E112))),0)</f>
        <v>0</v>
      </c>
      <c r="AD112" s="28" cm="1">
        <f t="array" ref="AD112">AD$106+IF($C112&lt;&gt;0,SUMPRODUCT((AD$107:AD$108)*TRANSPOSE(($D112:$E112))),0)</f>
        <v>0</v>
      </c>
      <c r="AE112" s="28" cm="1">
        <f t="array" ref="AE112">AE$106+IF($C112&lt;&gt;0,SUMPRODUCT((AE$107:AE$108)*TRANSPOSE(($D112:$E112))),0)</f>
        <v>0</v>
      </c>
      <c r="AF112" s="28" cm="1">
        <f t="array" ref="AF112">AF$106+IF($C112&lt;&gt;0,SUMPRODUCT((AF$107:AF$108)*TRANSPOSE(($D112:$E112))),0)</f>
        <v>0</v>
      </c>
      <c r="AG112" s="28" cm="1">
        <f t="array" ref="AG112">AG$106+IF($C112&lt;&gt;0,SUMPRODUCT((AG$107:AG$108)*TRANSPOSE(($D112:$E112))),0)</f>
        <v>0</v>
      </c>
    </row>
    <row r="113" spans="1:33" x14ac:dyDescent="0.2">
      <c r="A113" s="1" t="str">
        <f>"sens"&amp;Assumptions!B114</f>
        <v>sens4</v>
      </c>
      <c r="C113" s="252" t="str">
        <f>Assumptions!C114</f>
        <v>Total benefits 10% lower</v>
      </c>
      <c r="D113" s="253">
        <f>Assumptions!G114</f>
        <v>0</v>
      </c>
      <c r="E113" s="253">
        <f>Assumptions!H114</f>
        <v>-0.1</v>
      </c>
      <c r="G113" s="34" t="str">
        <f t="shared" si="21"/>
        <v>Option 4sens4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0</v>
      </c>
      <c r="O113" s="28" cm="1">
        <f t="array" ref="O113">O$106+IF($C113&lt;&gt;0,SUMPRODUCT((O$107:O$108)*TRANSPOSE(($D113:$E113))),0)</f>
        <v>0</v>
      </c>
      <c r="P113" s="28" cm="1">
        <f t="array" ref="P113">P$106+IF($C113&lt;&gt;0,SUMPRODUCT((P$107:P$108)*TRANSPOSE(($D113:$E113))),0)</f>
        <v>0</v>
      </c>
      <c r="Q113" s="28" cm="1">
        <f t="array" ref="Q113">Q$106+IF($C113&lt;&gt;0,SUMPRODUCT((Q$107:Q$108)*TRANSPOSE(($D113:$E113))),0)</f>
        <v>0</v>
      </c>
      <c r="R113" s="28" cm="1">
        <f t="array" ref="R113">R$106+IF($C113&lt;&gt;0,SUMPRODUCT((R$107:R$108)*TRANSPOSE(($D113:$E113))),0)</f>
        <v>0</v>
      </c>
      <c r="S113" s="28" cm="1">
        <f t="array" ref="S113">S$106+IF($C113&lt;&gt;0,SUMPRODUCT((S$107:S$108)*TRANSPOSE(($D113:$E113))),0)</f>
        <v>0</v>
      </c>
      <c r="T113" s="28" cm="1">
        <f t="array" ref="T113">T$106+IF($C113&lt;&gt;0,SUMPRODUCT((T$107:T$108)*TRANSPOSE(($D113:$E113))),0)</f>
        <v>0</v>
      </c>
      <c r="U113" s="28" cm="1">
        <f t="array" ref="U113">U$106+IF($C113&lt;&gt;0,SUMPRODUCT((U$107:U$108)*TRANSPOSE(($D113:$E113))),0)</f>
        <v>0</v>
      </c>
      <c r="V113" s="28" cm="1">
        <f t="array" ref="V113">V$106+IF($C113&lt;&gt;0,SUMPRODUCT((V$107:V$108)*TRANSPOSE(($D113:$E113))),0)</f>
        <v>0</v>
      </c>
      <c r="W113" s="28" cm="1">
        <f t="array" ref="W113">W$106+IF($C113&lt;&gt;0,SUMPRODUCT((W$107:W$108)*TRANSPOSE(($D113:$E113))),0)</f>
        <v>0</v>
      </c>
      <c r="X113" s="28" cm="1">
        <f t="array" ref="X113">X$106+IF($C113&lt;&gt;0,SUMPRODUCT((X$107:X$108)*TRANSPOSE(($D113:$E113))),0)</f>
        <v>0</v>
      </c>
      <c r="Y113" s="28" cm="1">
        <f t="array" ref="Y113">Y$106+IF($C113&lt;&gt;0,SUMPRODUCT((Y$107:Y$108)*TRANSPOSE(($D113:$E113))),0)</f>
        <v>0</v>
      </c>
      <c r="Z113" s="28" cm="1">
        <f t="array" ref="Z113">Z$106+IF($C113&lt;&gt;0,SUMPRODUCT((Z$107:Z$108)*TRANSPOSE(($D113:$E113))),0)</f>
        <v>0</v>
      </c>
      <c r="AA113" s="28" cm="1">
        <f t="array" ref="AA113">AA$106+IF($C113&lt;&gt;0,SUMPRODUCT((AA$107:AA$108)*TRANSPOSE(($D113:$E113))),0)</f>
        <v>0</v>
      </c>
      <c r="AB113" s="28" cm="1">
        <f t="array" ref="AB113">AB$106+IF($C113&lt;&gt;0,SUMPRODUCT((AB$107:AB$108)*TRANSPOSE(($D113:$E113))),0)</f>
        <v>0</v>
      </c>
      <c r="AC113" s="28" cm="1">
        <f t="array" ref="AC113">AC$106+IF($C113&lt;&gt;0,SUMPRODUCT((AC$107:AC$108)*TRANSPOSE(($D113:$E113))),0)</f>
        <v>0</v>
      </c>
      <c r="AD113" s="28" cm="1">
        <f t="array" ref="AD113">AD$106+IF($C113&lt;&gt;0,SUMPRODUCT((AD$107:AD$108)*TRANSPOSE(($D113:$E113))),0)</f>
        <v>0</v>
      </c>
      <c r="AE113" s="28" cm="1">
        <f t="array" ref="AE113">AE$106+IF($C113&lt;&gt;0,SUMPRODUCT((AE$107:AE$108)*TRANSPOSE(($D113:$E113))),0)</f>
        <v>0</v>
      </c>
      <c r="AF113" s="28" cm="1">
        <f t="array" ref="AF113">AF$106+IF($C113&lt;&gt;0,SUMPRODUCT((AF$107:AF$108)*TRANSPOSE(($D113:$E113))),0)</f>
        <v>0</v>
      </c>
      <c r="AG113" s="28" cm="1">
        <f t="array" ref="AG113">AG$106+IF($C113&lt;&gt;0,SUMPRODUCT((AG$107:AG$108)*TRANSPOSE(($D113:$E113))),0)</f>
        <v>0</v>
      </c>
    </row>
    <row r="114" spans="1:33" x14ac:dyDescent="0.2">
      <c r="A114" s="1" t="str">
        <f>"sens"&amp;Assumptions!B115</f>
        <v>sens5</v>
      </c>
      <c r="C114" s="252" t="str">
        <f>Assumptions!C115</f>
        <v>Capex 10% higher &amp; Total benefits 10% lower</v>
      </c>
      <c r="D114" s="253">
        <f>Assumptions!G115</f>
        <v>0.1</v>
      </c>
      <c r="E114" s="253">
        <f>Assumptions!H115</f>
        <v>-0.1</v>
      </c>
      <c r="G114" s="34" t="str">
        <f t="shared" si="21"/>
        <v>Option 4sens5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0</v>
      </c>
      <c r="O114" s="28" cm="1">
        <f t="array" ref="O114">O$106+IF($C114&lt;&gt;0,SUMPRODUCT((O$107:O$108)*TRANSPOSE(($D114:$E114))),0)</f>
        <v>0</v>
      </c>
      <c r="P114" s="28" cm="1">
        <f t="array" ref="P114">P$106+IF($C114&lt;&gt;0,SUMPRODUCT((P$107:P$108)*TRANSPOSE(($D114:$E114))),0)</f>
        <v>0</v>
      </c>
      <c r="Q114" s="28" cm="1">
        <f t="array" ref="Q114">Q$106+IF($C114&lt;&gt;0,SUMPRODUCT((Q$107:Q$108)*TRANSPOSE(($D114:$E114))),0)</f>
        <v>0</v>
      </c>
      <c r="R114" s="28" cm="1">
        <f t="array" ref="R114">R$106+IF($C114&lt;&gt;0,SUMPRODUCT((R$107:R$108)*TRANSPOSE(($D114:$E114))),0)</f>
        <v>0</v>
      </c>
      <c r="S114" s="28" cm="1">
        <f t="array" ref="S114">S$106+IF($C114&lt;&gt;0,SUMPRODUCT((S$107:S$108)*TRANSPOSE(($D114:$E114))),0)</f>
        <v>0</v>
      </c>
      <c r="T114" s="28" cm="1">
        <f t="array" ref="T114">T$106+IF($C114&lt;&gt;0,SUMPRODUCT((T$107:T$108)*TRANSPOSE(($D114:$E114))),0)</f>
        <v>0</v>
      </c>
      <c r="U114" s="28" cm="1">
        <f t="array" ref="U114">U$106+IF($C114&lt;&gt;0,SUMPRODUCT((U$107:U$108)*TRANSPOSE(($D114:$E114))),0)</f>
        <v>0</v>
      </c>
      <c r="V114" s="28" cm="1">
        <f t="array" ref="V114">V$106+IF($C114&lt;&gt;0,SUMPRODUCT((V$107:V$108)*TRANSPOSE(($D114:$E114))),0)</f>
        <v>0</v>
      </c>
      <c r="W114" s="28" cm="1">
        <f t="array" ref="W114">W$106+IF($C114&lt;&gt;0,SUMPRODUCT((W$107:W$108)*TRANSPOSE(($D114:$E114))),0)</f>
        <v>0</v>
      </c>
      <c r="X114" s="28" cm="1">
        <f t="array" ref="X114">X$106+IF($C114&lt;&gt;0,SUMPRODUCT((X$107:X$108)*TRANSPOSE(($D114:$E114))),0)</f>
        <v>0</v>
      </c>
      <c r="Y114" s="28" cm="1">
        <f t="array" ref="Y114">Y$106+IF($C114&lt;&gt;0,SUMPRODUCT((Y$107:Y$108)*TRANSPOSE(($D114:$E114))),0)</f>
        <v>0</v>
      </c>
      <c r="Z114" s="28" cm="1">
        <f t="array" ref="Z114">Z$106+IF($C114&lt;&gt;0,SUMPRODUCT((Z$107:Z$108)*TRANSPOSE(($D114:$E114))),0)</f>
        <v>0</v>
      </c>
      <c r="AA114" s="28" cm="1">
        <f t="array" ref="AA114">AA$106+IF($C114&lt;&gt;0,SUMPRODUCT((AA$107:AA$108)*TRANSPOSE(($D114:$E114))),0)</f>
        <v>0</v>
      </c>
      <c r="AB114" s="28" cm="1">
        <f t="array" ref="AB114">AB$106+IF($C114&lt;&gt;0,SUMPRODUCT((AB$107:AB$108)*TRANSPOSE(($D114:$E114))),0)</f>
        <v>0</v>
      </c>
      <c r="AC114" s="28" cm="1">
        <f t="array" ref="AC114">AC$106+IF($C114&lt;&gt;0,SUMPRODUCT((AC$107:AC$108)*TRANSPOSE(($D114:$E114))),0)</f>
        <v>0</v>
      </c>
      <c r="AD114" s="28" cm="1">
        <f t="array" ref="AD114">AD$106+IF($C114&lt;&gt;0,SUMPRODUCT((AD$107:AD$108)*TRANSPOSE(($D114:$E114))),0)</f>
        <v>0</v>
      </c>
      <c r="AE114" s="28" cm="1">
        <f t="array" ref="AE114">AE$106+IF($C114&lt;&gt;0,SUMPRODUCT((AE$107:AE$108)*TRANSPOSE(($D114:$E114))),0)</f>
        <v>0</v>
      </c>
      <c r="AF114" s="28" cm="1">
        <f t="array" ref="AF114">AF$106+IF($C114&lt;&gt;0,SUMPRODUCT((AF$107:AF$108)*TRANSPOSE(($D114:$E114))),0)</f>
        <v>0</v>
      </c>
      <c r="AG114" s="28" cm="1">
        <f t="array" ref="AG114">AG$106+IF($C114&lt;&gt;0,SUMPRODUCT((AG$107:AG$108)*TRANSPOSE(($D114:$E114))),0)</f>
        <v>0</v>
      </c>
    </row>
    <row r="115" spans="1:33" x14ac:dyDescent="0.2">
      <c r="A115" s="1" t="str">
        <f>"sens"&amp;Assumptions!B116</f>
        <v>sens</v>
      </c>
      <c r="C115" s="252">
        <f>Assumptions!C116</f>
        <v>0</v>
      </c>
      <c r="D115" s="253">
        <f>Assumptions!G116</f>
        <v>0</v>
      </c>
      <c r="E115" s="253">
        <f>Assumptions!H116</f>
        <v>0</v>
      </c>
      <c r="G115" s="34" t="str">
        <f t="shared" si="21"/>
        <v>Option 4sens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0</v>
      </c>
      <c r="O115" s="28" cm="1">
        <f t="array" ref="O115">O$106+IF($C115&lt;&gt;0,SUMPRODUCT((O$107:O$108)*TRANSPOSE(($D115:$E115))),0)</f>
        <v>0</v>
      </c>
      <c r="P115" s="28" cm="1">
        <f t="array" ref="P115">P$106+IF($C115&lt;&gt;0,SUMPRODUCT((P$107:P$108)*TRANSPOSE(($D115:$E115))),0)</f>
        <v>0</v>
      </c>
      <c r="Q115" s="28" cm="1">
        <f t="array" ref="Q115">Q$106+IF($C115&lt;&gt;0,SUMPRODUCT((Q$107:Q$108)*TRANSPOSE(($D115:$E115))),0)</f>
        <v>0</v>
      </c>
      <c r="R115" s="28" cm="1">
        <f t="array" ref="R115">R$106+IF($C115&lt;&gt;0,SUMPRODUCT((R$107:R$108)*TRANSPOSE(($D115:$E115))),0)</f>
        <v>0</v>
      </c>
      <c r="S115" s="28" cm="1">
        <f t="array" ref="S115">S$106+IF($C115&lt;&gt;0,SUMPRODUCT((S$107:S$108)*TRANSPOSE(($D115:$E115))),0)</f>
        <v>0</v>
      </c>
      <c r="T115" s="28" cm="1">
        <f t="array" ref="T115">T$106+IF($C115&lt;&gt;0,SUMPRODUCT((T$107:T$108)*TRANSPOSE(($D115:$E115))),0)</f>
        <v>0</v>
      </c>
      <c r="U115" s="28" cm="1">
        <f t="array" ref="U115">U$106+IF($C115&lt;&gt;0,SUMPRODUCT((U$107:U$108)*TRANSPOSE(($D115:$E115))),0)</f>
        <v>0</v>
      </c>
      <c r="V115" s="28" cm="1">
        <f t="array" ref="V115">V$106+IF($C115&lt;&gt;0,SUMPRODUCT((V$107:V$108)*TRANSPOSE(($D115:$E115))),0)</f>
        <v>0</v>
      </c>
      <c r="W115" s="28" cm="1">
        <f t="array" ref="W115">W$106+IF($C115&lt;&gt;0,SUMPRODUCT((W$107:W$108)*TRANSPOSE(($D115:$E115))),0)</f>
        <v>0</v>
      </c>
      <c r="X115" s="28" cm="1">
        <f t="array" ref="X115">X$106+IF($C115&lt;&gt;0,SUMPRODUCT((X$107:X$108)*TRANSPOSE(($D115:$E115))),0)</f>
        <v>0</v>
      </c>
      <c r="Y115" s="28" cm="1">
        <f t="array" ref="Y115">Y$106+IF($C115&lt;&gt;0,SUMPRODUCT((Y$107:Y$108)*TRANSPOSE(($D115:$E115))),0)</f>
        <v>0</v>
      </c>
      <c r="Z115" s="28" cm="1">
        <f t="array" ref="Z115">Z$106+IF($C115&lt;&gt;0,SUMPRODUCT((Z$107:Z$108)*TRANSPOSE(($D115:$E115))),0)</f>
        <v>0</v>
      </c>
      <c r="AA115" s="28" cm="1">
        <f t="array" ref="AA115">AA$106+IF($C115&lt;&gt;0,SUMPRODUCT((AA$107:AA$108)*TRANSPOSE(($D115:$E115))),0)</f>
        <v>0</v>
      </c>
      <c r="AB115" s="28" cm="1">
        <f t="array" ref="AB115">AB$106+IF($C115&lt;&gt;0,SUMPRODUCT((AB$107:AB$108)*TRANSPOSE(($D115:$E115))),0)</f>
        <v>0</v>
      </c>
      <c r="AC115" s="28" cm="1">
        <f t="array" ref="AC115">AC$106+IF($C115&lt;&gt;0,SUMPRODUCT((AC$107:AC$108)*TRANSPOSE(($D115:$E115))),0)</f>
        <v>0</v>
      </c>
      <c r="AD115" s="28" cm="1">
        <f t="array" ref="AD115">AD$106+IF($C115&lt;&gt;0,SUMPRODUCT((AD$107:AD$108)*TRANSPOSE(($D115:$E115))),0)</f>
        <v>0</v>
      </c>
      <c r="AE115" s="28" cm="1">
        <f t="array" ref="AE115">AE$106+IF($C115&lt;&gt;0,SUMPRODUCT((AE$107:AE$108)*TRANSPOSE(($D115:$E115))),0)</f>
        <v>0</v>
      </c>
      <c r="AF115" s="28" cm="1">
        <f t="array" ref="AF115">AF$106+IF($C115&lt;&gt;0,SUMPRODUCT((AF$107:AF$108)*TRANSPOSE(($D115:$E115))),0)</f>
        <v>0</v>
      </c>
      <c r="AG115" s="28" cm="1">
        <f t="array" ref="AG115">AG$106+IF($C115&lt;&gt;0,SUMPRODUCT((AG$107:AG$108)*TRANSPOSE(($D115:$E115))),0)</f>
        <v>0</v>
      </c>
    </row>
    <row r="116" spans="1:33" x14ac:dyDescent="0.2">
      <c r="A116" s="1" t="str">
        <f>"sens"&amp;Assumptions!B117</f>
        <v>sens</v>
      </c>
      <c r="C116" s="252">
        <f>Assumptions!C117</f>
        <v>0</v>
      </c>
      <c r="D116" s="253">
        <f>Assumptions!G117</f>
        <v>0</v>
      </c>
      <c r="E116" s="253">
        <f>Assumptions!H117</f>
        <v>0</v>
      </c>
      <c r="G116" s="34" t="str">
        <f t="shared" si="21"/>
        <v>Option 4sens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0</v>
      </c>
      <c r="O116" s="28" cm="1">
        <f t="array" ref="O116">O$106+IF($C116&lt;&gt;0,SUMPRODUCT((O$107:O$108)*TRANSPOSE(($D116:$E116))),0)</f>
        <v>0</v>
      </c>
      <c r="P116" s="28" cm="1">
        <f t="array" ref="P116">P$106+IF($C116&lt;&gt;0,SUMPRODUCT((P$107:P$108)*TRANSPOSE(($D116:$E116))),0)</f>
        <v>0</v>
      </c>
      <c r="Q116" s="28" cm="1">
        <f t="array" ref="Q116">Q$106+IF($C116&lt;&gt;0,SUMPRODUCT((Q$107:Q$108)*TRANSPOSE(($D116:$E116))),0)</f>
        <v>0</v>
      </c>
      <c r="R116" s="28" cm="1">
        <f t="array" ref="R116">R$106+IF($C116&lt;&gt;0,SUMPRODUCT((R$107:R$108)*TRANSPOSE(($D116:$E116))),0)</f>
        <v>0</v>
      </c>
      <c r="S116" s="28" cm="1">
        <f t="array" ref="S116">S$106+IF($C116&lt;&gt;0,SUMPRODUCT((S$107:S$108)*TRANSPOSE(($D116:$E116))),0)</f>
        <v>0</v>
      </c>
      <c r="T116" s="28" cm="1">
        <f t="array" ref="T116">T$106+IF($C116&lt;&gt;0,SUMPRODUCT((T$107:T$108)*TRANSPOSE(($D116:$E116))),0)</f>
        <v>0</v>
      </c>
      <c r="U116" s="28" cm="1">
        <f t="array" ref="U116">U$106+IF($C116&lt;&gt;0,SUMPRODUCT((U$107:U$108)*TRANSPOSE(($D116:$E116))),0)</f>
        <v>0</v>
      </c>
      <c r="V116" s="28" cm="1">
        <f t="array" ref="V116">V$106+IF($C116&lt;&gt;0,SUMPRODUCT((V$107:V$108)*TRANSPOSE(($D116:$E116))),0)</f>
        <v>0</v>
      </c>
      <c r="W116" s="28" cm="1">
        <f t="array" ref="W116">W$106+IF($C116&lt;&gt;0,SUMPRODUCT((W$107:W$108)*TRANSPOSE(($D116:$E116))),0)</f>
        <v>0</v>
      </c>
      <c r="X116" s="28" cm="1">
        <f t="array" ref="X116">X$106+IF($C116&lt;&gt;0,SUMPRODUCT((X$107:X$108)*TRANSPOSE(($D116:$E116))),0)</f>
        <v>0</v>
      </c>
      <c r="Y116" s="28" cm="1">
        <f t="array" ref="Y116">Y$106+IF($C116&lt;&gt;0,SUMPRODUCT((Y$107:Y$108)*TRANSPOSE(($D116:$E116))),0)</f>
        <v>0</v>
      </c>
      <c r="Z116" s="28" cm="1">
        <f t="array" ref="Z116">Z$106+IF($C116&lt;&gt;0,SUMPRODUCT((Z$107:Z$108)*TRANSPOSE(($D116:$E116))),0)</f>
        <v>0</v>
      </c>
      <c r="AA116" s="28" cm="1">
        <f t="array" ref="AA116">AA$106+IF($C116&lt;&gt;0,SUMPRODUCT((AA$107:AA$108)*TRANSPOSE(($D116:$E116))),0)</f>
        <v>0</v>
      </c>
      <c r="AB116" s="28" cm="1">
        <f t="array" ref="AB116">AB$106+IF($C116&lt;&gt;0,SUMPRODUCT((AB$107:AB$108)*TRANSPOSE(($D116:$E116))),0)</f>
        <v>0</v>
      </c>
      <c r="AC116" s="28" cm="1">
        <f t="array" ref="AC116">AC$106+IF($C116&lt;&gt;0,SUMPRODUCT((AC$107:AC$108)*TRANSPOSE(($D116:$E116))),0)</f>
        <v>0</v>
      </c>
      <c r="AD116" s="28" cm="1">
        <f t="array" ref="AD116">AD$106+IF($C116&lt;&gt;0,SUMPRODUCT((AD$107:AD$108)*TRANSPOSE(($D116:$E116))),0)</f>
        <v>0</v>
      </c>
      <c r="AE116" s="28" cm="1">
        <f t="array" ref="AE116">AE$106+IF($C116&lt;&gt;0,SUMPRODUCT((AE$107:AE$108)*TRANSPOSE(($D116:$E116))),0)</f>
        <v>0</v>
      </c>
      <c r="AF116" s="28" cm="1">
        <f t="array" ref="AF116">AF$106+IF($C116&lt;&gt;0,SUMPRODUCT((AF$107:AF$108)*TRANSPOSE(($D116:$E116))),0)</f>
        <v>0</v>
      </c>
      <c r="AG116" s="28" cm="1">
        <f t="array" ref="AG116">AG$106+IF($C116&lt;&gt;0,SUMPRODUCT((AG$107:AG$108)*TRANSPOSE(($D116:$E116))),0)</f>
        <v>0</v>
      </c>
    </row>
    <row r="117" spans="1:33" x14ac:dyDescent="0.2">
      <c r="A117" s="1" t="str">
        <f>"sens"&amp;Assumptions!B118</f>
        <v>sens</v>
      </c>
      <c r="C117" s="252">
        <f>Assumptions!C118</f>
        <v>0</v>
      </c>
      <c r="D117" s="253">
        <f>Assumptions!G118</f>
        <v>0</v>
      </c>
      <c r="E117" s="253">
        <f>Assumptions!H118</f>
        <v>0</v>
      </c>
      <c r="G117" s="34" t="str">
        <f t="shared" si="21"/>
        <v>Option 4sens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0</v>
      </c>
      <c r="O117" s="28" cm="1">
        <f t="array" ref="O117">O$106+IF($C117&lt;&gt;0,SUMPRODUCT((O$107:O$108)*TRANSPOSE(($D117:$E117))),0)</f>
        <v>0</v>
      </c>
      <c r="P117" s="28" cm="1">
        <f t="array" ref="P117">P$106+IF($C117&lt;&gt;0,SUMPRODUCT((P$107:P$108)*TRANSPOSE(($D117:$E117))),0)</f>
        <v>0</v>
      </c>
      <c r="Q117" s="28" cm="1">
        <f t="array" ref="Q117">Q$106+IF($C117&lt;&gt;0,SUMPRODUCT((Q$107:Q$108)*TRANSPOSE(($D117:$E117))),0)</f>
        <v>0</v>
      </c>
      <c r="R117" s="28" cm="1">
        <f t="array" ref="R117">R$106+IF($C117&lt;&gt;0,SUMPRODUCT((R$107:R$108)*TRANSPOSE(($D117:$E117))),0)</f>
        <v>0</v>
      </c>
      <c r="S117" s="28" cm="1">
        <f t="array" ref="S117">S$106+IF($C117&lt;&gt;0,SUMPRODUCT((S$107:S$108)*TRANSPOSE(($D117:$E117))),0)</f>
        <v>0</v>
      </c>
      <c r="T117" s="28" cm="1">
        <f t="array" ref="T117">T$106+IF($C117&lt;&gt;0,SUMPRODUCT((T$107:T$108)*TRANSPOSE(($D117:$E117))),0)</f>
        <v>0</v>
      </c>
      <c r="U117" s="28" cm="1">
        <f t="array" ref="U117">U$106+IF($C117&lt;&gt;0,SUMPRODUCT((U$107:U$108)*TRANSPOSE(($D117:$E117))),0)</f>
        <v>0</v>
      </c>
      <c r="V117" s="28" cm="1">
        <f t="array" ref="V117">V$106+IF($C117&lt;&gt;0,SUMPRODUCT((V$107:V$108)*TRANSPOSE(($D117:$E117))),0)</f>
        <v>0</v>
      </c>
      <c r="W117" s="28" cm="1">
        <f t="array" ref="W117">W$106+IF($C117&lt;&gt;0,SUMPRODUCT((W$107:W$108)*TRANSPOSE(($D117:$E117))),0)</f>
        <v>0</v>
      </c>
      <c r="X117" s="28" cm="1">
        <f t="array" ref="X117">X$106+IF($C117&lt;&gt;0,SUMPRODUCT((X$107:X$108)*TRANSPOSE(($D117:$E117))),0)</f>
        <v>0</v>
      </c>
      <c r="Y117" s="28" cm="1">
        <f t="array" ref="Y117">Y$106+IF($C117&lt;&gt;0,SUMPRODUCT((Y$107:Y$108)*TRANSPOSE(($D117:$E117))),0)</f>
        <v>0</v>
      </c>
      <c r="Z117" s="28" cm="1">
        <f t="array" ref="Z117">Z$106+IF($C117&lt;&gt;0,SUMPRODUCT((Z$107:Z$108)*TRANSPOSE(($D117:$E117))),0)</f>
        <v>0</v>
      </c>
      <c r="AA117" s="28" cm="1">
        <f t="array" ref="AA117">AA$106+IF($C117&lt;&gt;0,SUMPRODUCT((AA$107:AA$108)*TRANSPOSE(($D117:$E117))),0)</f>
        <v>0</v>
      </c>
      <c r="AB117" s="28" cm="1">
        <f t="array" ref="AB117">AB$106+IF($C117&lt;&gt;0,SUMPRODUCT((AB$107:AB$108)*TRANSPOSE(($D117:$E117))),0)</f>
        <v>0</v>
      </c>
      <c r="AC117" s="28" cm="1">
        <f t="array" ref="AC117">AC$106+IF($C117&lt;&gt;0,SUMPRODUCT((AC$107:AC$108)*TRANSPOSE(($D117:$E117))),0)</f>
        <v>0</v>
      </c>
      <c r="AD117" s="28" cm="1">
        <f t="array" ref="AD117">AD$106+IF($C117&lt;&gt;0,SUMPRODUCT((AD$107:AD$108)*TRANSPOSE(($D117:$E117))),0)</f>
        <v>0</v>
      </c>
      <c r="AE117" s="28" cm="1">
        <f t="array" ref="AE117">AE$106+IF($C117&lt;&gt;0,SUMPRODUCT((AE$107:AE$108)*TRANSPOSE(($D117:$E117))),0)</f>
        <v>0</v>
      </c>
      <c r="AF117" s="28" cm="1">
        <f t="array" ref="AF117">AF$106+IF($C117&lt;&gt;0,SUMPRODUCT((AF$107:AF$108)*TRANSPOSE(($D117:$E117))),0)</f>
        <v>0</v>
      </c>
      <c r="AG117" s="28" cm="1">
        <f t="array" ref="AG117">AG$106+IF($C117&lt;&gt;0,SUMPRODUCT((AG$107:AG$108)*TRANSPOSE(($D117:$E117))),0)</f>
        <v>0</v>
      </c>
    </row>
  </sheetData>
  <conditionalFormatting sqref="E14:E16">
    <cfRule type="expression" dxfId="4" priority="53">
      <formula>AND(SUM($I14:$AB14)&lt;&gt;0, E14=0)</formula>
    </cfRule>
  </conditionalFormatting>
  <conditionalFormatting sqref="E28">
    <cfRule type="expression" dxfId="3" priority="1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8" id="{17B125C1-0588-4495-B8F7-9B52E25BED85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C94D8-0AAB-45B3-9A29-8CF3F90554FB}">
  <sheetPr codeName="Sheet14">
    <tabColor rgb="FF0099FF"/>
  </sheetPr>
  <dimension ref="A1:XER117"/>
  <sheetViews>
    <sheetView showGridLines="0" zoomScale="90" zoomScaleNormal="90" workbookViewId="0">
      <pane xSplit="7" ySplit="10" topLeftCell="H11" activePane="bottomRight" state="frozen"/>
      <selection activeCell="A3" sqref="A3"/>
      <selection pane="topRight" activeCell="A3" sqref="A3"/>
      <selection pane="bottomLeft" activeCell="A3" sqref="A3"/>
      <selection pane="bottomRight" activeCell="A3" sqref="A3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3.3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CitiPower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NC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7" t="s">
        <v>160</v>
      </c>
      <c r="B3" s="5"/>
      <c r="C3" s="175">
        <f>INDEX(Assumptions!$E$14:$E$18, MATCH(A3,_xlfn.ANCHORARRAY( Assumptions!$C$14),0))</f>
        <v>0</v>
      </c>
    </row>
    <row r="4" spans="1:43" x14ac:dyDescent="0.2">
      <c r="A4" s="1" t="str">
        <f>(INDEX(Data!$D$9:$D$13, MATCH(A3, options,0)))</f>
        <v>Not used</v>
      </c>
      <c r="B4" s="162"/>
      <c r="C4" s="211"/>
    </row>
    <row r="5" spans="1:43" hidden="1" outlineLevel="1" x14ac:dyDescent="0.2">
      <c r="C5" s="86"/>
      <c r="D5" s="85"/>
      <c r="E5" s="87"/>
      <c r="F5" s="87"/>
      <c r="G5" s="85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</row>
    <row r="6" spans="1:43" hidden="1" outlineLevel="1" x14ac:dyDescent="0.2">
      <c r="A6" s="85" t="str">
        <f>'Option1 (base case)'!A6</f>
        <v>Count</v>
      </c>
      <c r="B6" s="85"/>
      <c r="C6" s="86"/>
      <c r="D6" s="85"/>
      <c r="E6" s="87"/>
      <c r="F6" s="87"/>
      <c r="G6" s="85"/>
      <c r="H6" s="88"/>
      <c r="I6" s="88">
        <f>'Option1 (base case)'!I6</f>
        <v>1</v>
      </c>
      <c r="J6" s="88">
        <f>'Option1 (base case)'!J6</f>
        <v>2</v>
      </c>
      <c r="K6" s="88">
        <f>'Option1 (base case)'!K6</f>
        <v>3</v>
      </c>
      <c r="L6" s="88">
        <f>'Option1 (base case)'!L6</f>
        <v>4</v>
      </c>
      <c r="M6" s="88">
        <f>'Option1 (base case)'!M6</f>
        <v>5</v>
      </c>
      <c r="N6" s="88">
        <f>'Option1 (base case)'!N6</f>
        <v>6</v>
      </c>
      <c r="O6" s="88">
        <f>'Option1 (base case)'!O6</f>
        <v>7</v>
      </c>
      <c r="P6" s="88">
        <f>'Option1 (base case)'!P6</f>
        <v>8</v>
      </c>
      <c r="Q6" s="88">
        <f>'Option1 (base case)'!Q6</f>
        <v>9</v>
      </c>
      <c r="R6" s="88">
        <f>'Option1 (base case)'!R6</f>
        <v>10</v>
      </c>
      <c r="S6" s="88">
        <f>'Option1 (base case)'!S6</f>
        <v>11</v>
      </c>
      <c r="T6" s="88">
        <f>'Option1 (base case)'!T6</f>
        <v>12</v>
      </c>
      <c r="U6" s="88">
        <f>'Option1 (base case)'!U6</f>
        <v>13</v>
      </c>
      <c r="V6" s="88">
        <f>'Option1 (base case)'!V6</f>
        <v>14</v>
      </c>
      <c r="W6" s="88">
        <f>'Option1 (base case)'!W6</f>
        <v>15</v>
      </c>
      <c r="X6" s="88">
        <f>'Option1 (base case)'!X6</f>
        <v>16</v>
      </c>
      <c r="Y6" s="88">
        <f>'Option1 (base case)'!Y6</f>
        <v>17</v>
      </c>
      <c r="Z6" s="88">
        <f>'Option1 (base case)'!Z6</f>
        <v>18</v>
      </c>
      <c r="AA6" s="88">
        <f>'Option1 (base case)'!AA6</f>
        <v>19</v>
      </c>
      <c r="AB6" s="88">
        <f>'Option1 (base case)'!AB6</f>
        <v>20</v>
      </c>
      <c r="AC6" s="88">
        <f>'Option1 (base case)'!AC6</f>
        <v>21</v>
      </c>
      <c r="AD6" s="88">
        <f>'Option1 (base case)'!AD6</f>
        <v>22</v>
      </c>
      <c r="AE6" s="88">
        <f>'Option1 (base case)'!AE6</f>
        <v>23</v>
      </c>
      <c r="AF6" s="88">
        <f>'Option1 (base case)'!AF6</f>
        <v>24</v>
      </c>
      <c r="AG6" s="88">
        <f>'Option1 (base case)'!AG6</f>
        <v>25</v>
      </c>
    </row>
    <row r="7" spans="1:43" hidden="1" outlineLevel="1" x14ac:dyDescent="0.2">
      <c r="A7" s="85" t="str">
        <f>'Option1 (base case)'!A7</f>
        <v>Value of CO2 reductions</v>
      </c>
      <c r="B7" s="85"/>
      <c r="G7" s="137" t="s">
        <v>108</v>
      </c>
      <c r="I7" s="86">
        <f>'Option1 (base case)'!I7</f>
        <v>24.730486797759085</v>
      </c>
      <c r="J7" s="86">
        <f>'Option1 (base case)'!J7</f>
        <v>22.340740091772258</v>
      </c>
      <c r="K7" s="86">
        <f>'Option1 (base case)'!K7</f>
        <v>20.196329122153124</v>
      </c>
      <c r="L7" s="86">
        <f>'Option1 (base case)'!L7</f>
        <v>18.06294207659629</v>
      </c>
      <c r="M7" s="86">
        <f>'Option1 (base case)'!M7</f>
        <v>15.913397615084225</v>
      </c>
      <c r="N7" s="86">
        <f>'Option1 (base case)'!N7</f>
        <v>13.715069432539002</v>
      </c>
      <c r="O7" s="86">
        <f>'Option1 (base case)'!O7</f>
        <v>13.715069432539002</v>
      </c>
      <c r="P7" s="86">
        <f>'Option1 (base case)'!P7</f>
        <v>13.715069432539002</v>
      </c>
      <c r="Q7" s="86">
        <f>'Option1 (base case)'!Q7</f>
        <v>13.715069432539002</v>
      </c>
      <c r="R7" s="86">
        <f>'Option1 (base case)'!R7</f>
        <v>13.715069432539002</v>
      </c>
      <c r="S7" s="86">
        <f>'Option1 (base case)'!S7</f>
        <v>13.715069432539002</v>
      </c>
      <c r="T7" s="86">
        <f>'Option1 (base case)'!T7</f>
        <v>13.715069432539002</v>
      </c>
      <c r="U7" s="86">
        <f>'Option1 (base case)'!U7</f>
        <v>13.715069432539002</v>
      </c>
      <c r="V7" s="86">
        <f>'Option1 (base case)'!V7</f>
        <v>13.715069432539002</v>
      </c>
      <c r="W7" s="86">
        <f>'Option1 (base case)'!W7</f>
        <v>13.715069432539002</v>
      </c>
      <c r="X7" s="86">
        <f>'Option1 (base case)'!X7</f>
        <v>13.715069432539002</v>
      </c>
      <c r="Y7" s="86">
        <f>'Option1 (base case)'!Y7</f>
        <v>13.715069432539002</v>
      </c>
      <c r="Z7" s="86">
        <f>'Option1 (base case)'!Z7</f>
        <v>13.715069432539002</v>
      </c>
      <c r="AA7" s="86">
        <f>'Option1 (base case)'!AA7</f>
        <v>13.715069432539002</v>
      </c>
      <c r="AB7" s="86">
        <f>'Option1 (base case)'!AB7</f>
        <v>13.715069432539002</v>
      </c>
      <c r="AC7" s="86">
        <f>'Option1 (base case)'!AC7</f>
        <v>13.715069432539002</v>
      </c>
      <c r="AD7" s="86">
        <f>'Option1 (base case)'!AD7</f>
        <v>13.715069432539002</v>
      </c>
      <c r="AE7" s="86">
        <f>'Option1 (base case)'!AE7</f>
        <v>13.715069432539002</v>
      </c>
      <c r="AF7" s="86">
        <f>'Option1 (base case)'!AF7</f>
        <v>13.715069432539002</v>
      </c>
      <c r="AG7" s="86">
        <f>'Option1 (base case)'!AG7</f>
        <v>13.715069432539002</v>
      </c>
    </row>
    <row r="8" spans="1:43" ht="6.75" customHeight="1" collapsed="1" x14ac:dyDescent="0.2">
      <c r="C8" s="86"/>
      <c r="D8" s="85"/>
      <c r="E8" s="87"/>
      <c r="F8" s="87"/>
      <c r="G8" s="85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</row>
    <row r="9" spans="1:43" ht="15" x14ac:dyDescent="0.2">
      <c r="A9" s="16"/>
      <c r="B9" s="16"/>
      <c r="C9" s="16"/>
      <c r="D9" s="16"/>
      <c r="E9" s="16"/>
      <c r="F9" s="120"/>
      <c r="G9" s="16" t="s">
        <v>109</v>
      </c>
      <c r="H9" s="193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110</v>
      </c>
      <c r="B11" s="78"/>
      <c r="C11" s="79"/>
      <c r="D11" s="79"/>
      <c r="E11" s="79"/>
      <c r="F11" s="79"/>
      <c r="G11" s="178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</row>
    <row r="12" spans="1:43" x14ac:dyDescent="0.2">
      <c r="A12" s="3"/>
      <c r="B12" s="3"/>
      <c r="C12" s="3"/>
      <c r="D12" s="3"/>
      <c r="G12" s="179"/>
      <c r="AH12"/>
      <c r="AI12"/>
      <c r="AJ12"/>
      <c r="AK12"/>
    </row>
    <row r="13" spans="1:43" x14ac:dyDescent="0.2">
      <c r="C13" s="3" t="s">
        <v>103</v>
      </c>
      <c r="D13"/>
      <c r="E13" s="105" t="s">
        <v>111</v>
      </c>
      <c r="G13" s="180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112</v>
      </c>
      <c r="D14"/>
      <c r="E14" s="126">
        <v>0</v>
      </c>
      <c r="G14" s="181">
        <f>input_dollars</f>
        <v>45291</v>
      </c>
      <c r="H14" s="127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 t="s">
        <v>112</v>
      </c>
      <c r="D15"/>
      <c r="E15" s="126">
        <v>0</v>
      </c>
      <c r="G15" s="181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 t="s">
        <v>112</v>
      </c>
      <c r="D16"/>
      <c r="E16" s="126">
        <v>0</v>
      </c>
      <c r="G16" s="181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32</v>
      </c>
      <c r="G17" s="181">
        <f>input_dollars</f>
        <v>45291</v>
      </c>
      <c r="H17" s="94"/>
      <c r="I17" s="93">
        <f t="shared" ref="I17:Q17" si="0">SUM(I14:I16)</f>
        <v>0</v>
      </c>
      <c r="J17" s="93">
        <f t="shared" si="0"/>
        <v>0</v>
      </c>
      <c r="K17" s="93">
        <f>SUM(K14:K16)</f>
        <v>0</v>
      </c>
      <c r="L17" s="93">
        <f t="shared" si="0"/>
        <v>0</v>
      </c>
      <c r="M17" s="93">
        <f t="shared" si="0"/>
        <v>0</v>
      </c>
      <c r="N17" s="93">
        <f t="shared" si="0"/>
        <v>0</v>
      </c>
      <c r="O17" s="93">
        <f t="shared" si="0"/>
        <v>0</v>
      </c>
      <c r="P17" s="93">
        <f t="shared" si="0"/>
        <v>0</v>
      </c>
      <c r="Q17" s="93">
        <f t="shared" si="0"/>
        <v>0</v>
      </c>
      <c r="R17" s="93">
        <f t="shared" ref="R17:AG17" si="1">SUM(R14:R16)</f>
        <v>0</v>
      </c>
      <c r="S17" s="93">
        <f t="shared" si="1"/>
        <v>0</v>
      </c>
      <c r="T17" s="93">
        <f t="shared" si="1"/>
        <v>0</v>
      </c>
      <c r="U17" s="93">
        <f t="shared" si="1"/>
        <v>0</v>
      </c>
      <c r="V17" s="93">
        <f t="shared" si="1"/>
        <v>0</v>
      </c>
      <c r="W17" s="93">
        <f t="shared" si="1"/>
        <v>0</v>
      </c>
      <c r="X17" s="93">
        <f t="shared" si="1"/>
        <v>0</v>
      </c>
      <c r="Y17" s="93">
        <f t="shared" si="1"/>
        <v>0</v>
      </c>
      <c r="Z17" s="93">
        <f t="shared" si="1"/>
        <v>0</v>
      </c>
      <c r="AA17" s="93">
        <f t="shared" si="1"/>
        <v>0</v>
      </c>
      <c r="AB17" s="93">
        <f t="shared" si="1"/>
        <v>0</v>
      </c>
      <c r="AC17" s="93">
        <f t="shared" si="1"/>
        <v>0</v>
      </c>
      <c r="AD17" s="93">
        <f t="shared" si="1"/>
        <v>0</v>
      </c>
      <c r="AE17" s="93">
        <f t="shared" si="1"/>
        <v>0</v>
      </c>
      <c r="AF17" s="93">
        <f t="shared" si="1"/>
        <v>0</v>
      </c>
      <c r="AG17" s="93">
        <f t="shared" si="1"/>
        <v>0</v>
      </c>
      <c r="AH17"/>
      <c r="AI17"/>
      <c r="AJ17"/>
      <c r="AK17"/>
    </row>
    <row r="18" spans="1:43" x14ac:dyDescent="0.2">
      <c r="C18"/>
      <c r="D18"/>
      <c r="E18"/>
      <c r="G18" s="180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33</v>
      </c>
      <c r="D19"/>
      <c r="E19"/>
      <c r="F19" s="94"/>
      <c r="G19" s="181">
        <f>input_dollars</f>
        <v>45291</v>
      </c>
      <c r="H19" s="94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115">
        <v>0</v>
      </c>
      <c r="S19" s="115">
        <v>0</v>
      </c>
      <c r="T19" s="115">
        <v>0</v>
      </c>
      <c r="U19" s="115">
        <v>0</v>
      </c>
      <c r="V19" s="115">
        <v>0</v>
      </c>
      <c r="W19" s="115">
        <v>0</v>
      </c>
      <c r="X19" s="115">
        <v>0</v>
      </c>
      <c r="Y19" s="115">
        <v>0</v>
      </c>
      <c r="Z19" s="115">
        <v>0</v>
      </c>
      <c r="AA19" s="115">
        <v>0</v>
      </c>
      <c r="AB19" s="115">
        <v>0</v>
      </c>
      <c r="AC19" s="115">
        <v>0</v>
      </c>
      <c r="AD19" s="115">
        <v>0</v>
      </c>
      <c r="AE19" s="115">
        <v>0</v>
      </c>
      <c r="AF19" s="115">
        <v>0</v>
      </c>
      <c r="AG19" s="115">
        <v>0</v>
      </c>
      <c r="AH19"/>
      <c r="AI19"/>
      <c r="AJ19"/>
      <c r="AK19"/>
    </row>
    <row r="20" spans="1:43" x14ac:dyDescent="0.2">
      <c r="G20" s="179"/>
      <c r="AH20"/>
      <c r="AI20"/>
      <c r="AJ20"/>
      <c r="AK20"/>
    </row>
    <row r="21" spans="1:43" x14ac:dyDescent="0.2">
      <c r="C21"/>
      <c r="D21"/>
      <c r="E21"/>
      <c r="G21" s="180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113</v>
      </c>
      <c r="B22" s="78"/>
      <c r="C22" s="78"/>
      <c r="D22" s="78"/>
      <c r="E22" s="78"/>
      <c r="F22" s="78"/>
      <c r="G22" s="1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8"/>
      <c r="B23" s="98"/>
      <c r="C23" s="98"/>
      <c r="D23" s="98"/>
      <c r="E23" s="98"/>
      <c r="F23" s="98"/>
      <c r="G23" s="182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8"/>
      <c r="B24" s="98"/>
      <c r="C24" s="1" t="s">
        <v>114</v>
      </c>
      <c r="D24" s="98"/>
      <c r="E24" s="98"/>
      <c r="F24" s="98"/>
      <c r="G24" s="182"/>
      <c r="H24" s="98"/>
      <c r="I24" s="145">
        <v>0</v>
      </c>
      <c r="J24" s="145">
        <v>0</v>
      </c>
      <c r="K24" s="145">
        <v>0</v>
      </c>
      <c r="L24" s="145">
        <v>0</v>
      </c>
      <c r="M24" s="145">
        <v>0</v>
      </c>
      <c r="N24" s="145">
        <v>0</v>
      </c>
      <c r="O24" s="145">
        <v>0</v>
      </c>
      <c r="P24" s="145">
        <v>0</v>
      </c>
      <c r="Q24" s="145">
        <v>0</v>
      </c>
      <c r="R24" s="145">
        <v>0</v>
      </c>
      <c r="S24" s="145">
        <v>0</v>
      </c>
      <c r="T24" s="145">
        <v>0</v>
      </c>
      <c r="U24" s="145">
        <v>0</v>
      </c>
      <c r="V24" s="145">
        <v>0</v>
      </c>
      <c r="W24" s="145">
        <v>0</v>
      </c>
      <c r="X24" s="145">
        <v>0</v>
      </c>
      <c r="Y24" s="145">
        <v>0</v>
      </c>
      <c r="Z24" s="145">
        <v>0</v>
      </c>
      <c r="AA24" s="145">
        <v>0</v>
      </c>
      <c r="AB24" s="145">
        <v>0</v>
      </c>
      <c r="AC24" s="145">
        <v>0</v>
      </c>
      <c r="AD24" s="145">
        <v>0</v>
      </c>
      <c r="AE24" s="145">
        <v>0</v>
      </c>
      <c r="AF24" s="145">
        <v>0</v>
      </c>
      <c r="AG24" s="145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8"/>
      <c r="B25" s="98"/>
      <c r="C25" s="1" t="s">
        <v>115</v>
      </c>
      <c r="D25" s="182"/>
      <c r="E25" s="98"/>
      <c r="F25" s="98"/>
      <c r="G25" s="182"/>
      <c r="H25" s="98"/>
      <c r="I25" s="145">
        <v>0</v>
      </c>
      <c r="J25" s="145">
        <v>0</v>
      </c>
      <c r="K25" s="145">
        <v>0</v>
      </c>
      <c r="L25" s="145">
        <v>0</v>
      </c>
      <c r="M25" s="145">
        <v>0</v>
      </c>
      <c r="N25" s="145">
        <v>0</v>
      </c>
      <c r="O25" s="145">
        <v>0</v>
      </c>
      <c r="P25" s="145">
        <v>0</v>
      </c>
      <c r="Q25" s="145">
        <v>0</v>
      </c>
      <c r="R25" s="145">
        <v>0</v>
      </c>
      <c r="S25" s="145">
        <v>0</v>
      </c>
      <c r="T25" s="145">
        <v>0</v>
      </c>
      <c r="U25" s="145">
        <v>0</v>
      </c>
      <c r="V25" s="145">
        <v>0</v>
      </c>
      <c r="W25" s="145">
        <v>0</v>
      </c>
      <c r="X25" s="145">
        <v>0</v>
      </c>
      <c r="Y25" s="145">
        <v>0</v>
      </c>
      <c r="Z25" s="145">
        <v>0</v>
      </c>
      <c r="AA25" s="145">
        <v>0</v>
      </c>
      <c r="AB25" s="145">
        <v>0</v>
      </c>
      <c r="AC25" s="145">
        <v>0</v>
      </c>
      <c r="AD25" s="145">
        <v>0</v>
      </c>
      <c r="AE25" s="145">
        <v>0</v>
      </c>
      <c r="AF25" s="145">
        <v>0</v>
      </c>
      <c r="AG25" s="145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8"/>
      <c r="B26" s="98"/>
      <c r="C26" s="98"/>
      <c r="D26" s="182"/>
      <c r="E26" s="98"/>
      <c r="F26" s="98"/>
      <c r="G26" s="182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116</v>
      </c>
      <c r="D27" s="179"/>
      <c r="E27"/>
      <c r="G27" s="181" t="s">
        <v>117</v>
      </c>
      <c r="H27"/>
      <c r="I27" s="144">
        <v>0</v>
      </c>
      <c r="J27" s="144">
        <v>0</v>
      </c>
      <c r="K27" s="144">
        <v>0</v>
      </c>
      <c r="L27" s="144">
        <v>0</v>
      </c>
      <c r="M27" s="144">
        <v>0</v>
      </c>
      <c r="N27" s="144">
        <v>0</v>
      </c>
      <c r="O27" s="144">
        <v>0</v>
      </c>
      <c r="P27" s="144">
        <v>0</v>
      </c>
      <c r="Q27" s="144">
        <v>0</v>
      </c>
      <c r="R27" s="144">
        <v>0</v>
      </c>
      <c r="S27" s="144">
        <v>0</v>
      </c>
      <c r="T27" s="144">
        <v>0</v>
      </c>
      <c r="U27" s="144">
        <v>0</v>
      </c>
      <c r="V27" s="144">
        <v>0</v>
      </c>
      <c r="W27" s="144">
        <v>0</v>
      </c>
      <c r="X27" s="144">
        <v>0</v>
      </c>
      <c r="Y27" s="144">
        <v>0</v>
      </c>
      <c r="Z27" s="144">
        <v>0</v>
      </c>
      <c r="AA27" s="144">
        <v>0</v>
      </c>
      <c r="AB27" s="144">
        <v>0</v>
      </c>
      <c r="AC27" s="144">
        <v>0</v>
      </c>
      <c r="AD27" s="144">
        <v>0</v>
      </c>
      <c r="AE27" s="144">
        <v>0</v>
      </c>
      <c r="AF27" s="144">
        <v>0</v>
      </c>
      <c r="AG27" s="144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118</v>
      </c>
      <c r="D28" s="179" t="s">
        <v>108</v>
      </c>
      <c r="E28" s="100">
        <f>Assumptions!H41*vcr_esc</f>
        <v>44330.651153933512</v>
      </c>
      <c r="F28" s="211" t="str">
        <f>IF(AND(SUM(I27:AG27)&lt;&gt;0, E28=0), "!", "")</f>
        <v/>
      </c>
      <c r="G28" s="181">
        <f>input_dollars</f>
        <v>45291</v>
      </c>
      <c r="H28"/>
      <c r="I28" s="28">
        <f>I27*$E$28</f>
        <v>0</v>
      </c>
      <c r="J28" s="28">
        <f t="shared" ref="J28:AG28" si="2">J27*$E$28</f>
        <v>0</v>
      </c>
      <c r="K28" s="28">
        <f t="shared" si="2"/>
        <v>0</v>
      </c>
      <c r="L28" s="28">
        <f t="shared" si="2"/>
        <v>0</v>
      </c>
      <c r="M28" s="28">
        <f t="shared" si="2"/>
        <v>0</v>
      </c>
      <c r="N28" s="28">
        <f t="shared" si="2"/>
        <v>0</v>
      </c>
      <c r="O28" s="28">
        <f t="shared" si="2"/>
        <v>0</v>
      </c>
      <c r="P28" s="28">
        <f t="shared" si="2"/>
        <v>0</v>
      </c>
      <c r="Q28" s="28">
        <f t="shared" si="2"/>
        <v>0</v>
      </c>
      <c r="R28" s="28">
        <f t="shared" si="2"/>
        <v>0</v>
      </c>
      <c r="S28" s="28">
        <f t="shared" si="2"/>
        <v>0</v>
      </c>
      <c r="T28" s="28">
        <f t="shared" si="2"/>
        <v>0</v>
      </c>
      <c r="U28" s="28">
        <f t="shared" si="2"/>
        <v>0</v>
      </c>
      <c r="V28" s="28">
        <f t="shared" si="2"/>
        <v>0</v>
      </c>
      <c r="W28" s="28">
        <f t="shared" si="2"/>
        <v>0</v>
      </c>
      <c r="X28" s="28">
        <f t="shared" si="2"/>
        <v>0</v>
      </c>
      <c r="Y28" s="28">
        <f t="shared" si="2"/>
        <v>0</v>
      </c>
      <c r="Z28" s="28">
        <f t="shared" si="2"/>
        <v>0</v>
      </c>
      <c r="AA28" s="28">
        <f t="shared" si="2"/>
        <v>0</v>
      </c>
      <c r="AB28" s="28">
        <f t="shared" si="2"/>
        <v>0</v>
      </c>
      <c r="AC28" s="28">
        <f t="shared" si="2"/>
        <v>0</v>
      </c>
      <c r="AD28" s="28">
        <f t="shared" si="2"/>
        <v>0</v>
      </c>
      <c r="AE28" s="28">
        <f t="shared" si="2"/>
        <v>0</v>
      </c>
      <c r="AF28" s="28">
        <f t="shared" si="2"/>
        <v>0</v>
      </c>
      <c r="AG28" s="28">
        <f t="shared" si="2"/>
        <v>0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0"/>
      <c r="E29"/>
      <c r="G29" s="181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">
        <v>157</v>
      </c>
      <c r="D30" s="179" t="s">
        <v>119</v>
      </c>
      <c r="G30" s="181">
        <f>input_dollars</f>
        <v>45291</v>
      </c>
      <c r="H30" s="127"/>
      <c r="I30" s="146" cm="1">
        <f t="array" ref="I30">SUMPRODUCT((Assumptions!$H$70:$H$71)*(Assumptions!$G$70:$G$71)*(Assumptions!$I$70:$I$71)*(I$24:I$25))</f>
        <v>0</v>
      </c>
      <c r="J30" s="146" cm="1">
        <f t="array" ref="J30">SUMPRODUCT((Assumptions!$H$70:$H$71)*(Assumptions!$G$70:$G$71)*(Assumptions!$I$70:$I$71)*(J$24:J$25))</f>
        <v>0</v>
      </c>
      <c r="K30" s="146" cm="1">
        <f t="array" ref="K30">SUMPRODUCT((Assumptions!$H$70:$H$71)*(Assumptions!$G$70:$G$71)*(Assumptions!$I$70:$I$71)*(K$24:K$25))</f>
        <v>0</v>
      </c>
      <c r="L30" s="146" cm="1">
        <f t="array" ref="L30">SUMPRODUCT((Assumptions!$H$70:$H$71)*(Assumptions!$G$70:$G$71)*(Assumptions!$I$70:$I$71)*(L$24:L$25))</f>
        <v>0</v>
      </c>
      <c r="M30" s="146" cm="1">
        <f t="array" ref="M30">SUMPRODUCT((Assumptions!$H$70:$H$71)*(Assumptions!$G$70:$G$71)*(Assumptions!$I$70:$I$71)*(M$24:M$25))</f>
        <v>0</v>
      </c>
      <c r="N30" s="146" cm="1">
        <f t="array" ref="N30">SUMPRODUCT((Assumptions!$H$70:$H$71)*(Assumptions!$G$70:$G$71)*(Assumptions!$I$70:$I$71)*(N$24:N$25))</f>
        <v>0</v>
      </c>
      <c r="O30" s="146" cm="1">
        <f t="array" ref="O30">SUMPRODUCT((Assumptions!$H$70:$H$71)*(Assumptions!$G$70:$G$71)*(Assumptions!$I$70:$I$71)*(O$24:O$25))</f>
        <v>0</v>
      </c>
      <c r="P30" s="146" cm="1">
        <f t="array" ref="P30">SUMPRODUCT((Assumptions!$H$70:$H$71)*(Assumptions!$G$70:$G$71)*(Assumptions!$I$70:$I$71)*(P$24:P$25))</f>
        <v>0</v>
      </c>
      <c r="Q30" s="146" cm="1">
        <f t="array" ref="Q30">SUMPRODUCT((Assumptions!$H$70:$H$71)*(Assumptions!$G$70:$G$71)*(Assumptions!$I$70:$I$71)*(Q$24:Q$25))</f>
        <v>0</v>
      </c>
      <c r="R30" s="146" cm="1">
        <f t="array" ref="R30">SUMPRODUCT((Assumptions!$H$70:$H$71)*(Assumptions!$G$70:$G$71)*(Assumptions!$I$70:$I$71)*(R$24:R$25))</f>
        <v>0</v>
      </c>
      <c r="S30" s="146" cm="1">
        <f t="array" ref="S30">SUMPRODUCT((Assumptions!$H$70:$H$71)*(Assumptions!$G$70:$G$71)*(Assumptions!$I$70:$I$71)*(S$24:S$25))</f>
        <v>0</v>
      </c>
      <c r="T30" s="146" cm="1">
        <f t="array" ref="T30">SUMPRODUCT((Assumptions!$H$70:$H$71)*(Assumptions!$G$70:$G$71)*(Assumptions!$I$70:$I$71)*(T$24:T$25))</f>
        <v>0</v>
      </c>
      <c r="U30" s="146" cm="1">
        <f t="array" ref="U30">SUMPRODUCT((Assumptions!$H$70:$H$71)*(Assumptions!$G$70:$G$71)*(Assumptions!$I$70:$I$71)*(U$24:U$25))</f>
        <v>0</v>
      </c>
      <c r="V30" s="146" cm="1">
        <f t="array" ref="V30">SUMPRODUCT((Assumptions!$H$70:$H$71)*(Assumptions!$G$70:$G$71)*(Assumptions!$I$70:$I$71)*(V$24:V$25))</f>
        <v>0</v>
      </c>
      <c r="W30" s="146" cm="1">
        <f t="array" ref="W30">SUMPRODUCT((Assumptions!$H$70:$H$71)*(Assumptions!$G$70:$G$71)*(Assumptions!$I$70:$I$71)*(W$24:W$25))</f>
        <v>0</v>
      </c>
      <c r="X30" s="146" cm="1">
        <f t="array" ref="X30">SUMPRODUCT((Assumptions!$H$70:$H$71)*(Assumptions!$G$70:$G$71)*(Assumptions!$I$70:$I$71)*(X$24:X$25))</f>
        <v>0</v>
      </c>
      <c r="Y30" s="146" cm="1">
        <f t="array" ref="Y30">SUMPRODUCT((Assumptions!$H$70:$H$71)*(Assumptions!$G$70:$G$71)*(Assumptions!$I$70:$I$71)*(Y$24:Y$25))</f>
        <v>0</v>
      </c>
      <c r="Z30" s="146" cm="1">
        <f t="array" ref="Z30">SUMPRODUCT((Assumptions!$H$70:$H$71)*(Assumptions!$G$70:$G$71)*(Assumptions!$I$70:$I$71)*(Z$24:Z$25))</f>
        <v>0</v>
      </c>
      <c r="AA30" s="146" cm="1">
        <f t="array" ref="AA30">SUMPRODUCT((Assumptions!$H$70:$H$71)*(Assumptions!$G$70:$G$71)*(Assumptions!$I$70:$I$71)*(AA$24:AA$25))</f>
        <v>0</v>
      </c>
      <c r="AB30" s="146" cm="1">
        <f t="array" ref="AB30">SUMPRODUCT((Assumptions!$H$70:$H$71)*(Assumptions!$G$70:$G$71)*(Assumptions!$I$70:$I$71)*(AB$24:AB$25))</f>
        <v>0</v>
      </c>
      <c r="AC30" s="146" cm="1">
        <f t="array" ref="AC30">SUMPRODUCT((Assumptions!$H$70:$H$71)*(Assumptions!$G$70:$G$71)*(Assumptions!$I$70:$I$71)*(AC$24:AC$25))</f>
        <v>0</v>
      </c>
      <c r="AD30" s="146" cm="1">
        <f t="array" ref="AD30">SUMPRODUCT((Assumptions!$H$70:$H$71)*(Assumptions!$G$70:$G$71)*(Assumptions!$I$70:$I$71)*(AD$24:AD$25))</f>
        <v>0</v>
      </c>
      <c r="AE30" s="146" cm="1">
        <f t="array" ref="AE30">SUMPRODUCT((Assumptions!$H$70:$H$71)*(Assumptions!$G$70:$G$71)*(Assumptions!$I$70:$I$71)*(AE$24:AE$25))</f>
        <v>0</v>
      </c>
      <c r="AF30" s="146" cm="1">
        <f t="array" ref="AF30">SUMPRODUCT((Assumptions!$H$70:$H$71)*(Assumptions!$G$70:$G$71)*(Assumptions!$I$70:$I$71)*(AF$24:AF$25))</f>
        <v>0</v>
      </c>
      <c r="AG30" s="146" cm="1">
        <f t="array" ref="AG30">SUMPRODUCT((Assumptions!$H$70:$H$71)*(Assumptions!$G$70:$G$71)*(Assumptions!$I$70:$I$71)*(AG$24:AG$25))</f>
        <v>0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">
        <v>158</v>
      </c>
      <c r="D31" s="180"/>
      <c r="E31"/>
      <c r="G31" s="181">
        <f>input_dollars</f>
        <v>45291</v>
      </c>
      <c r="H31" s="127"/>
      <c r="I31" s="146" cm="1">
        <f t="array" ref="I31">(1+Assumptions!$G$81)*SUMPRODUCT((Assumptions!$G$78:$G$79)*(I$24:I$25))</f>
        <v>0</v>
      </c>
      <c r="J31" s="146" cm="1">
        <f t="array" ref="J31">(1+Assumptions!$G$81)*SUMPRODUCT((Assumptions!$G$78:$G$79)*(J$24:J$25))</f>
        <v>0</v>
      </c>
      <c r="K31" s="146" cm="1">
        <f t="array" ref="K31">(1+Assumptions!$G$81)*SUMPRODUCT((Assumptions!$G$78:$G$79)*(K$24:K$25))</f>
        <v>0</v>
      </c>
      <c r="L31" s="146" cm="1">
        <f t="array" ref="L31">(1+Assumptions!$G$81)*SUMPRODUCT((Assumptions!$G$78:$G$79)*(L$24:L$25))</f>
        <v>0</v>
      </c>
      <c r="M31" s="146" cm="1">
        <f t="array" ref="M31">(1+Assumptions!$G$81)*SUMPRODUCT((Assumptions!$G$78:$G$79)*(M$24:M$25))</f>
        <v>0</v>
      </c>
      <c r="N31" s="146" cm="1">
        <f t="array" ref="N31">(1+Assumptions!$G$81)*SUMPRODUCT((Assumptions!$G$78:$G$79)*(N$24:N$25))</f>
        <v>0</v>
      </c>
      <c r="O31" s="146" cm="1">
        <f t="array" ref="O31">(1+Assumptions!$G$81)*SUMPRODUCT((Assumptions!$G$78:$G$79)*(O$24:O$25))</f>
        <v>0</v>
      </c>
      <c r="P31" s="146" cm="1">
        <f t="array" ref="P31">(1+Assumptions!$G$81)*SUMPRODUCT((Assumptions!$G$78:$G$79)*(P$24:P$25))</f>
        <v>0</v>
      </c>
      <c r="Q31" s="146" cm="1">
        <f t="array" ref="Q31">(1+Assumptions!$G$81)*SUMPRODUCT((Assumptions!$G$78:$G$79)*(Q$24:Q$25))</f>
        <v>0</v>
      </c>
      <c r="R31" s="146" cm="1">
        <f t="array" ref="R31">(1+Assumptions!$G$81)*SUMPRODUCT((Assumptions!$G$78:$G$79)*(R$24:R$25))</f>
        <v>0</v>
      </c>
      <c r="S31" s="146" cm="1">
        <f t="array" ref="S31">(1+Assumptions!$G$81)*SUMPRODUCT((Assumptions!$G$78:$G$79)*(S$24:S$25))</f>
        <v>0</v>
      </c>
      <c r="T31" s="146" cm="1">
        <f t="array" ref="T31">(1+Assumptions!$G$81)*SUMPRODUCT((Assumptions!$G$78:$G$79)*(T$24:T$25))</f>
        <v>0</v>
      </c>
      <c r="U31" s="146" cm="1">
        <f t="array" ref="U31">(1+Assumptions!$G$81)*SUMPRODUCT((Assumptions!$G$78:$G$79)*(U$24:U$25))</f>
        <v>0</v>
      </c>
      <c r="V31" s="146" cm="1">
        <f t="array" ref="V31">(1+Assumptions!$G$81)*SUMPRODUCT((Assumptions!$G$78:$G$79)*(V$24:V$25))</f>
        <v>0</v>
      </c>
      <c r="W31" s="146" cm="1">
        <f t="array" ref="W31">(1+Assumptions!$G$81)*SUMPRODUCT((Assumptions!$G$78:$G$79)*(W$24:W$25))</f>
        <v>0</v>
      </c>
      <c r="X31" s="146" cm="1">
        <f t="array" ref="X31">(1+Assumptions!$G$81)*SUMPRODUCT((Assumptions!$G$78:$G$79)*(X$24:X$25))</f>
        <v>0</v>
      </c>
      <c r="Y31" s="146" cm="1">
        <f t="array" ref="Y31">(1+Assumptions!$G$81)*SUMPRODUCT((Assumptions!$G$78:$G$79)*(Y$24:Y$25))</f>
        <v>0</v>
      </c>
      <c r="Z31" s="146" cm="1">
        <f t="array" ref="Z31">(1+Assumptions!$G$81)*SUMPRODUCT((Assumptions!$G$78:$G$79)*(Z$24:Z$25))</f>
        <v>0</v>
      </c>
      <c r="AA31" s="146" cm="1">
        <f t="array" ref="AA31">(1+Assumptions!$G$81)*SUMPRODUCT((Assumptions!$G$78:$G$79)*(AA$24:AA$25))</f>
        <v>0</v>
      </c>
      <c r="AB31" s="146" cm="1">
        <f t="array" ref="AB31">(1+Assumptions!$G$81)*SUMPRODUCT((Assumptions!$G$78:$G$79)*(AB$24:AB$25))</f>
        <v>0</v>
      </c>
      <c r="AC31" s="146" cm="1">
        <f t="array" ref="AC31">(1+Assumptions!$G$81)*SUMPRODUCT((Assumptions!$G$78:$G$79)*(AC$24:AC$25))</f>
        <v>0</v>
      </c>
      <c r="AD31" s="146" cm="1">
        <f t="array" ref="AD31">(1+Assumptions!$G$81)*SUMPRODUCT((Assumptions!$G$78:$G$79)*(AD$24:AD$25))</f>
        <v>0</v>
      </c>
      <c r="AE31" s="146" cm="1">
        <f t="array" ref="AE31">(1+Assumptions!$G$81)*SUMPRODUCT((Assumptions!$G$78:$G$79)*(AE$24:AE$25))</f>
        <v>0</v>
      </c>
      <c r="AF31" s="146" cm="1">
        <f t="array" ref="AF31">(1+Assumptions!$G$81)*SUMPRODUCT((Assumptions!$G$78:$G$79)*(AF$24:AF$25))</f>
        <v>0</v>
      </c>
      <c r="AG31" s="146" cm="1">
        <f t="array" ref="AG31">(1+Assumptions!$G$81)*SUMPRODUCT((Assumptions!$G$78:$G$79)*(AG$24:AG$25))</f>
        <v>0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">
        <v>159</v>
      </c>
      <c r="D32" s="179" t="s">
        <v>119</v>
      </c>
      <c r="E32"/>
      <c r="G32" s="181">
        <f>input_dollars</f>
        <v>45291</v>
      </c>
      <c r="H32"/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115">
        <v>0</v>
      </c>
      <c r="S32" s="115">
        <v>0</v>
      </c>
      <c r="T32" s="115">
        <v>0</v>
      </c>
      <c r="U32" s="115">
        <v>0</v>
      </c>
      <c r="V32" s="115">
        <v>0</v>
      </c>
      <c r="W32" s="115">
        <v>0</v>
      </c>
      <c r="X32" s="115">
        <v>0</v>
      </c>
      <c r="Y32" s="115">
        <v>0</v>
      </c>
      <c r="Z32" s="115">
        <v>0</v>
      </c>
      <c r="AA32" s="115">
        <v>0</v>
      </c>
      <c r="AB32" s="115">
        <v>0</v>
      </c>
      <c r="AC32" s="115">
        <v>0</v>
      </c>
      <c r="AD32" s="115">
        <v>0</v>
      </c>
      <c r="AE32" s="115">
        <v>0</v>
      </c>
      <c r="AF32" s="115">
        <v>0</v>
      </c>
      <c r="AG32" s="115">
        <v>0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239" t="s">
        <v>120</v>
      </c>
      <c r="D33" s="192"/>
      <c r="E33"/>
      <c r="G33" s="181">
        <f>input_dollars</f>
        <v>45291</v>
      </c>
      <c r="H33"/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115">
        <v>0</v>
      </c>
      <c r="S33" s="115">
        <v>0</v>
      </c>
      <c r="T33" s="115">
        <v>0</v>
      </c>
      <c r="U33" s="115">
        <v>0</v>
      </c>
      <c r="V33" s="115">
        <v>0</v>
      </c>
      <c r="W33" s="115">
        <v>0</v>
      </c>
      <c r="X33" s="115">
        <v>0</v>
      </c>
      <c r="Y33" s="115">
        <v>0</v>
      </c>
      <c r="Z33" s="115">
        <v>0</v>
      </c>
      <c r="AA33" s="115">
        <v>0</v>
      </c>
      <c r="AB33" s="115">
        <v>0</v>
      </c>
      <c r="AC33" s="115">
        <v>0</v>
      </c>
      <c r="AD33" s="115">
        <v>0</v>
      </c>
      <c r="AE33" s="115">
        <v>0</v>
      </c>
      <c r="AF33" s="115">
        <v>0</v>
      </c>
      <c r="AG33" s="115">
        <v>0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239" t="s">
        <v>120</v>
      </c>
      <c r="D34" s="180"/>
      <c r="E34"/>
      <c r="G34" s="181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D35" s="180"/>
      <c r="E35"/>
      <c r="G35" s="181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C36" s="3" t="s">
        <v>121</v>
      </c>
      <c r="D36" s="191"/>
      <c r="E36" s="94"/>
      <c r="F36" s="3"/>
      <c r="G36" s="183"/>
      <c r="H36" s="94"/>
      <c r="I36" s="146">
        <f>SUM(I28:I34)</f>
        <v>0</v>
      </c>
      <c r="J36" s="146">
        <f t="shared" ref="J36:AG36" si="3">SUM(J28:J34)</f>
        <v>0</v>
      </c>
      <c r="K36" s="146">
        <f t="shared" si="3"/>
        <v>0</v>
      </c>
      <c r="L36" s="146">
        <f t="shared" si="3"/>
        <v>0</v>
      </c>
      <c r="M36" s="146">
        <f t="shared" si="3"/>
        <v>0</v>
      </c>
      <c r="N36" s="146">
        <f t="shared" si="3"/>
        <v>0</v>
      </c>
      <c r="O36" s="146">
        <f t="shared" si="3"/>
        <v>0</v>
      </c>
      <c r="P36" s="146">
        <f t="shared" si="3"/>
        <v>0</v>
      </c>
      <c r="Q36" s="146">
        <f t="shared" si="3"/>
        <v>0</v>
      </c>
      <c r="R36" s="146">
        <f t="shared" si="3"/>
        <v>0</v>
      </c>
      <c r="S36" s="146">
        <f t="shared" si="3"/>
        <v>0</v>
      </c>
      <c r="T36" s="146">
        <f t="shared" si="3"/>
        <v>0</v>
      </c>
      <c r="U36" s="146">
        <f t="shared" si="3"/>
        <v>0</v>
      </c>
      <c r="V36" s="146">
        <f t="shared" si="3"/>
        <v>0</v>
      </c>
      <c r="W36" s="146">
        <f t="shared" si="3"/>
        <v>0</v>
      </c>
      <c r="X36" s="146">
        <f t="shared" si="3"/>
        <v>0</v>
      </c>
      <c r="Y36" s="146">
        <f t="shared" si="3"/>
        <v>0</v>
      </c>
      <c r="Z36" s="146">
        <f t="shared" si="3"/>
        <v>0</v>
      </c>
      <c r="AA36" s="146">
        <f t="shared" si="3"/>
        <v>0</v>
      </c>
      <c r="AB36" s="146">
        <f t="shared" si="3"/>
        <v>0</v>
      </c>
      <c r="AC36" s="146">
        <f t="shared" si="3"/>
        <v>0</v>
      </c>
      <c r="AD36" s="146">
        <f t="shared" si="3"/>
        <v>0</v>
      </c>
      <c r="AE36" s="146">
        <f t="shared" si="3"/>
        <v>0</v>
      </c>
      <c r="AF36" s="146">
        <f t="shared" si="3"/>
        <v>0</v>
      </c>
      <c r="AG36" s="146">
        <f t="shared" si="3"/>
        <v>0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x14ac:dyDescent="0.2">
      <c r="D37"/>
      <c r="E37"/>
      <c r="G37" s="181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5" x14ac:dyDescent="0.2">
      <c r="A38" s="78" t="s">
        <v>122</v>
      </c>
      <c r="B38" s="78"/>
      <c r="C38" s="78"/>
      <c r="D38" s="78"/>
      <c r="E38" s="78"/>
      <c r="F38" s="78"/>
      <c r="G38" s="1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1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x14ac:dyDescent="0.2">
      <c r="D40"/>
      <c r="E40"/>
      <c r="G40" s="181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25">
      <c r="C41" s="1" t="s">
        <v>123</v>
      </c>
      <c r="G41" s="179" t="s">
        <v>117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  <c r="AH41"/>
      <c r="AI41"/>
      <c r="AJ41"/>
      <c r="AK41"/>
    </row>
    <row r="42" spans="1:16372" ht="13.5" x14ac:dyDescent="0.25">
      <c r="C42" s="1" t="s">
        <v>124</v>
      </c>
      <c r="G42" s="179" t="s">
        <v>125</v>
      </c>
      <c r="I42" s="75">
        <f t="shared" ref="I42:AG42" si="4">I41*I7</f>
        <v>0</v>
      </c>
      <c r="J42" s="75">
        <f t="shared" si="4"/>
        <v>0</v>
      </c>
      <c r="K42" s="75">
        <f t="shared" si="4"/>
        <v>0</v>
      </c>
      <c r="L42" s="75">
        <f t="shared" si="4"/>
        <v>0</v>
      </c>
      <c r="M42" s="75">
        <f t="shared" si="4"/>
        <v>0</v>
      </c>
      <c r="N42" s="75">
        <f t="shared" si="4"/>
        <v>0</v>
      </c>
      <c r="O42" s="75">
        <f t="shared" si="4"/>
        <v>0</v>
      </c>
      <c r="P42" s="75">
        <f t="shared" si="4"/>
        <v>0</v>
      </c>
      <c r="Q42" s="75">
        <f t="shared" si="4"/>
        <v>0</v>
      </c>
      <c r="R42" s="75">
        <f t="shared" si="4"/>
        <v>0</v>
      </c>
      <c r="S42" s="75">
        <f t="shared" si="4"/>
        <v>0</v>
      </c>
      <c r="T42" s="75">
        <f t="shared" si="4"/>
        <v>0</v>
      </c>
      <c r="U42" s="75">
        <f t="shared" si="4"/>
        <v>0</v>
      </c>
      <c r="V42" s="75">
        <f t="shared" si="4"/>
        <v>0</v>
      </c>
      <c r="W42" s="75">
        <f t="shared" si="4"/>
        <v>0</v>
      </c>
      <c r="X42" s="75">
        <f t="shared" si="4"/>
        <v>0</v>
      </c>
      <c r="Y42" s="75">
        <f t="shared" si="4"/>
        <v>0</v>
      </c>
      <c r="Z42" s="75">
        <f t="shared" si="4"/>
        <v>0</v>
      </c>
      <c r="AA42" s="75">
        <f t="shared" si="4"/>
        <v>0</v>
      </c>
      <c r="AB42" s="75">
        <f t="shared" si="4"/>
        <v>0</v>
      </c>
      <c r="AC42" s="75">
        <f t="shared" si="4"/>
        <v>0</v>
      </c>
      <c r="AD42" s="75">
        <f t="shared" si="4"/>
        <v>0</v>
      </c>
      <c r="AE42" s="75">
        <f t="shared" si="4"/>
        <v>0</v>
      </c>
      <c r="AF42" s="75">
        <f t="shared" si="4"/>
        <v>0</v>
      </c>
      <c r="AG42" s="75">
        <f t="shared" si="4"/>
        <v>0</v>
      </c>
      <c r="AH42"/>
      <c r="AI42"/>
      <c r="AJ42"/>
      <c r="AK42"/>
    </row>
    <row r="43" spans="1:16372" x14ac:dyDescent="0.2">
      <c r="D43"/>
      <c r="E43"/>
      <c r="G43" s="181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 s="180"/>
      <c r="E44"/>
      <c r="G44" s="181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2">
      <c r="C45" s="1" t="s">
        <v>126</v>
      </c>
      <c r="D45" s="179" t="s">
        <v>108</v>
      </c>
      <c r="E45" s="100">
        <f>Assumptions!G94</f>
        <v>0</v>
      </c>
      <c r="G45" s="181" t="s">
        <v>117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2">
      <c r="C46" s="1" t="s">
        <v>127</v>
      </c>
      <c r="D46" s="179" t="s">
        <v>108</v>
      </c>
      <c r="E46" s="100">
        <f>Assumptions!G95</f>
        <v>0</v>
      </c>
      <c r="G46" s="181" t="s">
        <v>117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2">
      <c r="C47" s="1" t="s">
        <v>128</v>
      </c>
      <c r="D47" s="179" t="s">
        <v>108</v>
      </c>
      <c r="E47" s="99">
        <f>Assumptions!G96</f>
        <v>4220.9953699573898</v>
      </c>
      <c r="G47" s="181" t="s">
        <v>117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2">
      <c r="C48" s="1" t="s">
        <v>129</v>
      </c>
      <c r="D48" s="179" t="s">
        <v>130</v>
      </c>
      <c r="E48" s="99">
        <f>Assumptions!G97</f>
        <v>0</v>
      </c>
      <c r="G48" s="181" t="s">
        <v>131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2">
      <c r="C49" s="1" t="s">
        <v>132</v>
      </c>
      <c r="D49" s="179" t="s">
        <v>133</v>
      </c>
      <c r="E49" s="99">
        <f>Assumptions!G98</f>
        <v>0.54769380678923496</v>
      </c>
      <c r="G49" s="181" t="s">
        <v>134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2">
      <c r="C50" s="1" t="s">
        <v>135</v>
      </c>
      <c r="D50" s="179" t="s">
        <v>133</v>
      </c>
      <c r="E50" s="99">
        <f>Assumptions!G99</f>
        <v>0.54769380678923496</v>
      </c>
      <c r="G50" s="181" t="s">
        <v>134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2">
      <c r="C51" s="1" t="s">
        <v>136</v>
      </c>
      <c r="D51" s="179" t="s">
        <v>130</v>
      </c>
      <c r="E51" s="99">
        <f>Assumptions!G100</f>
        <v>0</v>
      </c>
      <c r="G51" s="181" t="s">
        <v>131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2">
      <c r="C52" s="1" t="s">
        <v>137</v>
      </c>
      <c r="D52" s="179" t="s">
        <v>130</v>
      </c>
      <c r="E52" s="99">
        <f>Assumptions!G101</f>
        <v>0</v>
      </c>
      <c r="G52" s="181" t="s">
        <v>131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2">
      <c r="D53" s="179"/>
      <c r="G53" s="181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2">
      <c r="C54" s="1" t="s">
        <v>138</v>
      </c>
      <c r="D54" s="179"/>
      <c r="G54" s="181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2">
      <c r="C55" s="1" t="s">
        <v>139</v>
      </c>
      <c r="D55" s="179"/>
      <c r="G55" s="181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2">
      <c r="D56" s="179"/>
      <c r="G56" s="179"/>
    </row>
    <row r="57" spans="1:43" x14ac:dyDescent="0.2">
      <c r="C57" s="3" t="s">
        <v>140</v>
      </c>
      <c r="D57" s="191"/>
      <c r="E57" s="94"/>
      <c r="F57" s="3"/>
      <c r="G57" s="184">
        <f>input_dollars</f>
        <v>45291</v>
      </c>
      <c r="H57" s="94"/>
      <c r="I57" s="146" cm="1">
        <f t="array" ref="I57">SUMPRODUCT((I$45:I$52)*($E$45:$E$52))+SUM(I54:I55)+I42</f>
        <v>0</v>
      </c>
      <c r="J57" s="146" cm="1">
        <f t="array" ref="J57">SUMPRODUCT((J$45:J$52)*($E$45:$E$52))+SUM(J54:J55)+J42</f>
        <v>0</v>
      </c>
      <c r="K57" s="146" cm="1">
        <f t="array" ref="K57">SUMPRODUCT((K$45:K$52)*($E$45:$E$52))+SUM(K54:K55)+K42</f>
        <v>0</v>
      </c>
      <c r="L57" s="146" cm="1">
        <f t="array" ref="L57">SUMPRODUCT((L$45:L$52)*($E$45:$E$52))+SUM(L54:L55)+L42</f>
        <v>0</v>
      </c>
      <c r="M57" s="146" cm="1">
        <f t="array" ref="M57">SUMPRODUCT((M$45:M$52)*($E$45:$E$52))+SUM(M54:M55)+M42</f>
        <v>0</v>
      </c>
      <c r="N57" s="146" cm="1">
        <f t="array" ref="N57">SUMPRODUCT((N$45:N$52)*($E$45:$E$52))+SUM(N54:N55)+N42</f>
        <v>0</v>
      </c>
      <c r="O57" s="146" cm="1">
        <f t="array" ref="O57">SUMPRODUCT((O$45:O$52)*($E$45:$E$52))+SUM(O54:O55)+O42</f>
        <v>0</v>
      </c>
      <c r="P57" s="146" cm="1">
        <f t="array" ref="P57">SUMPRODUCT((P$45:P$52)*($E$45:$E$52))+SUM(P54:P55)+P42</f>
        <v>0</v>
      </c>
      <c r="Q57" s="146" cm="1">
        <f t="array" ref="Q57">SUMPRODUCT((Q$45:Q$52)*($E$45:$E$52))+SUM(Q54:Q55)+Q42</f>
        <v>0</v>
      </c>
      <c r="R57" s="146" cm="1">
        <f t="array" ref="R57">SUMPRODUCT((R$45:R$52)*($E$45:$E$52))+SUM(R54:R55)+R42</f>
        <v>0</v>
      </c>
      <c r="S57" s="146" cm="1">
        <f t="array" ref="S57">SUMPRODUCT((S$45:S$52)*($E$45:$E$52))+SUM(S54:S55)+S42</f>
        <v>0</v>
      </c>
      <c r="T57" s="146" cm="1">
        <f t="array" ref="T57">SUMPRODUCT((T$45:T$52)*($E$45:$E$52))+SUM(T54:T55)+T42</f>
        <v>0</v>
      </c>
      <c r="U57" s="146" cm="1">
        <f t="array" ref="U57">SUMPRODUCT((U$45:U$52)*($E$45:$E$52))+SUM(U54:U55)+U42</f>
        <v>0</v>
      </c>
      <c r="V57" s="146" cm="1">
        <f t="array" ref="V57">SUMPRODUCT((V$45:V$52)*($E$45:$E$52))+SUM(V54:V55)+V42</f>
        <v>0</v>
      </c>
      <c r="W57" s="146" cm="1">
        <f t="array" ref="W57">SUMPRODUCT((W$45:W$52)*($E$45:$E$52))+SUM(W54:W55)+W42</f>
        <v>0</v>
      </c>
      <c r="X57" s="146" cm="1">
        <f t="array" ref="X57">SUMPRODUCT((X$45:X$52)*($E$45:$E$52))+SUM(X54:X55)+X42</f>
        <v>0</v>
      </c>
      <c r="Y57" s="146" cm="1">
        <f t="array" ref="Y57">SUMPRODUCT((Y$45:Y$52)*($E$45:$E$52))+SUM(Y54:Y55)+Y42</f>
        <v>0</v>
      </c>
      <c r="Z57" s="146" cm="1">
        <f t="array" ref="Z57">SUMPRODUCT((Z$45:Z$52)*($E$45:$E$52))+SUM(Z54:Z55)+Z42</f>
        <v>0</v>
      </c>
      <c r="AA57" s="146" cm="1">
        <f t="array" ref="AA57">SUMPRODUCT((AA$45:AA$52)*($E$45:$E$52))+SUM(AA54:AA55)+AA42</f>
        <v>0</v>
      </c>
      <c r="AB57" s="146" cm="1">
        <f t="array" ref="AB57">SUMPRODUCT((AB$45:AB$52)*($E$45:$E$52))+SUM(AB54:AB55)+AB42</f>
        <v>0</v>
      </c>
      <c r="AC57" s="146" cm="1">
        <f t="array" ref="AC57">SUMPRODUCT((AC$45:AC$52)*($E$45:$E$52))+SUM(AC54:AC55)+AC42</f>
        <v>0</v>
      </c>
      <c r="AD57" s="146" cm="1">
        <f t="array" ref="AD57">SUMPRODUCT((AD$45:AD$52)*($E$45:$E$52))+SUM(AD54:AD55)+AD42</f>
        <v>0</v>
      </c>
      <c r="AE57" s="146" cm="1">
        <f t="array" ref="AE57">SUMPRODUCT((AE$45:AE$52)*($E$45:$E$52))+SUM(AE54:AE55)+AE42</f>
        <v>0</v>
      </c>
      <c r="AF57" s="146" cm="1">
        <f t="array" ref="AF57">SUMPRODUCT((AF$45:AF$52)*($E$45:$E$52))+SUM(AF54:AF55)+AF42</f>
        <v>0</v>
      </c>
      <c r="AG57" s="146" cm="1">
        <f t="array" ref="AG57">SUMPRODUCT((AG$45:AG$52)*($E$45:$E$52))+SUM(AG54:AG55)+AG42</f>
        <v>0</v>
      </c>
    </row>
    <row r="58" spans="1:43" x14ac:dyDescent="0.2">
      <c r="D58" s="179"/>
      <c r="G58" s="179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2">
      <c r="G59" s="179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5" x14ac:dyDescent="0.2">
      <c r="A60" s="78" t="s">
        <v>23</v>
      </c>
      <c r="B60" s="78"/>
      <c r="C60" s="78"/>
      <c r="D60" s="78"/>
      <c r="E60" s="78"/>
      <c r="F60" s="78"/>
      <c r="G60" s="1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5" x14ac:dyDescent="0.2">
      <c r="A61" s="98"/>
      <c r="B61" s="98"/>
      <c r="C61" s="98"/>
      <c r="D61" s="98"/>
      <c r="E61" s="98"/>
      <c r="F61" s="98"/>
      <c r="G61" s="182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2">
      <c r="A62" s="98"/>
      <c r="B62" s="98"/>
      <c r="C62" s="98"/>
      <c r="D62" s="98"/>
      <c r="E62" s="98"/>
      <c r="F62"/>
      <c r="G62" s="185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2">
      <c r="F63" s="2"/>
      <c r="G63" s="186"/>
    </row>
    <row r="64" spans="1:43" x14ac:dyDescent="0.2">
      <c r="C64" s="4" t="str">
        <f>'Option1 (base case)'!C64</f>
        <v>Risks mitigated vs base case</v>
      </c>
      <c r="G64" s="184">
        <f>input_dollars</f>
        <v>45291</v>
      </c>
      <c r="I64" s="111">
        <f>(1-INDEX(Data!$C$9:$C$13, MATCH($A$3, options,0)))*('Option1 (base case)'!I36-I36)</f>
        <v>0</v>
      </c>
      <c r="J64" s="111">
        <f>(1-INDEX(Data!$C$9:$C$13, MATCH($A$3, options,0)))*('Option1 (base case)'!J36-J36)</f>
        <v>0</v>
      </c>
      <c r="K64" s="111">
        <f>(1-INDEX(Data!$C$9:$C$13, MATCH($A$3, options,0)))*('Option1 (base case)'!K36-K36)</f>
        <v>0</v>
      </c>
      <c r="L64" s="111">
        <f>(1-INDEX(Data!$C$9:$C$13, MATCH($A$3, options,0)))*('Option1 (base case)'!L36-L36)</f>
        <v>0</v>
      </c>
      <c r="M64" s="111">
        <f>(1-INDEX(Data!$C$9:$C$13, MATCH($A$3, options,0)))*('Option1 (base case)'!M36-M36)</f>
        <v>0</v>
      </c>
      <c r="N64" s="111">
        <f>(1-INDEX(Data!$C$9:$C$13, MATCH($A$3, options,0)))*('Option1 (base case)'!N36-N36)</f>
        <v>0</v>
      </c>
      <c r="O64" s="111">
        <f>(1-INDEX(Data!$C$9:$C$13, MATCH($A$3, options,0)))*('Option1 (base case)'!O36-O36)</f>
        <v>0</v>
      </c>
      <c r="P64" s="111">
        <f>(1-INDEX(Data!$C$9:$C$13, MATCH($A$3, options,0)))*('Option1 (base case)'!P36-P36)</f>
        <v>0</v>
      </c>
      <c r="Q64" s="111">
        <f>(1-INDEX(Data!$C$9:$C$13, MATCH($A$3, options,0)))*('Option1 (base case)'!Q36-Q36)</f>
        <v>0</v>
      </c>
      <c r="R64" s="111">
        <f>(1-INDEX(Data!$C$9:$C$13, MATCH($A$3, options,0)))*('Option1 (base case)'!R36-R36)</f>
        <v>0</v>
      </c>
      <c r="S64" s="111">
        <f>(1-INDEX(Data!$C$9:$C$13, MATCH($A$3, options,0)))*('Option1 (base case)'!S36-S36)</f>
        <v>0</v>
      </c>
      <c r="T64" s="111">
        <f>(1-INDEX(Data!$C$9:$C$13, MATCH($A$3, options,0)))*('Option1 (base case)'!T36-T36)</f>
        <v>0</v>
      </c>
      <c r="U64" s="111">
        <f>(1-INDEX(Data!$C$9:$C$13, MATCH($A$3, options,0)))*('Option1 (base case)'!U36-U36)</f>
        <v>0</v>
      </c>
      <c r="V64" s="111">
        <f>(1-INDEX(Data!$C$9:$C$13, MATCH($A$3, options,0)))*('Option1 (base case)'!V36-V36)</f>
        <v>0</v>
      </c>
      <c r="W64" s="111">
        <f>(1-INDEX(Data!$C$9:$C$13, MATCH($A$3, options,0)))*('Option1 (base case)'!W36-W36)</f>
        <v>0</v>
      </c>
      <c r="X64" s="111">
        <f>(1-INDEX(Data!$C$9:$C$13, MATCH($A$3, options,0)))*('Option1 (base case)'!X36-X36)</f>
        <v>0</v>
      </c>
      <c r="Y64" s="111">
        <f>(1-INDEX(Data!$C$9:$C$13, MATCH($A$3, options,0)))*('Option1 (base case)'!Y36-Y36)</f>
        <v>0</v>
      </c>
      <c r="Z64" s="111">
        <f>(1-INDEX(Data!$C$9:$C$13, MATCH($A$3, options,0)))*('Option1 (base case)'!Z36-Z36)</f>
        <v>0</v>
      </c>
      <c r="AA64" s="111">
        <f>(1-INDEX(Data!$C$9:$C$13, MATCH($A$3, options,0)))*('Option1 (base case)'!AA36-AA36)</f>
        <v>0</v>
      </c>
      <c r="AB64" s="111">
        <f>(1-INDEX(Data!$C$9:$C$13, MATCH($A$3, options,0)))*('Option1 (base case)'!AB36-AB36)</f>
        <v>0</v>
      </c>
      <c r="AC64" s="111">
        <f>(1-INDEX(Data!$C$9:$C$13, MATCH($A$3, options,0)))*('Option1 (base case)'!AC36-AC36)</f>
        <v>0</v>
      </c>
      <c r="AD64" s="111">
        <f>(1-INDEX(Data!$C$9:$C$13, MATCH($A$3, options,0)))*('Option1 (base case)'!AD36-AD36)</f>
        <v>0</v>
      </c>
      <c r="AE64" s="111">
        <f>(1-INDEX(Data!$C$9:$C$13, MATCH($A$3, options,0)))*('Option1 (base case)'!AE36-AE36)</f>
        <v>0</v>
      </c>
      <c r="AF64" s="111">
        <f>(1-INDEX(Data!$C$9:$C$13, MATCH($A$3, options,0)))*('Option1 (base case)'!AF36-AF36)</f>
        <v>0</v>
      </c>
      <c r="AG64" s="111">
        <f>(1-INDEX(Data!$C$9:$C$13, MATCH($A$3, options,0)))*('Option1 (base case)'!AG36-AG36)</f>
        <v>0</v>
      </c>
    </row>
    <row r="65" spans="1:33" x14ac:dyDescent="0.2">
      <c r="G65" s="186"/>
    </row>
    <row r="66" spans="1:33" x14ac:dyDescent="0.2">
      <c r="A66" s="6"/>
      <c r="B66" s="6"/>
      <c r="C66" s="125" t="s">
        <v>32</v>
      </c>
      <c r="D66" s="34"/>
      <c r="F66" s="84"/>
      <c r="G66" s="187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2">
      <c r="A67" s="6"/>
      <c r="B67" s="6"/>
      <c r="C67" s="4" t="str">
        <f>C14</f>
        <v>&lt; Enter description &gt;</v>
      </c>
      <c r="D67" s="34"/>
      <c r="F67" s="84"/>
      <c r="G67" s="184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0</v>
      </c>
      <c r="M67" s="28">
        <f t="shared" si="5"/>
        <v>0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2">
      <c r="A68" s="6"/>
      <c r="B68" s="6"/>
      <c r="C68" s="4" t="str">
        <f>C15</f>
        <v>&lt; Enter description &gt;</v>
      </c>
      <c r="D68" s="34"/>
      <c r="F68" s="84"/>
      <c r="G68" s="184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2">
      <c r="A69" s="6"/>
      <c r="B69" s="6"/>
      <c r="C69" s="4" t="str">
        <f>C16</f>
        <v>&lt; Enter description &gt;</v>
      </c>
      <c r="D69" s="34"/>
      <c r="F69" s="84"/>
      <c r="G69" s="184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2">
      <c r="A70" s="6"/>
      <c r="B70" s="6"/>
      <c r="C70" s="4"/>
      <c r="D70" s="34"/>
      <c r="F70" s="84"/>
      <c r="G70" s="18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2">
      <c r="A71" s="6"/>
      <c r="B71" s="6"/>
      <c r="C71" s="125" t="s">
        <v>142</v>
      </c>
      <c r="D71" s="34"/>
      <c r="F71" s="84"/>
      <c r="G71" s="187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2">
      <c r="A72" s="6"/>
      <c r="B72" s="6"/>
      <c r="C72" s="4" t="str">
        <f>C14</f>
        <v>&lt; Enter description &gt;</v>
      </c>
      <c r="D72" s="34"/>
      <c r="F72" s="84"/>
      <c r="G72" s="184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0</v>
      </c>
      <c r="N72" s="28" cm="1">
        <f t="array" ref="N72">SUMPRODUCT(($I67:N67))-SUMPRODUCT(($I67:N67)*($I$6:N$6&lt;=(N$6-$E14)))</f>
        <v>0</v>
      </c>
      <c r="O72" s="28" cm="1">
        <f t="array" ref="O72">SUMPRODUCT(($I67:O67))-SUMPRODUCT(($I67:O67)*($I$6:O$6&lt;=(O$6-$E14)))</f>
        <v>0</v>
      </c>
      <c r="P72" s="28" cm="1">
        <f t="array" ref="P72">SUMPRODUCT(($I67:P67))-SUMPRODUCT(($I67:P67)*($I$6:P$6&lt;=(P$6-$E14)))</f>
        <v>0</v>
      </c>
      <c r="Q72" s="28" cm="1">
        <f t="array" ref="Q72">SUMPRODUCT(($I67:Q67))-SUMPRODUCT(($I67:Q67)*($I$6:Q$6&lt;=(Q$6-$E14)))</f>
        <v>0</v>
      </c>
      <c r="R72" s="28" cm="1">
        <f t="array" ref="R72">SUMPRODUCT(($I67:R67))-SUMPRODUCT(($I67:R67)*($I$6:R$6&lt;=(R$6-$E14)))</f>
        <v>0</v>
      </c>
      <c r="S72" s="28" cm="1">
        <f t="array" ref="S72">SUMPRODUCT(($I67:S67))-SUMPRODUCT(($I67:S67)*($I$6:S$6&lt;=(S$6-$E14)))</f>
        <v>0</v>
      </c>
      <c r="T72" s="28" cm="1">
        <f t="array" ref="T72">SUMPRODUCT(($I67:T67))-SUMPRODUCT(($I67:T67)*($I$6:T$6&lt;=(T$6-$E14)))</f>
        <v>0</v>
      </c>
      <c r="U72" s="28" cm="1">
        <f t="array" ref="U72">SUMPRODUCT(($I67:U67))-SUMPRODUCT(($I67:U67)*($I$6:U$6&lt;=(U$6-$E14)))</f>
        <v>0</v>
      </c>
      <c r="V72" s="28" cm="1">
        <f t="array" ref="V72">SUMPRODUCT(($I67:V67))-SUMPRODUCT(($I67:V67)*($I$6:V$6&lt;=(V$6-$E14)))</f>
        <v>0</v>
      </c>
      <c r="W72" s="28" cm="1">
        <f t="array" ref="W72">SUMPRODUCT(($I67:W67))-SUMPRODUCT(($I67:W67)*($I$6:W$6&lt;=(W$6-$E14)))</f>
        <v>0</v>
      </c>
      <c r="X72" s="28" cm="1">
        <f t="array" ref="X72">SUMPRODUCT(($I67:X67))-SUMPRODUCT(($I67:X67)*($I$6:X$6&lt;=(X$6-$E14)))</f>
        <v>0</v>
      </c>
      <c r="Y72" s="28" cm="1">
        <f t="array" ref="Y72">SUMPRODUCT(($I67:Y67))-SUMPRODUCT(($I67:Y67)*($I$6:Y$6&lt;=(Y$6-$E14)))</f>
        <v>0</v>
      </c>
      <c r="Z72" s="28" cm="1">
        <f t="array" ref="Z72">SUMPRODUCT(($I67:Z67))-SUMPRODUCT(($I67:Z67)*($I$6:Z$6&lt;=(Z$6-$E14)))</f>
        <v>0</v>
      </c>
      <c r="AA72" s="28" cm="1">
        <f t="array" ref="AA72">SUMPRODUCT(($I67:AA67))-SUMPRODUCT(($I67:AA67)*($I$6:AA$6&lt;=(AA$6-$E14)))</f>
        <v>0</v>
      </c>
      <c r="AB72" s="28" cm="1">
        <f t="array" ref="AB72">SUMPRODUCT(($I67:AB67))-SUMPRODUCT(($I67:AB67)*($I$6:AB$6&lt;=(AB$6-$E14)))</f>
        <v>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2">
      <c r="A73" s="6"/>
      <c r="B73" s="6"/>
      <c r="C73" s="4" t="str">
        <f>C15</f>
        <v>&lt; Enter description &gt;</v>
      </c>
      <c r="D73" s="34"/>
      <c r="F73" s="84"/>
      <c r="G73" s="184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2">
      <c r="A74" s="6"/>
      <c r="B74" s="6"/>
      <c r="C74" s="4" t="str">
        <f>C16</f>
        <v>&lt; Enter description &gt;</v>
      </c>
      <c r="D74" s="34"/>
      <c r="F74" s="84"/>
      <c r="G74" s="184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2">
      <c r="A75" s="6"/>
      <c r="B75" s="6"/>
      <c r="C75" s="4"/>
      <c r="D75" s="34"/>
      <c r="F75" s="84"/>
      <c r="G75" s="18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2">
      <c r="A76" s="6"/>
      <c r="B76" s="6"/>
      <c r="C76" s="125" t="s">
        <v>143</v>
      </c>
      <c r="D76" s="34"/>
      <c r="F76" s="84"/>
      <c r="G76" s="187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2">
      <c r="A77" s="6"/>
      <c r="B77" s="6"/>
      <c r="C77" s="4" t="str">
        <f>$C$76&amp;" - "&amp;C14</f>
        <v>Annualised capex - &lt; Enter description &gt;</v>
      </c>
      <c r="D77" s="34"/>
      <c r="F77" s="84"/>
      <c r="G77" s="184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0</v>
      </c>
      <c r="N77" s="28">
        <f t="shared" si="8"/>
        <v>0</v>
      </c>
      <c r="O77" s="28">
        <f t="shared" si="8"/>
        <v>0</v>
      </c>
      <c r="P77" s="28">
        <f t="shared" si="8"/>
        <v>0</v>
      </c>
      <c r="Q77" s="28">
        <f t="shared" si="8"/>
        <v>0</v>
      </c>
      <c r="R77" s="28">
        <f t="shared" si="8"/>
        <v>0</v>
      </c>
      <c r="S77" s="28">
        <f t="shared" si="8"/>
        <v>0</v>
      </c>
      <c r="T77" s="28">
        <f t="shared" si="8"/>
        <v>0</v>
      </c>
      <c r="U77" s="28">
        <f t="shared" si="8"/>
        <v>0</v>
      </c>
      <c r="V77" s="28">
        <f t="shared" si="8"/>
        <v>0</v>
      </c>
      <c r="W77" s="28">
        <f t="shared" si="8"/>
        <v>0</v>
      </c>
      <c r="X77" s="28">
        <f t="shared" si="8"/>
        <v>0</v>
      </c>
      <c r="Y77" s="28">
        <f t="shared" si="8"/>
        <v>0</v>
      </c>
      <c r="Z77" s="28">
        <f t="shared" si="8"/>
        <v>0</v>
      </c>
      <c r="AA77" s="28">
        <f t="shared" si="8"/>
        <v>0</v>
      </c>
      <c r="AB77" s="28">
        <f t="shared" si="8"/>
        <v>0</v>
      </c>
      <c r="AC77" s="28">
        <f t="shared" si="8"/>
        <v>0</v>
      </c>
      <c r="AD77" s="28">
        <f t="shared" si="8"/>
        <v>0</v>
      </c>
      <c r="AE77" s="28">
        <f t="shared" si="8"/>
        <v>0</v>
      </c>
      <c r="AF77" s="28">
        <f t="shared" si="8"/>
        <v>0</v>
      </c>
      <c r="AG77" s="28">
        <f t="shared" si="8"/>
        <v>0</v>
      </c>
    </row>
    <row r="78" spans="1:33" x14ac:dyDescent="0.2">
      <c r="A78" s="6"/>
      <c r="B78" s="6"/>
      <c r="C78" s="4" t="str">
        <f>$C$76&amp;" - "&amp;C15</f>
        <v>Annualised capex - &lt; Enter description &gt;</v>
      </c>
      <c r="D78" s="34"/>
      <c r="F78" s="84"/>
      <c r="G78" s="184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2">
      <c r="A79" s="6"/>
      <c r="B79" s="6"/>
      <c r="C79" s="4" t="str">
        <f>$C$76&amp;" - "&amp;C16</f>
        <v>Annualised capex - &lt; Enter description &gt;</v>
      </c>
      <c r="D79" s="34"/>
      <c r="F79" s="84"/>
      <c r="G79" s="184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2">
      <c r="A80" s="6"/>
      <c r="B80" s="6"/>
      <c r="C80" s="148" t="s">
        <v>144</v>
      </c>
      <c r="D80" s="148"/>
      <c r="E80" s="149"/>
      <c r="F80" s="150"/>
      <c r="G80" s="189">
        <f>input_dollars</f>
        <v>45291</v>
      </c>
      <c r="H80" s="151"/>
      <c r="I80" s="151">
        <f>SUM(I77:I79)</f>
        <v>0</v>
      </c>
      <c r="J80" s="151">
        <f t="shared" ref="J80:AB80" si="11">SUM(J77:J79)</f>
        <v>0</v>
      </c>
      <c r="K80" s="151">
        <f t="shared" si="11"/>
        <v>0</v>
      </c>
      <c r="L80" s="151">
        <f t="shared" si="11"/>
        <v>0</v>
      </c>
      <c r="M80" s="151">
        <f t="shared" si="11"/>
        <v>0</v>
      </c>
      <c r="N80" s="151">
        <f t="shared" si="11"/>
        <v>0</v>
      </c>
      <c r="O80" s="151">
        <f t="shared" si="11"/>
        <v>0</v>
      </c>
      <c r="P80" s="151">
        <f t="shared" si="11"/>
        <v>0</v>
      </c>
      <c r="Q80" s="151">
        <f t="shared" si="11"/>
        <v>0</v>
      </c>
      <c r="R80" s="151">
        <f t="shared" si="11"/>
        <v>0</v>
      </c>
      <c r="S80" s="151">
        <f t="shared" si="11"/>
        <v>0</v>
      </c>
      <c r="T80" s="151">
        <f t="shared" si="11"/>
        <v>0</v>
      </c>
      <c r="U80" s="151">
        <f t="shared" si="11"/>
        <v>0</v>
      </c>
      <c r="V80" s="151">
        <f t="shared" si="11"/>
        <v>0</v>
      </c>
      <c r="W80" s="151">
        <f t="shared" si="11"/>
        <v>0</v>
      </c>
      <c r="X80" s="151">
        <f t="shared" si="11"/>
        <v>0</v>
      </c>
      <c r="Y80" s="151">
        <f t="shared" si="11"/>
        <v>0</v>
      </c>
      <c r="Z80" s="151">
        <f t="shared" si="11"/>
        <v>0</v>
      </c>
      <c r="AA80" s="151">
        <f t="shared" si="11"/>
        <v>0</v>
      </c>
      <c r="AB80" s="151">
        <f t="shared" si="11"/>
        <v>0</v>
      </c>
      <c r="AC80" s="151">
        <f>SUM(AC77:AC79)</f>
        <v>0</v>
      </c>
      <c r="AD80" s="151">
        <f>SUM(AD77:AD79)</f>
        <v>0</v>
      </c>
      <c r="AE80" s="151">
        <f>SUM(AE77:AE79)</f>
        <v>0</v>
      </c>
      <c r="AF80" s="151">
        <f>SUM(AF77:AF79)</f>
        <v>0</v>
      </c>
      <c r="AG80" s="151">
        <f>SUM(AG77:AG79)</f>
        <v>0</v>
      </c>
    </row>
    <row r="81" spans="1:33" x14ac:dyDescent="0.2">
      <c r="A81" s="6"/>
      <c r="B81" s="6"/>
      <c r="C81" s="12"/>
      <c r="D81" s="34"/>
      <c r="F81"/>
      <c r="G81" s="190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2">
      <c r="A82" s="6"/>
      <c r="B82" s="6"/>
      <c r="C82" s="4" t="s">
        <v>143</v>
      </c>
      <c r="D82" s="34"/>
      <c r="F82" s="84"/>
      <c r="G82" s="184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0</v>
      </c>
      <c r="N82" s="28">
        <f t="shared" si="13"/>
        <v>0</v>
      </c>
      <c r="O82" s="28">
        <f t="shared" si="13"/>
        <v>0</v>
      </c>
      <c r="P82" s="28">
        <f t="shared" si="13"/>
        <v>0</v>
      </c>
      <c r="Q82" s="28">
        <f t="shared" si="13"/>
        <v>0</v>
      </c>
      <c r="R82" s="28">
        <f t="shared" si="13"/>
        <v>0</v>
      </c>
      <c r="S82" s="28">
        <f t="shared" si="13"/>
        <v>0</v>
      </c>
      <c r="T82" s="28">
        <f t="shared" si="13"/>
        <v>0</v>
      </c>
      <c r="U82" s="28">
        <f t="shared" si="13"/>
        <v>0</v>
      </c>
      <c r="V82" s="28">
        <f t="shared" si="13"/>
        <v>0</v>
      </c>
      <c r="W82" s="28">
        <f t="shared" si="13"/>
        <v>0</v>
      </c>
      <c r="X82" s="28">
        <f t="shared" si="13"/>
        <v>0</v>
      </c>
      <c r="Y82" s="28">
        <f t="shared" si="13"/>
        <v>0</v>
      </c>
      <c r="Z82" s="28">
        <f t="shared" si="13"/>
        <v>0</v>
      </c>
      <c r="AA82" s="28">
        <f t="shared" si="13"/>
        <v>0</v>
      </c>
      <c r="AB82" s="28">
        <f t="shared" si="13"/>
        <v>0</v>
      </c>
      <c r="AC82" s="28">
        <f>AC80</f>
        <v>0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2">
      <c r="A83" s="6"/>
      <c r="B83" s="6"/>
      <c r="C83" s="4" t="s">
        <v>33</v>
      </c>
      <c r="D83" s="34"/>
      <c r="F83" s="84"/>
      <c r="G83" s="184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2">
      <c r="A84" s="6"/>
      <c r="B84" s="6"/>
      <c r="C84" s="4" t="s">
        <v>145</v>
      </c>
      <c r="D84" s="34"/>
      <c r="F84" s="84"/>
      <c r="G84" s="184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0</v>
      </c>
      <c r="P84" s="28">
        <f t="shared" si="15"/>
        <v>0</v>
      </c>
      <c r="Q84" s="28">
        <f t="shared" si="15"/>
        <v>0</v>
      </c>
      <c r="R84" s="28">
        <f t="shared" si="15"/>
        <v>0</v>
      </c>
      <c r="S84" s="28">
        <f t="shared" si="15"/>
        <v>0</v>
      </c>
      <c r="T84" s="28">
        <f t="shared" si="15"/>
        <v>0</v>
      </c>
      <c r="U84" s="28">
        <f t="shared" si="15"/>
        <v>0</v>
      </c>
      <c r="V84" s="28">
        <f t="shared" si="15"/>
        <v>0</v>
      </c>
      <c r="W84" s="28">
        <f t="shared" si="15"/>
        <v>0</v>
      </c>
      <c r="X84" s="28">
        <f t="shared" si="15"/>
        <v>0</v>
      </c>
      <c r="Y84" s="28">
        <f t="shared" si="15"/>
        <v>0</v>
      </c>
      <c r="Z84" s="28">
        <f t="shared" si="15"/>
        <v>0</v>
      </c>
      <c r="AA84" s="28">
        <f t="shared" si="15"/>
        <v>0</v>
      </c>
      <c r="AB84" s="28">
        <f t="shared" si="15"/>
        <v>0</v>
      </c>
      <c r="AC84" s="28">
        <f>AC64</f>
        <v>0</v>
      </c>
      <c r="AD84" s="28">
        <f>AD64</f>
        <v>0</v>
      </c>
      <c r="AE84" s="28">
        <f>AE64</f>
        <v>0</v>
      </c>
      <c r="AF84" s="28">
        <f>AF64</f>
        <v>0</v>
      </c>
      <c r="AG84" s="28">
        <f>AG64</f>
        <v>0</v>
      </c>
    </row>
    <row r="85" spans="1:33" x14ac:dyDescent="0.2">
      <c r="A85" s="6"/>
      <c r="B85" s="6"/>
      <c r="C85" s="4" t="s">
        <v>146</v>
      </c>
      <c r="D85" s="34"/>
      <c r="F85" s="84"/>
      <c r="G85" s="184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2">
      <c r="A86" s="6"/>
      <c r="B86" s="6"/>
      <c r="C86" s="4"/>
      <c r="D86" s="34"/>
      <c r="F86" s="28"/>
      <c r="G86" s="184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2">
      <c r="A87" s="6"/>
      <c r="B87" s="6"/>
      <c r="C87" s="152" t="s">
        <v>147</v>
      </c>
      <c r="D87" s="153"/>
      <c r="E87" s="149"/>
      <c r="F87" s="154"/>
      <c r="G87" s="189">
        <f t="shared" si="12"/>
        <v>45291</v>
      </c>
      <c r="H87" s="154"/>
      <c r="I87" s="154">
        <f t="shared" ref="I87:AB87" si="17">SUM(I82:I86)</f>
        <v>0</v>
      </c>
      <c r="J87" s="154">
        <f t="shared" si="17"/>
        <v>0</v>
      </c>
      <c r="K87" s="154">
        <f t="shared" si="17"/>
        <v>0</v>
      </c>
      <c r="L87" s="154">
        <f t="shared" si="17"/>
        <v>0</v>
      </c>
      <c r="M87" s="154">
        <f t="shared" si="17"/>
        <v>0</v>
      </c>
      <c r="N87" s="154">
        <f t="shared" si="17"/>
        <v>0</v>
      </c>
      <c r="O87" s="154">
        <f t="shared" si="17"/>
        <v>0</v>
      </c>
      <c r="P87" s="154">
        <f t="shared" si="17"/>
        <v>0</v>
      </c>
      <c r="Q87" s="154">
        <f t="shared" si="17"/>
        <v>0</v>
      </c>
      <c r="R87" s="154">
        <f t="shared" si="17"/>
        <v>0</v>
      </c>
      <c r="S87" s="154">
        <f t="shared" si="17"/>
        <v>0</v>
      </c>
      <c r="T87" s="154">
        <f t="shared" si="17"/>
        <v>0</v>
      </c>
      <c r="U87" s="154">
        <f t="shared" si="17"/>
        <v>0</v>
      </c>
      <c r="V87" s="154">
        <f t="shared" si="17"/>
        <v>0</v>
      </c>
      <c r="W87" s="154">
        <f t="shared" si="17"/>
        <v>0</v>
      </c>
      <c r="X87" s="154">
        <f t="shared" si="17"/>
        <v>0</v>
      </c>
      <c r="Y87" s="154">
        <f t="shared" si="17"/>
        <v>0</v>
      </c>
      <c r="Z87" s="154">
        <f t="shared" si="17"/>
        <v>0</v>
      </c>
      <c r="AA87" s="154">
        <f t="shared" si="17"/>
        <v>0</v>
      </c>
      <c r="AB87" s="154">
        <f t="shared" si="17"/>
        <v>0</v>
      </c>
      <c r="AC87" s="154">
        <f>SUM(AC82:AC86)</f>
        <v>0</v>
      </c>
      <c r="AD87" s="154">
        <f>SUM(AD82:AD86)</f>
        <v>0</v>
      </c>
      <c r="AE87" s="154">
        <f>SUM(AE82:AE86)</f>
        <v>0</v>
      </c>
      <c r="AF87" s="154">
        <f>SUM(AF82:AF86)</f>
        <v>0</v>
      </c>
      <c r="AG87" s="154">
        <f>SUM(AG82:AG86)</f>
        <v>0</v>
      </c>
    </row>
    <row r="88" spans="1:33" x14ac:dyDescent="0.2">
      <c r="A88" s="6"/>
      <c r="B88" s="6"/>
      <c r="C88" s="12"/>
      <c r="D88" s="34"/>
      <c r="F88" s="119"/>
      <c r="G88" s="184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</row>
    <row r="89" spans="1:33" x14ac:dyDescent="0.2">
      <c r="A89" s="6"/>
      <c r="B89" s="6"/>
      <c r="C89" s="12"/>
      <c r="D89" s="34"/>
      <c r="F89" s="119"/>
      <c r="G89" s="184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</row>
    <row r="90" spans="1:33" x14ac:dyDescent="0.2">
      <c r="A90" s="6"/>
      <c r="B90" s="6"/>
      <c r="C90" s="203" t="s">
        <v>152</v>
      </c>
      <c r="D90" s="72"/>
      <c r="E90" s="204"/>
      <c r="F90" s="205"/>
      <c r="G90" s="206" cm="1">
        <f t="array" ref="G90">IF(SUM($I17:$AG17)=0,0,(INDEX(I$6:AG$6,MATCH(TRUE,INDEX($I17:$AG17&lt;&gt;0,),0))))</f>
        <v>0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2">
      <c r="C91" s="72"/>
      <c r="D91" s="207"/>
      <c r="E91" s="204"/>
      <c r="F91" s="204"/>
      <c r="G91" s="206"/>
    </row>
    <row r="92" spans="1:33" x14ac:dyDescent="0.2">
      <c r="C92" s="208" t="s">
        <v>153</v>
      </c>
      <c r="D92" s="209"/>
      <c r="E92" s="209"/>
      <c r="F92" s="209"/>
      <c r="G92" s="210" t="str">
        <f>IF(_xlfn.MINIFS($G$90:$G$91, $G$90:$G$91, "&gt;"&amp;0)=0, $A$4, _xlfn.MINIFS($G$90:$G$91, $G$90:$G$91, "&gt;"&amp;0))</f>
        <v>Not used</v>
      </c>
    </row>
    <row r="94" spans="1:33" x14ac:dyDescent="0.2">
      <c r="G94" s="10"/>
    </row>
    <row r="102" spans="1:43" ht="15" x14ac:dyDescent="0.2">
      <c r="A102" s="78" t="s">
        <v>36</v>
      </c>
      <c r="B102" s="78"/>
      <c r="C102" s="78"/>
      <c r="D102" s="78"/>
      <c r="E102" s="78"/>
      <c r="F102" s="78"/>
      <c r="G102" s="1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2">
      <c r="I104" s="213"/>
      <c r="J104" s="213"/>
      <c r="K104" s="213"/>
      <c r="L104" s="213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</row>
    <row r="105" spans="1:43" x14ac:dyDescent="0.2">
      <c r="I105" s="213"/>
      <c r="J105" s="213"/>
      <c r="K105" s="213"/>
      <c r="L105" s="213"/>
      <c r="M105" s="213"/>
      <c r="N105" s="213"/>
      <c r="O105" s="213"/>
      <c r="P105" s="213"/>
      <c r="Q105" s="213"/>
      <c r="R105" s="213"/>
      <c r="S105" s="213"/>
      <c r="T105" s="213"/>
      <c r="U105" s="213"/>
      <c r="V105" s="213"/>
      <c r="W105" s="213"/>
      <c r="X105" s="213"/>
      <c r="Y105" s="213"/>
      <c r="Z105" s="213"/>
    </row>
    <row r="106" spans="1:43" x14ac:dyDescent="0.2">
      <c r="A106" s="1" t="s">
        <v>22</v>
      </c>
      <c r="C106" s="1" t="s">
        <v>147</v>
      </c>
      <c r="D106"/>
      <c r="E106"/>
      <c r="F106"/>
      <c r="G106" s="34" t="str">
        <f>PROPER($A$3)&amp;A106</f>
        <v>Option 5NPV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0</v>
      </c>
      <c r="N106" s="28">
        <f t="shared" si="18"/>
        <v>0</v>
      </c>
      <c r="O106" s="28">
        <f t="shared" si="18"/>
        <v>0</v>
      </c>
      <c r="P106" s="28">
        <f t="shared" si="18"/>
        <v>0</v>
      </c>
      <c r="Q106" s="28">
        <f t="shared" si="18"/>
        <v>0</v>
      </c>
      <c r="R106" s="28">
        <f t="shared" si="18"/>
        <v>0</v>
      </c>
      <c r="S106" s="28">
        <f t="shared" si="18"/>
        <v>0</v>
      </c>
      <c r="T106" s="28">
        <f t="shared" si="18"/>
        <v>0</v>
      </c>
      <c r="U106" s="28">
        <f t="shared" si="18"/>
        <v>0</v>
      </c>
      <c r="V106" s="28">
        <f t="shared" si="18"/>
        <v>0</v>
      </c>
      <c r="W106" s="28">
        <f t="shared" si="18"/>
        <v>0</v>
      </c>
      <c r="X106" s="28">
        <f t="shared" si="18"/>
        <v>0</v>
      </c>
      <c r="Y106" s="28">
        <f t="shared" si="18"/>
        <v>0</v>
      </c>
      <c r="Z106" s="28">
        <f t="shared" si="18"/>
        <v>0</v>
      </c>
      <c r="AA106" s="28">
        <f t="shared" si="18"/>
        <v>0</v>
      </c>
      <c r="AB106" s="28">
        <f t="shared" si="18"/>
        <v>0</v>
      </c>
      <c r="AC106" s="28">
        <f t="shared" si="18"/>
        <v>0</v>
      </c>
      <c r="AD106" s="28">
        <f t="shared" si="18"/>
        <v>0</v>
      </c>
      <c r="AE106" s="28">
        <f t="shared" si="18"/>
        <v>0</v>
      </c>
      <c r="AF106" s="28">
        <f t="shared" si="18"/>
        <v>0</v>
      </c>
      <c r="AG106" s="28">
        <f t="shared" si="18"/>
        <v>0</v>
      </c>
    </row>
    <row r="107" spans="1:43" x14ac:dyDescent="0.2">
      <c r="C107" s="1" t="s">
        <v>144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0</v>
      </c>
      <c r="N107" s="28">
        <f t="shared" si="19"/>
        <v>0</v>
      </c>
      <c r="O107" s="28">
        <f t="shared" si="19"/>
        <v>0</v>
      </c>
      <c r="P107" s="28">
        <f t="shared" si="19"/>
        <v>0</v>
      </c>
      <c r="Q107" s="28">
        <f t="shared" si="19"/>
        <v>0</v>
      </c>
      <c r="R107" s="28">
        <f t="shared" si="19"/>
        <v>0</v>
      </c>
      <c r="S107" s="28">
        <f t="shared" si="19"/>
        <v>0</v>
      </c>
      <c r="T107" s="28">
        <f t="shared" si="19"/>
        <v>0</v>
      </c>
      <c r="U107" s="28">
        <f t="shared" si="19"/>
        <v>0</v>
      </c>
      <c r="V107" s="28">
        <f t="shared" si="19"/>
        <v>0</v>
      </c>
      <c r="W107" s="28">
        <f t="shared" si="19"/>
        <v>0</v>
      </c>
      <c r="X107" s="28">
        <f t="shared" si="19"/>
        <v>0</v>
      </c>
      <c r="Y107" s="28">
        <f t="shared" si="19"/>
        <v>0</v>
      </c>
      <c r="Z107" s="28">
        <f t="shared" si="19"/>
        <v>0</v>
      </c>
      <c r="AA107" s="28">
        <f t="shared" si="19"/>
        <v>0</v>
      </c>
      <c r="AB107" s="28">
        <f t="shared" si="19"/>
        <v>0</v>
      </c>
      <c r="AC107" s="28">
        <f t="shared" si="19"/>
        <v>0</v>
      </c>
      <c r="AD107" s="28">
        <f t="shared" si="19"/>
        <v>0</v>
      </c>
      <c r="AE107" s="28">
        <f t="shared" si="19"/>
        <v>0</v>
      </c>
      <c r="AF107" s="28">
        <f t="shared" si="19"/>
        <v>0</v>
      </c>
      <c r="AG107" s="28">
        <f t="shared" si="19"/>
        <v>0</v>
      </c>
    </row>
    <row r="108" spans="1:43" x14ac:dyDescent="0.2">
      <c r="C108" s="1" t="s">
        <v>104</v>
      </c>
      <c r="D108"/>
      <c r="E108"/>
      <c r="F108"/>
      <c r="G108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0</v>
      </c>
      <c r="P108" s="28">
        <f t="shared" si="20"/>
        <v>0</v>
      </c>
      <c r="Q108" s="28">
        <f t="shared" si="20"/>
        <v>0</v>
      </c>
      <c r="R108" s="28">
        <f t="shared" si="20"/>
        <v>0</v>
      </c>
      <c r="S108" s="28">
        <f t="shared" si="20"/>
        <v>0</v>
      </c>
      <c r="T108" s="28">
        <f t="shared" si="20"/>
        <v>0</v>
      </c>
      <c r="U108" s="28">
        <f t="shared" si="20"/>
        <v>0</v>
      </c>
      <c r="V108" s="28">
        <f t="shared" si="20"/>
        <v>0</v>
      </c>
      <c r="W108" s="28">
        <f t="shared" si="20"/>
        <v>0</v>
      </c>
      <c r="X108" s="28">
        <f t="shared" si="20"/>
        <v>0</v>
      </c>
      <c r="Y108" s="28">
        <f t="shared" si="20"/>
        <v>0</v>
      </c>
      <c r="Z108" s="28">
        <f t="shared" si="20"/>
        <v>0</v>
      </c>
      <c r="AA108" s="28">
        <f t="shared" si="20"/>
        <v>0</v>
      </c>
      <c r="AB108" s="28">
        <f t="shared" si="20"/>
        <v>0</v>
      </c>
      <c r="AC108" s="28">
        <f t="shared" si="20"/>
        <v>0</v>
      </c>
      <c r="AD108" s="28">
        <f t="shared" si="20"/>
        <v>0</v>
      </c>
      <c r="AE108" s="28">
        <f t="shared" si="20"/>
        <v>0</v>
      </c>
      <c r="AF108" s="28">
        <f t="shared" si="20"/>
        <v>0</v>
      </c>
      <c r="AG108" s="28">
        <f t="shared" si="20"/>
        <v>0</v>
      </c>
    </row>
    <row r="109" spans="1:43" x14ac:dyDescent="0.2">
      <c r="D109" s="253" t="str">
        <f>Assumptions!G110</f>
        <v>Capex</v>
      </c>
      <c r="E109" s="253" t="str">
        <f>Assumptions!H110</f>
        <v>Total benefits</v>
      </c>
      <c r="I109" s="213"/>
      <c r="J109" s="213"/>
      <c r="K109" s="213"/>
      <c r="L109" s="213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</row>
    <row r="110" spans="1:43" x14ac:dyDescent="0.2">
      <c r="A110" s="1" t="str">
        <f>"sens"&amp;Assumptions!B111</f>
        <v>sens1</v>
      </c>
      <c r="C110" s="252" t="str">
        <f>Assumptions!C111</f>
        <v>Capex 10% higher</v>
      </c>
      <c r="D110" s="253">
        <f>Assumptions!G111</f>
        <v>0.1</v>
      </c>
      <c r="E110" s="253">
        <f>Assumptions!H111</f>
        <v>0</v>
      </c>
      <c r="G110" s="34" t="str">
        <f>PROPER($A$3)&amp;A110</f>
        <v>Option 5sens1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0</v>
      </c>
      <c r="O110" s="28" cm="1">
        <f t="array" ref="O110">O$106+IF($C110&lt;&gt;0,SUMPRODUCT((O$107:O$108)*TRANSPOSE(($D110:$E110))),0)</f>
        <v>0</v>
      </c>
      <c r="P110" s="28" cm="1">
        <f t="array" ref="P110">P$106+IF($C110&lt;&gt;0,SUMPRODUCT((P$107:P$108)*TRANSPOSE(($D110:$E110))),0)</f>
        <v>0</v>
      </c>
      <c r="Q110" s="28" cm="1">
        <f t="array" ref="Q110">Q$106+IF($C110&lt;&gt;0,SUMPRODUCT((Q$107:Q$108)*TRANSPOSE(($D110:$E110))),0)</f>
        <v>0</v>
      </c>
      <c r="R110" s="28" cm="1">
        <f t="array" ref="R110">R$106+IF($C110&lt;&gt;0,SUMPRODUCT((R$107:R$108)*TRANSPOSE(($D110:$E110))),0)</f>
        <v>0</v>
      </c>
      <c r="S110" s="28" cm="1">
        <f t="array" ref="S110">S$106+IF($C110&lt;&gt;0,SUMPRODUCT((S$107:S$108)*TRANSPOSE(($D110:$E110))),0)</f>
        <v>0</v>
      </c>
      <c r="T110" s="28" cm="1">
        <f t="array" ref="T110">T$106+IF($C110&lt;&gt;0,SUMPRODUCT((T$107:T$108)*TRANSPOSE(($D110:$E110))),0)</f>
        <v>0</v>
      </c>
      <c r="U110" s="28" cm="1">
        <f t="array" ref="U110">U$106+IF($C110&lt;&gt;0,SUMPRODUCT((U$107:U$108)*TRANSPOSE(($D110:$E110))),0)</f>
        <v>0</v>
      </c>
      <c r="V110" s="28" cm="1">
        <f t="array" ref="V110">V$106+IF($C110&lt;&gt;0,SUMPRODUCT((V$107:V$108)*TRANSPOSE(($D110:$E110))),0)</f>
        <v>0</v>
      </c>
      <c r="W110" s="28" cm="1">
        <f t="array" ref="W110">W$106+IF($C110&lt;&gt;0,SUMPRODUCT((W$107:W$108)*TRANSPOSE(($D110:$E110))),0)</f>
        <v>0</v>
      </c>
      <c r="X110" s="28" cm="1">
        <f t="array" ref="X110">X$106+IF($C110&lt;&gt;0,SUMPRODUCT((X$107:X$108)*TRANSPOSE(($D110:$E110))),0)</f>
        <v>0</v>
      </c>
      <c r="Y110" s="28" cm="1">
        <f t="array" ref="Y110">Y$106+IF($C110&lt;&gt;0,SUMPRODUCT((Y$107:Y$108)*TRANSPOSE(($D110:$E110))),0)</f>
        <v>0</v>
      </c>
      <c r="Z110" s="28" cm="1">
        <f t="array" ref="Z110">Z$106+IF($C110&lt;&gt;0,SUMPRODUCT((Z$107:Z$108)*TRANSPOSE(($D110:$E110))),0)</f>
        <v>0</v>
      </c>
      <c r="AA110" s="28" cm="1">
        <f t="array" ref="AA110">AA$106+IF($C110&lt;&gt;0,SUMPRODUCT((AA$107:AA$108)*TRANSPOSE(($D110:$E110))),0)</f>
        <v>0</v>
      </c>
      <c r="AB110" s="28" cm="1">
        <f t="array" ref="AB110">AB$106+IF($C110&lt;&gt;0,SUMPRODUCT((AB$107:AB$108)*TRANSPOSE(($D110:$E110))),0)</f>
        <v>0</v>
      </c>
      <c r="AC110" s="28" cm="1">
        <f t="array" ref="AC110">AC$106+IF($C110&lt;&gt;0,SUMPRODUCT((AC$107:AC$108)*TRANSPOSE(($D110:$E110))),0)</f>
        <v>0</v>
      </c>
      <c r="AD110" s="28" cm="1">
        <f t="array" ref="AD110">AD$106+IF($C110&lt;&gt;0,SUMPRODUCT((AD$107:AD$108)*TRANSPOSE(($D110:$E110))),0)</f>
        <v>0</v>
      </c>
      <c r="AE110" s="28" cm="1">
        <f t="array" ref="AE110">AE$106+IF($C110&lt;&gt;0,SUMPRODUCT((AE$107:AE$108)*TRANSPOSE(($D110:$E110))),0)</f>
        <v>0</v>
      </c>
      <c r="AF110" s="28" cm="1">
        <f t="array" ref="AF110">AF$106+IF($C110&lt;&gt;0,SUMPRODUCT((AF$107:AF$108)*TRANSPOSE(($D110:$E110))),0)</f>
        <v>0</v>
      </c>
      <c r="AG110" s="28" cm="1">
        <f t="array" ref="AG110">AG$106+IF($C110&lt;&gt;0,SUMPRODUCT((AG$107:AG$108)*TRANSPOSE(($D110:$E110))),0)</f>
        <v>0</v>
      </c>
    </row>
    <row r="111" spans="1:43" x14ac:dyDescent="0.2">
      <c r="A111" s="1" t="str">
        <f>"sens"&amp;Assumptions!B112</f>
        <v>sens2</v>
      </c>
      <c r="C111" s="252" t="str">
        <f>Assumptions!C112</f>
        <v>Capex 10% lower</v>
      </c>
      <c r="D111" s="253">
        <f>Assumptions!G112</f>
        <v>-0.1</v>
      </c>
      <c r="E111" s="253">
        <f>Assumptions!H112</f>
        <v>0</v>
      </c>
      <c r="G111" s="34" t="str">
        <f t="shared" ref="G111:G117" si="21">PROPER($A$3)&amp;A111</f>
        <v>Option 5sens2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0</v>
      </c>
      <c r="O111" s="28" cm="1">
        <f t="array" ref="O111">O$106+IF($C111&lt;&gt;0,SUMPRODUCT((O$107:O$108)*TRANSPOSE(($D111:$E111))),0)</f>
        <v>0</v>
      </c>
      <c r="P111" s="28" cm="1">
        <f t="array" ref="P111">P$106+IF($C111&lt;&gt;0,SUMPRODUCT((P$107:P$108)*TRANSPOSE(($D111:$E111))),0)</f>
        <v>0</v>
      </c>
      <c r="Q111" s="28" cm="1">
        <f t="array" ref="Q111">Q$106+IF($C111&lt;&gt;0,SUMPRODUCT((Q$107:Q$108)*TRANSPOSE(($D111:$E111))),0)</f>
        <v>0</v>
      </c>
      <c r="R111" s="28" cm="1">
        <f t="array" ref="R111">R$106+IF($C111&lt;&gt;0,SUMPRODUCT((R$107:R$108)*TRANSPOSE(($D111:$E111))),0)</f>
        <v>0</v>
      </c>
      <c r="S111" s="28" cm="1">
        <f t="array" ref="S111">S$106+IF($C111&lt;&gt;0,SUMPRODUCT((S$107:S$108)*TRANSPOSE(($D111:$E111))),0)</f>
        <v>0</v>
      </c>
      <c r="T111" s="28" cm="1">
        <f t="array" ref="T111">T$106+IF($C111&lt;&gt;0,SUMPRODUCT((T$107:T$108)*TRANSPOSE(($D111:$E111))),0)</f>
        <v>0</v>
      </c>
      <c r="U111" s="28" cm="1">
        <f t="array" ref="U111">U$106+IF($C111&lt;&gt;0,SUMPRODUCT((U$107:U$108)*TRANSPOSE(($D111:$E111))),0)</f>
        <v>0</v>
      </c>
      <c r="V111" s="28" cm="1">
        <f t="array" ref="V111">V$106+IF($C111&lt;&gt;0,SUMPRODUCT((V$107:V$108)*TRANSPOSE(($D111:$E111))),0)</f>
        <v>0</v>
      </c>
      <c r="W111" s="28" cm="1">
        <f t="array" ref="W111">W$106+IF($C111&lt;&gt;0,SUMPRODUCT((W$107:W$108)*TRANSPOSE(($D111:$E111))),0)</f>
        <v>0</v>
      </c>
      <c r="X111" s="28" cm="1">
        <f t="array" ref="X111">X$106+IF($C111&lt;&gt;0,SUMPRODUCT((X$107:X$108)*TRANSPOSE(($D111:$E111))),0)</f>
        <v>0</v>
      </c>
      <c r="Y111" s="28" cm="1">
        <f t="array" ref="Y111">Y$106+IF($C111&lt;&gt;0,SUMPRODUCT((Y$107:Y$108)*TRANSPOSE(($D111:$E111))),0)</f>
        <v>0</v>
      </c>
      <c r="Z111" s="28" cm="1">
        <f t="array" ref="Z111">Z$106+IF($C111&lt;&gt;0,SUMPRODUCT((Z$107:Z$108)*TRANSPOSE(($D111:$E111))),0)</f>
        <v>0</v>
      </c>
      <c r="AA111" s="28" cm="1">
        <f t="array" ref="AA111">AA$106+IF($C111&lt;&gt;0,SUMPRODUCT((AA$107:AA$108)*TRANSPOSE(($D111:$E111))),0)</f>
        <v>0</v>
      </c>
      <c r="AB111" s="28" cm="1">
        <f t="array" ref="AB111">AB$106+IF($C111&lt;&gt;0,SUMPRODUCT((AB$107:AB$108)*TRANSPOSE(($D111:$E111))),0)</f>
        <v>0</v>
      </c>
      <c r="AC111" s="28" cm="1">
        <f t="array" ref="AC111">AC$106+IF($C111&lt;&gt;0,SUMPRODUCT((AC$107:AC$108)*TRANSPOSE(($D111:$E111))),0)</f>
        <v>0</v>
      </c>
      <c r="AD111" s="28" cm="1">
        <f t="array" ref="AD111">AD$106+IF($C111&lt;&gt;0,SUMPRODUCT((AD$107:AD$108)*TRANSPOSE(($D111:$E111))),0)</f>
        <v>0</v>
      </c>
      <c r="AE111" s="28" cm="1">
        <f t="array" ref="AE111">AE$106+IF($C111&lt;&gt;0,SUMPRODUCT((AE$107:AE$108)*TRANSPOSE(($D111:$E111))),0)</f>
        <v>0</v>
      </c>
      <c r="AF111" s="28" cm="1">
        <f t="array" ref="AF111">AF$106+IF($C111&lt;&gt;0,SUMPRODUCT((AF$107:AF$108)*TRANSPOSE(($D111:$E111))),0)</f>
        <v>0</v>
      </c>
      <c r="AG111" s="28" cm="1">
        <f t="array" ref="AG111">AG$106+IF($C111&lt;&gt;0,SUMPRODUCT((AG$107:AG$108)*TRANSPOSE(($D111:$E111))),0)</f>
        <v>0</v>
      </c>
    </row>
    <row r="112" spans="1:43" x14ac:dyDescent="0.2">
      <c r="A112" s="1" t="str">
        <f>"sens"&amp;Assumptions!B113</f>
        <v>sens3</v>
      </c>
      <c r="C112" s="252" t="str">
        <f>Assumptions!C113</f>
        <v>Total benefits 10% higher</v>
      </c>
      <c r="D112" s="253">
        <f>Assumptions!G113</f>
        <v>0</v>
      </c>
      <c r="E112" s="253">
        <f>Assumptions!H113</f>
        <v>0.1</v>
      </c>
      <c r="G112" s="34" t="str">
        <f t="shared" si="21"/>
        <v>Option 5sens3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0</v>
      </c>
      <c r="O112" s="28" cm="1">
        <f t="array" ref="O112">O$106+IF($C112&lt;&gt;0,SUMPRODUCT((O$107:O$108)*TRANSPOSE(($D112:$E112))),0)</f>
        <v>0</v>
      </c>
      <c r="P112" s="28" cm="1">
        <f t="array" ref="P112">P$106+IF($C112&lt;&gt;0,SUMPRODUCT((P$107:P$108)*TRANSPOSE(($D112:$E112))),0)</f>
        <v>0</v>
      </c>
      <c r="Q112" s="28" cm="1">
        <f t="array" ref="Q112">Q$106+IF($C112&lt;&gt;0,SUMPRODUCT((Q$107:Q$108)*TRANSPOSE(($D112:$E112))),0)</f>
        <v>0</v>
      </c>
      <c r="R112" s="28" cm="1">
        <f t="array" ref="R112">R$106+IF($C112&lt;&gt;0,SUMPRODUCT((R$107:R$108)*TRANSPOSE(($D112:$E112))),0)</f>
        <v>0</v>
      </c>
      <c r="S112" s="28" cm="1">
        <f t="array" ref="S112">S$106+IF($C112&lt;&gt;0,SUMPRODUCT((S$107:S$108)*TRANSPOSE(($D112:$E112))),0)</f>
        <v>0</v>
      </c>
      <c r="T112" s="28" cm="1">
        <f t="array" ref="T112">T$106+IF($C112&lt;&gt;0,SUMPRODUCT((T$107:T$108)*TRANSPOSE(($D112:$E112))),0)</f>
        <v>0</v>
      </c>
      <c r="U112" s="28" cm="1">
        <f t="array" ref="U112">U$106+IF($C112&lt;&gt;0,SUMPRODUCT((U$107:U$108)*TRANSPOSE(($D112:$E112))),0)</f>
        <v>0</v>
      </c>
      <c r="V112" s="28" cm="1">
        <f t="array" ref="V112">V$106+IF($C112&lt;&gt;0,SUMPRODUCT((V$107:V$108)*TRANSPOSE(($D112:$E112))),0)</f>
        <v>0</v>
      </c>
      <c r="W112" s="28" cm="1">
        <f t="array" ref="W112">W$106+IF($C112&lt;&gt;0,SUMPRODUCT((W$107:W$108)*TRANSPOSE(($D112:$E112))),0)</f>
        <v>0</v>
      </c>
      <c r="X112" s="28" cm="1">
        <f t="array" ref="X112">X$106+IF($C112&lt;&gt;0,SUMPRODUCT((X$107:X$108)*TRANSPOSE(($D112:$E112))),0)</f>
        <v>0</v>
      </c>
      <c r="Y112" s="28" cm="1">
        <f t="array" ref="Y112">Y$106+IF($C112&lt;&gt;0,SUMPRODUCT((Y$107:Y$108)*TRANSPOSE(($D112:$E112))),0)</f>
        <v>0</v>
      </c>
      <c r="Z112" s="28" cm="1">
        <f t="array" ref="Z112">Z$106+IF($C112&lt;&gt;0,SUMPRODUCT((Z$107:Z$108)*TRANSPOSE(($D112:$E112))),0)</f>
        <v>0</v>
      </c>
      <c r="AA112" s="28" cm="1">
        <f t="array" ref="AA112">AA$106+IF($C112&lt;&gt;0,SUMPRODUCT((AA$107:AA$108)*TRANSPOSE(($D112:$E112))),0)</f>
        <v>0</v>
      </c>
      <c r="AB112" s="28" cm="1">
        <f t="array" ref="AB112">AB$106+IF($C112&lt;&gt;0,SUMPRODUCT((AB$107:AB$108)*TRANSPOSE(($D112:$E112))),0)</f>
        <v>0</v>
      </c>
      <c r="AC112" s="28" cm="1">
        <f t="array" ref="AC112">AC$106+IF($C112&lt;&gt;0,SUMPRODUCT((AC$107:AC$108)*TRANSPOSE(($D112:$E112))),0)</f>
        <v>0</v>
      </c>
      <c r="AD112" s="28" cm="1">
        <f t="array" ref="AD112">AD$106+IF($C112&lt;&gt;0,SUMPRODUCT((AD$107:AD$108)*TRANSPOSE(($D112:$E112))),0)</f>
        <v>0</v>
      </c>
      <c r="AE112" s="28" cm="1">
        <f t="array" ref="AE112">AE$106+IF($C112&lt;&gt;0,SUMPRODUCT((AE$107:AE$108)*TRANSPOSE(($D112:$E112))),0)</f>
        <v>0</v>
      </c>
      <c r="AF112" s="28" cm="1">
        <f t="array" ref="AF112">AF$106+IF($C112&lt;&gt;0,SUMPRODUCT((AF$107:AF$108)*TRANSPOSE(($D112:$E112))),0)</f>
        <v>0</v>
      </c>
      <c r="AG112" s="28" cm="1">
        <f t="array" ref="AG112">AG$106+IF($C112&lt;&gt;0,SUMPRODUCT((AG$107:AG$108)*TRANSPOSE(($D112:$E112))),0)</f>
        <v>0</v>
      </c>
    </row>
    <row r="113" spans="1:33" x14ac:dyDescent="0.2">
      <c r="A113" s="1" t="str">
        <f>"sens"&amp;Assumptions!B114</f>
        <v>sens4</v>
      </c>
      <c r="C113" s="252" t="str">
        <f>Assumptions!C114</f>
        <v>Total benefits 10% lower</v>
      </c>
      <c r="D113" s="253">
        <f>Assumptions!G114</f>
        <v>0</v>
      </c>
      <c r="E113" s="253">
        <f>Assumptions!H114</f>
        <v>-0.1</v>
      </c>
      <c r="G113" s="34" t="str">
        <f t="shared" si="21"/>
        <v>Option 5sens4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0</v>
      </c>
      <c r="O113" s="28" cm="1">
        <f t="array" ref="O113">O$106+IF($C113&lt;&gt;0,SUMPRODUCT((O$107:O$108)*TRANSPOSE(($D113:$E113))),0)</f>
        <v>0</v>
      </c>
      <c r="P113" s="28" cm="1">
        <f t="array" ref="P113">P$106+IF($C113&lt;&gt;0,SUMPRODUCT((P$107:P$108)*TRANSPOSE(($D113:$E113))),0)</f>
        <v>0</v>
      </c>
      <c r="Q113" s="28" cm="1">
        <f t="array" ref="Q113">Q$106+IF($C113&lt;&gt;0,SUMPRODUCT((Q$107:Q$108)*TRANSPOSE(($D113:$E113))),0)</f>
        <v>0</v>
      </c>
      <c r="R113" s="28" cm="1">
        <f t="array" ref="R113">R$106+IF($C113&lt;&gt;0,SUMPRODUCT((R$107:R$108)*TRANSPOSE(($D113:$E113))),0)</f>
        <v>0</v>
      </c>
      <c r="S113" s="28" cm="1">
        <f t="array" ref="S113">S$106+IF($C113&lt;&gt;0,SUMPRODUCT((S$107:S$108)*TRANSPOSE(($D113:$E113))),0)</f>
        <v>0</v>
      </c>
      <c r="T113" s="28" cm="1">
        <f t="array" ref="T113">T$106+IF($C113&lt;&gt;0,SUMPRODUCT((T$107:T$108)*TRANSPOSE(($D113:$E113))),0)</f>
        <v>0</v>
      </c>
      <c r="U113" s="28" cm="1">
        <f t="array" ref="U113">U$106+IF($C113&lt;&gt;0,SUMPRODUCT((U$107:U$108)*TRANSPOSE(($D113:$E113))),0)</f>
        <v>0</v>
      </c>
      <c r="V113" s="28" cm="1">
        <f t="array" ref="V113">V$106+IF($C113&lt;&gt;0,SUMPRODUCT((V$107:V$108)*TRANSPOSE(($D113:$E113))),0)</f>
        <v>0</v>
      </c>
      <c r="W113" s="28" cm="1">
        <f t="array" ref="W113">W$106+IF($C113&lt;&gt;0,SUMPRODUCT((W$107:W$108)*TRANSPOSE(($D113:$E113))),0)</f>
        <v>0</v>
      </c>
      <c r="X113" s="28" cm="1">
        <f t="array" ref="X113">X$106+IF($C113&lt;&gt;0,SUMPRODUCT((X$107:X$108)*TRANSPOSE(($D113:$E113))),0)</f>
        <v>0</v>
      </c>
      <c r="Y113" s="28" cm="1">
        <f t="array" ref="Y113">Y$106+IF($C113&lt;&gt;0,SUMPRODUCT((Y$107:Y$108)*TRANSPOSE(($D113:$E113))),0)</f>
        <v>0</v>
      </c>
      <c r="Z113" s="28" cm="1">
        <f t="array" ref="Z113">Z$106+IF($C113&lt;&gt;0,SUMPRODUCT((Z$107:Z$108)*TRANSPOSE(($D113:$E113))),0)</f>
        <v>0</v>
      </c>
      <c r="AA113" s="28" cm="1">
        <f t="array" ref="AA113">AA$106+IF($C113&lt;&gt;0,SUMPRODUCT((AA$107:AA$108)*TRANSPOSE(($D113:$E113))),0)</f>
        <v>0</v>
      </c>
      <c r="AB113" s="28" cm="1">
        <f t="array" ref="AB113">AB$106+IF($C113&lt;&gt;0,SUMPRODUCT((AB$107:AB$108)*TRANSPOSE(($D113:$E113))),0)</f>
        <v>0</v>
      </c>
      <c r="AC113" s="28" cm="1">
        <f t="array" ref="AC113">AC$106+IF($C113&lt;&gt;0,SUMPRODUCT((AC$107:AC$108)*TRANSPOSE(($D113:$E113))),0)</f>
        <v>0</v>
      </c>
      <c r="AD113" s="28" cm="1">
        <f t="array" ref="AD113">AD$106+IF($C113&lt;&gt;0,SUMPRODUCT((AD$107:AD$108)*TRANSPOSE(($D113:$E113))),0)</f>
        <v>0</v>
      </c>
      <c r="AE113" s="28" cm="1">
        <f t="array" ref="AE113">AE$106+IF($C113&lt;&gt;0,SUMPRODUCT((AE$107:AE$108)*TRANSPOSE(($D113:$E113))),0)</f>
        <v>0</v>
      </c>
      <c r="AF113" s="28" cm="1">
        <f t="array" ref="AF113">AF$106+IF($C113&lt;&gt;0,SUMPRODUCT((AF$107:AF$108)*TRANSPOSE(($D113:$E113))),0)</f>
        <v>0</v>
      </c>
      <c r="AG113" s="28" cm="1">
        <f t="array" ref="AG113">AG$106+IF($C113&lt;&gt;0,SUMPRODUCT((AG$107:AG$108)*TRANSPOSE(($D113:$E113))),0)</f>
        <v>0</v>
      </c>
    </row>
    <row r="114" spans="1:33" x14ac:dyDescent="0.2">
      <c r="A114" s="1" t="str">
        <f>"sens"&amp;Assumptions!B115</f>
        <v>sens5</v>
      </c>
      <c r="C114" s="252" t="str">
        <f>Assumptions!C115</f>
        <v>Capex 10% higher &amp; Total benefits 10% lower</v>
      </c>
      <c r="D114" s="253">
        <f>Assumptions!G115</f>
        <v>0.1</v>
      </c>
      <c r="E114" s="253">
        <f>Assumptions!H115</f>
        <v>-0.1</v>
      </c>
      <c r="G114" s="34" t="str">
        <f t="shared" si="21"/>
        <v>Option 5sens5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0</v>
      </c>
      <c r="O114" s="28" cm="1">
        <f t="array" ref="O114">O$106+IF($C114&lt;&gt;0,SUMPRODUCT((O$107:O$108)*TRANSPOSE(($D114:$E114))),0)</f>
        <v>0</v>
      </c>
      <c r="P114" s="28" cm="1">
        <f t="array" ref="P114">P$106+IF($C114&lt;&gt;0,SUMPRODUCT((P$107:P$108)*TRANSPOSE(($D114:$E114))),0)</f>
        <v>0</v>
      </c>
      <c r="Q114" s="28" cm="1">
        <f t="array" ref="Q114">Q$106+IF($C114&lt;&gt;0,SUMPRODUCT((Q$107:Q$108)*TRANSPOSE(($D114:$E114))),0)</f>
        <v>0</v>
      </c>
      <c r="R114" s="28" cm="1">
        <f t="array" ref="R114">R$106+IF($C114&lt;&gt;0,SUMPRODUCT((R$107:R$108)*TRANSPOSE(($D114:$E114))),0)</f>
        <v>0</v>
      </c>
      <c r="S114" s="28" cm="1">
        <f t="array" ref="S114">S$106+IF($C114&lt;&gt;0,SUMPRODUCT((S$107:S$108)*TRANSPOSE(($D114:$E114))),0)</f>
        <v>0</v>
      </c>
      <c r="T114" s="28" cm="1">
        <f t="array" ref="T114">T$106+IF($C114&lt;&gt;0,SUMPRODUCT((T$107:T$108)*TRANSPOSE(($D114:$E114))),0)</f>
        <v>0</v>
      </c>
      <c r="U114" s="28" cm="1">
        <f t="array" ref="U114">U$106+IF($C114&lt;&gt;0,SUMPRODUCT((U$107:U$108)*TRANSPOSE(($D114:$E114))),0)</f>
        <v>0</v>
      </c>
      <c r="V114" s="28" cm="1">
        <f t="array" ref="V114">V$106+IF($C114&lt;&gt;0,SUMPRODUCT((V$107:V$108)*TRANSPOSE(($D114:$E114))),0)</f>
        <v>0</v>
      </c>
      <c r="W114" s="28" cm="1">
        <f t="array" ref="W114">W$106+IF($C114&lt;&gt;0,SUMPRODUCT((W$107:W$108)*TRANSPOSE(($D114:$E114))),0)</f>
        <v>0</v>
      </c>
      <c r="X114" s="28" cm="1">
        <f t="array" ref="X114">X$106+IF($C114&lt;&gt;0,SUMPRODUCT((X$107:X$108)*TRANSPOSE(($D114:$E114))),0)</f>
        <v>0</v>
      </c>
      <c r="Y114" s="28" cm="1">
        <f t="array" ref="Y114">Y$106+IF($C114&lt;&gt;0,SUMPRODUCT((Y$107:Y$108)*TRANSPOSE(($D114:$E114))),0)</f>
        <v>0</v>
      </c>
      <c r="Z114" s="28" cm="1">
        <f t="array" ref="Z114">Z$106+IF($C114&lt;&gt;0,SUMPRODUCT((Z$107:Z$108)*TRANSPOSE(($D114:$E114))),0)</f>
        <v>0</v>
      </c>
      <c r="AA114" s="28" cm="1">
        <f t="array" ref="AA114">AA$106+IF($C114&lt;&gt;0,SUMPRODUCT((AA$107:AA$108)*TRANSPOSE(($D114:$E114))),0)</f>
        <v>0</v>
      </c>
      <c r="AB114" s="28" cm="1">
        <f t="array" ref="AB114">AB$106+IF($C114&lt;&gt;0,SUMPRODUCT((AB$107:AB$108)*TRANSPOSE(($D114:$E114))),0)</f>
        <v>0</v>
      </c>
      <c r="AC114" s="28" cm="1">
        <f t="array" ref="AC114">AC$106+IF($C114&lt;&gt;0,SUMPRODUCT((AC$107:AC$108)*TRANSPOSE(($D114:$E114))),0)</f>
        <v>0</v>
      </c>
      <c r="AD114" s="28" cm="1">
        <f t="array" ref="AD114">AD$106+IF($C114&lt;&gt;0,SUMPRODUCT((AD$107:AD$108)*TRANSPOSE(($D114:$E114))),0)</f>
        <v>0</v>
      </c>
      <c r="AE114" s="28" cm="1">
        <f t="array" ref="AE114">AE$106+IF($C114&lt;&gt;0,SUMPRODUCT((AE$107:AE$108)*TRANSPOSE(($D114:$E114))),0)</f>
        <v>0</v>
      </c>
      <c r="AF114" s="28" cm="1">
        <f t="array" ref="AF114">AF$106+IF($C114&lt;&gt;0,SUMPRODUCT((AF$107:AF$108)*TRANSPOSE(($D114:$E114))),0)</f>
        <v>0</v>
      </c>
      <c r="AG114" s="28" cm="1">
        <f t="array" ref="AG114">AG$106+IF($C114&lt;&gt;0,SUMPRODUCT((AG$107:AG$108)*TRANSPOSE(($D114:$E114))),0)</f>
        <v>0</v>
      </c>
    </row>
    <row r="115" spans="1:33" x14ac:dyDescent="0.2">
      <c r="A115" s="1" t="str">
        <f>"sens"&amp;Assumptions!B116</f>
        <v>sens</v>
      </c>
      <c r="C115" s="252">
        <f>Assumptions!C116</f>
        <v>0</v>
      </c>
      <c r="D115" s="253">
        <f>Assumptions!G116</f>
        <v>0</v>
      </c>
      <c r="E115" s="253">
        <f>Assumptions!H116</f>
        <v>0</v>
      </c>
      <c r="G115" s="34" t="str">
        <f t="shared" si="21"/>
        <v>Option 5sens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0</v>
      </c>
      <c r="O115" s="28" cm="1">
        <f t="array" ref="O115">O$106+IF($C115&lt;&gt;0,SUMPRODUCT((O$107:O$108)*TRANSPOSE(($D115:$E115))),0)</f>
        <v>0</v>
      </c>
      <c r="P115" s="28" cm="1">
        <f t="array" ref="P115">P$106+IF($C115&lt;&gt;0,SUMPRODUCT((P$107:P$108)*TRANSPOSE(($D115:$E115))),0)</f>
        <v>0</v>
      </c>
      <c r="Q115" s="28" cm="1">
        <f t="array" ref="Q115">Q$106+IF($C115&lt;&gt;0,SUMPRODUCT((Q$107:Q$108)*TRANSPOSE(($D115:$E115))),0)</f>
        <v>0</v>
      </c>
      <c r="R115" s="28" cm="1">
        <f t="array" ref="R115">R$106+IF($C115&lt;&gt;0,SUMPRODUCT((R$107:R$108)*TRANSPOSE(($D115:$E115))),0)</f>
        <v>0</v>
      </c>
      <c r="S115" s="28" cm="1">
        <f t="array" ref="S115">S$106+IF($C115&lt;&gt;0,SUMPRODUCT((S$107:S$108)*TRANSPOSE(($D115:$E115))),0)</f>
        <v>0</v>
      </c>
      <c r="T115" s="28" cm="1">
        <f t="array" ref="T115">T$106+IF($C115&lt;&gt;0,SUMPRODUCT((T$107:T$108)*TRANSPOSE(($D115:$E115))),0)</f>
        <v>0</v>
      </c>
      <c r="U115" s="28" cm="1">
        <f t="array" ref="U115">U$106+IF($C115&lt;&gt;0,SUMPRODUCT((U$107:U$108)*TRANSPOSE(($D115:$E115))),0)</f>
        <v>0</v>
      </c>
      <c r="V115" s="28" cm="1">
        <f t="array" ref="V115">V$106+IF($C115&lt;&gt;0,SUMPRODUCT((V$107:V$108)*TRANSPOSE(($D115:$E115))),0)</f>
        <v>0</v>
      </c>
      <c r="W115" s="28" cm="1">
        <f t="array" ref="W115">W$106+IF($C115&lt;&gt;0,SUMPRODUCT((W$107:W$108)*TRANSPOSE(($D115:$E115))),0)</f>
        <v>0</v>
      </c>
      <c r="X115" s="28" cm="1">
        <f t="array" ref="X115">X$106+IF($C115&lt;&gt;0,SUMPRODUCT((X$107:X$108)*TRANSPOSE(($D115:$E115))),0)</f>
        <v>0</v>
      </c>
      <c r="Y115" s="28" cm="1">
        <f t="array" ref="Y115">Y$106+IF($C115&lt;&gt;0,SUMPRODUCT((Y$107:Y$108)*TRANSPOSE(($D115:$E115))),0)</f>
        <v>0</v>
      </c>
      <c r="Z115" s="28" cm="1">
        <f t="array" ref="Z115">Z$106+IF($C115&lt;&gt;0,SUMPRODUCT((Z$107:Z$108)*TRANSPOSE(($D115:$E115))),0)</f>
        <v>0</v>
      </c>
      <c r="AA115" s="28" cm="1">
        <f t="array" ref="AA115">AA$106+IF($C115&lt;&gt;0,SUMPRODUCT((AA$107:AA$108)*TRANSPOSE(($D115:$E115))),0)</f>
        <v>0</v>
      </c>
      <c r="AB115" s="28" cm="1">
        <f t="array" ref="AB115">AB$106+IF($C115&lt;&gt;0,SUMPRODUCT((AB$107:AB$108)*TRANSPOSE(($D115:$E115))),0)</f>
        <v>0</v>
      </c>
      <c r="AC115" s="28" cm="1">
        <f t="array" ref="AC115">AC$106+IF($C115&lt;&gt;0,SUMPRODUCT((AC$107:AC$108)*TRANSPOSE(($D115:$E115))),0)</f>
        <v>0</v>
      </c>
      <c r="AD115" s="28" cm="1">
        <f t="array" ref="AD115">AD$106+IF($C115&lt;&gt;0,SUMPRODUCT((AD$107:AD$108)*TRANSPOSE(($D115:$E115))),0)</f>
        <v>0</v>
      </c>
      <c r="AE115" s="28" cm="1">
        <f t="array" ref="AE115">AE$106+IF($C115&lt;&gt;0,SUMPRODUCT((AE$107:AE$108)*TRANSPOSE(($D115:$E115))),0)</f>
        <v>0</v>
      </c>
      <c r="AF115" s="28" cm="1">
        <f t="array" ref="AF115">AF$106+IF($C115&lt;&gt;0,SUMPRODUCT((AF$107:AF$108)*TRANSPOSE(($D115:$E115))),0)</f>
        <v>0</v>
      </c>
      <c r="AG115" s="28" cm="1">
        <f t="array" ref="AG115">AG$106+IF($C115&lt;&gt;0,SUMPRODUCT((AG$107:AG$108)*TRANSPOSE(($D115:$E115))),0)</f>
        <v>0</v>
      </c>
    </row>
    <row r="116" spans="1:33" x14ac:dyDescent="0.2">
      <c r="A116" s="1" t="str">
        <f>"sens"&amp;Assumptions!B117</f>
        <v>sens</v>
      </c>
      <c r="C116" s="252">
        <f>Assumptions!C117</f>
        <v>0</v>
      </c>
      <c r="D116" s="253">
        <f>Assumptions!G117</f>
        <v>0</v>
      </c>
      <c r="E116" s="253">
        <f>Assumptions!H117</f>
        <v>0</v>
      </c>
      <c r="G116" s="34" t="str">
        <f t="shared" si="21"/>
        <v>Option 5sens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0</v>
      </c>
      <c r="O116" s="28" cm="1">
        <f t="array" ref="O116">O$106+IF($C116&lt;&gt;0,SUMPRODUCT((O$107:O$108)*TRANSPOSE(($D116:$E116))),0)</f>
        <v>0</v>
      </c>
      <c r="P116" s="28" cm="1">
        <f t="array" ref="P116">P$106+IF($C116&lt;&gt;0,SUMPRODUCT((P$107:P$108)*TRANSPOSE(($D116:$E116))),0)</f>
        <v>0</v>
      </c>
      <c r="Q116" s="28" cm="1">
        <f t="array" ref="Q116">Q$106+IF($C116&lt;&gt;0,SUMPRODUCT((Q$107:Q$108)*TRANSPOSE(($D116:$E116))),0)</f>
        <v>0</v>
      </c>
      <c r="R116" s="28" cm="1">
        <f t="array" ref="R116">R$106+IF($C116&lt;&gt;0,SUMPRODUCT((R$107:R$108)*TRANSPOSE(($D116:$E116))),0)</f>
        <v>0</v>
      </c>
      <c r="S116" s="28" cm="1">
        <f t="array" ref="S116">S$106+IF($C116&lt;&gt;0,SUMPRODUCT((S$107:S$108)*TRANSPOSE(($D116:$E116))),0)</f>
        <v>0</v>
      </c>
      <c r="T116" s="28" cm="1">
        <f t="array" ref="T116">T$106+IF($C116&lt;&gt;0,SUMPRODUCT((T$107:T$108)*TRANSPOSE(($D116:$E116))),0)</f>
        <v>0</v>
      </c>
      <c r="U116" s="28" cm="1">
        <f t="array" ref="U116">U$106+IF($C116&lt;&gt;0,SUMPRODUCT((U$107:U$108)*TRANSPOSE(($D116:$E116))),0)</f>
        <v>0</v>
      </c>
      <c r="V116" s="28" cm="1">
        <f t="array" ref="V116">V$106+IF($C116&lt;&gt;0,SUMPRODUCT((V$107:V$108)*TRANSPOSE(($D116:$E116))),0)</f>
        <v>0</v>
      </c>
      <c r="W116" s="28" cm="1">
        <f t="array" ref="W116">W$106+IF($C116&lt;&gt;0,SUMPRODUCT((W$107:W$108)*TRANSPOSE(($D116:$E116))),0)</f>
        <v>0</v>
      </c>
      <c r="X116" s="28" cm="1">
        <f t="array" ref="X116">X$106+IF($C116&lt;&gt;0,SUMPRODUCT((X$107:X$108)*TRANSPOSE(($D116:$E116))),0)</f>
        <v>0</v>
      </c>
      <c r="Y116" s="28" cm="1">
        <f t="array" ref="Y116">Y$106+IF($C116&lt;&gt;0,SUMPRODUCT((Y$107:Y$108)*TRANSPOSE(($D116:$E116))),0)</f>
        <v>0</v>
      </c>
      <c r="Z116" s="28" cm="1">
        <f t="array" ref="Z116">Z$106+IF($C116&lt;&gt;0,SUMPRODUCT((Z$107:Z$108)*TRANSPOSE(($D116:$E116))),0)</f>
        <v>0</v>
      </c>
      <c r="AA116" s="28" cm="1">
        <f t="array" ref="AA116">AA$106+IF($C116&lt;&gt;0,SUMPRODUCT((AA$107:AA$108)*TRANSPOSE(($D116:$E116))),0)</f>
        <v>0</v>
      </c>
      <c r="AB116" s="28" cm="1">
        <f t="array" ref="AB116">AB$106+IF($C116&lt;&gt;0,SUMPRODUCT((AB$107:AB$108)*TRANSPOSE(($D116:$E116))),0)</f>
        <v>0</v>
      </c>
      <c r="AC116" s="28" cm="1">
        <f t="array" ref="AC116">AC$106+IF($C116&lt;&gt;0,SUMPRODUCT((AC$107:AC$108)*TRANSPOSE(($D116:$E116))),0)</f>
        <v>0</v>
      </c>
      <c r="AD116" s="28" cm="1">
        <f t="array" ref="AD116">AD$106+IF($C116&lt;&gt;0,SUMPRODUCT((AD$107:AD$108)*TRANSPOSE(($D116:$E116))),0)</f>
        <v>0</v>
      </c>
      <c r="AE116" s="28" cm="1">
        <f t="array" ref="AE116">AE$106+IF($C116&lt;&gt;0,SUMPRODUCT((AE$107:AE$108)*TRANSPOSE(($D116:$E116))),0)</f>
        <v>0</v>
      </c>
      <c r="AF116" s="28" cm="1">
        <f t="array" ref="AF116">AF$106+IF($C116&lt;&gt;0,SUMPRODUCT((AF$107:AF$108)*TRANSPOSE(($D116:$E116))),0)</f>
        <v>0</v>
      </c>
      <c r="AG116" s="28" cm="1">
        <f t="array" ref="AG116">AG$106+IF($C116&lt;&gt;0,SUMPRODUCT((AG$107:AG$108)*TRANSPOSE(($D116:$E116))),0)</f>
        <v>0</v>
      </c>
    </row>
    <row r="117" spans="1:33" x14ac:dyDescent="0.2">
      <c r="A117" s="1" t="str">
        <f>"sens"&amp;Assumptions!B118</f>
        <v>sens</v>
      </c>
      <c r="C117" s="252">
        <f>Assumptions!C118</f>
        <v>0</v>
      </c>
      <c r="D117" s="253">
        <f>Assumptions!G118</f>
        <v>0</v>
      </c>
      <c r="E117" s="253">
        <f>Assumptions!H118</f>
        <v>0</v>
      </c>
      <c r="G117" s="34" t="str">
        <f t="shared" si="21"/>
        <v>Option 5sens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0</v>
      </c>
      <c r="O117" s="28" cm="1">
        <f t="array" ref="O117">O$106+IF($C117&lt;&gt;0,SUMPRODUCT((O$107:O$108)*TRANSPOSE(($D117:$E117))),0)</f>
        <v>0</v>
      </c>
      <c r="P117" s="28" cm="1">
        <f t="array" ref="P117">P$106+IF($C117&lt;&gt;0,SUMPRODUCT((P$107:P$108)*TRANSPOSE(($D117:$E117))),0)</f>
        <v>0</v>
      </c>
      <c r="Q117" s="28" cm="1">
        <f t="array" ref="Q117">Q$106+IF($C117&lt;&gt;0,SUMPRODUCT((Q$107:Q$108)*TRANSPOSE(($D117:$E117))),0)</f>
        <v>0</v>
      </c>
      <c r="R117" s="28" cm="1">
        <f t="array" ref="R117">R$106+IF($C117&lt;&gt;0,SUMPRODUCT((R$107:R$108)*TRANSPOSE(($D117:$E117))),0)</f>
        <v>0</v>
      </c>
      <c r="S117" s="28" cm="1">
        <f t="array" ref="S117">S$106+IF($C117&lt;&gt;0,SUMPRODUCT((S$107:S$108)*TRANSPOSE(($D117:$E117))),0)</f>
        <v>0</v>
      </c>
      <c r="T117" s="28" cm="1">
        <f t="array" ref="T117">T$106+IF($C117&lt;&gt;0,SUMPRODUCT((T$107:T$108)*TRANSPOSE(($D117:$E117))),0)</f>
        <v>0</v>
      </c>
      <c r="U117" s="28" cm="1">
        <f t="array" ref="U117">U$106+IF($C117&lt;&gt;0,SUMPRODUCT((U$107:U$108)*TRANSPOSE(($D117:$E117))),0)</f>
        <v>0</v>
      </c>
      <c r="V117" s="28" cm="1">
        <f t="array" ref="V117">V$106+IF($C117&lt;&gt;0,SUMPRODUCT((V$107:V$108)*TRANSPOSE(($D117:$E117))),0)</f>
        <v>0</v>
      </c>
      <c r="W117" s="28" cm="1">
        <f t="array" ref="W117">W$106+IF($C117&lt;&gt;0,SUMPRODUCT((W$107:W$108)*TRANSPOSE(($D117:$E117))),0)</f>
        <v>0</v>
      </c>
      <c r="X117" s="28" cm="1">
        <f t="array" ref="X117">X$106+IF($C117&lt;&gt;0,SUMPRODUCT((X$107:X$108)*TRANSPOSE(($D117:$E117))),0)</f>
        <v>0</v>
      </c>
      <c r="Y117" s="28" cm="1">
        <f t="array" ref="Y117">Y$106+IF($C117&lt;&gt;0,SUMPRODUCT((Y$107:Y$108)*TRANSPOSE(($D117:$E117))),0)</f>
        <v>0</v>
      </c>
      <c r="Z117" s="28" cm="1">
        <f t="array" ref="Z117">Z$106+IF($C117&lt;&gt;0,SUMPRODUCT((Z$107:Z$108)*TRANSPOSE(($D117:$E117))),0)</f>
        <v>0</v>
      </c>
      <c r="AA117" s="28" cm="1">
        <f t="array" ref="AA117">AA$106+IF($C117&lt;&gt;0,SUMPRODUCT((AA$107:AA$108)*TRANSPOSE(($D117:$E117))),0)</f>
        <v>0</v>
      </c>
      <c r="AB117" s="28" cm="1">
        <f t="array" ref="AB117">AB$106+IF($C117&lt;&gt;0,SUMPRODUCT((AB$107:AB$108)*TRANSPOSE(($D117:$E117))),0)</f>
        <v>0</v>
      </c>
      <c r="AC117" s="28" cm="1">
        <f t="array" ref="AC117">AC$106+IF($C117&lt;&gt;0,SUMPRODUCT((AC$107:AC$108)*TRANSPOSE(($D117:$E117))),0)</f>
        <v>0</v>
      </c>
      <c r="AD117" s="28" cm="1">
        <f t="array" ref="AD117">AD$106+IF($C117&lt;&gt;0,SUMPRODUCT((AD$107:AD$108)*TRANSPOSE(($D117:$E117))),0)</f>
        <v>0</v>
      </c>
      <c r="AE117" s="28" cm="1">
        <f t="array" ref="AE117">AE$106+IF($C117&lt;&gt;0,SUMPRODUCT((AE$107:AE$108)*TRANSPOSE(($D117:$E117))),0)</f>
        <v>0</v>
      </c>
      <c r="AF117" s="28" cm="1">
        <f t="array" ref="AF117">AF$106+IF($C117&lt;&gt;0,SUMPRODUCT((AF$107:AF$108)*TRANSPOSE(($D117:$E117))),0)</f>
        <v>0</v>
      </c>
      <c r="AG117" s="28" cm="1">
        <f t="array" ref="AG117">AG$106+IF($C117&lt;&gt;0,SUMPRODUCT((AG$107:AG$108)*TRANSPOSE(($D117:$E117))),0)</f>
        <v>0</v>
      </c>
    </row>
  </sheetData>
  <conditionalFormatting sqref="E14:E16">
    <cfRule type="expression" dxfId="1" priority="38">
      <formula>AND(SUM($I14:$AB14)&lt;&gt;0, E14=0)</formula>
    </cfRule>
  </conditionalFormatting>
  <conditionalFormatting sqref="E28">
    <cfRule type="expression" dxfId="0" priority="1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4" id="{E7BF7EA6-A453-4A58-B216-30C5D81DCA5D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E214B-6F38-4BC3-ACB0-5DADD7973A52}">
  <sheetPr codeName="Sheet13">
    <tabColor rgb="FF002060"/>
    <pageSetUpPr fitToPage="1"/>
  </sheetPr>
  <dimension ref="A1:AJ810"/>
  <sheetViews>
    <sheetView showGridLines="0" zoomScale="80" zoomScaleNormal="80" workbookViewId="0">
      <pane xSplit="7" ySplit="10" topLeftCell="H11" activePane="bottomRight" state="frozen"/>
      <selection activeCell="A3" sqref="A3"/>
      <selection pane="topRight" activeCell="A3" sqref="A3"/>
      <selection pane="bottomLeft" activeCell="A3" sqref="A3"/>
      <selection pane="bottomRight" activeCell="A3" sqref="A3"/>
    </sheetView>
  </sheetViews>
  <sheetFormatPr defaultColWidth="0" defaultRowHeight="12.75" zeroHeight="1" outlineLevelRow="1" x14ac:dyDescent="0.2"/>
  <cols>
    <col min="1" max="1" width="8.125" style="8" customWidth="1"/>
    <col min="2" max="2" width="5.5" style="8" customWidth="1"/>
    <col min="3" max="3" width="16.875" style="8" bestFit="1" customWidth="1"/>
    <col min="4" max="4" width="12.375" style="8" customWidth="1"/>
    <col min="5" max="5" width="14.25" customWidth="1"/>
    <col min="6" max="6" width="12.375" style="8" customWidth="1"/>
    <col min="7" max="7" width="11.625" style="8" customWidth="1"/>
    <col min="8" max="8" width="8.625" style="8" customWidth="1"/>
    <col min="9" max="33" width="11" style="8" customWidth="1"/>
    <col min="34" max="35" width="9" style="8" customWidth="1"/>
    <col min="36" max="36" width="0" style="8" hidden="1" customWidth="1"/>
    <col min="37" max="16384" width="9" style="8" hidden="1"/>
  </cols>
  <sheetData>
    <row r="1" spans="1:34" s="6" customFormat="1" ht="18.75" x14ac:dyDescent="0.3">
      <c r="A1" s="13" t="str">
        <f>bus</f>
        <v>CitiPower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4" s="6" customFormat="1" ht="18.75" x14ac:dyDescent="0.3">
      <c r="A2" s="50" t="str">
        <f>proj</f>
        <v>NC transformer replacement</v>
      </c>
      <c r="B2" s="50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4" s="2" customFormat="1" ht="18.75" x14ac:dyDescent="0.3">
      <c r="A3" s="177" t="s">
        <v>161</v>
      </c>
      <c r="B3" s="5"/>
      <c r="C3" s="31"/>
      <c r="D3" s="31"/>
      <c r="E3" s="31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4" s="2" customFormat="1" ht="10.5" customHeight="1" x14ac:dyDescent="0.2">
      <c r="A4" s="101"/>
      <c r="B4" s="101"/>
      <c r="C4" s="85"/>
      <c r="D4" s="85"/>
      <c r="E4" s="85"/>
      <c r="F4" s="85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</row>
    <row r="5" spans="1:34" s="2" customFormat="1" hidden="1" outlineLevel="1" x14ac:dyDescent="0.2">
      <c r="A5" s="85" t="s">
        <v>162</v>
      </c>
      <c r="B5" s="85"/>
      <c r="C5" s="86"/>
      <c r="D5" s="85"/>
      <c r="E5" s="85"/>
      <c r="F5" s="85"/>
      <c r="G5" s="88"/>
      <c r="H5" s="163">
        <f t="shared" ref="H5:AG5" si="0">IF(H9=start,1/((1+real_disc)^(1/2)),G5/(1+real_disc))</f>
        <v>0</v>
      </c>
      <c r="I5" s="163">
        <f t="shared" si="0"/>
        <v>0.98294637436598087</v>
      </c>
      <c r="J5" s="163">
        <f t="shared" si="0"/>
        <v>0.94970664189949849</v>
      </c>
      <c r="K5" s="163">
        <f t="shared" si="0"/>
        <v>0.91759095835700344</v>
      </c>
      <c r="L5" s="163">
        <f t="shared" si="0"/>
        <v>0.88656131242222558</v>
      </c>
      <c r="M5" s="163">
        <f t="shared" si="0"/>
        <v>0.85658097818572532</v>
      </c>
      <c r="N5" s="163">
        <f t="shared" si="0"/>
        <v>0.8276144716770294</v>
      </c>
      <c r="O5" s="163">
        <f t="shared" si="0"/>
        <v>0.79962750886669509</v>
      </c>
      <c r="P5" s="163">
        <f t="shared" si="0"/>
        <v>0.77258696508859437</v>
      </c>
      <c r="Q5" s="163">
        <f t="shared" si="0"/>
        <v>0.74646083583439071</v>
      </c>
      <c r="R5" s="163">
        <f t="shared" si="0"/>
        <v>0.72121819887380756</v>
      </c>
      <c r="S5" s="163">
        <f t="shared" si="0"/>
        <v>0.69682917765585273</v>
      </c>
      <c r="T5" s="163">
        <f t="shared" si="0"/>
        <v>0.67326490594768384</v>
      </c>
      <c r="U5" s="163">
        <f t="shared" si="0"/>
        <v>0.6504974936692598</v>
      </c>
      <c r="V5" s="163">
        <f t="shared" si="0"/>
        <v>0.62849999388334288</v>
      </c>
      <c r="W5" s="163">
        <f t="shared" si="0"/>
        <v>0.60724637090178057</v>
      </c>
      <c r="X5" s="163">
        <f t="shared" si="0"/>
        <v>0.58671146947031949</v>
      </c>
      <c r="Y5" s="163">
        <f t="shared" si="0"/>
        <v>0.56687098499547783</v>
      </c>
      <c r="Z5" s="163">
        <f t="shared" si="0"/>
        <v>0.54770143477823952</v>
      </c>
      <c r="AA5" s="163">
        <f t="shared" si="0"/>
        <v>0.52918013022052135</v>
      </c>
      <c r="AB5" s="163">
        <f t="shared" si="0"/>
        <v>0.5112851499715183</v>
      </c>
      <c r="AC5" s="163">
        <f t="shared" si="0"/>
        <v>0.4939953139821433</v>
      </c>
      <c r="AD5" s="163">
        <f t="shared" si="0"/>
        <v>0.47729015843685346</v>
      </c>
      <c r="AE5" s="163">
        <f t="shared" si="0"/>
        <v>0.46114991153319179</v>
      </c>
      <c r="AF5" s="163">
        <f t="shared" si="0"/>
        <v>0.4455554700803786</v>
      </c>
      <c r="AG5" s="163">
        <f t="shared" si="0"/>
        <v>0.43048837688925473</v>
      </c>
    </row>
    <row r="6" spans="1:34" s="2" customFormat="1" hidden="1" outlineLevel="1" x14ac:dyDescent="0.2">
      <c r="A6" s="164" t="str">
        <f>'Option1 (base case)'!A6</f>
        <v>Count</v>
      </c>
      <c r="B6" s="85"/>
      <c r="C6" s="86"/>
      <c r="D6" s="85"/>
      <c r="E6" s="85"/>
      <c r="F6" s="85"/>
      <c r="G6" s="88"/>
      <c r="H6" s="164">
        <f>'Option1 (base case)'!H6</f>
        <v>0</v>
      </c>
      <c r="I6" s="164">
        <f>'Option1 (base case)'!I6</f>
        <v>1</v>
      </c>
      <c r="J6" s="164">
        <f>'Option1 (base case)'!J6</f>
        <v>2</v>
      </c>
      <c r="K6" s="164">
        <f>'Option1 (base case)'!K6</f>
        <v>3</v>
      </c>
      <c r="L6" s="164">
        <f>'Option1 (base case)'!L6</f>
        <v>4</v>
      </c>
      <c r="M6" s="164">
        <f>'Option1 (base case)'!M6</f>
        <v>5</v>
      </c>
      <c r="N6" s="164">
        <f>'Option1 (base case)'!N6</f>
        <v>6</v>
      </c>
      <c r="O6" s="164">
        <f>'Option1 (base case)'!O6</f>
        <v>7</v>
      </c>
      <c r="P6" s="164">
        <f>'Option1 (base case)'!P6</f>
        <v>8</v>
      </c>
      <c r="Q6" s="164">
        <f>'Option1 (base case)'!Q6</f>
        <v>9</v>
      </c>
      <c r="R6" s="164">
        <f>'Option1 (base case)'!R6</f>
        <v>10</v>
      </c>
      <c r="S6" s="164">
        <f>'Option1 (base case)'!S6</f>
        <v>11</v>
      </c>
      <c r="T6" s="164">
        <f>'Option1 (base case)'!T6</f>
        <v>12</v>
      </c>
      <c r="U6" s="164">
        <f>'Option1 (base case)'!U6</f>
        <v>13</v>
      </c>
      <c r="V6" s="164">
        <f>'Option1 (base case)'!V6</f>
        <v>14</v>
      </c>
      <c r="W6" s="164">
        <f>'Option1 (base case)'!W6</f>
        <v>15</v>
      </c>
      <c r="X6" s="164">
        <f>'Option1 (base case)'!X6</f>
        <v>16</v>
      </c>
      <c r="Y6" s="164">
        <f>'Option1 (base case)'!Y6</f>
        <v>17</v>
      </c>
      <c r="Z6" s="164">
        <f>'Option1 (base case)'!Z6</f>
        <v>18</v>
      </c>
      <c r="AA6" s="164">
        <f>'Option1 (base case)'!AA6</f>
        <v>19</v>
      </c>
      <c r="AB6" s="164">
        <f>'Option1 (base case)'!AB6</f>
        <v>20</v>
      </c>
      <c r="AC6" s="164">
        <f>'Option1 (base case)'!AC6</f>
        <v>21</v>
      </c>
      <c r="AD6" s="164">
        <f>'Option1 (base case)'!AD6</f>
        <v>22</v>
      </c>
      <c r="AE6" s="164">
        <f>'Option1 (base case)'!AE6</f>
        <v>23</v>
      </c>
      <c r="AF6" s="164">
        <f>'Option1 (base case)'!AF6</f>
        <v>24</v>
      </c>
      <c r="AG6" s="164">
        <f>'Option1 (base case)'!AG6</f>
        <v>25</v>
      </c>
    </row>
    <row r="7" spans="1:34" s="2" customFormat="1" hidden="1" outlineLevel="1" x14ac:dyDescent="0.2">
      <c r="A7" s="85" t="s">
        <v>163</v>
      </c>
      <c r="B7" s="85"/>
      <c r="C7" s="86"/>
      <c r="D7" s="85"/>
      <c r="E7" s="85"/>
      <c r="F7" s="85"/>
      <c r="G7" s="88"/>
      <c r="H7" s="88" t="b">
        <f t="shared" ref="H7:AG7" si="1">H$6&lt;(first_year+years)</f>
        <v>1</v>
      </c>
      <c r="I7" s="88" t="b">
        <f t="shared" si="1"/>
        <v>1</v>
      </c>
      <c r="J7" s="88" t="b">
        <f t="shared" si="1"/>
        <v>1</v>
      </c>
      <c r="K7" s="88" t="b">
        <f t="shared" si="1"/>
        <v>1</v>
      </c>
      <c r="L7" s="88" t="b">
        <f t="shared" si="1"/>
        <v>1</v>
      </c>
      <c r="M7" s="88" t="b">
        <f t="shared" si="1"/>
        <v>1</v>
      </c>
      <c r="N7" s="88" t="b">
        <f t="shared" si="1"/>
        <v>1</v>
      </c>
      <c r="O7" s="88" t="b">
        <f t="shared" si="1"/>
        <v>1</v>
      </c>
      <c r="P7" s="88" t="b">
        <f t="shared" si="1"/>
        <v>1</v>
      </c>
      <c r="Q7" s="88" t="b">
        <f t="shared" si="1"/>
        <v>1</v>
      </c>
      <c r="R7" s="88" t="b">
        <f t="shared" si="1"/>
        <v>1</v>
      </c>
      <c r="S7" s="88" t="b">
        <f t="shared" si="1"/>
        <v>1</v>
      </c>
      <c r="T7" s="88" t="b">
        <f t="shared" si="1"/>
        <v>1</v>
      </c>
      <c r="U7" s="88" t="b">
        <f t="shared" si="1"/>
        <v>1</v>
      </c>
      <c r="V7" s="88" t="b">
        <f t="shared" si="1"/>
        <v>1</v>
      </c>
      <c r="W7" s="88" t="b">
        <f t="shared" si="1"/>
        <v>1</v>
      </c>
      <c r="X7" s="88" t="b">
        <f t="shared" si="1"/>
        <v>1</v>
      </c>
      <c r="Y7" s="88" t="b">
        <f t="shared" si="1"/>
        <v>1</v>
      </c>
      <c r="Z7" s="88" t="b">
        <f t="shared" si="1"/>
        <v>1</v>
      </c>
      <c r="AA7" s="88" t="b">
        <f t="shared" si="1"/>
        <v>1</v>
      </c>
      <c r="AB7" s="88" t="b">
        <f t="shared" si="1"/>
        <v>1</v>
      </c>
      <c r="AC7" s="88" t="b">
        <f t="shared" si="1"/>
        <v>0</v>
      </c>
      <c r="AD7" s="88" t="b">
        <f t="shared" si="1"/>
        <v>0</v>
      </c>
      <c r="AE7" s="88" t="b">
        <f t="shared" si="1"/>
        <v>0</v>
      </c>
      <c r="AF7" s="88" t="b">
        <f t="shared" si="1"/>
        <v>0</v>
      </c>
      <c r="AG7" s="88" t="b">
        <f t="shared" si="1"/>
        <v>0</v>
      </c>
    </row>
    <row r="8" spans="1:34" s="2" customFormat="1" ht="11.25" customHeight="1" collapsed="1" x14ac:dyDescent="0.2"/>
    <row r="9" spans="1:34" s="2" customFormat="1" ht="15" x14ac:dyDescent="0.25">
      <c r="A9" s="17"/>
      <c r="B9" s="17"/>
      <c r="C9" s="17"/>
      <c r="D9" s="17"/>
      <c r="E9" s="73"/>
      <c r="F9" s="17"/>
      <c r="G9" s="18"/>
      <c r="H9" s="270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4" s="2" customFormat="1" x14ac:dyDescent="0.2">
      <c r="C10" s="7"/>
      <c r="D10" s="7"/>
      <c r="F10" s="7"/>
      <c r="G10" s="194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4" s="2" customFormat="1" ht="15" x14ac:dyDescent="0.2">
      <c r="A11" s="78" t="s">
        <v>164</v>
      </c>
      <c r="B11" s="78"/>
      <c r="C11" s="79"/>
      <c r="D11" s="79"/>
      <c r="E11" s="79"/>
      <c r="F11" s="63" t="s">
        <v>4</v>
      </c>
      <c r="G11" s="195"/>
      <c r="H11" s="102" t="str" cm="1">
        <f t="array" ref="H11">IF(H6=$C$4,UPPER($A$4),IF(H6=end, "END", ""))</f>
        <v/>
      </c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</row>
    <row r="12" spans="1:34" s="2" customFormat="1" x14ac:dyDescent="0.2">
      <c r="A12" s="7"/>
      <c r="B12" s="7"/>
      <c r="C12" s="7"/>
      <c r="D12" s="7"/>
      <c r="F12" s="7"/>
      <c r="G12" s="197"/>
      <c r="H12" s="7"/>
      <c r="I12" s="165"/>
      <c r="J12" s="165"/>
      <c r="K12" s="165"/>
      <c r="L12" s="165"/>
      <c r="M12" s="165"/>
      <c r="N12" s="165"/>
      <c r="O12" s="165"/>
      <c r="P12" s="165"/>
      <c r="Q12" s="165"/>
      <c r="R12" s="165"/>
      <c r="S12" s="165"/>
      <c r="T12" s="165"/>
      <c r="U12" s="165"/>
      <c r="V12" s="165"/>
      <c r="W12" s="165"/>
      <c r="X12" s="165"/>
      <c r="Y12" s="165"/>
      <c r="Z12" s="165"/>
      <c r="AA12" s="165"/>
      <c r="AB12" s="165"/>
      <c r="AC12" s="165"/>
      <c r="AD12" s="165"/>
      <c r="AE12" s="165"/>
      <c r="AF12" s="165"/>
      <c r="AG12" s="165"/>
      <c r="AH12" s="165"/>
    </row>
    <row r="13" spans="1:34" s="2" customFormat="1" x14ac:dyDescent="0.2">
      <c r="A13" s="52"/>
      <c r="B13" s="52"/>
      <c r="C13" s="52"/>
      <c r="D13" s="7"/>
      <c r="F13" s="7"/>
      <c r="G13" s="194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</row>
    <row r="14" spans="1:34" s="2" customFormat="1" x14ac:dyDescent="0.2">
      <c r="A14" s="52" t="str">
        <f>A15</f>
        <v>Option 1 (base case)</v>
      </c>
      <c r="B14" s="52"/>
      <c r="C14" s="52" t="s">
        <v>118</v>
      </c>
      <c r="D14" s="34" t="str">
        <f t="shared" ref="D14:D25" si="2">A14&amp;C14</f>
        <v>Option 1 (base case)Energy at risk value</v>
      </c>
      <c r="F14" s="84">
        <f>SUMPRODUCT($H14:$AG14, $H$5:$AG$5)</f>
        <v>24918681.384872913</v>
      </c>
      <c r="G14" s="198">
        <f>output_dollars</f>
        <v>46203</v>
      </c>
      <c r="H14" s="28"/>
      <c r="I14" s="28">
        <f>'Option1 (base case)'!I$28*conv_2026</f>
        <v>993664.02666878537</v>
      </c>
      <c r="J14" s="28">
        <f>'Option1 (base case)'!J$28*conv_2026</f>
        <v>1046182.5859330412</v>
      </c>
      <c r="K14" s="28">
        <f>'Option1 (base case)'!K$28*conv_2026</f>
        <v>1096715.612790348</v>
      </c>
      <c r="L14" s="28">
        <f>'Option1 (base case)'!L$28*conv_2026</f>
        <v>1146273.991016201</v>
      </c>
      <c r="M14" s="28">
        <f>'Option1 (base case)'!M$28*conv_2026</f>
        <v>1194881.521299615</v>
      </c>
      <c r="N14" s="28">
        <f>'Option1 (base case)'!N$28*conv_2026</f>
        <v>1247633.7718081663</v>
      </c>
      <c r="O14" s="28">
        <f>'Option1 (base case)'!O$28*conv_2026</f>
        <v>1312423.138139053</v>
      </c>
      <c r="P14" s="28">
        <f>'Option1 (base case)'!P$28*conv_2026</f>
        <v>1380439.2079600953</v>
      </c>
      <c r="Q14" s="28">
        <f>'Option1 (base case)'!Q$28*conv_2026</f>
        <v>1436418.5246312742</v>
      </c>
      <c r="R14" s="28">
        <f>'Option1 (base case)'!R$28*conv_2026</f>
        <v>1473261.1712655339</v>
      </c>
      <c r="S14" s="28">
        <f>'Option1 (base case)'!S$28*conv_2026</f>
        <v>1510495.4817997497</v>
      </c>
      <c r="T14" s="28">
        <f>'Option1 (base case)'!T$28*conv_2026</f>
        <v>1548120.0746631802</v>
      </c>
      <c r="U14" s="28">
        <f>'Option1 (base case)'!U$28*conv_2026</f>
        <v>1586133.6523260507</v>
      </c>
      <c r="V14" s="28">
        <f>'Option1 (base case)'!V$28*conv_2026</f>
        <v>1624534.9517358912</v>
      </c>
      <c r="W14" s="28">
        <f>'Option1 (base case)'!W$28*conv_2026</f>
        <v>1663322.6781208643</v>
      </c>
      <c r="X14" s="28">
        <f>'Option1 (base case)'!X$28*conv_2026</f>
        <v>1702495.6373327812</v>
      </c>
      <c r="Y14" s="28">
        <f>'Option1 (base case)'!Y$28*conv_2026</f>
        <v>1742052.6365920024</v>
      </c>
      <c r="Z14" s="28">
        <f>'Option1 (base case)'!Z$28*conv_2026</f>
        <v>1781992.5175736768</v>
      </c>
      <c r="AA14" s="28">
        <f>'Option1 (base case)'!AA$28*conv_2026</f>
        <v>1822314.1232763019</v>
      </c>
      <c r="AB14" s="28">
        <f>'Option1 (base case)'!AB$28*conv_2026</f>
        <v>1863016.3477039852</v>
      </c>
      <c r="AC14" s="28">
        <f>'Option1 (base case)'!AC$28*conv_2026</f>
        <v>1904098.1027423779</v>
      </c>
      <c r="AD14" s="28">
        <f>'Option1 (base case)'!AD$28*conv_2026</f>
        <v>1945558.3513143591</v>
      </c>
      <c r="AE14" s="28">
        <f>'Option1 (base case)'!AE$28*conv_2026</f>
        <v>1987396.0244685973</v>
      </c>
      <c r="AF14" s="28">
        <f>'Option1 (base case)'!AF$28*conv_2026</f>
        <v>2029610.1208612048</v>
      </c>
      <c r="AG14" s="28">
        <f>'Option1 (base case)'!AG$28*conv_2026</f>
        <v>2072199.6404207584</v>
      </c>
    </row>
    <row r="15" spans="1:34" s="1" customFormat="1" x14ac:dyDescent="0.2">
      <c r="A15" s="114" t="str">
        <f>Data!B9</f>
        <v>Option 1 (base case)</v>
      </c>
      <c r="B15" s="114"/>
      <c r="C15" s="52" t="str">
        <f>'Option1 (base case)'!C$66</f>
        <v>Capital expenditure</v>
      </c>
      <c r="D15" s="34" t="str">
        <f t="shared" si="2"/>
        <v>Option 1 (base case)Capital expenditure</v>
      </c>
      <c r="F15" s="84">
        <f>SUMPRODUCT($H15:$AG15, $H$5:$AG$5)</f>
        <v>0</v>
      </c>
      <c r="G15" s="198">
        <f>output_dollars</f>
        <v>46203</v>
      </c>
      <c r="H15" s="28"/>
      <c r="I15" s="28">
        <f>SUM('Option1 (base case)'!I$67:I$69)*conv_2026</f>
        <v>0</v>
      </c>
      <c r="J15" s="28">
        <f>SUM('Option1 (base case)'!J$67:J$69)</f>
        <v>0</v>
      </c>
      <c r="K15" s="28">
        <f>SUM('Option1 (base case)'!K$67:K$69)</f>
        <v>0</v>
      </c>
      <c r="L15" s="28">
        <f>SUM('Option1 (base case)'!L$67:L$69)</f>
        <v>0</v>
      </c>
      <c r="M15" s="28">
        <f>SUM('Option1 (base case)'!M$67:M$69)</f>
        <v>0</v>
      </c>
      <c r="N15" s="28">
        <f>SUM('Option1 (base case)'!N$67:N$69)</f>
        <v>0</v>
      </c>
      <c r="O15" s="28">
        <f>SUM('Option1 (base case)'!O$67:O$69)</f>
        <v>0</v>
      </c>
      <c r="P15" s="28">
        <f>SUM('Option1 (base case)'!P$67:P$69)</f>
        <v>0</v>
      </c>
      <c r="Q15" s="28">
        <f>SUM('Option1 (base case)'!Q$67:Q$69)</f>
        <v>0</v>
      </c>
      <c r="R15" s="28">
        <f>SUM('Option1 (base case)'!R$67:R$69)</f>
        <v>0</v>
      </c>
      <c r="S15" s="28">
        <f>SUM('Option1 (base case)'!S$67:S$69)</f>
        <v>0</v>
      </c>
      <c r="T15" s="28">
        <f>SUM('Option1 (base case)'!T$67:T$69)</f>
        <v>0</v>
      </c>
      <c r="U15" s="28">
        <f>SUM('Option1 (base case)'!U$67:U$69)</f>
        <v>0</v>
      </c>
      <c r="V15" s="28">
        <f>SUM('Option1 (base case)'!V$67:V$69)</f>
        <v>0</v>
      </c>
      <c r="W15" s="28">
        <f>SUM('Option1 (base case)'!W$67:W$69)</f>
        <v>0</v>
      </c>
      <c r="X15" s="28">
        <f>SUM('Option1 (base case)'!X$67:X$69)</f>
        <v>0</v>
      </c>
      <c r="Y15" s="28">
        <f>SUM('Option1 (base case)'!Y$67:Y$69)</f>
        <v>0</v>
      </c>
      <c r="Z15" s="28">
        <f>SUM('Option1 (base case)'!Z$67:Z$69)</f>
        <v>0</v>
      </c>
      <c r="AA15" s="28">
        <f>SUM('Option1 (base case)'!AA$67:AA$69)</f>
        <v>0</v>
      </c>
      <c r="AB15" s="28">
        <f>SUM('Option1 (base case)'!AB$67:AB$69)</f>
        <v>0</v>
      </c>
      <c r="AC15" s="28">
        <f>SUM('Option1 (base case)'!AC$67:AC$69)</f>
        <v>0</v>
      </c>
      <c r="AD15" s="28">
        <f>SUM('Option1 (base case)'!AD$67:AD$69)</f>
        <v>0</v>
      </c>
      <c r="AE15" s="28">
        <f>SUM('Option1 (base case)'!AE$67:AE$69)</f>
        <v>0</v>
      </c>
      <c r="AF15" s="28">
        <f>SUM('Option1 (base case)'!AF$67:AF$69)</f>
        <v>0</v>
      </c>
      <c r="AG15" s="28">
        <f>SUM('Option1 (base case)'!AG$67:AG$69)</f>
        <v>0</v>
      </c>
    </row>
    <row r="16" spans="1:34" s="1" customFormat="1" x14ac:dyDescent="0.2">
      <c r="A16" s="114" t="str">
        <f t="shared" ref="A16:A25" si="3">A15</f>
        <v>Option 1 (base case)</v>
      </c>
      <c r="B16" s="114"/>
      <c r="C16" s="52" t="str">
        <f>'Option1 (base case)'!C$36</f>
        <v>Total risk cost</v>
      </c>
      <c r="D16" s="34" t="str">
        <f t="shared" si="2"/>
        <v>Option 1 (base case)Total risk cost</v>
      </c>
      <c r="F16" s="95" cm="1">
        <f t="array" ref="F16">SUMPRODUCT(($H16:$AG16)*($H$5:$AG$5)*($H$7:$AG$7))</f>
        <v>20933916.901158303</v>
      </c>
      <c r="G16" s="198">
        <f>output_dollars</f>
        <v>46203</v>
      </c>
      <c r="H16" s="28"/>
      <c r="I16" s="28">
        <f>'Option1 (base case)'!I$36*conv_2026</f>
        <v>1026951.4017749442</v>
      </c>
      <c r="J16" s="28">
        <f>'Option1 (base case)'!J$36*conv_2026</f>
        <v>1080370.6703299053</v>
      </c>
      <c r="K16" s="28">
        <f>'Option1 (base case)'!K$36*conv_2026</f>
        <v>1131814.9772571872</v>
      </c>
      <c r="L16" s="28">
        <f>'Option1 (base case)'!L$36*conv_2026</f>
        <v>1182295.1529400535</v>
      </c>
      <c r="M16" s="28">
        <f>'Option1 (base case)'!M$36*conv_2026</f>
        <v>1231834.9473228364</v>
      </c>
      <c r="N16" s="28">
        <f>'Option1 (base case)'!N$36*conv_2026</f>
        <v>1285529.8787109461</v>
      </c>
      <c r="O16" s="28">
        <f>'Option1 (base case)'!O$36*conv_2026</f>
        <v>1351272.2928394133</v>
      </c>
      <c r="P16" s="28">
        <f>'Option1 (base case)'!P$36*conv_2026</f>
        <v>1420251.7301614417</v>
      </c>
      <c r="Q16" s="28">
        <f>'Option1 (base case)'!Q$36*conv_2026</f>
        <v>1477204.6868223941</v>
      </c>
      <c r="R16" s="28">
        <f>'Option1 (base case)'!R$36*conv_2026</f>
        <v>1515031.1987205972</v>
      </c>
      <c r="S16" s="28">
        <f>'Option1 (base case)'!S$36*conv_2026</f>
        <v>1553259.5556671151</v>
      </c>
      <c r="T16" s="28">
        <f>'Option1 (base case)'!T$36*conv_2026</f>
        <v>1591888.3306416215</v>
      </c>
      <c r="U16" s="28">
        <f>'Option1 (base case)'!U$36*conv_2026</f>
        <v>1630916.182871046</v>
      </c>
      <c r="V16" s="28">
        <f>'Option1 (base case)'!V$36*conv_2026</f>
        <v>1670341.8069421416</v>
      </c>
      <c r="W16" s="28">
        <f>'Option1 (base case)'!W$36*conv_2026</f>
        <v>1710163.864839775</v>
      </c>
      <c r="X16" s="28">
        <f>'Option1 (base case)'!X$36*conv_2026</f>
        <v>1750381.1218200119</v>
      </c>
      <c r="Y16" s="28">
        <f>'Option1 (base case)'!Y$36*conv_2026</f>
        <v>1790992.3445074663</v>
      </c>
      <c r="Z16" s="28">
        <f>'Option1 (base case)'!Z$36*conv_2026</f>
        <v>1831996.3348640578</v>
      </c>
      <c r="AA16" s="28">
        <f>'Option1 (base case)'!AA$36*conv_2026</f>
        <v>1873391.8961750534</v>
      </c>
      <c r="AB16" s="28">
        <f>'Option1 (base case)'!AB$36*conv_2026</f>
        <v>1915177.8840551057</v>
      </c>
      <c r="AC16" s="28">
        <f>'Option1 (base case)'!AC$36*conv_2026</f>
        <v>1957353.1724416681</v>
      </c>
      <c r="AD16" s="28">
        <f>'Option1 (base case)'!AD$36*conv_2026</f>
        <v>1999916.6876331966</v>
      </c>
      <c r="AE16" s="28">
        <f>'Option1 (base case)'!AE$36*conv_2026</f>
        <v>2041754.360787435</v>
      </c>
      <c r="AF16" s="28">
        <f>'Option1 (base case)'!AF$36*conv_2026</f>
        <v>2083968.4571800425</v>
      </c>
      <c r="AG16" s="28">
        <f>'Option1 (base case)'!AG$36*conv_2026</f>
        <v>2126557.9767395961</v>
      </c>
    </row>
    <row r="17" spans="1:33" s="1" customFormat="1" x14ac:dyDescent="0.2">
      <c r="A17" s="114" t="str">
        <f t="shared" si="3"/>
        <v>Option 1 (base case)</v>
      </c>
      <c r="B17" s="114"/>
      <c r="C17" s="12"/>
      <c r="D17" s="34" t="str">
        <f t="shared" si="2"/>
        <v>Option 1 (base case)</v>
      </c>
      <c r="F17"/>
      <c r="G17" s="199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</row>
    <row r="18" spans="1:33" s="1" customFormat="1" x14ac:dyDescent="0.2">
      <c r="A18" s="114" t="str">
        <f t="shared" si="3"/>
        <v>Option 1 (base case)</v>
      </c>
      <c r="B18" s="114"/>
      <c r="C18" s="52" t="str">
        <f>'Option1 (base case)'!C$82</f>
        <v>Annualised capex</v>
      </c>
      <c r="D18" s="34" t="str">
        <f t="shared" si="2"/>
        <v>Option 1 (base case)Annualised capex</v>
      </c>
      <c r="F18" s="84">
        <f>SUMPRODUCT($H18:$AG18, $H$5:$AG$5)</f>
        <v>0</v>
      </c>
      <c r="G18" s="198">
        <f t="shared" ref="G18:G25" si="4">output_dollars</f>
        <v>46203</v>
      </c>
      <c r="H18" s="28"/>
      <c r="I18" s="28">
        <f>'Option1 (base case)'!I$82*conv_2026</f>
        <v>0</v>
      </c>
      <c r="J18" s="28">
        <f>'Option1 (base case)'!J$82*conv_2026</f>
        <v>0</v>
      </c>
      <c r="K18" s="28">
        <f>'Option1 (base case)'!K$82*conv_2026</f>
        <v>0</v>
      </c>
      <c r="L18" s="28">
        <f>'Option1 (base case)'!L$82*conv_2026</f>
        <v>0</v>
      </c>
      <c r="M18" s="28">
        <f>'Option1 (base case)'!M$82*conv_2026</f>
        <v>0</v>
      </c>
      <c r="N18" s="28">
        <f>'Option1 (base case)'!N$82*conv_2026</f>
        <v>0</v>
      </c>
      <c r="O18" s="28">
        <f>'Option1 (base case)'!O$82*conv_2026</f>
        <v>0</v>
      </c>
      <c r="P18" s="28">
        <f>'Option1 (base case)'!P$82*conv_2026</f>
        <v>0</v>
      </c>
      <c r="Q18" s="28">
        <f>'Option1 (base case)'!Q$82*conv_2026</f>
        <v>0</v>
      </c>
      <c r="R18" s="28">
        <f>'Option1 (base case)'!R$82*conv_2026</f>
        <v>0</v>
      </c>
      <c r="S18" s="28">
        <f>'Option1 (base case)'!S$82*conv_2026</f>
        <v>0</v>
      </c>
      <c r="T18" s="28">
        <f>'Option1 (base case)'!T$82*conv_2026</f>
        <v>0</v>
      </c>
      <c r="U18" s="28">
        <f>'Option1 (base case)'!U$82*conv_2026</f>
        <v>0</v>
      </c>
      <c r="V18" s="28">
        <f>'Option1 (base case)'!V$82*conv_2026</f>
        <v>0</v>
      </c>
      <c r="W18" s="28">
        <f>'Option1 (base case)'!W$82*conv_2026</f>
        <v>0</v>
      </c>
      <c r="X18" s="28">
        <f>'Option1 (base case)'!X$82*conv_2026</f>
        <v>0</v>
      </c>
      <c r="Y18" s="28">
        <f>'Option1 (base case)'!Y$82*conv_2026</f>
        <v>0</v>
      </c>
      <c r="Z18" s="28">
        <f>'Option1 (base case)'!Z$82*conv_2026</f>
        <v>0</v>
      </c>
      <c r="AA18" s="28">
        <f>'Option1 (base case)'!AA$82*conv_2026</f>
        <v>0</v>
      </c>
      <c r="AB18" s="28">
        <f>'Option1 (base case)'!AB$82*conv_2026</f>
        <v>0</v>
      </c>
      <c r="AC18" s="28">
        <f>'Option1 (base case)'!AC$82*conv_2026</f>
        <v>0</v>
      </c>
      <c r="AD18" s="28">
        <f>'Option1 (base case)'!AD$82*conv_2026</f>
        <v>0</v>
      </c>
      <c r="AE18" s="28">
        <f>'Option1 (base case)'!AE$82*conv_2026</f>
        <v>0</v>
      </c>
      <c r="AF18" s="28">
        <f>'Option1 (base case)'!AF$82*conv_2026</f>
        <v>0</v>
      </c>
      <c r="AG18" s="28">
        <f>'Option1 (base case)'!AG$82*conv_2026</f>
        <v>0</v>
      </c>
    </row>
    <row r="19" spans="1:33" s="1" customFormat="1" x14ac:dyDescent="0.2">
      <c r="A19" s="114" t="str">
        <f t="shared" si="3"/>
        <v>Option 1 (base case)</v>
      </c>
      <c r="B19" s="114"/>
      <c r="C19" s="52" t="str">
        <f>'Option1 (base case)'!C$83</f>
        <v>Operating expenditure</v>
      </c>
      <c r="D19" s="34" t="str">
        <f t="shared" si="2"/>
        <v>Option 1 (base case)Operating expenditure</v>
      </c>
      <c r="F19" s="84">
        <f>SUMPRODUCT($H19:$AG19, $H$5:$AG$5)</f>
        <v>0</v>
      </c>
      <c r="G19" s="198">
        <f t="shared" si="4"/>
        <v>46203</v>
      </c>
      <c r="H19" s="28"/>
      <c r="I19" s="28">
        <f>'Option1 (base case)'!I$83*conv_2026</f>
        <v>0</v>
      </c>
      <c r="J19" s="28">
        <f>'Option1 (base case)'!J$83*conv_2026</f>
        <v>0</v>
      </c>
      <c r="K19" s="28">
        <f>'Option1 (base case)'!K$83*conv_2026</f>
        <v>0</v>
      </c>
      <c r="L19" s="28">
        <f>'Option1 (base case)'!L$83*conv_2026</f>
        <v>0</v>
      </c>
      <c r="M19" s="28">
        <f>'Option1 (base case)'!M$83*conv_2026</f>
        <v>0</v>
      </c>
      <c r="N19" s="28">
        <f>'Option1 (base case)'!N$83*conv_2026</f>
        <v>0</v>
      </c>
      <c r="O19" s="28">
        <f>'Option1 (base case)'!O$83*conv_2026</f>
        <v>0</v>
      </c>
      <c r="P19" s="28">
        <f>'Option1 (base case)'!P$83*conv_2026</f>
        <v>0</v>
      </c>
      <c r="Q19" s="28">
        <f>'Option1 (base case)'!Q$83*conv_2026</f>
        <v>0</v>
      </c>
      <c r="R19" s="28">
        <f>'Option1 (base case)'!R$83*conv_2026</f>
        <v>0</v>
      </c>
      <c r="S19" s="28">
        <f>'Option1 (base case)'!S$83*conv_2026</f>
        <v>0</v>
      </c>
      <c r="T19" s="28">
        <f>'Option1 (base case)'!T$83*conv_2026</f>
        <v>0</v>
      </c>
      <c r="U19" s="28">
        <f>'Option1 (base case)'!U$83*conv_2026</f>
        <v>0</v>
      </c>
      <c r="V19" s="28">
        <f>'Option1 (base case)'!V$83*conv_2026</f>
        <v>0</v>
      </c>
      <c r="W19" s="28">
        <f>'Option1 (base case)'!W$83*conv_2026</f>
        <v>0</v>
      </c>
      <c r="X19" s="28">
        <f>'Option1 (base case)'!X$83*conv_2026</f>
        <v>0</v>
      </c>
      <c r="Y19" s="28">
        <f>'Option1 (base case)'!Y$83*conv_2026</f>
        <v>0</v>
      </c>
      <c r="Z19" s="28">
        <f>'Option1 (base case)'!Z$83*conv_2026</f>
        <v>0</v>
      </c>
      <c r="AA19" s="28">
        <f>'Option1 (base case)'!AA$83*conv_2026</f>
        <v>0</v>
      </c>
      <c r="AB19" s="28">
        <f>'Option1 (base case)'!AB$83*conv_2026</f>
        <v>0</v>
      </c>
      <c r="AC19" s="28">
        <f>'Option1 (base case)'!AC$83*conv_2026</f>
        <v>0</v>
      </c>
      <c r="AD19" s="28">
        <f>'Option1 (base case)'!AD$83*conv_2026</f>
        <v>0</v>
      </c>
      <c r="AE19" s="28">
        <f>'Option1 (base case)'!AE$83*conv_2026</f>
        <v>0</v>
      </c>
      <c r="AF19" s="28">
        <f>'Option1 (base case)'!AF$83*conv_2026</f>
        <v>0</v>
      </c>
      <c r="AG19" s="28">
        <f>'Option1 (base case)'!AG$83*conv_2026</f>
        <v>0</v>
      </c>
    </row>
    <row r="20" spans="1:33" s="1" customFormat="1" x14ac:dyDescent="0.2">
      <c r="A20" s="114" t="str">
        <f t="shared" si="3"/>
        <v>Option 1 (base case)</v>
      </c>
      <c r="B20" s="114"/>
      <c r="C20" s="52" t="str">
        <f>'Option1 (base case)'!C$84</f>
        <v>Risk mitigated</v>
      </c>
      <c r="D20" s="34" t="str">
        <f t="shared" si="2"/>
        <v>Option 1 (base case)Risk mitigated</v>
      </c>
      <c r="F20" s="84">
        <f>SUMPRODUCT($H20:$AG20, $H$5:$AG$5)</f>
        <v>0</v>
      </c>
      <c r="G20" s="198">
        <f t="shared" si="4"/>
        <v>46203</v>
      </c>
      <c r="H20" s="28"/>
      <c r="I20" s="28">
        <f>'Option1 (base case)'!I$84*conv_2026</f>
        <v>0</v>
      </c>
      <c r="J20" s="28">
        <f>'Option1 (base case)'!J$84*conv_2026</f>
        <v>0</v>
      </c>
      <c r="K20" s="28">
        <f>'Option1 (base case)'!K$84*conv_2026</f>
        <v>0</v>
      </c>
      <c r="L20" s="28">
        <f>'Option1 (base case)'!L$84*conv_2026</f>
        <v>0</v>
      </c>
      <c r="M20" s="28">
        <f>'Option1 (base case)'!M$84*conv_2026</f>
        <v>0</v>
      </c>
      <c r="N20" s="28">
        <f>'Option1 (base case)'!N$84*conv_2026</f>
        <v>0</v>
      </c>
      <c r="O20" s="28">
        <f>'Option1 (base case)'!O$84*conv_2026</f>
        <v>0</v>
      </c>
      <c r="P20" s="28">
        <f>'Option1 (base case)'!P$84*conv_2026</f>
        <v>0</v>
      </c>
      <c r="Q20" s="28">
        <f>'Option1 (base case)'!Q$84*conv_2026</f>
        <v>0</v>
      </c>
      <c r="R20" s="28">
        <f>'Option1 (base case)'!R$84*conv_2026</f>
        <v>0</v>
      </c>
      <c r="S20" s="28">
        <f>'Option1 (base case)'!S$84*conv_2026</f>
        <v>0</v>
      </c>
      <c r="T20" s="28">
        <f>'Option1 (base case)'!T$84*conv_2026</f>
        <v>0</v>
      </c>
      <c r="U20" s="28">
        <f>'Option1 (base case)'!U$84*conv_2026</f>
        <v>0</v>
      </c>
      <c r="V20" s="28">
        <f>'Option1 (base case)'!V$84*conv_2026</f>
        <v>0</v>
      </c>
      <c r="W20" s="28">
        <f>'Option1 (base case)'!W$84*conv_2026</f>
        <v>0</v>
      </c>
      <c r="X20" s="28">
        <f>'Option1 (base case)'!X$84*conv_2026</f>
        <v>0</v>
      </c>
      <c r="Y20" s="28">
        <f>'Option1 (base case)'!Y$84*conv_2026</f>
        <v>0</v>
      </c>
      <c r="Z20" s="28">
        <f>'Option1 (base case)'!Z$84*conv_2026</f>
        <v>0</v>
      </c>
      <c r="AA20" s="28">
        <f>'Option1 (base case)'!AA$84*conv_2026</f>
        <v>0</v>
      </c>
      <c r="AB20" s="28">
        <f>'Option1 (base case)'!AB$84*conv_2026</f>
        <v>0</v>
      </c>
      <c r="AC20" s="28">
        <f>'Option1 (base case)'!AC$84*conv_2026</f>
        <v>0</v>
      </c>
      <c r="AD20" s="28">
        <f>'Option1 (base case)'!AD$84*conv_2026</f>
        <v>0</v>
      </c>
      <c r="AE20" s="28">
        <f>'Option1 (base case)'!AE$84*conv_2026</f>
        <v>0</v>
      </c>
      <c r="AF20" s="28">
        <f>'Option1 (base case)'!AF$84*conv_2026</f>
        <v>0</v>
      </c>
      <c r="AG20" s="28">
        <f>'Option1 (base case)'!AG$84*conv_2026</f>
        <v>0</v>
      </c>
    </row>
    <row r="21" spans="1:33" s="1" customFormat="1" x14ac:dyDescent="0.2">
      <c r="A21" s="114" t="str">
        <f t="shared" si="3"/>
        <v>Option 1 (base case)</v>
      </c>
      <c r="B21" s="114"/>
      <c r="C21" s="52" t="str">
        <f>'Option1 (base case)'!C$85</f>
        <v>Other benefits value</v>
      </c>
      <c r="D21" s="34" t="str">
        <f t="shared" si="2"/>
        <v>Option 1 (base case)Other benefits value</v>
      </c>
      <c r="F21" s="84">
        <f>SUMPRODUCT($H21:$AG21, $H$5:$AG$5)</f>
        <v>0</v>
      </c>
      <c r="G21" s="198">
        <f t="shared" si="4"/>
        <v>46203</v>
      </c>
      <c r="H21" s="28"/>
      <c r="I21" s="28">
        <f>'Option1 (base case)'!I$85*conv_2026</f>
        <v>0</v>
      </c>
      <c r="J21" s="28">
        <f>'Option1 (base case)'!J$85*conv_2026</f>
        <v>0</v>
      </c>
      <c r="K21" s="28">
        <f>'Option1 (base case)'!K$85*conv_2026</f>
        <v>0</v>
      </c>
      <c r="L21" s="28">
        <f>'Option1 (base case)'!L$85*conv_2026</f>
        <v>0</v>
      </c>
      <c r="M21" s="28">
        <f>'Option1 (base case)'!M$85*conv_2026</f>
        <v>0</v>
      </c>
      <c r="N21" s="28">
        <f>'Option1 (base case)'!N$85*conv_2026</f>
        <v>0</v>
      </c>
      <c r="O21" s="28">
        <f>'Option1 (base case)'!O$85*conv_2026</f>
        <v>0</v>
      </c>
      <c r="P21" s="28">
        <f>'Option1 (base case)'!P$85*conv_2026</f>
        <v>0</v>
      </c>
      <c r="Q21" s="28">
        <f>'Option1 (base case)'!Q$85*conv_2026</f>
        <v>0</v>
      </c>
      <c r="R21" s="28">
        <f>'Option1 (base case)'!R$85*conv_2026</f>
        <v>0</v>
      </c>
      <c r="S21" s="28">
        <f>'Option1 (base case)'!S$85*conv_2026</f>
        <v>0</v>
      </c>
      <c r="T21" s="28">
        <f>'Option1 (base case)'!T$85*conv_2026</f>
        <v>0</v>
      </c>
      <c r="U21" s="28">
        <f>'Option1 (base case)'!U$85*conv_2026</f>
        <v>0</v>
      </c>
      <c r="V21" s="28">
        <f>'Option1 (base case)'!V$85*conv_2026</f>
        <v>0</v>
      </c>
      <c r="W21" s="28">
        <f>'Option1 (base case)'!W$85*conv_2026</f>
        <v>0</v>
      </c>
      <c r="X21" s="28">
        <f>'Option1 (base case)'!X$85*conv_2026</f>
        <v>0</v>
      </c>
      <c r="Y21" s="28">
        <f>'Option1 (base case)'!Y$85*conv_2026</f>
        <v>0</v>
      </c>
      <c r="Z21" s="28">
        <f>'Option1 (base case)'!Z$85*conv_2026</f>
        <v>0</v>
      </c>
      <c r="AA21" s="28">
        <f>'Option1 (base case)'!AA$85*conv_2026</f>
        <v>0</v>
      </c>
      <c r="AB21" s="28">
        <f>'Option1 (base case)'!AB$85*conv_2026</f>
        <v>0</v>
      </c>
      <c r="AC21" s="28">
        <f>'Option1 (base case)'!AC$85*conv_2026</f>
        <v>0</v>
      </c>
      <c r="AD21" s="28">
        <f>'Option1 (base case)'!AD$85*conv_2026</f>
        <v>0</v>
      </c>
      <c r="AE21" s="28">
        <f>'Option1 (base case)'!AE$85*conv_2026</f>
        <v>0</v>
      </c>
      <c r="AF21" s="28">
        <f>'Option1 (base case)'!AF$85*conv_2026</f>
        <v>0</v>
      </c>
      <c r="AG21" s="28">
        <f>'Option1 (base case)'!AG$85*conv_2026</f>
        <v>0</v>
      </c>
    </row>
    <row r="22" spans="1:33" s="1" customFormat="1" x14ac:dyDescent="0.2">
      <c r="A22" s="114" t="str">
        <f t="shared" si="3"/>
        <v>Option 1 (base case)</v>
      </c>
      <c r="B22" s="114"/>
      <c r="C22" s="122" t="str">
        <f>'Option1 (base case)'!C$87</f>
        <v>Net benefits</v>
      </c>
      <c r="D22" s="96" t="str">
        <f t="shared" si="2"/>
        <v>Option 1 (base case)Net benefits</v>
      </c>
      <c r="E22" s="97"/>
      <c r="F22" s="121"/>
      <c r="G22" s="200">
        <f t="shared" si="4"/>
        <v>46203</v>
      </c>
      <c r="H22" s="46"/>
      <c r="I22" s="46">
        <f t="shared" ref="I22:AG22" si="5">SUM(I18:I21)</f>
        <v>0</v>
      </c>
      <c r="J22" s="46">
        <f t="shared" si="5"/>
        <v>0</v>
      </c>
      <c r="K22" s="46">
        <f t="shared" si="5"/>
        <v>0</v>
      </c>
      <c r="L22" s="46">
        <f t="shared" si="5"/>
        <v>0</v>
      </c>
      <c r="M22" s="46">
        <f t="shared" si="5"/>
        <v>0</v>
      </c>
      <c r="N22" s="46">
        <f t="shared" si="5"/>
        <v>0</v>
      </c>
      <c r="O22" s="46">
        <f t="shared" si="5"/>
        <v>0</v>
      </c>
      <c r="P22" s="46">
        <f t="shared" si="5"/>
        <v>0</v>
      </c>
      <c r="Q22" s="46">
        <f t="shared" si="5"/>
        <v>0</v>
      </c>
      <c r="R22" s="46">
        <f t="shared" si="5"/>
        <v>0</v>
      </c>
      <c r="S22" s="46">
        <f t="shared" si="5"/>
        <v>0</v>
      </c>
      <c r="T22" s="46">
        <f t="shared" si="5"/>
        <v>0</v>
      </c>
      <c r="U22" s="46">
        <f t="shared" si="5"/>
        <v>0</v>
      </c>
      <c r="V22" s="46">
        <f t="shared" si="5"/>
        <v>0</v>
      </c>
      <c r="W22" s="46">
        <f t="shared" si="5"/>
        <v>0</v>
      </c>
      <c r="X22" s="46">
        <f t="shared" si="5"/>
        <v>0</v>
      </c>
      <c r="Y22" s="46">
        <f t="shared" si="5"/>
        <v>0</v>
      </c>
      <c r="Z22" s="46">
        <f t="shared" si="5"/>
        <v>0</v>
      </c>
      <c r="AA22" s="46">
        <f t="shared" si="5"/>
        <v>0</v>
      </c>
      <c r="AB22" s="46">
        <f t="shared" si="5"/>
        <v>0</v>
      </c>
      <c r="AC22" s="46">
        <f t="shared" si="5"/>
        <v>0</v>
      </c>
      <c r="AD22" s="46">
        <f t="shared" si="5"/>
        <v>0</v>
      </c>
      <c r="AE22" s="46">
        <f t="shared" si="5"/>
        <v>0</v>
      </c>
      <c r="AF22" s="46">
        <f t="shared" si="5"/>
        <v>0</v>
      </c>
      <c r="AG22" s="46">
        <f t="shared" si="5"/>
        <v>0</v>
      </c>
    </row>
    <row r="23" spans="1:33" s="1" customFormat="1" x14ac:dyDescent="0.2">
      <c r="A23" s="114" t="str">
        <f t="shared" si="3"/>
        <v>Option 1 (base case)</v>
      </c>
      <c r="B23" s="114"/>
      <c r="C23" s="6" t="s">
        <v>22</v>
      </c>
      <c r="D23" s="34" t="str">
        <f t="shared" si="2"/>
        <v>Option 1 (base case)NPV</v>
      </c>
      <c r="F23" s="95" cm="1">
        <f t="array" ref="F23">SUMPRODUCT(($H22:$AG22)*($H$5:$AG$5)*($H$7:$AG$7))</f>
        <v>0</v>
      </c>
      <c r="G23" s="198">
        <f t="shared" si="4"/>
        <v>46203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</row>
    <row r="24" spans="1:33" s="1" customFormat="1" x14ac:dyDescent="0.2">
      <c r="A24" s="114" t="str">
        <f t="shared" si="3"/>
        <v>Option 1 (base case)</v>
      </c>
      <c r="B24" s="114"/>
      <c r="C24" s="6" t="s">
        <v>25</v>
      </c>
      <c r="D24" s="34" t="str">
        <f t="shared" si="2"/>
        <v>Option 1 (base case)PV of costs</v>
      </c>
      <c r="F24" s="95">
        <f>SUM(F18:F19)</f>
        <v>0</v>
      </c>
      <c r="G24" s="198">
        <f t="shared" si="4"/>
        <v>46203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</row>
    <row r="25" spans="1:33" s="1" customFormat="1" x14ac:dyDescent="0.2">
      <c r="A25" s="114" t="str">
        <f t="shared" si="3"/>
        <v>Option 1 (base case)</v>
      </c>
      <c r="B25" s="114"/>
      <c r="C25" s="6" t="s">
        <v>26</v>
      </c>
      <c r="D25" s="34" t="str">
        <f t="shared" si="2"/>
        <v>Option 1 (base case)PV of benefits</v>
      </c>
      <c r="F25" s="95">
        <f>SUM(F20:F21)</f>
        <v>0</v>
      </c>
      <c r="G25" s="198">
        <f t="shared" si="4"/>
        <v>46203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</row>
    <row r="26" spans="1:33" s="1" customFormat="1" x14ac:dyDescent="0.2">
      <c r="D26" s="34" t="str">
        <f t="shared" ref="D26:D39" si="6">A26&amp;C26</f>
        <v/>
      </c>
      <c r="G26" s="201"/>
    </row>
    <row r="27" spans="1:33" s="2" customFormat="1" x14ac:dyDescent="0.2">
      <c r="A27" s="52"/>
      <c r="B27" s="52"/>
      <c r="C27" s="52"/>
      <c r="D27" s="34" t="str">
        <f t="shared" si="6"/>
        <v/>
      </c>
      <c r="F27" s="7"/>
      <c r="G27" s="194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3" s="2" customFormat="1" x14ac:dyDescent="0.2">
      <c r="A28" s="52" t="str">
        <f>A29</f>
        <v>Option 2</v>
      </c>
      <c r="B28" s="52"/>
      <c r="C28" s="52" t="s">
        <v>118</v>
      </c>
      <c r="D28" s="34" t="str">
        <f t="shared" si="6"/>
        <v>Option 2Energy at risk value</v>
      </c>
      <c r="F28" s="84">
        <f>SUMPRODUCT($H28:$AG28, $H$5:$AG$5)</f>
        <v>6594038.3118157275</v>
      </c>
      <c r="G28" s="198">
        <f>output_dollars</f>
        <v>46203</v>
      </c>
      <c r="H28" s="28"/>
      <c r="I28" s="28">
        <f>Option2!I$28*conv_2026</f>
        <v>993664.02666878537</v>
      </c>
      <c r="J28" s="28">
        <f>Option2!J$28*conv_2026</f>
        <v>1046182.5859330412</v>
      </c>
      <c r="K28" s="28">
        <f>Option2!K$28*conv_2026</f>
        <v>33156.613033392736</v>
      </c>
      <c r="L28" s="28">
        <f>Option2!L$28*conv_2026</f>
        <v>61607.282831226767</v>
      </c>
      <c r="M28" s="28">
        <f>Option2!M$28*conv_2026</f>
        <v>89419.680641724801</v>
      </c>
      <c r="N28" s="28">
        <f>Option2!N$28*conv_2026</f>
        <v>117644.49337852295</v>
      </c>
      <c r="O28" s="28">
        <f>Option2!O$28*conv_2026</f>
        <v>147639.03588087278</v>
      </c>
      <c r="P28" s="28">
        <f>Option2!P$28*conv_2026</f>
        <v>178980.50440291921</v>
      </c>
      <c r="Q28" s="28">
        <f>Option2!Q$28*conv_2026</f>
        <v>209610.37102816504</v>
      </c>
      <c r="R28" s="28">
        <f>Option2!R$28*conv_2026</f>
        <v>237805.61191779753</v>
      </c>
      <c r="S28" s="28">
        <f>Option2!S$28*conv_2026</f>
        <v>266157.23547546758</v>
      </c>
      <c r="T28" s="28">
        <f>Option2!T$28*conv_2026</f>
        <v>294707.72051961225</v>
      </c>
      <c r="U28" s="28">
        <f>Option2!U$28*conv_2026</f>
        <v>323489.09450618166</v>
      </c>
      <c r="V28" s="28">
        <f>Option2!V$28*conv_2026</f>
        <v>352526.23278453416</v>
      </c>
      <c r="W28" s="28">
        <f>Option2!W$28*conv_2026</f>
        <v>381838.74704779329</v>
      </c>
      <c r="X28" s="28">
        <f>Option2!X$28*conv_2026</f>
        <v>411442.29618964629</v>
      </c>
      <c r="Y28" s="28">
        <f>Option2!Y$28*conv_2026</f>
        <v>441349.54998332512</v>
      </c>
      <c r="Z28" s="28">
        <f>Option2!Z$28*conv_2026</f>
        <v>471570.88835250842</v>
      </c>
      <c r="AA28" s="28">
        <f>Option2!AA$28*conv_2026</f>
        <v>502114.88006653881</v>
      </c>
      <c r="AB28" s="28">
        <f>Option2!AB$28*conv_2026</f>
        <v>532988.56015134347</v>
      </c>
      <c r="AC28" s="28">
        <f>Option2!AC$28*conv_2026</f>
        <v>564197.85942084843</v>
      </c>
      <c r="AD28" s="28">
        <f>Option2!AD$28*conv_2026</f>
        <v>595747.72835239256</v>
      </c>
      <c r="AE28" s="28">
        <f>Option2!AE$28*conv_2026</f>
        <v>627642.26786735654</v>
      </c>
      <c r="AF28" s="28">
        <f>Option2!AF$28*conv_2026</f>
        <v>659884.9876354388</v>
      </c>
      <c r="AG28" s="28">
        <f>Option2!AG$28*conv_2026</f>
        <v>692478.78399347386</v>
      </c>
    </row>
    <row r="29" spans="1:33" s="2" customFormat="1" x14ac:dyDescent="0.2">
      <c r="A29" s="114" t="str">
        <f>Data!B10</f>
        <v>Option 2</v>
      </c>
      <c r="B29" s="114"/>
      <c r="C29" s="52" t="str">
        <f>Option2!C$66</f>
        <v>Capital expenditure</v>
      </c>
      <c r="D29" s="34" t="str">
        <f t="shared" si="6"/>
        <v>Option 2Capital expenditure</v>
      </c>
      <c r="E29" s="1"/>
      <c r="F29" s="84" cm="1">
        <f t="array" ref="F29">SUMPRODUCT(($H29:$AG29)*($H$5:$AG$5)*($H$7:$AG$7))</f>
        <v>-8173818.8501680782</v>
      </c>
      <c r="G29" s="198">
        <f>output_dollars</f>
        <v>46203</v>
      </c>
      <c r="H29" s="28"/>
      <c r="I29" s="28">
        <f>SUM(Option2!I$67:I$69)*conv_2026*I$7</f>
        <v>-5606956.0697759604</v>
      </c>
      <c r="J29" s="28">
        <f>SUM(Option2!J$67:J$69)*conv_2026*J$7</f>
        <v>-2803478.0348879802</v>
      </c>
      <c r="K29" s="28">
        <f>SUM(Option2!K$67:K$69)*conv_2026*K$7</f>
        <v>0</v>
      </c>
      <c r="L29" s="28">
        <f>SUM(Option2!L$67:L$69)*conv_2026*L$7</f>
        <v>0</v>
      </c>
      <c r="M29" s="28">
        <f>SUM(Option2!M$67:M$69)*conv_2026*M$7</f>
        <v>0</v>
      </c>
      <c r="N29" s="28">
        <f>SUM(Option2!N$67:N$69)*conv_2026*N$7</f>
        <v>0</v>
      </c>
      <c r="O29" s="28">
        <f>SUM(Option2!O$67:O$69)*conv_2026*O$7</f>
        <v>0</v>
      </c>
      <c r="P29" s="28">
        <f>SUM(Option2!P$67:P$69)*conv_2026*P$7</f>
        <v>0</v>
      </c>
      <c r="Q29" s="28">
        <f>SUM(Option2!Q$67:Q$69)*conv_2026*Q$7</f>
        <v>0</v>
      </c>
      <c r="R29" s="28">
        <f>SUM(Option2!R$67:R$69)*conv_2026*R$7</f>
        <v>0</v>
      </c>
      <c r="S29" s="28">
        <f>SUM(Option2!S$67:S$69)*conv_2026*S$7</f>
        <v>0</v>
      </c>
      <c r="T29" s="28">
        <f>SUM(Option2!T$67:T$69)*conv_2026*T$7</f>
        <v>0</v>
      </c>
      <c r="U29" s="28">
        <f>SUM(Option2!U$67:U$69)*conv_2026*U$7</f>
        <v>0</v>
      </c>
      <c r="V29" s="28">
        <f>SUM(Option2!V$67:V$69)*conv_2026*V$7</f>
        <v>0</v>
      </c>
      <c r="W29" s="28">
        <f>SUM(Option2!W$67:W$69)*conv_2026*W$7</f>
        <v>0</v>
      </c>
      <c r="X29" s="28">
        <f>SUM(Option2!X$67:X$69)*conv_2026*X$7</f>
        <v>0</v>
      </c>
      <c r="Y29" s="28">
        <f>SUM(Option2!Y$67:Y$69)*conv_2026*Y$7</f>
        <v>0</v>
      </c>
      <c r="Z29" s="28">
        <f>SUM(Option2!Z$67:Z$69)*conv_2026*Z$7</f>
        <v>0</v>
      </c>
      <c r="AA29" s="28">
        <f>SUM(Option2!AA$67:AA$69)*conv_2026*AA$7</f>
        <v>0</v>
      </c>
      <c r="AB29" s="28">
        <f>SUM(Option2!AB$67:AB$69)*conv_2026*AB$7</f>
        <v>0</v>
      </c>
      <c r="AC29" s="28">
        <f>SUM(Option2!AC$67:AC$69)*conv_2026*AC$7</f>
        <v>0</v>
      </c>
      <c r="AD29" s="28">
        <f>SUM(Option2!AD$67:AD$69)*conv_2026*AD$7</f>
        <v>0</v>
      </c>
      <c r="AE29" s="28">
        <f>SUM(Option2!AE$67:AE$69)*conv_2026*AE$7</f>
        <v>0</v>
      </c>
      <c r="AF29" s="28">
        <f>SUM(Option2!AF$67:AF$69)*conv_2026*AF$7</f>
        <v>0</v>
      </c>
      <c r="AG29" s="28">
        <f>SUM(Option2!AG$67:AG$69)*conv_2026*AG$7</f>
        <v>0</v>
      </c>
    </row>
    <row r="30" spans="1:33" s="2" customFormat="1" x14ac:dyDescent="0.2">
      <c r="A30" s="114" t="str">
        <f t="shared" ref="A30:A39" si="7">A29</f>
        <v>Option 2</v>
      </c>
      <c r="B30" s="114"/>
      <c r="C30" s="52" t="str">
        <f>'Option1 (base case)'!C$36</f>
        <v>Total risk cost</v>
      </c>
      <c r="D30" s="34" t="str">
        <f t="shared" si="6"/>
        <v>Option 2Total risk cost</v>
      </c>
      <c r="E30" s="1"/>
      <c r="F30" s="84" cm="1">
        <f t="array" ref="F30">SUMPRODUCT(($H30:$AG30)*($H$5:$AG$5)*($H$7:$AG$7))</f>
        <v>5481181.0507401992</v>
      </c>
      <c r="G30" s="198">
        <f>output_dollars</f>
        <v>46203</v>
      </c>
      <c r="H30" s="28"/>
      <c r="I30" s="28">
        <f>Option2!I$36*conv_2026*I$7</f>
        <v>1026951.4017749442</v>
      </c>
      <c r="J30" s="28">
        <f>Option2!J$36*conv_2026*J$7</f>
        <v>1080370.6703299053</v>
      </c>
      <c r="K30" s="28">
        <f>Option2!K$36*conv_2026*K$7</f>
        <v>50050.040465813232</v>
      </c>
      <c r="L30" s="28">
        <f>Option2!L$36*conv_2026*L$7</f>
        <v>78995.723097851762</v>
      </c>
      <c r="M30" s="28">
        <f>Option2!M$36*conv_2026*M$7</f>
        <v>107323.15649115673</v>
      </c>
      <c r="N30" s="28">
        <f>Option2!N$36*conv_2026*N$7</f>
        <v>136081.24377345684</v>
      </c>
      <c r="O30" s="28">
        <f>Option2!O$36*conv_2026*O$7</f>
        <v>166626.17788526049</v>
      </c>
      <c r="P30" s="28">
        <f>Option2!P$36*conv_2026*P$7</f>
        <v>198534.35044655</v>
      </c>
      <c r="Q30" s="28">
        <f>Option2!Q$36*conv_2026*Q$7</f>
        <v>229746.61180815208</v>
      </c>
      <c r="R30" s="28">
        <f>Option2!R$36*conv_2026*R$7</f>
        <v>258539.43531763818</v>
      </c>
      <c r="S30" s="28">
        <f>Option2!S$36*conv_2026*S$7</f>
        <v>287503.40996282629</v>
      </c>
      <c r="T30" s="28">
        <f>Option2!T$36*conv_2026*T$7</f>
        <v>316680.65515742335</v>
      </c>
      <c r="U30" s="28">
        <f>Option2!U$36*conv_2026*U$7</f>
        <v>346102.88506412163</v>
      </c>
      <c r="V30" s="28">
        <f>Option2!V$36*conv_2026*V$7</f>
        <v>375794.69836344506</v>
      </c>
      <c r="W30" s="28">
        <f>Option2!W$36*conv_2026*W$7</f>
        <v>405775.45832020143</v>
      </c>
      <c r="X30" s="28">
        <f>Option2!X$36*conv_2026*X$7</f>
        <v>436060.59988958749</v>
      </c>
      <c r="Y30" s="28">
        <f>Option2!Y$36*conv_2026*Y$7</f>
        <v>466662.58832170168</v>
      </c>
      <c r="Z30" s="28">
        <f>Option2!Z$36*conv_2026*Z$7</f>
        <v>497591.61600552575</v>
      </c>
      <c r="AA30" s="28">
        <f>Option2!AA$36*conv_2026*AA$7</f>
        <v>528856.07829596556</v>
      </c>
      <c r="AB30" s="28">
        <f>Option2!AB$36*conv_2026*AB$7</f>
        <v>560462.84893910924</v>
      </c>
      <c r="AC30" s="28">
        <f>Option2!AC$36*conv_2026*AC$7</f>
        <v>0</v>
      </c>
      <c r="AD30" s="28">
        <f>Option2!AD$36*conv_2026*AD$7</f>
        <v>0</v>
      </c>
      <c r="AE30" s="28">
        <f>Option2!AE$36*conv_2026*AE$7</f>
        <v>0</v>
      </c>
      <c r="AF30" s="28">
        <f>Option2!AF$36*conv_2026*AF$7</f>
        <v>0</v>
      </c>
      <c r="AG30" s="28">
        <f>Option2!AG$36*conv_2026*AG$7</f>
        <v>0</v>
      </c>
    </row>
    <row r="31" spans="1:33" s="2" customFormat="1" x14ac:dyDescent="0.2">
      <c r="A31" s="114" t="str">
        <f t="shared" si="7"/>
        <v>Option 2</v>
      </c>
      <c r="B31" s="114"/>
      <c r="C31" s="12"/>
      <c r="D31" s="34" t="str">
        <f t="shared" si="6"/>
        <v>Option 2</v>
      </c>
      <c r="E31" s="1"/>
      <c r="F31" s="84"/>
      <c r="G31" s="199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1:33" s="2" customFormat="1" x14ac:dyDescent="0.2">
      <c r="A32" s="114" t="str">
        <f t="shared" si="7"/>
        <v>Option 2</v>
      </c>
      <c r="B32" s="114"/>
      <c r="C32" s="52" t="str">
        <f>Option2!C$82</f>
        <v>Annualised capex</v>
      </c>
      <c r="D32" s="34" t="str">
        <f t="shared" si="6"/>
        <v>Option 2Annualised capex</v>
      </c>
      <c r="E32" s="1"/>
      <c r="F32" s="84" cm="1">
        <f t="array" ref="F32">SUMPRODUCT(($H32:$AG32)*($H$5:$AG$5)*($H$7:$AG$7))</f>
        <v>-4718563.506383203</v>
      </c>
      <c r="G32" s="198">
        <f t="shared" ref="G32:G39" si="8">output_dollars</f>
        <v>46203</v>
      </c>
      <c r="H32" s="28"/>
      <c r="I32" s="28">
        <f>Option2!I$82*conv_2026*I$7</f>
        <v>0</v>
      </c>
      <c r="J32" s="28">
        <f>Option2!J$82*conv_2026*J$7</f>
        <v>-239045.33663122164</v>
      </c>
      <c r="K32" s="28">
        <f>Option2!K$82*conv_2026*K$7</f>
        <v>-358568.00494683249</v>
      </c>
      <c r="L32" s="28">
        <f>Option2!L$82*conv_2026*L$7</f>
        <v>-358568.00494683249</v>
      </c>
      <c r="M32" s="28">
        <f>Option2!M$82*conv_2026*M$7</f>
        <v>-358568.00494683249</v>
      </c>
      <c r="N32" s="28">
        <f>Option2!N$82*conv_2026*N$7</f>
        <v>-358568.00494683249</v>
      </c>
      <c r="O32" s="28">
        <f>Option2!O$82*conv_2026*O$7</f>
        <v>-358568.00494683249</v>
      </c>
      <c r="P32" s="28">
        <f>Option2!P$82*conv_2026*P$7</f>
        <v>-358568.00494683249</v>
      </c>
      <c r="Q32" s="28">
        <f>Option2!Q$82*conv_2026*Q$7</f>
        <v>-358568.00494683249</v>
      </c>
      <c r="R32" s="28">
        <f>Option2!R$82*conv_2026*R$7</f>
        <v>-358568.00494683249</v>
      </c>
      <c r="S32" s="28">
        <f>Option2!S$82*conv_2026*S$7</f>
        <v>-358568.00494683249</v>
      </c>
      <c r="T32" s="28">
        <f>Option2!T$82*conv_2026*T$7</f>
        <v>-358568.00494683249</v>
      </c>
      <c r="U32" s="28">
        <f>Option2!U$82*conv_2026*U$7</f>
        <v>-358568.00494683249</v>
      </c>
      <c r="V32" s="28">
        <f>Option2!V$82*conv_2026*V$7</f>
        <v>-358568.00494683249</v>
      </c>
      <c r="W32" s="28">
        <f>Option2!W$82*conv_2026*W$7</f>
        <v>-358568.00494683249</v>
      </c>
      <c r="X32" s="28">
        <f>Option2!X$82*conv_2026*X$7</f>
        <v>-358568.00494683249</v>
      </c>
      <c r="Y32" s="28">
        <f>Option2!Y$82*conv_2026*Y$7</f>
        <v>-358568.00494683249</v>
      </c>
      <c r="Z32" s="28">
        <f>Option2!Z$82*conv_2026*Z$7</f>
        <v>-358568.00494683249</v>
      </c>
      <c r="AA32" s="28">
        <f>Option2!AA$82*conv_2026*AA$7</f>
        <v>-358568.00494683249</v>
      </c>
      <c r="AB32" s="28">
        <f>Option2!AB$82*conv_2026*AB$7</f>
        <v>-358568.00494683249</v>
      </c>
      <c r="AC32" s="28">
        <f>Option2!AC$82*conv_2026*AC$7</f>
        <v>0</v>
      </c>
      <c r="AD32" s="28">
        <f>Option2!AD$82*conv_2026*AD$7</f>
        <v>0</v>
      </c>
      <c r="AE32" s="28">
        <f>Option2!AE$82*conv_2026*AE$7</f>
        <v>0</v>
      </c>
      <c r="AF32" s="28">
        <f>Option2!AF$82*conv_2026*AF$7</f>
        <v>0</v>
      </c>
      <c r="AG32" s="28">
        <f>Option2!AG$82*conv_2026*AG$7</f>
        <v>0</v>
      </c>
    </row>
    <row r="33" spans="1:33" s="2" customFormat="1" x14ac:dyDescent="0.2">
      <c r="A33" s="114" t="str">
        <f t="shared" si="7"/>
        <v>Option 2</v>
      </c>
      <c r="B33" s="114"/>
      <c r="C33" s="52" t="str">
        <f>Option2!C$83</f>
        <v>Operating expenditure</v>
      </c>
      <c r="D33" s="34" t="str">
        <f t="shared" si="6"/>
        <v>Option 2Operating expenditure</v>
      </c>
      <c r="E33" s="1"/>
      <c r="F33" s="84" cm="1">
        <f t="array" ref="F33">SUMPRODUCT(($H33:$AG33)*($H$5:$AG$5)*($H$7:$AG$7))</f>
        <v>0</v>
      </c>
      <c r="G33" s="198">
        <f t="shared" si="8"/>
        <v>46203</v>
      </c>
      <c r="H33" s="28"/>
      <c r="I33" s="28">
        <f>Option2!I$83*conv_2026*I$7</f>
        <v>0</v>
      </c>
      <c r="J33" s="28">
        <f>Option2!J$83*conv_2026*J$7</f>
        <v>0</v>
      </c>
      <c r="K33" s="28">
        <f>Option2!K$83*conv_2026*K$7</f>
        <v>0</v>
      </c>
      <c r="L33" s="28">
        <f>Option2!L$83*conv_2026*L$7</f>
        <v>0</v>
      </c>
      <c r="M33" s="28">
        <f>Option2!M$83*conv_2026*M$7</f>
        <v>0</v>
      </c>
      <c r="N33" s="28">
        <f>Option2!N$83*conv_2026*N$7</f>
        <v>0</v>
      </c>
      <c r="O33" s="28">
        <f>Option2!O$83*conv_2026*O$7</f>
        <v>0</v>
      </c>
      <c r="P33" s="28">
        <f>Option2!P$83*conv_2026*P$7</f>
        <v>0</v>
      </c>
      <c r="Q33" s="28">
        <f>Option2!Q$83*conv_2026*Q$7</f>
        <v>0</v>
      </c>
      <c r="R33" s="28">
        <f>Option2!R$83*conv_2026*R$7</f>
        <v>0</v>
      </c>
      <c r="S33" s="28">
        <f>Option2!S$83*conv_2026*S$7</f>
        <v>0</v>
      </c>
      <c r="T33" s="28">
        <f>Option2!T$83*conv_2026*T$7</f>
        <v>0</v>
      </c>
      <c r="U33" s="28">
        <f>Option2!U$83*conv_2026*U$7</f>
        <v>0</v>
      </c>
      <c r="V33" s="28">
        <f>Option2!V$83*conv_2026*V$7</f>
        <v>0</v>
      </c>
      <c r="W33" s="28">
        <f>Option2!W$83*conv_2026*W$7</f>
        <v>0</v>
      </c>
      <c r="X33" s="28">
        <f>Option2!X$83*conv_2026*X$7</f>
        <v>0</v>
      </c>
      <c r="Y33" s="28">
        <f>Option2!Y$83*conv_2026*Y$7</f>
        <v>0</v>
      </c>
      <c r="Z33" s="28">
        <f>Option2!Z$83*conv_2026*Z$7</f>
        <v>0</v>
      </c>
      <c r="AA33" s="28">
        <f>Option2!AA$83*conv_2026*AA$7</f>
        <v>0</v>
      </c>
      <c r="AB33" s="28">
        <f>Option2!AB$83*conv_2026*AB$7</f>
        <v>0</v>
      </c>
      <c r="AC33" s="28">
        <f>Option2!AC$83*conv_2026*AC$7</f>
        <v>0</v>
      </c>
      <c r="AD33" s="28">
        <f>Option2!AD$83*conv_2026*AD$7</f>
        <v>0</v>
      </c>
      <c r="AE33" s="28">
        <f>Option2!AE$83*conv_2026*AE$7</f>
        <v>0</v>
      </c>
      <c r="AF33" s="28">
        <f>Option2!AF$83*conv_2026*AF$7</f>
        <v>0</v>
      </c>
      <c r="AG33" s="28">
        <f>Option2!AG$83*conv_2026*AG$7</f>
        <v>0</v>
      </c>
    </row>
    <row r="34" spans="1:33" s="2" customFormat="1" x14ac:dyDescent="0.2">
      <c r="A34" s="114" t="str">
        <f t="shared" si="7"/>
        <v>Option 2</v>
      </c>
      <c r="B34" s="114"/>
      <c r="C34" s="52" t="str">
        <f>Option2!C$84</f>
        <v>Risk mitigated</v>
      </c>
      <c r="D34" s="34" t="str">
        <f t="shared" si="6"/>
        <v>Option 2Risk mitigated</v>
      </c>
      <c r="E34" s="1"/>
      <c r="F34" s="84" cm="1">
        <f t="array" ref="F34">SUMPRODUCT(($H34:$AG34)*($H$5:$AG$5)*($H$7:$AG$7))</f>
        <v>15452735.850418104</v>
      </c>
      <c r="G34" s="198">
        <f t="shared" si="8"/>
        <v>46203</v>
      </c>
      <c r="H34" s="28"/>
      <c r="I34" s="28">
        <f>Option2!I$84*conv_2026*I$7</f>
        <v>0</v>
      </c>
      <c r="J34" s="28">
        <f>Option2!J$84*conv_2026*J$7</f>
        <v>0</v>
      </c>
      <c r="K34" s="28">
        <f>Option2!K$84*conv_2026*K$7</f>
        <v>1081764.9367913739</v>
      </c>
      <c r="L34" s="28">
        <f>Option2!L$84*conv_2026*L$7</f>
        <v>1103299.4298422018</v>
      </c>
      <c r="M34" s="28">
        <f>Option2!M$84*conv_2026*M$7</f>
        <v>1124511.7908316797</v>
      </c>
      <c r="N34" s="28">
        <f>Option2!N$84*conv_2026*N$7</f>
        <v>1149448.6349374892</v>
      </c>
      <c r="O34" s="28">
        <f>Option2!O$84*conv_2026*O$7</f>
        <v>1184646.1149541531</v>
      </c>
      <c r="P34" s="28">
        <f>Option2!P$84*conv_2026*P$7</f>
        <v>1221717.3797148915</v>
      </c>
      <c r="Q34" s="28">
        <f>Option2!Q$84*conv_2026*Q$7</f>
        <v>1247458.0750142422</v>
      </c>
      <c r="R34" s="28">
        <f>Option2!R$84*conv_2026*R$7</f>
        <v>1256491.7634029589</v>
      </c>
      <c r="S34" s="28">
        <f>Option2!S$84*conv_2026*S$7</f>
        <v>1265756.1457042887</v>
      </c>
      <c r="T34" s="28">
        <f>Option2!T$84*conv_2026*T$7</f>
        <v>1275207.6754841981</v>
      </c>
      <c r="U34" s="28">
        <f>Option2!U$84*conv_2026*U$7</f>
        <v>1284813.2978069244</v>
      </c>
      <c r="V34" s="28">
        <f>Option2!V$84*conv_2026*V$7</f>
        <v>1294547.1085786966</v>
      </c>
      <c r="W34" s="28">
        <f>Option2!W$84*conv_2026*W$7</f>
        <v>1304388.4065195734</v>
      </c>
      <c r="X34" s="28">
        <f>Option2!X$84*conv_2026*X$7</f>
        <v>1314320.5219304243</v>
      </c>
      <c r="Y34" s="28">
        <f>Option2!Y$84*conv_2026*Y$7</f>
        <v>1324329.7561857647</v>
      </c>
      <c r="Z34" s="28">
        <f>Option2!Z$84*conv_2026*Z$7</f>
        <v>1334404.7188585319</v>
      </c>
      <c r="AA34" s="28">
        <f>Option2!AA$84*conv_2026*AA$7</f>
        <v>1344535.8178790878</v>
      </c>
      <c r="AB34" s="28">
        <f>Option2!AB$84*conv_2026*AB$7</f>
        <v>1354715.0351159966</v>
      </c>
      <c r="AC34" s="28">
        <f>Option2!AC$84*conv_2026*AC$7</f>
        <v>0</v>
      </c>
      <c r="AD34" s="28">
        <f>Option2!AD$84*conv_2026*AD$7</f>
        <v>0</v>
      </c>
      <c r="AE34" s="28">
        <f>Option2!AE$84*conv_2026*AE$7</f>
        <v>0</v>
      </c>
      <c r="AF34" s="28">
        <f>Option2!AF$84*conv_2026*AF$7</f>
        <v>0</v>
      </c>
      <c r="AG34" s="28">
        <f>Option2!AG$84*conv_2026*AG$7</f>
        <v>0</v>
      </c>
    </row>
    <row r="35" spans="1:33" s="2" customFormat="1" x14ac:dyDescent="0.2">
      <c r="A35" s="114" t="str">
        <f t="shared" si="7"/>
        <v>Option 2</v>
      </c>
      <c r="B35" s="114"/>
      <c r="C35" s="52" t="str">
        <f>Option2!C$85</f>
        <v>Other benefits value</v>
      </c>
      <c r="D35" s="34" t="str">
        <f t="shared" si="6"/>
        <v>Option 2Other benefits value</v>
      </c>
      <c r="E35" s="1"/>
      <c r="F35" s="84" cm="1">
        <f t="array" ref="F35">SUMPRODUCT(($H35:$AG35)*($H$5:$AG$5)*($H$7:$AG$7))</f>
        <v>0</v>
      </c>
      <c r="G35" s="198">
        <f t="shared" si="8"/>
        <v>46203</v>
      </c>
      <c r="H35" s="28"/>
      <c r="I35" s="28">
        <f>Option2!I$85*conv_2026*I$7</f>
        <v>0</v>
      </c>
      <c r="J35" s="28">
        <f>Option2!J$85*conv_2026*J$7</f>
        <v>0</v>
      </c>
      <c r="K35" s="28">
        <f>Option2!K$85*conv_2026*K$7</f>
        <v>0</v>
      </c>
      <c r="L35" s="28">
        <f>Option2!L$85*conv_2026*L$7</f>
        <v>0</v>
      </c>
      <c r="M35" s="28">
        <f>Option2!M$85*conv_2026*M$7</f>
        <v>0</v>
      </c>
      <c r="N35" s="28">
        <f>Option2!N$85*conv_2026*N$7</f>
        <v>0</v>
      </c>
      <c r="O35" s="28">
        <f>Option2!O$85*conv_2026*O$7</f>
        <v>0</v>
      </c>
      <c r="P35" s="28">
        <f>Option2!P$85*conv_2026*P$7</f>
        <v>0</v>
      </c>
      <c r="Q35" s="28">
        <f>Option2!Q$85*conv_2026*Q$7</f>
        <v>0</v>
      </c>
      <c r="R35" s="28">
        <f>Option2!R$85*conv_2026*R$7</f>
        <v>0</v>
      </c>
      <c r="S35" s="28">
        <f>Option2!S$85*conv_2026*S$7</f>
        <v>0</v>
      </c>
      <c r="T35" s="28">
        <f>Option2!T$85*conv_2026*T$7</f>
        <v>0</v>
      </c>
      <c r="U35" s="28">
        <f>Option2!U$85*conv_2026*U$7</f>
        <v>0</v>
      </c>
      <c r="V35" s="28">
        <f>Option2!V$85*conv_2026*V$7</f>
        <v>0</v>
      </c>
      <c r="W35" s="28">
        <f>Option2!W$85*conv_2026*W$7</f>
        <v>0</v>
      </c>
      <c r="X35" s="28">
        <f>Option2!X$85*conv_2026*X$7</f>
        <v>0</v>
      </c>
      <c r="Y35" s="28">
        <f>Option2!Y$85*conv_2026*Y$7</f>
        <v>0</v>
      </c>
      <c r="Z35" s="28">
        <f>Option2!Z$85*conv_2026*Z$7</f>
        <v>0</v>
      </c>
      <c r="AA35" s="28">
        <f>Option2!AA$85*conv_2026*AA$7</f>
        <v>0</v>
      </c>
      <c r="AB35" s="28">
        <f>Option2!AB$85*conv_2026*AB$7</f>
        <v>0</v>
      </c>
      <c r="AC35" s="28">
        <f>Option2!AC$85*conv_2026*AC$7</f>
        <v>0</v>
      </c>
      <c r="AD35" s="28">
        <f>Option2!AD$85*conv_2026*AD$7</f>
        <v>0</v>
      </c>
      <c r="AE35" s="28">
        <f>Option2!AE$85*conv_2026*AE$7</f>
        <v>0</v>
      </c>
      <c r="AF35" s="28">
        <f>Option2!AF$85*conv_2026*AF$7</f>
        <v>0</v>
      </c>
      <c r="AG35" s="28">
        <f>Option2!AG$85*conv_2026*AG$7</f>
        <v>0</v>
      </c>
    </row>
    <row r="36" spans="1:33" s="2" customFormat="1" x14ac:dyDescent="0.2">
      <c r="A36" s="114" t="str">
        <f t="shared" si="7"/>
        <v>Option 2</v>
      </c>
      <c r="B36" s="114"/>
      <c r="C36" s="104" t="str">
        <f>Option2!C87</f>
        <v>Net benefits</v>
      </c>
      <c r="D36" s="96" t="str">
        <f t="shared" si="6"/>
        <v>Option 2Net benefits</v>
      </c>
      <c r="E36" s="97"/>
      <c r="F36" s="121"/>
      <c r="G36" s="200">
        <f t="shared" si="8"/>
        <v>46203</v>
      </c>
      <c r="H36" s="46"/>
      <c r="I36" s="46">
        <f>SUM(I32:I35)</f>
        <v>0</v>
      </c>
      <c r="J36" s="46">
        <f t="shared" ref="J36:AG36" si="9">SUM(J32:J35)</f>
        <v>-239045.33663122164</v>
      </c>
      <c r="K36" s="46">
        <f t="shared" si="9"/>
        <v>723196.93184454134</v>
      </c>
      <c r="L36" s="46">
        <f t="shared" si="9"/>
        <v>744731.42489536921</v>
      </c>
      <c r="M36" s="46">
        <f t="shared" si="9"/>
        <v>765943.78588484717</v>
      </c>
      <c r="N36" s="46">
        <f t="shared" si="9"/>
        <v>790880.62999065663</v>
      </c>
      <c r="O36" s="46">
        <f t="shared" si="9"/>
        <v>826078.11000732053</v>
      </c>
      <c r="P36" s="46">
        <f t="shared" si="9"/>
        <v>863149.374768059</v>
      </c>
      <c r="Q36" s="46">
        <f t="shared" si="9"/>
        <v>888890.07006740966</v>
      </c>
      <c r="R36" s="46">
        <f t="shared" si="9"/>
        <v>897923.75845612632</v>
      </c>
      <c r="S36" s="46">
        <f t="shared" si="9"/>
        <v>907188.14075745619</v>
      </c>
      <c r="T36" s="46">
        <f t="shared" si="9"/>
        <v>916639.6705373656</v>
      </c>
      <c r="U36" s="46">
        <f t="shared" si="9"/>
        <v>926245.2928600919</v>
      </c>
      <c r="V36" s="46">
        <f t="shared" si="9"/>
        <v>935979.10363186407</v>
      </c>
      <c r="W36" s="46">
        <f t="shared" si="9"/>
        <v>945820.40157274087</v>
      </c>
      <c r="X36" s="46">
        <f t="shared" si="9"/>
        <v>955752.51698359172</v>
      </c>
      <c r="Y36" s="46">
        <f t="shared" si="9"/>
        <v>965761.75123893213</v>
      </c>
      <c r="Z36" s="46">
        <f t="shared" si="9"/>
        <v>975836.71391169936</v>
      </c>
      <c r="AA36" s="46">
        <f t="shared" si="9"/>
        <v>985967.81293225521</v>
      </c>
      <c r="AB36" s="46">
        <f t="shared" si="9"/>
        <v>996147.03016916406</v>
      </c>
      <c r="AC36" s="46">
        <f t="shared" si="9"/>
        <v>0</v>
      </c>
      <c r="AD36" s="46">
        <f t="shared" si="9"/>
        <v>0</v>
      </c>
      <c r="AE36" s="46">
        <f t="shared" si="9"/>
        <v>0</v>
      </c>
      <c r="AF36" s="46">
        <f t="shared" si="9"/>
        <v>0</v>
      </c>
      <c r="AG36" s="46">
        <f t="shared" si="9"/>
        <v>0</v>
      </c>
    </row>
    <row r="37" spans="1:33" s="2" customFormat="1" x14ac:dyDescent="0.2">
      <c r="A37" s="114" t="str">
        <f t="shared" si="7"/>
        <v>Option 2</v>
      </c>
      <c r="B37" s="114"/>
      <c r="C37" s="6" t="s">
        <v>22</v>
      </c>
      <c r="D37" s="34" t="str">
        <f t="shared" si="6"/>
        <v>Option 2NPV</v>
      </c>
      <c r="E37" s="1"/>
      <c r="F37" s="95" cm="1">
        <f t="array" ref="F37">SUMPRODUCT(($H36:$AG36)*($H$5:$AG$5)*($H$7:$AG$7))</f>
        <v>10734172.344034899</v>
      </c>
      <c r="G37" s="198">
        <f t="shared" si="8"/>
        <v>46203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</row>
    <row r="38" spans="1:33" s="2" customFormat="1" x14ac:dyDescent="0.2">
      <c r="A38" s="114" t="str">
        <f t="shared" si="7"/>
        <v>Option 2</v>
      </c>
      <c r="B38" s="114"/>
      <c r="C38" s="6" t="s">
        <v>25</v>
      </c>
      <c r="D38" s="34" t="str">
        <f t="shared" si="6"/>
        <v>Option 2PV of costs</v>
      </c>
      <c r="E38" s="1"/>
      <c r="F38" s="95">
        <f>SUM(F32:F33)</f>
        <v>-4718563.506383203</v>
      </c>
      <c r="G38" s="198">
        <f t="shared" si="8"/>
        <v>46203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</row>
    <row r="39" spans="1:33" s="2" customFormat="1" x14ac:dyDescent="0.2">
      <c r="A39" s="114" t="str">
        <f t="shared" si="7"/>
        <v>Option 2</v>
      </c>
      <c r="B39" s="114"/>
      <c r="C39" s="6" t="s">
        <v>26</v>
      </c>
      <c r="D39" s="34" t="str">
        <f t="shared" si="6"/>
        <v>Option 2PV of benefits</v>
      </c>
      <c r="E39" s="1"/>
      <c r="F39" s="95">
        <f>SUM(F34:F35)</f>
        <v>15452735.850418104</v>
      </c>
      <c r="G39" s="198">
        <f t="shared" si="8"/>
        <v>46203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</row>
    <row r="40" spans="1:33" s="2" customFormat="1" x14ac:dyDescent="0.2">
      <c r="A40" s="114"/>
      <c r="B40" s="114"/>
      <c r="C40" s="1"/>
      <c r="D40" s="34"/>
      <c r="E40" s="1"/>
      <c r="F40" s="95"/>
      <c r="G40" s="201"/>
      <c r="H40" s="1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</row>
    <row r="41" spans="1:33" s="2" customFormat="1" x14ac:dyDescent="0.2">
      <c r="A41" s="52"/>
      <c r="B41" s="52"/>
      <c r="C41" s="52"/>
      <c r="D41" s="34" t="str">
        <f>A41&amp;C41</f>
        <v/>
      </c>
      <c r="F41" s="7"/>
      <c r="G41" s="194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</row>
    <row r="42" spans="1:33" s="2" customFormat="1" x14ac:dyDescent="0.2">
      <c r="A42" s="52" t="str">
        <f>A43</f>
        <v>Option 3</v>
      </c>
      <c r="B42" s="52"/>
      <c r="C42" s="52" t="s">
        <v>118</v>
      </c>
      <c r="D42" s="34" t="str">
        <f>A42&amp;C42</f>
        <v>Option 3Energy at risk value</v>
      </c>
      <c r="F42" s="84">
        <f>SUMPRODUCT($H42:$AG42, $H$5:$AG$5)</f>
        <v>24436968.267975084</v>
      </c>
      <c r="G42" s="198">
        <f>output_dollars</f>
        <v>46203</v>
      </c>
      <c r="H42" s="28"/>
      <c r="I42" s="28">
        <f>Option3!I$28*conv_2026</f>
        <v>993664.02666878537</v>
      </c>
      <c r="J42" s="28">
        <f>Option3!J$28*conv_2026</f>
        <v>1025164.6041996896</v>
      </c>
      <c r="K42" s="28">
        <f>Option3!K$28*conv_2026</f>
        <v>1074679.697565</v>
      </c>
      <c r="L42" s="28">
        <f>Option3!L$28*conv_2026</f>
        <v>1123239.4554591654</v>
      </c>
      <c r="M42" s="28">
        <f>Option3!M$28*conv_2026</f>
        <v>1170867.2266320589</v>
      </c>
      <c r="N42" s="28">
        <f>Option3!N$28*conv_2026</f>
        <v>1222556.1556146522</v>
      </c>
      <c r="O42" s="28">
        <f>Option3!O$28*conv_2026</f>
        <v>1286040.0627788466</v>
      </c>
      <c r="P42" s="28">
        <f>Option3!P$28*conv_2026</f>
        <v>1352685.5181271883</v>
      </c>
      <c r="Q42" s="28">
        <f>Option3!Q$28*conv_2026</f>
        <v>1407535.705811339</v>
      </c>
      <c r="R42" s="28">
        <f>Option3!R$28*conv_2026</f>
        <v>1443633.5343625827</v>
      </c>
      <c r="S42" s="28">
        <f>Option3!S$28*conv_2026</f>
        <v>1480114.8814479597</v>
      </c>
      <c r="T42" s="28">
        <f>Option3!T$28*conv_2026</f>
        <v>1516978.4357988355</v>
      </c>
      <c r="U42" s="28">
        <f>Option3!U$28*conv_2026</f>
        <v>1554222.8874881631</v>
      </c>
      <c r="V42" s="28">
        <f>Option3!V$28*conv_2026</f>
        <v>1591846.9741993586</v>
      </c>
      <c r="W42" s="28">
        <f>Option3!W$28*conv_2026</f>
        <v>1629849.4812474281</v>
      </c>
      <c r="X42" s="28">
        <f>Option3!X$28*conv_2026</f>
        <v>1668229.1952612675</v>
      </c>
      <c r="Y42" s="28">
        <f>Option3!Y$28*conv_2026</f>
        <v>1706984.9504958522</v>
      </c>
      <c r="Z42" s="28">
        <f>Option3!Z$28*conv_2026</f>
        <v>1746115.5824902819</v>
      </c>
      <c r="AA42" s="28">
        <f>Option3!AA$28*conv_2026</f>
        <v>1785619.9744090023</v>
      </c>
      <c r="AB42" s="28">
        <f>Option3!AB$28*conv_2026</f>
        <v>1825497.0570708138</v>
      </c>
      <c r="AC42" s="28">
        <f>Option3!AC$28*conv_2026</f>
        <v>1865745.7161603293</v>
      </c>
      <c r="AD42" s="28">
        <f>Option3!AD$28*conv_2026</f>
        <v>1906364.9313914052</v>
      </c>
      <c r="AE42" s="28">
        <f>Option3!AE$28*conv_2026</f>
        <v>1947353.660515561</v>
      </c>
      <c r="AF42" s="28">
        <f>Option3!AF$28*conv_2026</f>
        <v>1988710.932155092</v>
      </c>
      <c r="AG42" s="28">
        <f>Option3!AG$28*conv_2026</f>
        <v>2030435.7761746531</v>
      </c>
    </row>
    <row r="43" spans="1:33" s="2" customFormat="1" x14ac:dyDescent="0.2">
      <c r="A43" s="114" t="str">
        <f>Data!B11</f>
        <v>Option 3</v>
      </c>
      <c r="B43" s="114"/>
      <c r="C43" s="52" t="str">
        <f>Option3!C$66</f>
        <v>Capital expenditure</v>
      </c>
      <c r="D43" s="34" t="str">
        <f>A43&amp;C43</f>
        <v>Option 3Capital expenditure</v>
      </c>
      <c r="E43" s="1"/>
      <c r="F43" s="84">
        <f>SUMPRODUCT($H43:$AG43, $H$5:$AG$5)</f>
        <v>-576546.30882931442</v>
      </c>
      <c r="G43" s="198">
        <f>output_dollars</f>
        <v>46203</v>
      </c>
      <c r="H43" s="28"/>
      <c r="I43" s="28">
        <f>SUM(Option3!I$67:I$69)*conv_2026*I$7</f>
        <v>-586549.09755498893</v>
      </c>
      <c r="J43" s="28">
        <f>SUM(Option3!J$67:J$69)*conv_2026*J$7</f>
        <v>0</v>
      </c>
      <c r="K43" s="28">
        <f>SUM(Option3!K$67:K$69)*conv_2026*K$7</f>
        <v>0</v>
      </c>
      <c r="L43" s="28">
        <f>SUM(Option3!L$67:L$69)*conv_2026*L$7</f>
        <v>0</v>
      </c>
      <c r="M43" s="28">
        <f>SUM(Option3!M$67:M$69)*conv_2026*M$7</f>
        <v>0</v>
      </c>
      <c r="N43" s="28">
        <f>SUM(Option3!N$67:N$69)*conv_2026*N$7</f>
        <v>0</v>
      </c>
      <c r="O43" s="28">
        <f>SUM(Option3!O$67:O$69)*conv_2026*O$7</f>
        <v>0</v>
      </c>
      <c r="P43" s="28">
        <f>SUM(Option3!P$67:P$69)*conv_2026*P$7</f>
        <v>0</v>
      </c>
      <c r="Q43" s="28">
        <f>SUM(Option3!Q$67:Q$69)*conv_2026*Q$7</f>
        <v>0</v>
      </c>
      <c r="R43" s="28">
        <f>SUM(Option3!R$67:R$69)*conv_2026*R$7</f>
        <v>0</v>
      </c>
      <c r="S43" s="28">
        <f>SUM(Option3!S$67:S$69)*conv_2026*S$7</f>
        <v>0</v>
      </c>
      <c r="T43" s="28">
        <f>SUM(Option3!T$67:T$69)*conv_2026*T$7</f>
        <v>0</v>
      </c>
      <c r="U43" s="28">
        <f>SUM(Option3!U$67:U$69)*conv_2026*U$7</f>
        <v>0</v>
      </c>
      <c r="V43" s="28">
        <f>SUM(Option3!V$67:V$69)*conv_2026*V$7</f>
        <v>0</v>
      </c>
      <c r="W43" s="28">
        <f>SUM(Option3!W$67:W$69)*conv_2026*W$7</f>
        <v>0</v>
      </c>
      <c r="X43" s="28">
        <f>SUM(Option3!X$67:X$69)*conv_2026*X$7</f>
        <v>0</v>
      </c>
      <c r="Y43" s="28">
        <f>SUM(Option3!Y$67:Y$69)*conv_2026*Y$7</f>
        <v>0</v>
      </c>
      <c r="Z43" s="28">
        <f>SUM(Option3!Z$67:Z$69)*conv_2026*Z$7</f>
        <v>0</v>
      </c>
      <c r="AA43" s="28">
        <f>SUM(Option3!AA$67:AA$69)*conv_2026*AA$7</f>
        <v>0</v>
      </c>
      <c r="AB43" s="28">
        <f>SUM(Option3!AB$67:AB$69)*conv_2026*AB$7</f>
        <v>0</v>
      </c>
      <c r="AC43" s="28">
        <f>SUM(Option3!AC$67:AC$69)*conv_2026*AC$7</f>
        <v>0</v>
      </c>
      <c r="AD43" s="28">
        <f>SUM(Option3!AD$67:AD$69)*conv_2026*AD$7</f>
        <v>0</v>
      </c>
      <c r="AE43" s="28">
        <f>SUM(Option3!AE$67:AE$69)*conv_2026*AE$7</f>
        <v>0</v>
      </c>
      <c r="AF43" s="28">
        <f>SUM(Option3!AF$67:AF$69)*conv_2026*AF$7</f>
        <v>0</v>
      </c>
      <c r="AG43" s="28">
        <f>SUM(Option3!AG$67:AG$69)*conv_2026*AG$7</f>
        <v>0</v>
      </c>
    </row>
    <row r="44" spans="1:33" s="2" customFormat="1" x14ac:dyDescent="0.2">
      <c r="A44" s="114" t="str">
        <f t="shared" ref="A44:A53" si="10">A43</f>
        <v>Option 3</v>
      </c>
      <c r="B44" s="114"/>
      <c r="C44" s="52" t="str">
        <f>'Option1 (base case)'!C$36</f>
        <v>Total risk cost</v>
      </c>
      <c r="D44" s="34" t="str">
        <f>A44&amp;C44</f>
        <v>Option 3Total risk cost</v>
      </c>
      <c r="E44" s="1"/>
      <c r="F44" s="84">
        <f>SUMPRODUCT($H44:$AG44, $H$5:$AG$5)</f>
        <v>20496224.601381458</v>
      </c>
      <c r="G44" s="198">
        <f>output_dollars</f>
        <v>46203</v>
      </c>
      <c r="H44" s="28"/>
      <c r="I44" s="28">
        <f>Option3!I$36*conv_2026*I$7</f>
        <v>1026951.4017749442</v>
      </c>
      <c r="J44" s="28">
        <f>Option3!J$36*conv_2026*J$7</f>
        <v>1056142.5589269067</v>
      </c>
      <c r="K44" s="28">
        <f>Option3!K$36*conv_2026*K$7</f>
        <v>1106524.7167670792</v>
      </c>
      <c r="L44" s="28">
        <f>Option3!L$36*conv_2026*L$7</f>
        <v>1155961.5459177163</v>
      </c>
      <c r="M44" s="28">
        <f>Option3!M$36*conv_2026*M$7</f>
        <v>1204476.3477458248</v>
      </c>
      <c r="N44" s="28">
        <f>Option3!N$36*conv_2026*N$7</f>
        <v>1257062.2187997266</v>
      </c>
      <c r="O44" s="28">
        <f>Option3!O$36*conv_2026*O$7</f>
        <v>1321452.9320684562</v>
      </c>
      <c r="P44" s="28">
        <f>Option3!P$36*conv_2026*P$7</f>
        <v>1389015.0119710425</v>
      </c>
      <c r="Q44" s="28">
        <f>Option3!Q$36*conv_2026*Q$7</f>
        <v>1444791.5982751963</v>
      </c>
      <c r="R44" s="28">
        <f>Option3!R$36*conv_2026*R$7</f>
        <v>1481825.5551282503</v>
      </c>
      <c r="S44" s="28">
        <f>Option3!S$36*conv_2026*S$7</f>
        <v>1519252.7170128608</v>
      </c>
      <c r="T44" s="28">
        <f>Option3!T$36*conv_2026*T$7</f>
        <v>1557071.7306755735</v>
      </c>
      <c r="U44" s="28">
        <f>Option3!U$36*conv_2026*U$7</f>
        <v>1595281.2442045237</v>
      </c>
      <c r="V44" s="28">
        <f>Option3!V$36*conv_2026*V$7</f>
        <v>1633879.9544978749</v>
      </c>
      <c r="W44" s="28">
        <f>Option3!W$36*conv_2026*W$7</f>
        <v>1672866.6072849475</v>
      </c>
      <c r="X44" s="28">
        <f>Option3!X$36*conv_2026*X$7</f>
        <v>1712239.9496089509</v>
      </c>
      <c r="Y44" s="28">
        <f>Option3!Y$36*conv_2026*Y$7</f>
        <v>1751998.7773387404</v>
      </c>
      <c r="Z44" s="28">
        <f>Option3!Z$36*conv_2026*Z$7</f>
        <v>1792141.8876272971</v>
      </c>
      <c r="AA44" s="28">
        <f>Option3!AA$36*conv_2026*AA$7</f>
        <v>1832668.1264525119</v>
      </c>
      <c r="AB44" s="28">
        <f>Option3!AB$36*conv_2026*AB$7</f>
        <v>1873576.3886461984</v>
      </c>
      <c r="AC44" s="28">
        <f>Option3!AC$36*conv_2026*AC$7</f>
        <v>0</v>
      </c>
      <c r="AD44" s="28">
        <f>Option3!AD$36*conv_2026*AD$7</f>
        <v>0</v>
      </c>
      <c r="AE44" s="28">
        <f>Option3!AE$36*conv_2026*AE$7</f>
        <v>0</v>
      </c>
      <c r="AF44" s="28">
        <f>Option3!AF$36*conv_2026*AF$7</f>
        <v>0</v>
      </c>
      <c r="AG44" s="28">
        <f>Option3!AG$36*conv_2026*AG$7</f>
        <v>0</v>
      </c>
    </row>
    <row r="45" spans="1:33" s="2" customFormat="1" x14ac:dyDescent="0.2">
      <c r="A45" s="114" t="str">
        <f t="shared" si="10"/>
        <v>Option 3</v>
      </c>
      <c r="B45" s="114"/>
      <c r="C45" s="52"/>
      <c r="D45" s="34"/>
      <c r="E45" s="1"/>
      <c r="F45" s="84"/>
      <c r="G45" s="19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</row>
    <row r="46" spans="1:33" s="2" customFormat="1" x14ac:dyDescent="0.2">
      <c r="A46" s="114" t="str">
        <f t="shared" si="10"/>
        <v>Option 3</v>
      </c>
      <c r="B46" s="114"/>
      <c r="C46" s="52" t="str">
        <f>Option3!C$82</f>
        <v>Annualised capex</v>
      </c>
      <c r="D46" s="34" t="str">
        <f t="shared" ref="D46:D53" si="11">A46&amp;C46</f>
        <v>Option 3Annualised capex</v>
      </c>
      <c r="E46" s="1"/>
      <c r="F46" s="84">
        <f>SUMPRODUCT($H46:$AG46, $H$5:$AG$5)</f>
        <v>-556159.01053383097</v>
      </c>
      <c r="G46" s="198">
        <f t="shared" ref="G46:G53" si="12">output_dollars</f>
        <v>46203</v>
      </c>
      <c r="H46" s="28"/>
      <c r="I46" s="28">
        <f>Option3!I$82*conv_2026*I$7</f>
        <v>0</v>
      </c>
      <c r="J46" s="28">
        <f>Option3!J$82*conv_2026*J$7</f>
        <v>-41270.226090081298</v>
      </c>
      <c r="K46" s="28">
        <f>Option3!K$82*conv_2026*K$7</f>
        <v>-41270.226090081298</v>
      </c>
      <c r="L46" s="28">
        <f>Option3!L$82*conv_2026*L$7</f>
        <v>-41270.226090081298</v>
      </c>
      <c r="M46" s="28">
        <f>Option3!M$82*conv_2026*M$7</f>
        <v>-41270.226090081298</v>
      </c>
      <c r="N46" s="28">
        <f>Option3!N$82*conv_2026*N$7</f>
        <v>-41270.226090081298</v>
      </c>
      <c r="O46" s="28">
        <f>Option3!O$82*conv_2026*O$7</f>
        <v>-41270.226090081298</v>
      </c>
      <c r="P46" s="28">
        <f>Option3!P$82*conv_2026*P$7</f>
        <v>-41270.226090081298</v>
      </c>
      <c r="Q46" s="28">
        <f>Option3!Q$82*conv_2026*Q$7</f>
        <v>-41270.226090081298</v>
      </c>
      <c r="R46" s="28">
        <f>Option3!R$82*conv_2026*R$7</f>
        <v>-41270.226090081298</v>
      </c>
      <c r="S46" s="28">
        <f>Option3!S$82*conv_2026*S$7</f>
        <v>-41270.226090081298</v>
      </c>
      <c r="T46" s="28">
        <f>Option3!T$82*conv_2026*T$7</f>
        <v>-41270.226090081298</v>
      </c>
      <c r="U46" s="28">
        <f>Option3!U$82*conv_2026*U$7</f>
        <v>-41270.226090081298</v>
      </c>
      <c r="V46" s="28">
        <f>Option3!V$82*conv_2026*V$7</f>
        <v>-41270.226090081298</v>
      </c>
      <c r="W46" s="28">
        <f>Option3!W$82*conv_2026*W$7</f>
        <v>-41270.226090081298</v>
      </c>
      <c r="X46" s="28">
        <f>Option3!X$82*conv_2026*X$7</f>
        <v>-41270.226090081298</v>
      </c>
      <c r="Y46" s="28">
        <f>Option3!Y$82*conv_2026*Y$7</f>
        <v>-41270.226090081298</v>
      </c>
      <c r="Z46" s="28">
        <f>Option3!Z$82*conv_2026*Z$7</f>
        <v>-41270.226090081298</v>
      </c>
      <c r="AA46" s="28">
        <f>Option3!AA$82*conv_2026*AA$7</f>
        <v>-41270.226090081298</v>
      </c>
      <c r="AB46" s="28">
        <f>Option3!AB$82*conv_2026*AB$7</f>
        <v>-41270.226090081298</v>
      </c>
      <c r="AC46" s="28">
        <f>Option3!AC$82*conv_2026*AC$7</f>
        <v>0</v>
      </c>
      <c r="AD46" s="28">
        <f>Option3!AD$82*conv_2026*AD$7</f>
        <v>0</v>
      </c>
      <c r="AE46" s="28">
        <f>Option3!AE$82*conv_2026*AE$7</f>
        <v>0</v>
      </c>
      <c r="AF46" s="28">
        <f>Option3!AF$82*conv_2026*AF$7</f>
        <v>0</v>
      </c>
      <c r="AG46" s="28">
        <f>Option3!AG$82*conv_2026*AG$7</f>
        <v>0</v>
      </c>
    </row>
    <row r="47" spans="1:33" s="2" customFormat="1" x14ac:dyDescent="0.2">
      <c r="A47" s="114" t="str">
        <f t="shared" si="10"/>
        <v>Option 3</v>
      </c>
      <c r="B47" s="114"/>
      <c r="C47" s="52" t="str">
        <f>Option3!C$83</f>
        <v>Operating expenditure</v>
      </c>
      <c r="D47" s="34" t="str">
        <f t="shared" si="11"/>
        <v>Option 3Operating expenditure</v>
      </c>
      <c r="E47" s="1"/>
      <c r="F47" s="84">
        <f>SUMPRODUCT($H47:$AG47, $H$5:$AG$5)</f>
        <v>0</v>
      </c>
      <c r="G47" s="198">
        <f t="shared" si="12"/>
        <v>46203</v>
      </c>
      <c r="H47" s="28"/>
      <c r="I47" s="28">
        <f>Option3!I$83*conv_2026*I$7</f>
        <v>0</v>
      </c>
      <c r="J47" s="28">
        <f>Option3!J$83*conv_2026*J$7</f>
        <v>0</v>
      </c>
      <c r="K47" s="28">
        <f>Option3!K$83*conv_2026*K$7</f>
        <v>0</v>
      </c>
      <c r="L47" s="28">
        <f>Option3!L$83*conv_2026*L$7</f>
        <v>0</v>
      </c>
      <c r="M47" s="28">
        <f>Option3!M$83*conv_2026*M$7</f>
        <v>0</v>
      </c>
      <c r="N47" s="28">
        <f>Option3!N$83*conv_2026*N$7</f>
        <v>0</v>
      </c>
      <c r="O47" s="28">
        <f>Option3!O$83*conv_2026*O$7</f>
        <v>0</v>
      </c>
      <c r="P47" s="28">
        <f>Option3!P$83*conv_2026*P$7</f>
        <v>0</v>
      </c>
      <c r="Q47" s="28">
        <f>Option3!Q$83*conv_2026*Q$7</f>
        <v>0</v>
      </c>
      <c r="R47" s="28">
        <f>Option3!R$83*conv_2026*R$7</f>
        <v>0</v>
      </c>
      <c r="S47" s="28">
        <f>Option3!S$83*conv_2026*S$7</f>
        <v>0</v>
      </c>
      <c r="T47" s="28">
        <f>Option3!T$83*conv_2026*T$7</f>
        <v>0</v>
      </c>
      <c r="U47" s="28">
        <f>Option3!U$83*conv_2026*U$7</f>
        <v>0</v>
      </c>
      <c r="V47" s="28">
        <f>Option3!V$83*conv_2026*V$7</f>
        <v>0</v>
      </c>
      <c r="W47" s="28">
        <f>Option3!W$83*conv_2026*W$7</f>
        <v>0</v>
      </c>
      <c r="X47" s="28">
        <f>Option3!X$83*conv_2026*X$7</f>
        <v>0</v>
      </c>
      <c r="Y47" s="28">
        <f>Option3!Y$83*conv_2026*Y$7</f>
        <v>0</v>
      </c>
      <c r="Z47" s="28">
        <f>Option3!Z$83*conv_2026*Z$7</f>
        <v>0</v>
      </c>
      <c r="AA47" s="28">
        <f>Option3!AA$83*conv_2026*AA$7</f>
        <v>0</v>
      </c>
      <c r="AB47" s="28">
        <f>Option3!AB$83*conv_2026*AB$7</f>
        <v>0</v>
      </c>
      <c r="AC47" s="28">
        <f>Option3!AC$83*conv_2026*AC$7</f>
        <v>0</v>
      </c>
      <c r="AD47" s="28">
        <f>Option3!AD$83*conv_2026*AD$7</f>
        <v>0</v>
      </c>
      <c r="AE47" s="28">
        <f>Option3!AE$83*conv_2026*AE$7</f>
        <v>0</v>
      </c>
      <c r="AF47" s="28">
        <f>Option3!AF$83*conv_2026*AF$7</f>
        <v>0</v>
      </c>
      <c r="AG47" s="28">
        <f>Option3!AG$83*conv_2026*AG$7</f>
        <v>0</v>
      </c>
    </row>
    <row r="48" spans="1:33" s="2" customFormat="1" x14ac:dyDescent="0.2">
      <c r="A48" s="114" t="str">
        <f t="shared" si="10"/>
        <v>Option 3</v>
      </c>
      <c r="B48" s="114"/>
      <c r="C48" s="52" t="str">
        <f>Option3!C$84</f>
        <v>Risk mitigated</v>
      </c>
      <c r="D48" s="34" t="str">
        <f t="shared" si="11"/>
        <v>Option 3Risk mitigated</v>
      </c>
      <c r="E48" s="1"/>
      <c r="F48" s="84">
        <f>SUMPRODUCT($H48:$AG48, $H$5:$AG$5)</f>
        <v>437692.29977684672</v>
      </c>
      <c r="G48" s="198">
        <f t="shared" si="12"/>
        <v>46203</v>
      </c>
      <c r="H48" s="28"/>
      <c r="I48" s="28">
        <f>Option3!I$84*conv_2026*I$7</f>
        <v>0</v>
      </c>
      <c r="J48" s="28">
        <f>Option3!J$84*conv_2026*J$7</f>
        <v>24228.111402998726</v>
      </c>
      <c r="K48" s="28">
        <f>Option3!K$84*conv_2026*K$7</f>
        <v>25290.260490108049</v>
      </c>
      <c r="L48" s="28">
        <f>Option3!L$84*conv_2026*L$7</f>
        <v>26333.607022336997</v>
      </c>
      <c r="M48" s="28">
        <f>Option3!M$84*conv_2026*M$7</f>
        <v>27358.599577011559</v>
      </c>
      <c r="N48" s="28">
        <f>Option3!N$84*conv_2026*N$7</f>
        <v>28467.659911219471</v>
      </c>
      <c r="O48" s="28">
        <f>Option3!O$84*conv_2026*O$7</f>
        <v>29819.360770957126</v>
      </c>
      <c r="P48" s="28">
        <f>Option3!P$84*conv_2026*P$7</f>
        <v>31236.718190399068</v>
      </c>
      <c r="Q48" s="28">
        <f>Option3!Q$84*conv_2026*Q$7</f>
        <v>32413.088547197945</v>
      </c>
      <c r="R48" s="28">
        <f>Option3!R$84*conv_2026*R$7</f>
        <v>33205.643592346809</v>
      </c>
      <c r="S48" s="28">
        <f>Option3!S$84*conv_2026*S$7</f>
        <v>34006.838654254367</v>
      </c>
      <c r="T48" s="28">
        <f>Option3!T$84*conv_2026*T$7</f>
        <v>34816.59996604795</v>
      </c>
      <c r="U48" s="28">
        <f>Option3!U$84*conv_2026*U$7</f>
        <v>35634.938666522365</v>
      </c>
      <c r="V48" s="28">
        <f>Option3!V$84*conv_2026*V$7</f>
        <v>36461.852444266704</v>
      </c>
      <c r="W48" s="28">
        <f>Option3!W$84*conv_2026*W$7</f>
        <v>37297.257554827498</v>
      </c>
      <c r="X48" s="28">
        <f>Option3!X$84*conv_2026*X$7</f>
        <v>38141.172211060977</v>
      </c>
      <c r="Y48" s="28">
        <f>Option3!Y$84*conv_2026*Y$7</f>
        <v>38993.567168725749</v>
      </c>
      <c r="Z48" s="28">
        <f>Option3!Z$84*conv_2026*Z$7</f>
        <v>39854.447236760694</v>
      </c>
      <c r="AA48" s="28">
        <f>Option3!AA$84*conv_2026*AA$7</f>
        <v>40723.769722541489</v>
      </c>
      <c r="AB48" s="28">
        <f>Option3!AB$84*conv_2026*AB$7</f>
        <v>41601.49540890746</v>
      </c>
      <c r="AC48" s="28">
        <f>Option3!AC$84*conv_2026*AC$7</f>
        <v>0</v>
      </c>
      <c r="AD48" s="28">
        <f>Option3!AD$84*conv_2026*AD$7</f>
        <v>0</v>
      </c>
      <c r="AE48" s="28">
        <f>Option3!AE$84*conv_2026*AE$7</f>
        <v>0</v>
      </c>
      <c r="AF48" s="28">
        <f>Option3!AF$84*conv_2026*AF$7</f>
        <v>0</v>
      </c>
      <c r="AG48" s="28">
        <f>Option3!AG$84*conv_2026*AG$7</f>
        <v>0</v>
      </c>
    </row>
    <row r="49" spans="1:33" s="2" customFormat="1" x14ac:dyDescent="0.2">
      <c r="A49" s="114" t="str">
        <f t="shared" si="10"/>
        <v>Option 3</v>
      </c>
      <c r="B49" s="114"/>
      <c r="C49" s="52" t="str">
        <f>Option3!C$85</f>
        <v>Other benefits value</v>
      </c>
      <c r="D49" s="34" t="str">
        <f t="shared" si="11"/>
        <v>Option 3Other benefits value</v>
      </c>
      <c r="E49" s="1"/>
      <c r="F49" s="84">
        <f>SUMPRODUCT($H49:$AG49, $H$5:$AG$5)</f>
        <v>0</v>
      </c>
      <c r="G49" s="198">
        <f t="shared" si="12"/>
        <v>46203</v>
      </c>
      <c r="H49" s="28"/>
      <c r="I49" s="28">
        <f>Option3!I$85*conv_2026*I$7</f>
        <v>0</v>
      </c>
      <c r="J49" s="28">
        <f>Option3!J$85*conv_2026*J$7</f>
        <v>0</v>
      </c>
      <c r="K49" s="28">
        <f>Option3!K$85*conv_2026*K$7</f>
        <v>0</v>
      </c>
      <c r="L49" s="28">
        <f>Option3!L$85*conv_2026*L$7</f>
        <v>0</v>
      </c>
      <c r="M49" s="28">
        <f>Option3!M$85*conv_2026*M$7</f>
        <v>0</v>
      </c>
      <c r="N49" s="28">
        <f>Option3!N$85*conv_2026*N$7</f>
        <v>0</v>
      </c>
      <c r="O49" s="28">
        <f>Option3!O$85*conv_2026*O$7</f>
        <v>0</v>
      </c>
      <c r="P49" s="28">
        <f>Option3!P$85*conv_2026*P$7</f>
        <v>0</v>
      </c>
      <c r="Q49" s="28">
        <f>Option3!Q$85*conv_2026*Q$7</f>
        <v>0</v>
      </c>
      <c r="R49" s="28">
        <f>Option3!R$85*conv_2026*R$7</f>
        <v>0</v>
      </c>
      <c r="S49" s="28">
        <f>Option3!S$85*conv_2026*S$7</f>
        <v>0</v>
      </c>
      <c r="T49" s="28">
        <f>Option3!T$85*conv_2026*T$7</f>
        <v>0</v>
      </c>
      <c r="U49" s="28">
        <f>Option3!U$85*conv_2026*U$7</f>
        <v>0</v>
      </c>
      <c r="V49" s="28">
        <f>Option3!V$85*conv_2026*V$7</f>
        <v>0</v>
      </c>
      <c r="W49" s="28">
        <f>Option3!W$85*conv_2026*W$7</f>
        <v>0</v>
      </c>
      <c r="X49" s="28">
        <f>Option3!X$85*conv_2026*X$7</f>
        <v>0</v>
      </c>
      <c r="Y49" s="28">
        <f>Option3!Y$85*conv_2026*Y$7</f>
        <v>0</v>
      </c>
      <c r="Z49" s="28">
        <f>Option3!Z$85*conv_2026*Z$7</f>
        <v>0</v>
      </c>
      <c r="AA49" s="28">
        <f>Option3!AA$85*conv_2026*AA$7</f>
        <v>0</v>
      </c>
      <c r="AB49" s="28">
        <f>Option3!AB$85*conv_2026*AB$7</f>
        <v>0</v>
      </c>
      <c r="AC49" s="28">
        <f>Option3!AC$85*conv_2026*AC$7</f>
        <v>0</v>
      </c>
      <c r="AD49" s="28">
        <f>Option3!AD$85*conv_2026*AD$7</f>
        <v>0</v>
      </c>
      <c r="AE49" s="28">
        <f>Option3!AE$85*conv_2026*AE$7</f>
        <v>0</v>
      </c>
      <c r="AF49" s="28">
        <f>Option3!AF$85*conv_2026*AF$7</f>
        <v>0</v>
      </c>
      <c r="AG49" s="28">
        <f>Option3!AG$85*conv_2026*AG$7</f>
        <v>0</v>
      </c>
    </row>
    <row r="50" spans="1:33" s="2" customFormat="1" x14ac:dyDescent="0.2">
      <c r="A50" s="114" t="str">
        <f t="shared" si="10"/>
        <v>Option 3</v>
      </c>
      <c r="B50" s="114"/>
      <c r="C50" s="104" t="str">
        <f>Option3!C87</f>
        <v>Net benefits</v>
      </c>
      <c r="D50" s="96" t="str">
        <f t="shared" si="11"/>
        <v>Option 3Net benefits</v>
      </c>
      <c r="E50" s="97"/>
      <c r="F50" s="121"/>
      <c r="G50" s="200">
        <f t="shared" si="12"/>
        <v>46203</v>
      </c>
      <c r="H50" s="46"/>
      <c r="I50" s="46">
        <f t="shared" ref="I50:AB50" si="13">SUM(I46:I49)</f>
        <v>0</v>
      </c>
      <c r="J50" s="46">
        <f t="shared" si="13"/>
        <v>-17042.114687082572</v>
      </c>
      <c r="K50" s="46">
        <f t="shared" si="13"/>
        <v>-15979.965599973249</v>
      </c>
      <c r="L50" s="46">
        <f t="shared" si="13"/>
        <v>-14936.619067744301</v>
      </c>
      <c r="M50" s="46">
        <f t="shared" si="13"/>
        <v>-13911.626513069739</v>
      </c>
      <c r="N50" s="46">
        <f t="shared" si="13"/>
        <v>-12802.566178861827</v>
      </c>
      <c r="O50" s="46">
        <f t="shared" si="13"/>
        <v>-11450.865319124172</v>
      </c>
      <c r="P50" s="46">
        <f t="shared" si="13"/>
        <v>-10033.50789968223</v>
      </c>
      <c r="Q50" s="46">
        <f t="shared" si="13"/>
        <v>-8857.1375428833526</v>
      </c>
      <c r="R50" s="46">
        <f t="shared" si="13"/>
        <v>-8064.5824977344892</v>
      </c>
      <c r="S50" s="46">
        <f t="shared" si="13"/>
        <v>-7263.3874358269313</v>
      </c>
      <c r="T50" s="46">
        <f t="shared" si="13"/>
        <v>-6453.6261240333479</v>
      </c>
      <c r="U50" s="46">
        <f t="shared" si="13"/>
        <v>-5635.2874235589334</v>
      </c>
      <c r="V50" s="46">
        <f t="shared" si="13"/>
        <v>-4808.3736458145941</v>
      </c>
      <c r="W50" s="46">
        <f t="shared" si="13"/>
        <v>-3972.9685352537999</v>
      </c>
      <c r="X50" s="46">
        <f t="shared" si="13"/>
        <v>-3129.0538790203209</v>
      </c>
      <c r="Y50" s="46">
        <f t="shared" si="13"/>
        <v>-2276.658921355549</v>
      </c>
      <c r="Z50" s="46">
        <f t="shared" si="13"/>
        <v>-1415.778853320604</v>
      </c>
      <c r="AA50" s="46">
        <f t="shared" si="13"/>
        <v>-546.45636753980943</v>
      </c>
      <c r="AB50" s="46">
        <f t="shared" si="13"/>
        <v>331.26931882616191</v>
      </c>
      <c r="AC50" s="46">
        <f>SUM(AC46:AC49)</f>
        <v>0</v>
      </c>
      <c r="AD50" s="46">
        <f>SUM(AD46:AD49)</f>
        <v>0</v>
      </c>
      <c r="AE50" s="46">
        <f>SUM(AE46:AE49)</f>
        <v>0</v>
      </c>
      <c r="AF50" s="46">
        <f>SUM(AF46:AF49)</f>
        <v>0</v>
      </c>
      <c r="AG50" s="46">
        <f>SUM(AG46:AG49)</f>
        <v>0</v>
      </c>
    </row>
    <row r="51" spans="1:33" s="2" customFormat="1" x14ac:dyDescent="0.2">
      <c r="A51" s="114" t="str">
        <f t="shared" si="10"/>
        <v>Option 3</v>
      </c>
      <c r="B51" s="114"/>
      <c r="C51" s="6" t="s">
        <v>22</v>
      </c>
      <c r="D51" s="34" t="str">
        <f t="shared" si="11"/>
        <v>Option 3NPV</v>
      </c>
      <c r="E51" s="1"/>
      <c r="F51" s="95" cm="1">
        <f t="array" ref="F51">SUMPRODUCT(($H50:$AG50)*($H$5:$AG$5)*($H$7:$AG$7))</f>
        <v>-118466.71075698442</v>
      </c>
      <c r="G51" s="198">
        <f t="shared" si="12"/>
        <v>46203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</row>
    <row r="52" spans="1:33" s="2" customFormat="1" x14ac:dyDescent="0.2">
      <c r="A52" s="114" t="str">
        <f t="shared" si="10"/>
        <v>Option 3</v>
      </c>
      <c r="B52" s="114"/>
      <c r="C52" s="6" t="s">
        <v>25</v>
      </c>
      <c r="D52" s="34" t="str">
        <f t="shared" si="11"/>
        <v>Option 3PV of costs</v>
      </c>
      <c r="E52" s="1"/>
      <c r="F52" s="95">
        <f>SUM(F46:F47)</f>
        <v>-556159.01053383097</v>
      </c>
      <c r="G52" s="198">
        <f t="shared" si="12"/>
        <v>46203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</row>
    <row r="53" spans="1:33" s="2" customFormat="1" x14ac:dyDescent="0.2">
      <c r="A53" s="114" t="str">
        <f t="shared" si="10"/>
        <v>Option 3</v>
      </c>
      <c r="B53" s="114"/>
      <c r="C53" s="6" t="s">
        <v>26</v>
      </c>
      <c r="D53" s="34" t="str">
        <f t="shared" si="11"/>
        <v>Option 3PV of benefits</v>
      </c>
      <c r="E53" s="1"/>
      <c r="F53" s="95">
        <f>SUM(F48:F49)</f>
        <v>437692.29977684672</v>
      </c>
      <c r="G53" s="198">
        <f t="shared" si="12"/>
        <v>46203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</row>
    <row r="54" spans="1:33" s="2" customFormat="1" x14ac:dyDescent="0.2">
      <c r="A54" s="114"/>
      <c r="B54" s="114"/>
      <c r="C54" s="1"/>
      <c r="D54" s="34"/>
      <c r="E54" s="1"/>
      <c r="F54" s="95"/>
      <c r="G54" s="201"/>
      <c r="H54" s="1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</row>
    <row r="55" spans="1:33" s="2" customFormat="1" x14ac:dyDescent="0.2">
      <c r="A55" s="52"/>
      <c r="B55" s="52"/>
      <c r="C55" s="52"/>
      <c r="D55" s="34"/>
      <c r="F55" s="7"/>
      <c r="G55" s="194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</row>
    <row r="56" spans="1:33" s="2" customFormat="1" x14ac:dyDescent="0.2">
      <c r="A56" s="52" t="str">
        <f>A57</f>
        <v>Option 4</v>
      </c>
      <c r="B56" s="52"/>
      <c r="C56" s="52" t="s">
        <v>118</v>
      </c>
      <c r="D56" s="34" t="str">
        <f>A56&amp;C56</f>
        <v>Option 4Energy at risk value</v>
      </c>
      <c r="F56" s="84">
        <f>SUMPRODUCT($H56:$AG56, $H$5:$AG$5)</f>
        <v>0</v>
      </c>
      <c r="G56" s="198">
        <f>output_dollars</f>
        <v>46203</v>
      </c>
      <c r="H56" s="28"/>
      <c r="I56" s="28">
        <f>Option4!I$28*conv_2026</f>
        <v>0</v>
      </c>
      <c r="J56" s="28">
        <f>Option4!J$28*conv_2026</f>
        <v>0</v>
      </c>
      <c r="K56" s="28">
        <f>Option4!K$28*conv_2026</f>
        <v>0</v>
      </c>
      <c r="L56" s="28">
        <f>Option4!L$28*conv_2026</f>
        <v>0</v>
      </c>
      <c r="M56" s="28">
        <f>Option4!M$28*conv_2026</f>
        <v>0</v>
      </c>
      <c r="N56" s="28">
        <f>Option4!N$28*conv_2026</f>
        <v>0</v>
      </c>
      <c r="O56" s="28">
        <f>Option4!O$28*conv_2026</f>
        <v>0</v>
      </c>
      <c r="P56" s="28">
        <f>Option4!P$28*conv_2026</f>
        <v>0</v>
      </c>
      <c r="Q56" s="28">
        <f>Option4!Q$28*conv_2026</f>
        <v>0</v>
      </c>
      <c r="R56" s="28">
        <f>Option4!R$28*conv_2026</f>
        <v>0</v>
      </c>
      <c r="S56" s="28">
        <f>Option4!S$28*conv_2026</f>
        <v>0</v>
      </c>
      <c r="T56" s="28">
        <f>Option4!T$28*conv_2026</f>
        <v>0</v>
      </c>
      <c r="U56" s="28">
        <f>Option4!U$28*conv_2026</f>
        <v>0</v>
      </c>
      <c r="V56" s="28">
        <f>Option4!V$28*conv_2026</f>
        <v>0</v>
      </c>
      <c r="W56" s="28">
        <f>Option4!W$28*conv_2026</f>
        <v>0</v>
      </c>
      <c r="X56" s="28">
        <f>Option4!X$28*conv_2026</f>
        <v>0</v>
      </c>
      <c r="Y56" s="28">
        <f>Option4!Y$28*conv_2026</f>
        <v>0</v>
      </c>
      <c r="Z56" s="28">
        <f>Option4!Z$28*conv_2026</f>
        <v>0</v>
      </c>
      <c r="AA56" s="28">
        <f>Option4!AA$28*conv_2026</f>
        <v>0</v>
      </c>
      <c r="AB56" s="28">
        <f>Option4!AB$28*conv_2026</f>
        <v>0</v>
      </c>
      <c r="AC56" s="28">
        <f>Option4!AC$28*conv_2026</f>
        <v>0</v>
      </c>
      <c r="AD56" s="28">
        <f>Option4!AD$28*conv_2026</f>
        <v>0</v>
      </c>
      <c r="AE56" s="28">
        <f>Option4!AE$28*conv_2026</f>
        <v>0</v>
      </c>
      <c r="AF56" s="28">
        <f>Option4!AF$28*conv_2026</f>
        <v>0</v>
      </c>
      <c r="AG56" s="28">
        <f>Option4!AG$28*conv_2026</f>
        <v>0</v>
      </c>
    </row>
    <row r="57" spans="1:33" s="2" customFormat="1" x14ac:dyDescent="0.2">
      <c r="A57" s="114" t="str">
        <f>Data!B12</f>
        <v>Option 4</v>
      </c>
      <c r="B57" s="114"/>
      <c r="C57" s="52" t="str">
        <f>Option4!C$66</f>
        <v>Capital expenditure</v>
      </c>
      <c r="D57" s="34" t="str">
        <f t="shared" ref="D57:D67" si="14">A57&amp;C57</f>
        <v>Option 4Capital expenditure</v>
      </c>
      <c r="E57" s="1"/>
      <c r="F57" s="84">
        <f>SUMPRODUCT($H57:$AG57, $H$5:$AG$5)</f>
        <v>0</v>
      </c>
      <c r="G57" s="198">
        <f>output_dollars</f>
        <v>46203</v>
      </c>
      <c r="H57" s="28"/>
      <c r="I57" s="28">
        <f>SUM(Option4!I$67:I$69)*conv_2026*I$7</f>
        <v>0</v>
      </c>
      <c r="J57" s="28">
        <f>SUM(Option4!J$67:J$69)*conv_2026*J$7</f>
        <v>0</v>
      </c>
      <c r="K57" s="28">
        <f>SUM(Option4!K$67:K$69)*conv_2026*K$7</f>
        <v>0</v>
      </c>
      <c r="L57" s="28">
        <f>SUM(Option4!L$67:L$69)*conv_2026*L$7</f>
        <v>0</v>
      </c>
      <c r="M57" s="28">
        <f>SUM(Option4!M$67:M$69)*conv_2026*M$7</f>
        <v>0</v>
      </c>
      <c r="N57" s="28">
        <f>SUM(Option4!N$67:N$69)*conv_2026*N$7</f>
        <v>0</v>
      </c>
      <c r="O57" s="28">
        <f>SUM(Option4!O$67:O$69)*conv_2026*O$7</f>
        <v>0</v>
      </c>
      <c r="P57" s="28">
        <f>SUM(Option4!P$67:P$69)*conv_2026*P$7</f>
        <v>0</v>
      </c>
      <c r="Q57" s="28">
        <f>SUM(Option4!Q$67:Q$69)*conv_2026*Q$7</f>
        <v>0</v>
      </c>
      <c r="R57" s="28">
        <f>SUM(Option4!R$67:R$69)*conv_2026*R$7</f>
        <v>0</v>
      </c>
      <c r="S57" s="28">
        <f>SUM(Option4!S$67:S$69)*conv_2026*S$7</f>
        <v>0</v>
      </c>
      <c r="T57" s="28">
        <f>SUM(Option4!T$67:T$69)*conv_2026*T$7</f>
        <v>0</v>
      </c>
      <c r="U57" s="28">
        <f>SUM(Option4!U$67:U$69)*conv_2026*U$7</f>
        <v>0</v>
      </c>
      <c r="V57" s="28">
        <f>SUM(Option4!V$67:V$69)*conv_2026*V$7</f>
        <v>0</v>
      </c>
      <c r="W57" s="28">
        <f>SUM(Option4!W$67:W$69)*conv_2026*W$7</f>
        <v>0</v>
      </c>
      <c r="X57" s="28">
        <f>SUM(Option4!X$67:X$69)*conv_2026*X$7</f>
        <v>0</v>
      </c>
      <c r="Y57" s="28">
        <f>SUM(Option4!Y$67:Y$69)*conv_2026*Y$7</f>
        <v>0</v>
      </c>
      <c r="Z57" s="28">
        <f>SUM(Option4!Z$67:Z$69)*conv_2026*Z$7</f>
        <v>0</v>
      </c>
      <c r="AA57" s="28">
        <f>SUM(Option4!AA$67:AA$69)*conv_2026*AA$7</f>
        <v>0</v>
      </c>
      <c r="AB57" s="28">
        <f>SUM(Option4!AB$67:AB$69)*conv_2026*AB$7</f>
        <v>0</v>
      </c>
      <c r="AC57" s="28">
        <f>SUM(Option4!AC$67:AC$69)*conv_2026*AC$7</f>
        <v>0</v>
      </c>
      <c r="AD57" s="28">
        <f>SUM(Option4!AD$67:AD$69)*conv_2026*AD$7</f>
        <v>0</v>
      </c>
      <c r="AE57" s="28">
        <f>SUM(Option4!AE$67:AE$69)*conv_2026*AE$7</f>
        <v>0</v>
      </c>
      <c r="AF57" s="28">
        <f>SUM(Option4!AF$67:AF$69)*conv_2026*AF$7</f>
        <v>0</v>
      </c>
      <c r="AG57" s="28">
        <f>SUM(Option4!AG$67:AG$69)*conv_2026*AG$7</f>
        <v>0</v>
      </c>
    </row>
    <row r="58" spans="1:33" s="2" customFormat="1" x14ac:dyDescent="0.2">
      <c r="A58" s="114" t="str">
        <f t="shared" ref="A58:A67" si="15">A57</f>
        <v>Option 4</v>
      </c>
      <c r="B58" s="114"/>
      <c r="C58" s="52" t="str">
        <f>'Option1 (base case)'!C$36</f>
        <v>Total risk cost</v>
      </c>
      <c r="D58" s="34" t="str">
        <f t="shared" si="14"/>
        <v>Option 4Total risk cost</v>
      </c>
      <c r="E58" s="1"/>
      <c r="F58" s="84">
        <f>SUMPRODUCT($H58:$AG58, $H$5:$AG$5)</f>
        <v>0</v>
      </c>
      <c r="G58" s="198">
        <f>output_dollars</f>
        <v>46203</v>
      </c>
      <c r="H58" s="28"/>
      <c r="I58" s="28">
        <f>Option4!I$36*conv_2026*I$7</f>
        <v>0</v>
      </c>
      <c r="J58" s="28">
        <f>Option4!J$36*conv_2026*J$7</f>
        <v>0</v>
      </c>
      <c r="K58" s="28">
        <f>Option4!K$36*conv_2026*K$7</f>
        <v>0</v>
      </c>
      <c r="L58" s="28">
        <f>Option4!L$36*conv_2026*L$7</f>
        <v>0</v>
      </c>
      <c r="M58" s="28">
        <f>Option4!M$36*conv_2026*M$7</f>
        <v>0</v>
      </c>
      <c r="N58" s="28">
        <f>Option4!N$36*conv_2026*N$7</f>
        <v>0</v>
      </c>
      <c r="O58" s="28">
        <f>Option4!O$36*conv_2026*O$7</f>
        <v>0</v>
      </c>
      <c r="P58" s="28">
        <f>Option4!P$36*conv_2026*P$7</f>
        <v>0</v>
      </c>
      <c r="Q58" s="28">
        <f>Option4!Q$36*conv_2026*Q$7</f>
        <v>0</v>
      </c>
      <c r="R58" s="28">
        <f>Option4!R$36*conv_2026*R$7</f>
        <v>0</v>
      </c>
      <c r="S58" s="28">
        <f>Option4!S$36*conv_2026*S$7</f>
        <v>0</v>
      </c>
      <c r="T58" s="28">
        <f>Option4!T$36*conv_2026*T$7</f>
        <v>0</v>
      </c>
      <c r="U58" s="28">
        <f>Option4!U$36*conv_2026*U$7</f>
        <v>0</v>
      </c>
      <c r="V58" s="28">
        <f>Option4!V$36*conv_2026*V$7</f>
        <v>0</v>
      </c>
      <c r="W58" s="28">
        <f>Option4!W$36*conv_2026*W$7</f>
        <v>0</v>
      </c>
      <c r="X58" s="28">
        <f>Option4!X$36*conv_2026*X$7</f>
        <v>0</v>
      </c>
      <c r="Y58" s="28">
        <f>Option4!Y$36*conv_2026*Y$7</f>
        <v>0</v>
      </c>
      <c r="Z58" s="28">
        <f>Option4!Z$36*conv_2026*Z$7</f>
        <v>0</v>
      </c>
      <c r="AA58" s="28">
        <f>Option4!AA$36*conv_2026*AA$7</f>
        <v>0</v>
      </c>
      <c r="AB58" s="28">
        <f>Option4!AB$36*conv_2026*AB$7</f>
        <v>0</v>
      </c>
      <c r="AC58" s="28">
        <f>Option4!AC$36*conv_2026*AC$7</f>
        <v>0</v>
      </c>
      <c r="AD58" s="28">
        <f>Option4!AD$36*conv_2026*AD$7</f>
        <v>0</v>
      </c>
      <c r="AE58" s="28">
        <f>Option4!AE$36*conv_2026*AE$7</f>
        <v>0</v>
      </c>
      <c r="AF58" s="28">
        <f>Option4!AF$36*conv_2026*AF$7</f>
        <v>0</v>
      </c>
      <c r="AG58" s="28">
        <f>Option4!AG$36*conv_2026*AG$7</f>
        <v>0</v>
      </c>
    </row>
    <row r="59" spans="1:33" s="2" customFormat="1" x14ac:dyDescent="0.2">
      <c r="A59" s="114" t="str">
        <f t="shared" si="15"/>
        <v>Option 4</v>
      </c>
      <c r="B59" s="114"/>
      <c r="C59" s="12"/>
      <c r="D59" s="34" t="str">
        <f t="shared" si="14"/>
        <v>Option 4</v>
      </c>
      <c r="E59" s="1"/>
      <c r="F59"/>
      <c r="G59" s="19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s="2" customFormat="1" x14ac:dyDescent="0.2">
      <c r="A60" s="114" t="str">
        <f t="shared" si="15"/>
        <v>Option 4</v>
      </c>
      <c r="B60" s="114"/>
      <c r="C60" s="52" t="str">
        <f>Option4!C$82</f>
        <v>Annualised capex</v>
      </c>
      <c r="D60" s="34" t="str">
        <f t="shared" si="14"/>
        <v>Option 4Annualised capex</v>
      </c>
      <c r="E60" s="1"/>
      <c r="F60" s="84">
        <f>SUMPRODUCT($H60:$AG60, $H$5:$AG$5)</f>
        <v>0</v>
      </c>
      <c r="G60" s="198">
        <f t="shared" ref="G60:G67" si="16">output_dollars</f>
        <v>46203</v>
      </c>
      <c r="H60" s="28"/>
      <c r="I60" s="28">
        <f>Option4!I$82*conv_2026*I$7</f>
        <v>0</v>
      </c>
      <c r="J60" s="28">
        <f>Option4!J$82*conv_2026*J$7</f>
        <v>0</v>
      </c>
      <c r="K60" s="28">
        <f>Option4!K$82*conv_2026*K$7</f>
        <v>0</v>
      </c>
      <c r="L60" s="28">
        <f>Option4!L$82*conv_2026*L$7</f>
        <v>0</v>
      </c>
      <c r="M60" s="28">
        <f>Option4!M$82*conv_2026*M$7</f>
        <v>0</v>
      </c>
      <c r="N60" s="28">
        <f>Option4!N$82*conv_2026*N$7</f>
        <v>0</v>
      </c>
      <c r="O60" s="28">
        <f>Option4!O$82*conv_2026*O$7</f>
        <v>0</v>
      </c>
      <c r="P60" s="28">
        <f>Option4!P$82*conv_2026*P$7</f>
        <v>0</v>
      </c>
      <c r="Q60" s="28">
        <f>Option4!Q$82*conv_2026*Q$7</f>
        <v>0</v>
      </c>
      <c r="R60" s="28">
        <f>Option4!R$82*conv_2026*R$7</f>
        <v>0</v>
      </c>
      <c r="S60" s="28">
        <f>Option4!S$82*conv_2026*S$7</f>
        <v>0</v>
      </c>
      <c r="T60" s="28">
        <f>Option4!T$82*conv_2026*T$7</f>
        <v>0</v>
      </c>
      <c r="U60" s="28">
        <f>Option4!U$82*conv_2026*U$7</f>
        <v>0</v>
      </c>
      <c r="V60" s="28">
        <f>Option4!V$82*conv_2026*V$7</f>
        <v>0</v>
      </c>
      <c r="W60" s="28">
        <f>Option4!W$82*conv_2026*W$7</f>
        <v>0</v>
      </c>
      <c r="X60" s="28">
        <f>Option4!X$82*conv_2026*X$7</f>
        <v>0</v>
      </c>
      <c r="Y60" s="28">
        <f>Option4!Y$82*conv_2026*Y$7</f>
        <v>0</v>
      </c>
      <c r="Z60" s="28">
        <f>Option4!Z$82*conv_2026*Z$7</f>
        <v>0</v>
      </c>
      <c r="AA60" s="28">
        <f>Option4!AA$82*conv_2026*AA$7</f>
        <v>0</v>
      </c>
      <c r="AB60" s="28">
        <f>Option4!AB$82*conv_2026*AB$7</f>
        <v>0</v>
      </c>
      <c r="AC60" s="28">
        <f>Option4!AC$82*conv_2026*AC$7</f>
        <v>0</v>
      </c>
      <c r="AD60" s="28">
        <f>Option4!AD$82*conv_2026*AD$7</f>
        <v>0</v>
      </c>
      <c r="AE60" s="28">
        <f>Option4!AE$82*conv_2026*AE$7</f>
        <v>0</v>
      </c>
      <c r="AF60" s="28">
        <f>Option4!AF$82*conv_2026*AF$7</f>
        <v>0</v>
      </c>
      <c r="AG60" s="28">
        <f>Option4!AG$82*conv_2026*AG$7</f>
        <v>0</v>
      </c>
    </row>
    <row r="61" spans="1:33" s="2" customFormat="1" x14ac:dyDescent="0.2">
      <c r="A61" s="114" t="str">
        <f t="shared" si="15"/>
        <v>Option 4</v>
      </c>
      <c r="B61" s="114"/>
      <c r="C61" s="52" t="str">
        <f>Option4!C$83</f>
        <v>Operating expenditure</v>
      </c>
      <c r="D61" s="34" t="str">
        <f t="shared" si="14"/>
        <v>Option 4Operating expenditure</v>
      </c>
      <c r="E61" s="1"/>
      <c r="F61" s="84">
        <f>SUMPRODUCT($H61:$AG61, $H$5:$AG$5)</f>
        <v>0</v>
      </c>
      <c r="G61" s="198">
        <f t="shared" si="16"/>
        <v>46203</v>
      </c>
      <c r="H61" s="28"/>
      <c r="I61" s="28">
        <f>Option4!I$83*conv_2026*I$7</f>
        <v>0</v>
      </c>
      <c r="J61" s="28">
        <f>Option4!J$83*conv_2026*J$7</f>
        <v>0</v>
      </c>
      <c r="K61" s="28">
        <f>Option4!K$83*conv_2026*K$7</f>
        <v>0</v>
      </c>
      <c r="L61" s="28">
        <f>Option4!L$83*conv_2026*L$7</f>
        <v>0</v>
      </c>
      <c r="M61" s="28">
        <f>Option4!M$83*conv_2026*M$7</f>
        <v>0</v>
      </c>
      <c r="N61" s="28">
        <f>Option4!N$83*conv_2026*N$7</f>
        <v>0</v>
      </c>
      <c r="O61" s="28">
        <f>Option4!O$83*conv_2026*O$7</f>
        <v>0</v>
      </c>
      <c r="P61" s="28">
        <f>Option4!P$83*conv_2026*P$7</f>
        <v>0</v>
      </c>
      <c r="Q61" s="28">
        <f>Option4!Q$83*conv_2026*Q$7</f>
        <v>0</v>
      </c>
      <c r="R61" s="28">
        <f>Option4!R$83*conv_2026*R$7</f>
        <v>0</v>
      </c>
      <c r="S61" s="28">
        <f>Option4!S$83*conv_2026*S$7</f>
        <v>0</v>
      </c>
      <c r="T61" s="28">
        <f>Option4!T$83*conv_2026*T$7</f>
        <v>0</v>
      </c>
      <c r="U61" s="28">
        <f>Option4!U$83*conv_2026*U$7</f>
        <v>0</v>
      </c>
      <c r="V61" s="28">
        <f>Option4!V$83*conv_2026*V$7</f>
        <v>0</v>
      </c>
      <c r="W61" s="28">
        <f>Option4!W$83*conv_2026*W$7</f>
        <v>0</v>
      </c>
      <c r="X61" s="28">
        <f>Option4!X$83*conv_2026*X$7</f>
        <v>0</v>
      </c>
      <c r="Y61" s="28">
        <f>Option4!Y$83*conv_2026*Y$7</f>
        <v>0</v>
      </c>
      <c r="Z61" s="28">
        <f>Option4!Z$83*conv_2026*Z$7</f>
        <v>0</v>
      </c>
      <c r="AA61" s="28">
        <f>Option4!AA$83*conv_2026*AA$7</f>
        <v>0</v>
      </c>
      <c r="AB61" s="28">
        <f>Option4!AB$83*conv_2026*AB$7</f>
        <v>0</v>
      </c>
      <c r="AC61" s="28">
        <f>Option4!AC$83*conv_2026*AC$7</f>
        <v>0</v>
      </c>
      <c r="AD61" s="28">
        <f>Option4!AD$83*conv_2026*AD$7</f>
        <v>0</v>
      </c>
      <c r="AE61" s="28">
        <f>Option4!AE$83*conv_2026*AE$7</f>
        <v>0</v>
      </c>
      <c r="AF61" s="28">
        <f>Option4!AF$83*conv_2026*AF$7</f>
        <v>0</v>
      </c>
      <c r="AG61" s="28">
        <f>Option4!AG$83*conv_2026*AG$7</f>
        <v>0</v>
      </c>
    </row>
    <row r="62" spans="1:33" s="2" customFormat="1" x14ac:dyDescent="0.2">
      <c r="A62" s="114" t="str">
        <f t="shared" si="15"/>
        <v>Option 4</v>
      </c>
      <c r="B62" s="114"/>
      <c r="C62" s="52" t="str">
        <f>Option4!C$84</f>
        <v>Risk mitigated</v>
      </c>
      <c r="D62" s="34" t="str">
        <f t="shared" si="14"/>
        <v>Option 4Risk mitigated</v>
      </c>
      <c r="E62" s="1"/>
      <c r="F62" s="84">
        <f>SUMPRODUCT($H62:$AG62, $H$5:$AG$5)</f>
        <v>0</v>
      </c>
      <c r="G62" s="198">
        <f t="shared" si="16"/>
        <v>46203</v>
      </c>
      <c r="H62" s="28"/>
      <c r="I62" s="28">
        <f>Option4!I$84*conv_2026*I$7</f>
        <v>0</v>
      </c>
      <c r="J62" s="28">
        <f>Option4!J$84*conv_2026*J$7</f>
        <v>0</v>
      </c>
      <c r="K62" s="28">
        <f>Option4!K$84*conv_2026*K$7</f>
        <v>0</v>
      </c>
      <c r="L62" s="28">
        <f>Option4!L$84*conv_2026*L$7</f>
        <v>0</v>
      </c>
      <c r="M62" s="28">
        <f>Option4!M$84*conv_2026*M$7</f>
        <v>0</v>
      </c>
      <c r="N62" s="28">
        <f>Option4!N$84*conv_2026*N$7</f>
        <v>0</v>
      </c>
      <c r="O62" s="28">
        <f>Option4!O$84*conv_2026*O$7</f>
        <v>0</v>
      </c>
      <c r="P62" s="28">
        <f>Option4!P$84*conv_2026*P$7</f>
        <v>0</v>
      </c>
      <c r="Q62" s="28">
        <f>Option4!Q$84*conv_2026*Q$7</f>
        <v>0</v>
      </c>
      <c r="R62" s="28">
        <f>Option4!R$84*conv_2026*R$7</f>
        <v>0</v>
      </c>
      <c r="S62" s="28">
        <f>Option4!S$84*conv_2026*S$7</f>
        <v>0</v>
      </c>
      <c r="T62" s="28">
        <f>Option4!T$84*conv_2026*T$7</f>
        <v>0</v>
      </c>
      <c r="U62" s="28">
        <f>Option4!U$84*conv_2026*U$7</f>
        <v>0</v>
      </c>
      <c r="V62" s="28">
        <f>Option4!V$84*conv_2026*V$7</f>
        <v>0</v>
      </c>
      <c r="W62" s="28">
        <f>Option4!W$84*conv_2026*W$7</f>
        <v>0</v>
      </c>
      <c r="X62" s="28">
        <f>Option4!X$84*conv_2026*X$7</f>
        <v>0</v>
      </c>
      <c r="Y62" s="28">
        <f>Option4!Y$84*conv_2026*Y$7</f>
        <v>0</v>
      </c>
      <c r="Z62" s="28">
        <f>Option4!Z$84*conv_2026*Z$7</f>
        <v>0</v>
      </c>
      <c r="AA62" s="28">
        <f>Option4!AA$84*conv_2026*AA$7</f>
        <v>0</v>
      </c>
      <c r="AB62" s="28">
        <f>Option4!AB$84*conv_2026*AB$7</f>
        <v>0</v>
      </c>
      <c r="AC62" s="28">
        <f>Option4!AC$84*conv_2026*AC$7</f>
        <v>0</v>
      </c>
      <c r="AD62" s="28">
        <f>Option4!AD$84*conv_2026*AD$7</f>
        <v>0</v>
      </c>
      <c r="AE62" s="28">
        <f>Option4!AE$84*conv_2026*AE$7</f>
        <v>0</v>
      </c>
      <c r="AF62" s="28">
        <f>Option4!AF$84*conv_2026*AF$7</f>
        <v>0</v>
      </c>
      <c r="AG62" s="28">
        <f>Option4!AG$84*conv_2026*AG$7</f>
        <v>0</v>
      </c>
    </row>
    <row r="63" spans="1:33" s="2" customFormat="1" x14ac:dyDescent="0.2">
      <c r="A63" s="114" t="str">
        <f t="shared" si="15"/>
        <v>Option 4</v>
      </c>
      <c r="B63" s="114"/>
      <c r="C63" s="52" t="str">
        <f>Option4!C$85</f>
        <v>Other benefits value</v>
      </c>
      <c r="D63" s="34" t="str">
        <f t="shared" si="14"/>
        <v>Option 4Other benefits value</v>
      </c>
      <c r="E63" s="1"/>
      <c r="F63" s="84">
        <f>SUMPRODUCT($H63:$AG63, $H$5:$AG$5)</f>
        <v>0</v>
      </c>
      <c r="G63" s="198">
        <f t="shared" si="16"/>
        <v>46203</v>
      </c>
      <c r="H63" s="28"/>
      <c r="I63" s="28">
        <f>Option4!I$85*conv_2026*I$7</f>
        <v>0</v>
      </c>
      <c r="J63" s="28">
        <f>Option4!J$85*conv_2026*J$7</f>
        <v>0</v>
      </c>
      <c r="K63" s="28">
        <f>Option4!K$85*conv_2026*K$7</f>
        <v>0</v>
      </c>
      <c r="L63" s="28">
        <f>Option4!L$85*conv_2026*L$7</f>
        <v>0</v>
      </c>
      <c r="M63" s="28">
        <f>Option4!M$85*conv_2026*M$7</f>
        <v>0</v>
      </c>
      <c r="N63" s="28">
        <f>Option4!N$85*conv_2026*N$7</f>
        <v>0</v>
      </c>
      <c r="O63" s="28">
        <f>Option4!O$85*conv_2026*O$7</f>
        <v>0</v>
      </c>
      <c r="P63" s="28">
        <f>Option4!P$85*conv_2026*P$7</f>
        <v>0</v>
      </c>
      <c r="Q63" s="28">
        <f>Option4!Q$85*conv_2026*Q$7</f>
        <v>0</v>
      </c>
      <c r="R63" s="28">
        <f>Option4!R$85*conv_2026*R$7</f>
        <v>0</v>
      </c>
      <c r="S63" s="28">
        <f>Option4!S$85*conv_2026*S$7</f>
        <v>0</v>
      </c>
      <c r="T63" s="28">
        <f>Option4!T$85*conv_2026*T$7</f>
        <v>0</v>
      </c>
      <c r="U63" s="28">
        <f>Option4!U$85*conv_2026*U$7</f>
        <v>0</v>
      </c>
      <c r="V63" s="28">
        <f>Option4!V$85*conv_2026*V$7</f>
        <v>0</v>
      </c>
      <c r="W63" s="28">
        <f>Option4!W$85*conv_2026*W$7</f>
        <v>0</v>
      </c>
      <c r="X63" s="28">
        <f>Option4!X$85*conv_2026*X$7</f>
        <v>0</v>
      </c>
      <c r="Y63" s="28">
        <f>Option4!Y$85*conv_2026*Y$7</f>
        <v>0</v>
      </c>
      <c r="Z63" s="28">
        <f>Option4!Z$85*conv_2026*Z$7</f>
        <v>0</v>
      </c>
      <c r="AA63" s="28">
        <f>Option4!AA$85*conv_2026*AA$7</f>
        <v>0</v>
      </c>
      <c r="AB63" s="28">
        <f>Option4!AB$85*conv_2026*AB$7</f>
        <v>0</v>
      </c>
      <c r="AC63" s="28">
        <f>Option4!AC$85*conv_2026*AC$7</f>
        <v>0</v>
      </c>
      <c r="AD63" s="28">
        <f>Option4!AD$85*conv_2026*AD$7</f>
        <v>0</v>
      </c>
      <c r="AE63" s="28">
        <f>Option4!AE$85*conv_2026*AE$7</f>
        <v>0</v>
      </c>
      <c r="AF63" s="28">
        <f>Option4!AF$85*conv_2026*AF$7</f>
        <v>0</v>
      </c>
      <c r="AG63" s="28">
        <f>Option4!AG$85*conv_2026*AG$7</f>
        <v>0</v>
      </c>
    </row>
    <row r="64" spans="1:33" s="2" customFormat="1" x14ac:dyDescent="0.2">
      <c r="A64" s="114" t="str">
        <f t="shared" si="15"/>
        <v>Option 4</v>
      </c>
      <c r="B64" s="114"/>
      <c r="C64" s="104" t="str">
        <f>Option4!C87</f>
        <v>Net benefits</v>
      </c>
      <c r="D64" s="96" t="str">
        <f t="shared" si="14"/>
        <v>Option 4Net benefits</v>
      </c>
      <c r="E64" s="97"/>
      <c r="F64" s="121"/>
      <c r="G64" s="200">
        <f t="shared" si="16"/>
        <v>46203</v>
      </c>
      <c r="H64" s="46"/>
      <c r="I64" s="46">
        <f t="shared" ref="I64:AB64" si="17">SUM(I60:I63)</f>
        <v>0</v>
      </c>
      <c r="J64" s="46">
        <f t="shared" si="17"/>
        <v>0</v>
      </c>
      <c r="K64" s="46">
        <f t="shared" si="17"/>
        <v>0</v>
      </c>
      <c r="L64" s="46">
        <f t="shared" si="17"/>
        <v>0</v>
      </c>
      <c r="M64" s="46">
        <f t="shared" si="17"/>
        <v>0</v>
      </c>
      <c r="N64" s="46">
        <f t="shared" si="17"/>
        <v>0</v>
      </c>
      <c r="O64" s="46">
        <f t="shared" si="17"/>
        <v>0</v>
      </c>
      <c r="P64" s="46">
        <f t="shared" si="17"/>
        <v>0</v>
      </c>
      <c r="Q64" s="46">
        <f t="shared" si="17"/>
        <v>0</v>
      </c>
      <c r="R64" s="46">
        <f t="shared" si="17"/>
        <v>0</v>
      </c>
      <c r="S64" s="46">
        <f t="shared" si="17"/>
        <v>0</v>
      </c>
      <c r="T64" s="46">
        <f t="shared" si="17"/>
        <v>0</v>
      </c>
      <c r="U64" s="46">
        <f t="shared" si="17"/>
        <v>0</v>
      </c>
      <c r="V64" s="46">
        <f t="shared" si="17"/>
        <v>0</v>
      </c>
      <c r="W64" s="46">
        <f t="shared" si="17"/>
        <v>0</v>
      </c>
      <c r="X64" s="46">
        <f t="shared" si="17"/>
        <v>0</v>
      </c>
      <c r="Y64" s="46">
        <f t="shared" si="17"/>
        <v>0</v>
      </c>
      <c r="Z64" s="46">
        <f t="shared" si="17"/>
        <v>0</v>
      </c>
      <c r="AA64" s="46">
        <f t="shared" si="17"/>
        <v>0</v>
      </c>
      <c r="AB64" s="46">
        <f t="shared" si="17"/>
        <v>0</v>
      </c>
      <c r="AC64" s="46">
        <f>SUM(AC60:AC63)</f>
        <v>0</v>
      </c>
      <c r="AD64" s="46">
        <f>SUM(AD60:AD63)</f>
        <v>0</v>
      </c>
      <c r="AE64" s="46">
        <f>SUM(AE60:AE63)</f>
        <v>0</v>
      </c>
      <c r="AF64" s="46">
        <f>SUM(AF60:AF63)</f>
        <v>0</v>
      </c>
      <c r="AG64" s="46">
        <f>SUM(AG60:AG63)</f>
        <v>0</v>
      </c>
    </row>
    <row r="65" spans="1:33" s="2" customFormat="1" x14ac:dyDescent="0.2">
      <c r="A65" s="114" t="str">
        <f t="shared" si="15"/>
        <v>Option 4</v>
      </c>
      <c r="B65" s="114"/>
      <c r="C65" s="6" t="s">
        <v>22</v>
      </c>
      <c r="D65" s="34" t="str">
        <f t="shared" si="14"/>
        <v>Option 4NPV</v>
      </c>
      <c r="E65" s="1"/>
      <c r="F65" s="95" cm="1">
        <f t="array" ref="F65">SUMPRODUCT(($H64:$AG64)*($H$5:$AG$5)*($H$7:$AG$7))</f>
        <v>0</v>
      </c>
      <c r="G65" s="198">
        <f t="shared" si="16"/>
        <v>46203</v>
      </c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spans="1:33" s="2" customFormat="1" x14ac:dyDescent="0.2">
      <c r="A66" s="114" t="str">
        <f t="shared" si="15"/>
        <v>Option 4</v>
      </c>
      <c r="B66" s="114"/>
      <c r="C66" s="6" t="s">
        <v>25</v>
      </c>
      <c r="D66" s="34" t="str">
        <f t="shared" si="14"/>
        <v>Option 4PV of costs</v>
      </c>
      <c r="E66" s="1"/>
      <c r="F66" s="95">
        <f>SUM(F60:F61)</f>
        <v>0</v>
      </c>
      <c r="G66" s="198">
        <f t="shared" si="16"/>
        <v>46203</v>
      </c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spans="1:33" s="2" customFormat="1" x14ac:dyDescent="0.2">
      <c r="A67" s="114" t="str">
        <f t="shared" si="15"/>
        <v>Option 4</v>
      </c>
      <c r="B67" s="114"/>
      <c r="C67" s="6" t="s">
        <v>26</v>
      </c>
      <c r="D67" s="34" t="str">
        <f t="shared" si="14"/>
        <v>Option 4PV of benefits</v>
      </c>
      <c r="E67" s="1"/>
      <c r="F67" s="95">
        <f>SUM(F62:F63)</f>
        <v>0</v>
      </c>
      <c r="G67" s="198">
        <f t="shared" si="16"/>
        <v>46203</v>
      </c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spans="1:33" s="2" customFormat="1" x14ac:dyDescent="0.2">
      <c r="A68" s="114"/>
      <c r="B68" s="114"/>
      <c r="C68" s="1"/>
      <c r="D68" s="34"/>
      <c r="E68" s="1"/>
      <c r="F68" s="95"/>
      <c r="G68" s="201"/>
      <c r="H68" s="1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2"/>
      <c r="X68" s="92"/>
      <c r="Y68" s="92"/>
      <c r="Z68" s="92"/>
      <c r="AA68" s="92"/>
      <c r="AB68" s="92"/>
      <c r="AC68" s="92"/>
      <c r="AD68" s="92"/>
      <c r="AE68" s="92"/>
      <c r="AF68" s="92"/>
      <c r="AG68" s="92"/>
    </row>
    <row r="69" spans="1:33" s="2" customFormat="1" x14ac:dyDescent="0.2">
      <c r="A69" s="52"/>
      <c r="B69" s="52"/>
      <c r="C69" s="52"/>
      <c r="D69" s="34" t="str">
        <f t="shared" ref="D69:D81" si="18">A69&amp;C69</f>
        <v/>
      </c>
      <c r="F69" s="7"/>
      <c r="G69" s="194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</row>
    <row r="70" spans="1:33" s="2" customFormat="1" x14ac:dyDescent="0.2">
      <c r="A70" s="52" t="str">
        <f>A71</f>
        <v>Option 5</v>
      </c>
      <c r="B70" s="52"/>
      <c r="C70" s="52" t="s">
        <v>118</v>
      </c>
      <c r="D70" s="34" t="str">
        <f t="shared" si="18"/>
        <v>Option 5Energy at risk value</v>
      </c>
      <c r="F70" s="84">
        <f>SUMPRODUCT($H70:$AG70, $H$5:$AG$5)</f>
        <v>0</v>
      </c>
      <c r="G70" s="198">
        <f>output_dollars</f>
        <v>46203</v>
      </c>
      <c r="H70" s="28"/>
      <c r="I70" s="28">
        <f>Option5!I$28*conv_2026</f>
        <v>0</v>
      </c>
      <c r="J70" s="28">
        <f>Option5!J$28*conv_2026</f>
        <v>0</v>
      </c>
      <c r="K70" s="28">
        <f>Option5!K$28*conv_2026</f>
        <v>0</v>
      </c>
      <c r="L70" s="28">
        <f>Option5!L$28*conv_2026</f>
        <v>0</v>
      </c>
      <c r="M70" s="28">
        <f>Option5!M$28*conv_2026</f>
        <v>0</v>
      </c>
      <c r="N70" s="28">
        <f>Option5!N$28*conv_2026</f>
        <v>0</v>
      </c>
      <c r="O70" s="28">
        <f>Option5!O$28*conv_2026</f>
        <v>0</v>
      </c>
      <c r="P70" s="28">
        <f>Option5!P$28*conv_2026</f>
        <v>0</v>
      </c>
      <c r="Q70" s="28">
        <f>Option5!Q$28*conv_2026</f>
        <v>0</v>
      </c>
      <c r="R70" s="28">
        <f>Option5!R$28*conv_2026</f>
        <v>0</v>
      </c>
      <c r="S70" s="28">
        <f>Option5!S$28*conv_2026</f>
        <v>0</v>
      </c>
      <c r="T70" s="28">
        <f>Option5!T$28*conv_2026</f>
        <v>0</v>
      </c>
      <c r="U70" s="28">
        <f>Option5!U$28*conv_2026</f>
        <v>0</v>
      </c>
      <c r="V70" s="28">
        <f>Option5!V$28*conv_2026</f>
        <v>0</v>
      </c>
      <c r="W70" s="28">
        <f>Option5!W$28*conv_2026</f>
        <v>0</v>
      </c>
      <c r="X70" s="28">
        <f>Option5!X$28*conv_2026</f>
        <v>0</v>
      </c>
      <c r="Y70" s="28">
        <f>Option5!Y$28*conv_2026</f>
        <v>0</v>
      </c>
      <c r="Z70" s="28">
        <f>Option5!Z$28*conv_2026</f>
        <v>0</v>
      </c>
      <c r="AA70" s="28">
        <f>Option5!AA$28*conv_2026</f>
        <v>0</v>
      </c>
      <c r="AB70" s="28">
        <f>Option5!AB$28*conv_2026</f>
        <v>0</v>
      </c>
      <c r="AC70" s="28">
        <f>Option5!AC$28*conv_2026</f>
        <v>0</v>
      </c>
      <c r="AD70" s="28">
        <f>Option5!AD$28*conv_2026</f>
        <v>0</v>
      </c>
      <c r="AE70" s="28">
        <f>Option5!AE$28*conv_2026</f>
        <v>0</v>
      </c>
      <c r="AF70" s="28">
        <f>Option5!AF$28*conv_2026</f>
        <v>0</v>
      </c>
      <c r="AG70" s="28">
        <f>Option5!AG$28*conv_2026</f>
        <v>0</v>
      </c>
    </row>
    <row r="71" spans="1:33" s="2" customFormat="1" x14ac:dyDescent="0.2">
      <c r="A71" s="114" t="str">
        <f>Data!B13</f>
        <v>Option 5</v>
      </c>
      <c r="B71" s="114"/>
      <c r="C71" s="52" t="str">
        <f>Option5!C$66</f>
        <v>Capital expenditure</v>
      </c>
      <c r="D71" s="34" t="str">
        <f t="shared" si="18"/>
        <v>Option 5Capital expenditure</v>
      </c>
      <c r="E71" s="1"/>
      <c r="F71" s="84">
        <f>SUMPRODUCT($H71:$AG71, $H$5:$AG$5)</f>
        <v>0</v>
      </c>
      <c r="G71" s="198">
        <f>output_dollars</f>
        <v>46203</v>
      </c>
      <c r="H71" s="28"/>
      <c r="I71" s="28">
        <f>SUM(Option5!I$67:I$69)*conv_2026*I$7</f>
        <v>0</v>
      </c>
      <c r="J71" s="28">
        <f>SUM(Option5!J$67:J$69)*conv_2026*J$7</f>
        <v>0</v>
      </c>
      <c r="K71" s="28">
        <f>SUM(Option5!K$67:K$69)*conv_2026*K$7</f>
        <v>0</v>
      </c>
      <c r="L71" s="28">
        <f>SUM(Option5!L$67:L$69)*conv_2026*L$7</f>
        <v>0</v>
      </c>
      <c r="M71" s="28">
        <f>SUM(Option5!M$67:M$69)*conv_2026*M$7</f>
        <v>0</v>
      </c>
      <c r="N71" s="28">
        <f>SUM(Option5!N$67:N$69)*conv_2026*N$7</f>
        <v>0</v>
      </c>
      <c r="O71" s="28">
        <f>SUM(Option5!O$67:O$69)*conv_2026*O$7</f>
        <v>0</v>
      </c>
      <c r="P71" s="28">
        <f>SUM(Option5!P$67:P$69)*conv_2026*P$7</f>
        <v>0</v>
      </c>
      <c r="Q71" s="28">
        <f>SUM(Option5!Q$67:Q$69)*conv_2026*Q$7</f>
        <v>0</v>
      </c>
      <c r="R71" s="28">
        <f>SUM(Option5!R$67:R$69)*conv_2026*R$7</f>
        <v>0</v>
      </c>
      <c r="S71" s="28">
        <f>SUM(Option5!S$67:S$69)*conv_2026*S$7</f>
        <v>0</v>
      </c>
      <c r="T71" s="28">
        <f>SUM(Option5!T$67:T$69)*conv_2026*T$7</f>
        <v>0</v>
      </c>
      <c r="U71" s="28">
        <f>SUM(Option5!U$67:U$69)*conv_2026*U$7</f>
        <v>0</v>
      </c>
      <c r="V71" s="28">
        <f>SUM(Option5!V$67:V$69)*conv_2026*V$7</f>
        <v>0</v>
      </c>
      <c r="W71" s="28">
        <f>SUM(Option5!W$67:W$69)*conv_2026*W$7</f>
        <v>0</v>
      </c>
      <c r="X71" s="28">
        <f>SUM(Option5!X$67:X$69)*conv_2026*X$7</f>
        <v>0</v>
      </c>
      <c r="Y71" s="28">
        <f>SUM(Option5!Y$67:Y$69)*conv_2026*Y$7</f>
        <v>0</v>
      </c>
      <c r="Z71" s="28">
        <f>SUM(Option5!Z$67:Z$69)*conv_2026*Z$7</f>
        <v>0</v>
      </c>
      <c r="AA71" s="28">
        <f>SUM(Option5!AA$67:AA$69)*conv_2026*AA$7</f>
        <v>0</v>
      </c>
      <c r="AB71" s="28">
        <f>SUM(Option5!AB$67:AB$69)*conv_2026*AB$7</f>
        <v>0</v>
      </c>
      <c r="AC71" s="28">
        <f>SUM(Option5!AC$67:AC$69)*conv_2026*AC$7</f>
        <v>0</v>
      </c>
      <c r="AD71" s="28">
        <f>SUM(Option5!AD$67:AD$69)*conv_2026*AD$7</f>
        <v>0</v>
      </c>
      <c r="AE71" s="28">
        <f>SUM(Option5!AE$67:AE$69)*conv_2026*AE$7</f>
        <v>0</v>
      </c>
      <c r="AF71" s="28">
        <f>SUM(Option5!AF$67:AF$69)*conv_2026*AF$7</f>
        <v>0</v>
      </c>
      <c r="AG71" s="28">
        <f>SUM(Option5!AG$67:AG$69)*conv_2026*AG$7</f>
        <v>0</v>
      </c>
    </row>
    <row r="72" spans="1:33" s="2" customFormat="1" x14ac:dyDescent="0.2">
      <c r="A72" s="114" t="str">
        <f t="shared" ref="A72:A81" si="19">A71</f>
        <v>Option 5</v>
      </c>
      <c r="B72" s="114"/>
      <c r="C72" s="52" t="str">
        <f>'Option1 (base case)'!C$36</f>
        <v>Total risk cost</v>
      </c>
      <c r="D72" s="34" t="str">
        <f t="shared" si="18"/>
        <v>Option 5Total risk cost</v>
      </c>
      <c r="E72" s="1"/>
      <c r="F72" s="84">
        <f>SUMPRODUCT($H72:$AG72, $H$5:$AG$5)</f>
        <v>0</v>
      </c>
      <c r="G72" s="198">
        <f>output_dollars</f>
        <v>46203</v>
      </c>
      <c r="H72" s="28"/>
      <c r="I72" s="28">
        <f>Option5!I$36*conv_2026*I$7</f>
        <v>0</v>
      </c>
      <c r="J72" s="28">
        <f>Option5!J$36*conv_2026*J$7</f>
        <v>0</v>
      </c>
      <c r="K72" s="28">
        <f>Option5!K$36*conv_2026*K$7</f>
        <v>0</v>
      </c>
      <c r="L72" s="28">
        <f>Option5!L$36*conv_2026*L$7</f>
        <v>0</v>
      </c>
      <c r="M72" s="28">
        <f>Option5!M$36*conv_2026*M$7</f>
        <v>0</v>
      </c>
      <c r="N72" s="28">
        <f>Option5!N$36*conv_2026*N$7</f>
        <v>0</v>
      </c>
      <c r="O72" s="28">
        <f>Option5!O$36*conv_2026*O$7</f>
        <v>0</v>
      </c>
      <c r="P72" s="28">
        <f>Option5!P$36*conv_2026*P$7</f>
        <v>0</v>
      </c>
      <c r="Q72" s="28">
        <f>Option5!Q$36*conv_2026*Q$7</f>
        <v>0</v>
      </c>
      <c r="R72" s="28">
        <f>Option5!R$36*conv_2026*R$7</f>
        <v>0</v>
      </c>
      <c r="S72" s="28">
        <f>Option5!S$36*conv_2026*S$7</f>
        <v>0</v>
      </c>
      <c r="T72" s="28">
        <f>Option5!T$36*conv_2026*T$7</f>
        <v>0</v>
      </c>
      <c r="U72" s="28">
        <f>Option5!U$36*conv_2026*U$7</f>
        <v>0</v>
      </c>
      <c r="V72" s="28">
        <f>Option5!V$36*conv_2026*V$7</f>
        <v>0</v>
      </c>
      <c r="W72" s="28">
        <f>Option5!W$36*conv_2026*W$7</f>
        <v>0</v>
      </c>
      <c r="X72" s="28">
        <f>Option5!X$36*conv_2026*X$7</f>
        <v>0</v>
      </c>
      <c r="Y72" s="28">
        <f>Option5!Y$36*conv_2026*Y$7</f>
        <v>0</v>
      </c>
      <c r="Z72" s="28">
        <f>Option5!Z$36*conv_2026*Z$7</f>
        <v>0</v>
      </c>
      <c r="AA72" s="28">
        <f>Option5!AA$36*conv_2026*AA$7</f>
        <v>0</v>
      </c>
      <c r="AB72" s="28">
        <f>Option5!AB$36*conv_2026*AB$7</f>
        <v>0</v>
      </c>
      <c r="AC72" s="28">
        <f>Option5!AC$36*conv_2026*AC$7</f>
        <v>0</v>
      </c>
      <c r="AD72" s="28">
        <f>Option5!AD$36*conv_2026*AD$7</f>
        <v>0</v>
      </c>
      <c r="AE72" s="28">
        <f>Option5!AE$36*conv_2026*AE$7</f>
        <v>0</v>
      </c>
      <c r="AF72" s="28">
        <f>Option5!AF$36*conv_2026*AF$7</f>
        <v>0</v>
      </c>
      <c r="AG72" s="28">
        <f>Option5!AG$36*conv_2026*AG$7</f>
        <v>0</v>
      </c>
    </row>
    <row r="73" spans="1:33" s="2" customFormat="1" x14ac:dyDescent="0.2">
      <c r="A73" s="114" t="str">
        <f t="shared" si="19"/>
        <v>Option 5</v>
      </c>
      <c r="B73" s="114"/>
      <c r="C73" s="12"/>
      <c r="D73" s="34" t="str">
        <f t="shared" si="18"/>
        <v>Option 5</v>
      </c>
      <c r="E73" s="1"/>
      <c r="F73"/>
      <c r="G73" s="199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s="2" customFormat="1" x14ac:dyDescent="0.2">
      <c r="A74" s="114" t="str">
        <f t="shared" si="19"/>
        <v>Option 5</v>
      </c>
      <c r="B74" s="114"/>
      <c r="C74" s="52" t="str">
        <f>Option5!C$82</f>
        <v>Annualised capex</v>
      </c>
      <c r="D74" s="34" t="str">
        <f t="shared" si="18"/>
        <v>Option 5Annualised capex</v>
      </c>
      <c r="E74" s="1"/>
      <c r="F74" s="95" cm="1">
        <f t="array" ref="F74">SUMPRODUCT(($H74:$AG74)*($H$5:$AG$5)*($H$7:$AG$7))</f>
        <v>0</v>
      </c>
      <c r="G74" s="198">
        <f t="shared" ref="G74:G81" si="20">output_dollars</f>
        <v>46203</v>
      </c>
      <c r="H74" s="28"/>
      <c r="I74" s="28">
        <f>Option5!I$82*conv_2026*I$7</f>
        <v>0</v>
      </c>
      <c r="J74" s="28">
        <f>Option5!J$82*conv_2026*J$7</f>
        <v>0</v>
      </c>
      <c r="K74" s="28">
        <f>Option5!K$82*conv_2026*K$7</f>
        <v>0</v>
      </c>
      <c r="L74" s="28">
        <f>Option5!L$82*conv_2026*L$7</f>
        <v>0</v>
      </c>
      <c r="M74" s="28">
        <f>Option5!M$82*conv_2026*M$7</f>
        <v>0</v>
      </c>
      <c r="N74" s="28">
        <f>Option5!N$82*conv_2026*N$7</f>
        <v>0</v>
      </c>
      <c r="O74" s="28">
        <f>Option5!O$82*conv_2026*O$7</f>
        <v>0</v>
      </c>
      <c r="P74" s="28">
        <f>Option5!P$82*conv_2026*P$7</f>
        <v>0</v>
      </c>
      <c r="Q74" s="28">
        <f>Option5!Q$82*conv_2026*Q$7</f>
        <v>0</v>
      </c>
      <c r="R74" s="28">
        <f>Option5!R$82*conv_2026*R$7</f>
        <v>0</v>
      </c>
      <c r="S74" s="28">
        <f>Option5!S$82*conv_2026*S$7</f>
        <v>0</v>
      </c>
      <c r="T74" s="28">
        <f>Option5!T$82*conv_2026*T$7</f>
        <v>0</v>
      </c>
      <c r="U74" s="28">
        <f>Option5!U$82*conv_2026*U$7</f>
        <v>0</v>
      </c>
      <c r="V74" s="28">
        <f>Option5!V$82*conv_2026*V$7</f>
        <v>0</v>
      </c>
      <c r="W74" s="28">
        <f>Option5!W$82*conv_2026*W$7</f>
        <v>0</v>
      </c>
      <c r="X74" s="28">
        <f>Option5!X$82*conv_2026*X$7</f>
        <v>0</v>
      </c>
      <c r="Y74" s="28">
        <f>Option5!Y$82*conv_2026*Y$7</f>
        <v>0</v>
      </c>
      <c r="Z74" s="28">
        <f>Option5!Z$82*conv_2026*Z$7</f>
        <v>0</v>
      </c>
      <c r="AA74" s="28">
        <f>Option5!AA$82*conv_2026*AA$7</f>
        <v>0</v>
      </c>
      <c r="AB74" s="28">
        <f>Option5!AB$82*conv_2026*AB$7</f>
        <v>0</v>
      </c>
      <c r="AC74" s="28">
        <f>Option5!AC$82*conv_2026*AC$7</f>
        <v>0</v>
      </c>
      <c r="AD74" s="28">
        <f>Option5!AD$82*conv_2026*AD$7</f>
        <v>0</v>
      </c>
      <c r="AE74" s="28">
        <f>Option5!AE$82*conv_2026*AE$7</f>
        <v>0</v>
      </c>
      <c r="AF74" s="28">
        <f>Option5!AF$82*conv_2026*AF$7</f>
        <v>0</v>
      </c>
      <c r="AG74" s="28">
        <f>Option5!AG$82*conv_2026*AG$7</f>
        <v>0</v>
      </c>
    </row>
    <row r="75" spans="1:33" s="2" customFormat="1" x14ac:dyDescent="0.2">
      <c r="A75" s="114" t="str">
        <f t="shared" si="19"/>
        <v>Option 5</v>
      </c>
      <c r="B75" s="114"/>
      <c r="C75" s="52" t="str">
        <f>Option5!C$83</f>
        <v>Operating expenditure</v>
      </c>
      <c r="D75" s="34" t="str">
        <f t="shared" si="18"/>
        <v>Option 5Operating expenditure</v>
      </c>
      <c r="E75" s="1"/>
      <c r="F75" s="95" cm="1">
        <f t="array" ref="F75">SUMPRODUCT(($H75:$AG75)*($H$5:$AG$5)*($H$7:$AG$7))</f>
        <v>0</v>
      </c>
      <c r="G75" s="198">
        <f t="shared" si="20"/>
        <v>46203</v>
      </c>
      <c r="H75" s="28"/>
      <c r="I75" s="28">
        <f>Option5!I$83*conv_2026*I$7</f>
        <v>0</v>
      </c>
      <c r="J75" s="28">
        <f>Option5!J$83*conv_2026*J$7</f>
        <v>0</v>
      </c>
      <c r="K75" s="28">
        <f>Option5!K$83*conv_2026*K$7</f>
        <v>0</v>
      </c>
      <c r="L75" s="28">
        <f>Option5!L$83*conv_2026*L$7</f>
        <v>0</v>
      </c>
      <c r="M75" s="28">
        <f>Option5!M$83*conv_2026*M$7</f>
        <v>0</v>
      </c>
      <c r="N75" s="28">
        <f>Option5!N$83*conv_2026*N$7</f>
        <v>0</v>
      </c>
      <c r="O75" s="28">
        <f>Option5!O$83*conv_2026*O$7</f>
        <v>0</v>
      </c>
      <c r="P75" s="28">
        <f>Option5!P$83*conv_2026*P$7</f>
        <v>0</v>
      </c>
      <c r="Q75" s="28">
        <f>Option5!Q$83*conv_2026*Q$7</f>
        <v>0</v>
      </c>
      <c r="R75" s="28">
        <f>Option5!R$83*conv_2026*R$7</f>
        <v>0</v>
      </c>
      <c r="S75" s="28">
        <f>Option5!S$83*conv_2026*S$7</f>
        <v>0</v>
      </c>
      <c r="T75" s="28">
        <f>Option5!T$83*conv_2026*T$7</f>
        <v>0</v>
      </c>
      <c r="U75" s="28">
        <f>Option5!U$83*conv_2026*U$7</f>
        <v>0</v>
      </c>
      <c r="V75" s="28">
        <f>Option5!V$83*conv_2026*V$7</f>
        <v>0</v>
      </c>
      <c r="W75" s="28">
        <f>Option5!W$83*conv_2026*W$7</f>
        <v>0</v>
      </c>
      <c r="X75" s="28">
        <f>Option5!X$83*conv_2026*X$7</f>
        <v>0</v>
      </c>
      <c r="Y75" s="28">
        <f>Option5!Y$83*conv_2026*Y$7</f>
        <v>0</v>
      </c>
      <c r="Z75" s="28">
        <f>Option5!Z$83*conv_2026*Z$7</f>
        <v>0</v>
      </c>
      <c r="AA75" s="28">
        <f>Option5!AA$83*conv_2026*AA$7</f>
        <v>0</v>
      </c>
      <c r="AB75" s="28">
        <f>Option5!AB$83*conv_2026*AB$7</f>
        <v>0</v>
      </c>
      <c r="AC75" s="28">
        <f>Option5!AC$83*conv_2026*AC$7</f>
        <v>0</v>
      </c>
      <c r="AD75" s="28">
        <f>Option5!AD$83*conv_2026*AD$7</f>
        <v>0</v>
      </c>
      <c r="AE75" s="28">
        <f>Option5!AE$83*conv_2026*AE$7</f>
        <v>0</v>
      </c>
      <c r="AF75" s="28">
        <f>Option5!AF$83*conv_2026*AF$7</f>
        <v>0</v>
      </c>
      <c r="AG75" s="28">
        <f>Option5!AG$83*conv_2026*AG$7</f>
        <v>0</v>
      </c>
    </row>
    <row r="76" spans="1:33" s="2" customFormat="1" x14ac:dyDescent="0.2">
      <c r="A76" s="114" t="str">
        <f t="shared" si="19"/>
        <v>Option 5</v>
      </c>
      <c r="B76" s="114"/>
      <c r="C76" s="52" t="str">
        <f>Option5!C$84</f>
        <v>Risk mitigated</v>
      </c>
      <c r="D76" s="34" t="str">
        <f t="shared" si="18"/>
        <v>Option 5Risk mitigated</v>
      </c>
      <c r="E76" s="1"/>
      <c r="F76" s="84">
        <f>SUMPRODUCT($H76:$AG76, $H$5:$AG$5)</f>
        <v>0</v>
      </c>
      <c r="G76" s="198">
        <f t="shared" si="20"/>
        <v>46203</v>
      </c>
      <c r="H76" s="28"/>
      <c r="I76" s="28">
        <f>Option5!I$84*conv_2026*I$7</f>
        <v>0</v>
      </c>
      <c r="J76" s="28">
        <f>Option5!J$84*conv_2026*J$7</f>
        <v>0</v>
      </c>
      <c r="K76" s="28">
        <f>Option5!K$84*conv_2026*K$7</f>
        <v>0</v>
      </c>
      <c r="L76" s="28">
        <f>Option5!L$84*conv_2026*L$7</f>
        <v>0</v>
      </c>
      <c r="M76" s="28">
        <f>Option5!M$84*conv_2026*M$7</f>
        <v>0</v>
      </c>
      <c r="N76" s="28">
        <f>Option5!N$84*conv_2026*N$7</f>
        <v>0</v>
      </c>
      <c r="O76" s="28">
        <f>Option5!O$84*conv_2026*O$7</f>
        <v>0</v>
      </c>
      <c r="P76" s="28">
        <f>Option5!P$84*conv_2026*P$7</f>
        <v>0</v>
      </c>
      <c r="Q76" s="28">
        <f>Option5!Q$84*conv_2026*Q$7</f>
        <v>0</v>
      </c>
      <c r="R76" s="28">
        <f>Option5!R$84*conv_2026*R$7</f>
        <v>0</v>
      </c>
      <c r="S76" s="28">
        <f>Option5!S$84*conv_2026*S$7</f>
        <v>0</v>
      </c>
      <c r="T76" s="28">
        <f>Option5!T$84*conv_2026*T$7</f>
        <v>0</v>
      </c>
      <c r="U76" s="28">
        <f>Option5!U$84*conv_2026*U$7</f>
        <v>0</v>
      </c>
      <c r="V76" s="28">
        <f>Option5!V$84*conv_2026*V$7</f>
        <v>0</v>
      </c>
      <c r="W76" s="28">
        <f>Option5!W$84*conv_2026*W$7</f>
        <v>0</v>
      </c>
      <c r="X76" s="28">
        <f>Option5!X$84*conv_2026*X$7</f>
        <v>0</v>
      </c>
      <c r="Y76" s="28">
        <f>Option5!Y$84*conv_2026*Y$7</f>
        <v>0</v>
      </c>
      <c r="Z76" s="28">
        <f>Option5!Z$84*conv_2026*Z$7</f>
        <v>0</v>
      </c>
      <c r="AA76" s="28">
        <f>Option5!AA$84*conv_2026*AA$7</f>
        <v>0</v>
      </c>
      <c r="AB76" s="28">
        <f>Option5!AB$84*conv_2026*AB$7</f>
        <v>0</v>
      </c>
      <c r="AC76" s="28">
        <f>Option5!AC$84*conv_2026*AC$7</f>
        <v>0</v>
      </c>
      <c r="AD76" s="28">
        <f>Option5!AD$84*conv_2026*AD$7</f>
        <v>0</v>
      </c>
      <c r="AE76" s="28">
        <f>Option5!AE$84*conv_2026*AE$7</f>
        <v>0</v>
      </c>
      <c r="AF76" s="28">
        <f>Option5!AF$84*conv_2026*AF$7</f>
        <v>0</v>
      </c>
      <c r="AG76" s="28">
        <f>Option5!AG$84*conv_2026*AG$7</f>
        <v>0</v>
      </c>
    </row>
    <row r="77" spans="1:33" s="2" customFormat="1" x14ac:dyDescent="0.2">
      <c r="A77" s="114" t="str">
        <f t="shared" si="19"/>
        <v>Option 5</v>
      </c>
      <c r="B77" s="114"/>
      <c r="C77" s="52" t="str">
        <f>Option5!C$85</f>
        <v>Other benefits value</v>
      </c>
      <c r="D77" s="34" t="str">
        <f t="shared" si="18"/>
        <v>Option 5Other benefits value</v>
      </c>
      <c r="E77" s="1"/>
      <c r="F77" s="84">
        <f>SUMPRODUCT($H77:$AG77, $H$5:$AG$5)</f>
        <v>0</v>
      </c>
      <c r="G77" s="198">
        <f t="shared" si="20"/>
        <v>46203</v>
      </c>
      <c r="H77" s="28"/>
      <c r="I77" s="28">
        <f>Option5!I$85*conv_2026*I$7</f>
        <v>0</v>
      </c>
      <c r="J77" s="28">
        <f>Option5!J$85*conv_2026*J$7</f>
        <v>0</v>
      </c>
      <c r="K77" s="28">
        <f>Option5!K$85*conv_2026*K$7</f>
        <v>0</v>
      </c>
      <c r="L77" s="28">
        <f>Option5!L$85*conv_2026*L$7</f>
        <v>0</v>
      </c>
      <c r="M77" s="28">
        <f>Option5!M$85*conv_2026*M$7</f>
        <v>0</v>
      </c>
      <c r="N77" s="28">
        <f>Option5!N$85*conv_2026*N$7</f>
        <v>0</v>
      </c>
      <c r="O77" s="28">
        <f>Option5!O$85*conv_2026*O$7</f>
        <v>0</v>
      </c>
      <c r="P77" s="28">
        <f>Option5!P$85*conv_2026*P$7</f>
        <v>0</v>
      </c>
      <c r="Q77" s="28">
        <f>Option5!Q$85*conv_2026*Q$7</f>
        <v>0</v>
      </c>
      <c r="R77" s="28">
        <f>Option5!R$85*conv_2026*R$7</f>
        <v>0</v>
      </c>
      <c r="S77" s="28">
        <f>Option5!S$85*conv_2026*S$7</f>
        <v>0</v>
      </c>
      <c r="T77" s="28">
        <f>Option5!T$85*conv_2026*T$7</f>
        <v>0</v>
      </c>
      <c r="U77" s="28">
        <f>Option5!U$85*conv_2026*U$7</f>
        <v>0</v>
      </c>
      <c r="V77" s="28">
        <f>Option5!V$85*conv_2026*V$7</f>
        <v>0</v>
      </c>
      <c r="W77" s="28">
        <f>Option5!W$85*conv_2026*W$7</f>
        <v>0</v>
      </c>
      <c r="X77" s="28">
        <f>Option5!X$85*conv_2026*X$7</f>
        <v>0</v>
      </c>
      <c r="Y77" s="28">
        <f>Option5!Y$85*conv_2026*Y$7</f>
        <v>0</v>
      </c>
      <c r="Z77" s="28">
        <f>Option5!Z$85*conv_2026*Z$7</f>
        <v>0</v>
      </c>
      <c r="AA77" s="28">
        <f>Option5!AA$85*conv_2026*AA$7</f>
        <v>0</v>
      </c>
      <c r="AB77" s="28">
        <f>Option5!AB$85*conv_2026*AB$7</f>
        <v>0</v>
      </c>
      <c r="AC77" s="28">
        <f>Option5!AC$85*conv_2026*AC$7</f>
        <v>0</v>
      </c>
      <c r="AD77" s="28">
        <f>Option5!AD$85*conv_2026*AD$7</f>
        <v>0</v>
      </c>
      <c r="AE77" s="28">
        <f>Option5!AE$85*conv_2026*AE$7</f>
        <v>0</v>
      </c>
      <c r="AF77" s="28">
        <f>Option5!AF$85*conv_2026*AF$7</f>
        <v>0</v>
      </c>
      <c r="AG77" s="28">
        <f>Option5!AG$85*conv_2026*AG$7</f>
        <v>0</v>
      </c>
    </row>
    <row r="78" spans="1:33" s="2" customFormat="1" x14ac:dyDescent="0.2">
      <c r="A78" s="114" t="str">
        <f t="shared" si="19"/>
        <v>Option 5</v>
      </c>
      <c r="B78" s="114"/>
      <c r="C78" s="104" t="str">
        <f>Option5!C87</f>
        <v>Net benefits</v>
      </c>
      <c r="D78" s="96" t="str">
        <f t="shared" si="18"/>
        <v>Option 5Net benefits</v>
      </c>
      <c r="E78" s="97"/>
      <c r="F78" s="121"/>
      <c r="G78" s="200">
        <f t="shared" si="20"/>
        <v>46203</v>
      </c>
      <c r="H78" s="46"/>
      <c r="I78" s="46">
        <f t="shared" ref="I78:AB78" si="21">SUM(I74:I77)</f>
        <v>0</v>
      </c>
      <c r="J78" s="46">
        <f t="shared" si="21"/>
        <v>0</v>
      </c>
      <c r="K78" s="46">
        <f t="shared" si="21"/>
        <v>0</v>
      </c>
      <c r="L78" s="46">
        <f t="shared" si="21"/>
        <v>0</v>
      </c>
      <c r="M78" s="46">
        <f t="shared" si="21"/>
        <v>0</v>
      </c>
      <c r="N78" s="46">
        <f t="shared" si="21"/>
        <v>0</v>
      </c>
      <c r="O78" s="46">
        <f t="shared" si="21"/>
        <v>0</v>
      </c>
      <c r="P78" s="46">
        <f t="shared" si="21"/>
        <v>0</v>
      </c>
      <c r="Q78" s="46">
        <f t="shared" si="21"/>
        <v>0</v>
      </c>
      <c r="R78" s="46">
        <f t="shared" si="21"/>
        <v>0</v>
      </c>
      <c r="S78" s="46">
        <f t="shared" si="21"/>
        <v>0</v>
      </c>
      <c r="T78" s="46">
        <f t="shared" si="21"/>
        <v>0</v>
      </c>
      <c r="U78" s="46">
        <f t="shared" si="21"/>
        <v>0</v>
      </c>
      <c r="V78" s="46">
        <f t="shared" si="21"/>
        <v>0</v>
      </c>
      <c r="W78" s="46">
        <f t="shared" si="21"/>
        <v>0</v>
      </c>
      <c r="X78" s="46">
        <f t="shared" si="21"/>
        <v>0</v>
      </c>
      <c r="Y78" s="46">
        <f t="shared" si="21"/>
        <v>0</v>
      </c>
      <c r="Z78" s="46">
        <f t="shared" si="21"/>
        <v>0</v>
      </c>
      <c r="AA78" s="46">
        <f t="shared" si="21"/>
        <v>0</v>
      </c>
      <c r="AB78" s="46">
        <f t="shared" si="21"/>
        <v>0</v>
      </c>
      <c r="AC78" s="46">
        <f>SUM(AC74:AC77)</f>
        <v>0</v>
      </c>
      <c r="AD78" s="46">
        <f>SUM(AD74:AD77)</f>
        <v>0</v>
      </c>
      <c r="AE78" s="46">
        <f>SUM(AE74:AE77)</f>
        <v>0</v>
      </c>
      <c r="AF78" s="46">
        <f>SUM(AF74:AF77)</f>
        <v>0</v>
      </c>
      <c r="AG78" s="46">
        <f>SUM(AG74:AG77)</f>
        <v>0</v>
      </c>
    </row>
    <row r="79" spans="1:33" s="2" customFormat="1" x14ac:dyDescent="0.2">
      <c r="A79" s="114" t="str">
        <f t="shared" si="19"/>
        <v>Option 5</v>
      </c>
      <c r="B79" s="114"/>
      <c r="C79" s="6" t="s">
        <v>22</v>
      </c>
      <c r="D79" s="34" t="str">
        <f t="shared" si="18"/>
        <v>Option 5NPV</v>
      </c>
      <c r="E79" s="1"/>
      <c r="F79" s="95" cm="1">
        <f t="array" ref="F79">SUMPRODUCT(($H78:$AG78)*($H$5:$AG$5)*($H$7:$AG$7))</f>
        <v>0</v>
      </c>
      <c r="G79" s="198">
        <f t="shared" si="20"/>
        <v>46203</v>
      </c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s="2" customFormat="1" x14ac:dyDescent="0.2">
      <c r="A80" s="114" t="str">
        <f t="shared" si="19"/>
        <v>Option 5</v>
      </c>
      <c r="B80" s="114"/>
      <c r="C80" s="6" t="s">
        <v>25</v>
      </c>
      <c r="D80" s="34" t="str">
        <f t="shared" si="18"/>
        <v>Option 5PV of costs</v>
      </c>
      <c r="E80" s="1"/>
      <c r="F80" s="95">
        <f>SUM(F74:F75)</f>
        <v>0</v>
      </c>
      <c r="G80" s="198">
        <f t="shared" si="20"/>
        <v>46203</v>
      </c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s="2" customFormat="1" x14ac:dyDescent="0.2">
      <c r="A81" s="114" t="str">
        <f t="shared" si="19"/>
        <v>Option 5</v>
      </c>
      <c r="B81" s="114"/>
      <c r="C81" s="6" t="s">
        <v>26</v>
      </c>
      <c r="D81" s="34" t="str">
        <f t="shared" si="18"/>
        <v>Option 5PV of benefits</v>
      </c>
      <c r="E81" s="1"/>
      <c r="F81" s="95">
        <f>SUM(F76:F77)</f>
        <v>0</v>
      </c>
      <c r="G81" s="198">
        <f t="shared" si="20"/>
        <v>46203</v>
      </c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s="2" customFormat="1" x14ac:dyDescent="0.2">
      <c r="A82" s="103"/>
      <c r="B82" s="103"/>
      <c r="C82" s="103"/>
      <c r="D82" s="34" t="str">
        <f>A82&amp;C82</f>
        <v/>
      </c>
      <c r="F82" s="7"/>
      <c r="G82" s="194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</row>
    <row r="83" spans="1:33" ht="12" x14ac:dyDescent="0.2">
      <c r="E83" s="74"/>
      <c r="G83" s="202"/>
    </row>
    <row r="84" spans="1:33" ht="12" x14ac:dyDescent="0.2">
      <c r="E84" s="74"/>
      <c r="G84" s="202"/>
    </row>
    <row r="85" spans="1:33" ht="12" x14ac:dyDescent="0.2">
      <c r="E85" s="74"/>
      <c r="G85" s="202"/>
    </row>
    <row r="86" spans="1:33" ht="12" x14ac:dyDescent="0.2">
      <c r="E86" s="74"/>
      <c r="G86" s="202"/>
    </row>
    <row r="87" spans="1:33" ht="12" x14ac:dyDescent="0.2">
      <c r="E87" s="8"/>
      <c r="G87" s="202"/>
    </row>
    <row r="88" spans="1:33" ht="15" x14ac:dyDescent="0.25">
      <c r="A88" s="176" t="s">
        <v>165</v>
      </c>
      <c r="B88" s="48"/>
      <c r="C88" s="17"/>
      <c r="D88" s="17"/>
      <c r="E88" s="73"/>
      <c r="F88" s="17"/>
      <c r="G88" s="196"/>
      <c r="H88" s="196"/>
      <c r="I88" s="174" t="str">
        <f>"FY"&amp;RIGHT(I$9,2)</f>
        <v>FY27</v>
      </c>
      <c r="J88" s="174" t="str">
        <f t="shared" ref="J88:AG88" si="22">"FY"&amp;RIGHT(J$9,2)</f>
        <v>FY28</v>
      </c>
      <c r="K88" s="174" t="str">
        <f t="shared" si="22"/>
        <v>FY29</v>
      </c>
      <c r="L88" s="174" t="str">
        <f t="shared" si="22"/>
        <v>FY30</v>
      </c>
      <c r="M88" s="174" t="str">
        <f t="shared" si="22"/>
        <v>FY31</v>
      </c>
      <c r="N88" s="174" t="str">
        <f t="shared" si="22"/>
        <v>FY32</v>
      </c>
      <c r="O88" s="174" t="str">
        <f t="shared" si="22"/>
        <v>FY33</v>
      </c>
      <c r="P88" s="174" t="str">
        <f t="shared" si="22"/>
        <v>FY34</v>
      </c>
      <c r="Q88" s="174" t="str">
        <f t="shared" si="22"/>
        <v>FY35</v>
      </c>
      <c r="R88" s="174" t="str">
        <f t="shared" si="22"/>
        <v>FY36</v>
      </c>
      <c r="S88" s="174" t="str">
        <f t="shared" si="22"/>
        <v>FY37</v>
      </c>
      <c r="T88" s="174" t="str">
        <f t="shared" si="22"/>
        <v>FY38</v>
      </c>
      <c r="U88" s="174" t="str">
        <f t="shared" si="22"/>
        <v>FY39</v>
      </c>
      <c r="V88" s="174" t="str">
        <f t="shared" si="22"/>
        <v>FY40</v>
      </c>
      <c r="W88" s="174" t="str">
        <f t="shared" si="22"/>
        <v>FY41</v>
      </c>
      <c r="X88" s="174" t="str">
        <f t="shared" si="22"/>
        <v>FY42</v>
      </c>
      <c r="Y88" s="174" t="str">
        <f t="shared" si="22"/>
        <v>FY43</v>
      </c>
      <c r="Z88" s="174" t="str">
        <f t="shared" si="22"/>
        <v>FY44</v>
      </c>
      <c r="AA88" s="174" t="str">
        <f t="shared" si="22"/>
        <v>FY45</v>
      </c>
      <c r="AB88" s="174" t="str">
        <f t="shared" si="22"/>
        <v>FY46</v>
      </c>
      <c r="AC88" s="174" t="str">
        <f t="shared" si="22"/>
        <v>FY47</v>
      </c>
      <c r="AD88" s="174" t="str">
        <f t="shared" si="22"/>
        <v>FY48</v>
      </c>
      <c r="AE88" s="174" t="str">
        <f t="shared" si="22"/>
        <v>FY49</v>
      </c>
      <c r="AF88" s="174" t="str">
        <f t="shared" si="22"/>
        <v>FY50</v>
      </c>
      <c r="AG88" s="174" t="str">
        <f t="shared" si="22"/>
        <v>FY51</v>
      </c>
    </row>
    <row r="89" spans="1:33" ht="12" x14ac:dyDescent="0.2">
      <c r="E89" s="74"/>
      <c r="G89" s="202"/>
    </row>
    <row r="90" spans="1:33" ht="12" x14ac:dyDescent="0.2">
      <c r="E90" s="74"/>
    </row>
    <row r="91" spans="1:33" x14ac:dyDescent="0.2">
      <c r="A91" s="173" t="str">
        <f>Summary!$C$26</f>
        <v>Option 2</v>
      </c>
      <c r="B91" s="117"/>
      <c r="C91" s="171" t="s">
        <v>143</v>
      </c>
      <c r="D91" s="7">
        <f>INDEX(Data!$C$30:$C$36, MATCH(C91, Data!$B$30:$B$36,0))</f>
        <v>-1</v>
      </c>
      <c r="E91" s="2"/>
      <c r="F91" s="7"/>
      <c r="G91" s="28"/>
      <c r="H91" s="28" t="str">
        <f>A91&amp;" "&amp;LOWER(C91)</f>
        <v>Option 2 annualised capex</v>
      </c>
      <c r="I91" s="92" cm="1">
        <f t="array" ref="I91">MAX($D91*INDEX(I$15:W$81, MATCH($A91&amp;$C91, $D$15:$D$81,0),))/mill_conv</f>
        <v>0.3585680049468325</v>
      </c>
      <c r="J91" s="92" cm="1">
        <f t="array" ref="J91">MAX($D91*INDEX(J$15:X$81, MATCH($A91&amp;$C91, $D$15:$D$81,0),))/mill_conv</f>
        <v>0.3585680049468325</v>
      </c>
      <c r="K91" s="92" cm="1">
        <f t="array" ref="K91">MAX($D91*INDEX(K$15:Y$81, MATCH($A91&amp;$C91, $D$15:$D$81,0),))/mill_conv</f>
        <v>0.3585680049468325</v>
      </c>
      <c r="L91" s="92" cm="1">
        <f t="array" ref="L91">MAX($D91*INDEX(L$15:Z$81, MATCH($A91&amp;$C91, $D$15:$D$81,0),))/mill_conv</f>
        <v>0.3585680049468325</v>
      </c>
      <c r="M91" s="92" cm="1">
        <f t="array" ref="M91">MAX($D91*INDEX(M$15:AA$81, MATCH($A91&amp;$C91, $D$15:$D$81,0),))/mill_conv</f>
        <v>0.3585680049468325</v>
      </c>
      <c r="N91" s="92" cm="1">
        <f t="array" ref="N91">MAX($D91*INDEX(N$15:AB$81, MATCH($A91&amp;$C91, $D$15:$D$81,0),))/mill_conv</f>
        <v>0.3585680049468325</v>
      </c>
      <c r="O91" s="92" cm="1">
        <f t="array" ref="O91">MAX($D91*INDEX(O$15:AC$81, MATCH($A91&amp;$C91, $D$15:$D$81,0),))/mill_conv</f>
        <v>0.3585680049468325</v>
      </c>
      <c r="P91" s="92" cm="1">
        <f t="array" ref="P91">MAX($D91*INDEX(P$15:AD$81, MATCH($A91&amp;$C91, $D$15:$D$81,0),))/mill_conv</f>
        <v>0.3585680049468325</v>
      </c>
      <c r="Q91" s="92" cm="1">
        <f t="array" ref="Q91">MAX($D91*INDEX(Q$15:AE$81, MATCH($A91&amp;$C91, $D$15:$D$81,0),))/mill_conv</f>
        <v>0.3585680049468325</v>
      </c>
      <c r="R91" s="92" cm="1">
        <f t="array" ref="R91">MAX($D91*INDEX(R$15:AF$81, MATCH($A91&amp;$C91, $D$15:$D$81,0),))/mill_conv</f>
        <v>0.3585680049468325</v>
      </c>
      <c r="S91" s="92" cm="1">
        <f t="array" ref="S91">MAX($D91*INDEX(S$15:AG$81, MATCH($A91&amp;$C91, $D$15:$D$81,0),))/mill_conv</f>
        <v>0.3585680049468325</v>
      </c>
      <c r="T91" s="92" cm="1">
        <f t="array" ref="T91">MAX($D91*INDEX(T$15:AH$81, MATCH($A91&amp;$C91, $D$15:$D$81,0),))/mill_conv</f>
        <v>0.3585680049468325</v>
      </c>
      <c r="U91" s="92" cm="1">
        <f t="array" ref="U91">MAX($D91*INDEX(U$15:AI$81, MATCH($A91&amp;$C91, $D$15:$D$81,0),))/mill_conv</f>
        <v>0.3585680049468325</v>
      </c>
      <c r="V91" s="92" cm="1">
        <f t="array" ref="V91">MAX($D91*INDEX(V$15:AJ$81, MATCH($A91&amp;$C91, $D$15:$D$81,0),))/mill_conv</f>
        <v>0.3585680049468325</v>
      </c>
      <c r="W91" s="92" cm="1">
        <f t="array" ref="W91">MAX($D91*INDEX(W$15:AK$81, MATCH($A91&amp;$C91, $D$15:$D$81,0),))/mill_conv</f>
        <v>0.3585680049468325</v>
      </c>
      <c r="X91" s="92" cm="1">
        <f t="array" ref="X91">MAX($D91*INDEX(X$15:AL$81, MATCH($A91&amp;$C91, $D$15:$D$81,0),))/mill_conv</f>
        <v>0.3585680049468325</v>
      </c>
      <c r="Y91" s="92" cm="1">
        <f t="array" ref="Y91">MAX($D91*INDEX(Y$15:AM$81, MATCH($A91&amp;$C91, $D$15:$D$81,0),))/mill_conv</f>
        <v>0.3585680049468325</v>
      </c>
      <c r="Z91" s="92" cm="1">
        <f t="array" ref="Z91">MAX($D91*INDEX(Z$15:AN$81, MATCH($A91&amp;$C91, $D$15:$D$81,0),))/mill_conv</f>
        <v>0.3585680049468325</v>
      </c>
      <c r="AA91" s="92" cm="1">
        <f t="array" ref="AA91">MAX($D91*INDEX(AA$15:AO$81, MATCH($A91&amp;$C91, $D$15:$D$81,0),))/mill_conv</f>
        <v>0.3585680049468325</v>
      </c>
      <c r="AB91" s="92" cm="1">
        <f t="array" ref="AB91">MAX($D91*INDEX(AB$15:AP$81, MATCH($A91&amp;$C91, $D$15:$D$81,0),))/mill_conv</f>
        <v>0.3585680049468325</v>
      </c>
      <c r="AC91" s="92" cm="1">
        <f t="array" ref="AC91">MAX($D91*INDEX(AC$15:AQ$81, MATCH($A91&amp;$C91, $D$15:$D$81,0),))/mill_conv</f>
        <v>0</v>
      </c>
      <c r="AD91" s="92" cm="1">
        <f t="array" ref="AD91">MAX($D91*INDEX(AD$15:AR$81, MATCH($A91&amp;$C91, $D$15:$D$81,0),))/mill_conv</f>
        <v>0</v>
      </c>
      <c r="AE91" s="92" cm="1">
        <f t="array" ref="AE91">MAX($D91*INDEX(AE$15:AS$81, MATCH($A91&amp;$C91, $D$15:$D$81,0),))/mill_conv</f>
        <v>0</v>
      </c>
      <c r="AF91" s="92" cm="1">
        <f t="array" ref="AF91">MAX($D91*INDEX(AF$15:AT$81, MATCH($A91&amp;$C91, $D$15:$D$81,0),))/mill_conv</f>
        <v>0</v>
      </c>
      <c r="AG91" s="92" cm="1">
        <f t="array" ref="AG91">MAX($D91*INDEX(AG$15:AU$81, MATCH($A91&amp;$C91, $D$15:$D$81,0),))/mill_conv</f>
        <v>0</v>
      </c>
    </row>
    <row r="92" spans="1:33" x14ac:dyDescent="0.2">
      <c r="A92" s="172" t="str">
        <f>A16</f>
        <v>Option 1 (base case)</v>
      </c>
      <c r="B92" s="117"/>
      <c r="C92" s="172" t="s">
        <v>121</v>
      </c>
      <c r="D92" s="7">
        <f>INDEX(Data!$C$30:$C$36, MATCH(C92, Data!$B$30:$B$36,0))</f>
        <v>1</v>
      </c>
      <c r="E92" s="74"/>
      <c r="H92" s="28" t="str">
        <f>A92&amp;" risk cost"</f>
        <v>Option 1 (base case) risk cost</v>
      </c>
      <c r="I92" s="92">
        <f t="shared" ref="I92:R92" si="23">$D92*INDEX(I$15:I$81, MATCH($A92&amp;$C92, $D$15:$D$81,0))/mill_conv</f>
        <v>1.0269514017749442</v>
      </c>
      <c r="J92" s="92">
        <f t="shared" si="23"/>
        <v>1.0803706703299054</v>
      </c>
      <c r="K92" s="92">
        <f t="shared" si="23"/>
        <v>1.1318149772571873</v>
      </c>
      <c r="L92" s="92">
        <f t="shared" si="23"/>
        <v>1.1822951529400534</v>
      </c>
      <c r="M92" s="92">
        <f t="shared" si="23"/>
        <v>1.2318349473228363</v>
      </c>
      <c r="N92" s="92">
        <f t="shared" si="23"/>
        <v>1.2855298787109462</v>
      </c>
      <c r="O92" s="92">
        <f t="shared" si="23"/>
        <v>1.3512722928394132</v>
      </c>
      <c r="P92" s="92">
        <f t="shared" si="23"/>
        <v>1.4202517301614417</v>
      </c>
      <c r="Q92" s="92">
        <f t="shared" si="23"/>
        <v>1.4772046868223943</v>
      </c>
      <c r="R92" s="92">
        <f t="shared" si="23"/>
        <v>1.5150311987205971</v>
      </c>
      <c r="S92" s="92">
        <f t="shared" ref="S92:AG92" si="24">$D92*INDEX(S$15:S$81, MATCH($A92&amp;$C92, $D$15:$D$81,0))/mill_conv</f>
        <v>1.5532595556671152</v>
      </c>
      <c r="T92" s="92">
        <f t="shared" si="24"/>
        <v>1.5918883306416214</v>
      </c>
      <c r="U92" s="92">
        <f t="shared" si="24"/>
        <v>1.6309161828710461</v>
      </c>
      <c r="V92" s="92">
        <f t="shared" si="24"/>
        <v>1.6703418069421416</v>
      </c>
      <c r="W92" s="92">
        <f t="shared" si="24"/>
        <v>1.710163864839775</v>
      </c>
      <c r="X92" s="92">
        <f t="shared" si="24"/>
        <v>1.7503811218200118</v>
      </c>
      <c r="Y92" s="92">
        <f t="shared" si="24"/>
        <v>1.7909923445074662</v>
      </c>
      <c r="Z92" s="92">
        <f t="shared" si="24"/>
        <v>1.8319963348640578</v>
      </c>
      <c r="AA92" s="92">
        <f t="shared" si="24"/>
        <v>1.8733918961750535</v>
      </c>
      <c r="AB92" s="92">
        <f t="shared" si="24"/>
        <v>1.9151778840551057</v>
      </c>
      <c r="AC92" s="92">
        <f t="shared" si="24"/>
        <v>1.9573531724416682</v>
      </c>
      <c r="AD92" s="92">
        <f t="shared" si="24"/>
        <v>1.9999166876331966</v>
      </c>
      <c r="AE92" s="92">
        <f t="shared" si="24"/>
        <v>2.0417543607874351</v>
      </c>
      <c r="AF92" s="92">
        <f t="shared" si="24"/>
        <v>2.0839684571800423</v>
      </c>
      <c r="AG92" s="92">
        <f t="shared" si="24"/>
        <v>2.1265579767395959</v>
      </c>
    </row>
    <row r="93" spans="1:33" ht="12" x14ac:dyDescent="0.2">
      <c r="E93" s="74"/>
      <c r="I93" s="128"/>
      <c r="J93" s="128"/>
      <c r="K93" s="128"/>
      <c r="L93" s="128"/>
      <c r="M93" s="128"/>
      <c r="N93" s="128"/>
      <c r="O93" s="128"/>
      <c r="P93" s="128"/>
      <c r="Q93" s="128"/>
      <c r="R93" s="128"/>
      <c r="S93" s="128"/>
      <c r="T93" s="128"/>
      <c r="U93" s="128"/>
      <c r="V93" s="128"/>
      <c r="W93" s="128"/>
      <c r="X93" s="128"/>
      <c r="Y93" s="128"/>
      <c r="Z93" s="128"/>
      <c r="AA93" s="128"/>
      <c r="AB93" s="128"/>
      <c r="AC93" s="128"/>
      <c r="AD93" s="128"/>
      <c r="AE93" s="128"/>
      <c r="AF93" s="128"/>
      <c r="AG93" s="128"/>
    </row>
    <row r="94" spans="1:33" ht="12" x14ac:dyDescent="0.2">
      <c r="E94" s="74"/>
    </row>
    <row r="95" spans="1:33" ht="12" x14ac:dyDescent="0.2">
      <c r="E95" s="74"/>
    </row>
    <row r="96" spans="1:33" ht="12" x14ac:dyDescent="0.2">
      <c r="E96" s="74"/>
    </row>
    <row r="97" spans="1:33" ht="12" x14ac:dyDescent="0.2">
      <c r="E97" s="74"/>
      <c r="I97" s="248" t="str">
        <f>I88</f>
        <v>FY27</v>
      </c>
      <c r="J97" s="248" t="str">
        <f t="shared" ref="J97:AG97" si="25">J88</f>
        <v>FY28</v>
      </c>
      <c r="K97" s="248" t="str">
        <f t="shared" si="25"/>
        <v>FY29</v>
      </c>
      <c r="L97" s="248" t="str">
        <f t="shared" si="25"/>
        <v>FY30</v>
      </c>
      <c r="M97" s="248" t="str">
        <f t="shared" si="25"/>
        <v>FY31</v>
      </c>
      <c r="N97" s="248" t="str">
        <f t="shared" si="25"/>
        <v>FY32</v>
      </c>
      <c r="O97" s="248" t="str">
        <f t="shared" si="25"/>
        <v>FY33</v>
      </c>
      <c r="P97" s="248" t="str">
        <f t="shared" si="25"/>
        <v>FY34</v>
      </c>
      <c r="Q97" s="248" t="str">
        <f t="shared" si="25"/>
        <v>FY35</v>
      </c>
      <c r="R97" s="248" t="str">
        <f t="shared" si="25"/>
        <v>FY36</v>
      </c>
      <c r="S97" s="248" t="str">
        <f t="shared" si="25"/>
        <v>FY37</v>
      </c>
      <c r="T97" s="248" t="str">
        <f t="shared" si="25"/>
        <v>FY38</v>
      </c>
      <c r="U97" s="248" t="str">
        <f t="shared" si="25"/>
        <v>FY39</v>
      </c>
      <c r="V97" s="248" t="str">
        <f t="shared" si="25"/>
        <v>FY40</v>
      </c>
      <c r="W97" s="248" t="str">
        <f t="shared" si="25"/>
        <v>FY41</v>
      </c>
      <c r="X97" s="248" t="str">
        <f t="shared" si="25"/>
        <v>FY42</v>
      </c>
      <c r="Y97" s="248" t="str">
        <f t="shared" si="25"/>
        <v>FY43</v>
      </c>
      <c r="Z97" s="248" t="str">
        <f t="shared" si="25"/>
        <v>FY44</v>
      </c>
      <c r="AA97" s="248" t="str">
        <f t="shared" si="25"/>
        <v>FY45</v>
      </c>
      <c r="AB97" s="248" t="str">
        <f t="shared" si="25"/>
        <v>FY46</v>
      </c>
      <c r="AC97" s="248" t="str">
        <f t="shared" si="25"/>
        <v>FY47</v>
      </c>
      <c r="AD97" s="248" t="str">
        <f t="shared" si="25"/>
        <v>FY48</v>
      </c>
      <c r="AE97" s="248" t="str">
        <f t="shared" si="25"/>
        <v>FY49</v>
      </c>
      <c r="AF97" s="248" t="str">
        <f t="shared" si="25"/>
        <v>FY50</v>
      </c>
      <c r="AG97" s="248" t="str">
        <f t="shared" si="25"/>
        <v>FY51</v>
      </c>
    </row>
    <row r="98" spans="1:33" x14ac:dyDescent="0.2">
      <c r="A98" s="173" t="s">
        <v>8</v>
      </c>
      <c r="B98" s="117"/>
      <c r="C98" s="171" t="s">
        <v>116</v>
      </c>
      <c r="D98" s="165">
        <f>MAX(H98:AG98)</f>
        <v>0</v>
      </c>
      <c r="E98" s="247"/>
      <c r="F98" s="7"/>
      <c r="G98" s="28"/>
      <c r="H98" s="28" t="str">
        <f>A98&amp;" "&amp;LOWER(C98)</f>
        <v>Energy at risk energy at risk (weighted)</v>
      </c>
      <c r="I98" s="28">
        <f>INDEX('Option1 (base case)'!I$14:I$87, MATCH($C98, 'Option1 (base case)'!$C$14:$C$87,0))</f>
        <v>0</v>
      </c>
      <c r="J98" s="28">
        <f>INDEX('Option1 (base case)'!J$14:J$87, MATCH($C98, 'Option1 (base case)'!$C$14:$C$87,0))</f>
        <v>0</v>
      </c>
      <c r="K98" s="28">
        <f>INDEX('Option1 (base case)'!K$14:K$87, MATCH($C98, 'Option1 (base case)'!$C$14:$C$87,0))</f>
        <v>0</v>
      </c>
      <c r="L98" s="28">
        <f>INDEX('Option1 (base case)'!L$14:L$87, MATCH($C98, 'Option1 (base case)'!$C$14:$C$87,0))</f>
        <v>0</v>
      </c>
      <c r="M98" s="28">
        <f>INDEX('Option1 (base case)'!M$14:M$87, MATCH($C98, 'Option1 (base case)'!$C$14:$C$87,0))</f>
        <v>0</v>
      </c>
      <c r="N98" s="28">
        <f>INDEX('Option1 (base case)'!N$14:N$87, MATCH($C98, 'Option1 (base case)'!$C$14:$C$87,0))</f>
        <v>0</v>
      </c>
      <c r="O98" s="28">
        <f>INDEX('Option1 (base case)'!O$14:O$87, MATCH($C98, 'Option1 (base case)'!$C$14:$C$87,0))</f>
        <v>0</v>
      </c>
      <c r="P98" s="28">
        <f>INDEX('Option1 (base case)'!P$14:P$87, MATCH($C98, 'Option1 (base case)'!$C$14:$C$87,0))</f>
        <v>0</v>
      </c>
      <c r="Q98" s="28">
        <f>INDEX('Option1 (base case)'!Q$14:Q$87, MATCH($C98, 'Option1 (base case)'!$C$14:$C$87,0))</f>
        <v>0</v>
      </c>
      <c r="R98" s="28">
        <f>INDEX('Option1 (base case)'!R$14:R$87, MATCH($C98, 'Option1 (base case)'!$C$14:$C$87,0))</f>
        <v>0</v>
      </c>
      <c r="S98" s="28">
        <f>INDEX('Option1 (base case)'!S$14:S$87, MATCH($C98, 'Option1 (base case)'!$C$14:$C$87,0))</f>
        <v>0</v>
      </c>
      <c r="T98" s="28">
        <f>INDEX('Option1 (base case)'!T$14:T$87, MATCH($C98, 'Option1 (base case)'!$C$14:$C$87,0))</f>
        <v>0</v>
      </c>
      <c r="U98" s="28">
        <f>INDEX('Option1 (base case)'!U$14:U$87, MATCH($C98, 'Option1 (base case)'!$C$14:$C$87,0))</f>
        <v>0</v>
      </c>
      <c r="V98" s="28">
        <f>INDEX('Option1 (base case)'!V$14:V$87, MATCH($C98, 'Option1 (base case)'!$C$14:$C$87,0))</f>
        <v>0</v>
      </c>
      <c r="W98" s="28">
        <f>INDEX('Option1 (base case)'!W$14:W$87, MATCH($C98, 'Option1 (base case)'!$C$14:$C$87,0))</f>
        <v>0</v>
      </c>
      <c r="X98" s="28">
        <f>INDEX('Option1 (base case)'!X$14:X$87, MATCH($C98, 'Option1 (base case)'!$C$14:$C$87,0))</f>
        <v>0</v>
      </c>
      <c r="Y98" s="28">
        <f>INDEX('Option1 (base case)'!Y$14:Y$87, MATCH($C98, 'Option1 (base case)'!$C$14:$C$87,0))</f>
        <v>0</v>
      </c>
      <c r="Z98" s="28">
        <f>INDEX('Option1 (base case)'!Z$14:Z$87, MATCH($C98, 'Option1 (base case)'!$C$14:$C$87,0))</f>
        <v>0</v>
      </c>
      <c r="AA98" s="28">
        <f>INDEX('Option1 (base case)'!AA$14:AA$87, MATCH($C98, 'Option1 (base case)'!$C$14:$C$87,0))</f>
        <v>0</v>
      </c>
      <c r="AB98" s="28">
        <f>INDEX('Option1 (base case)'!AB$14:AB$87, MATCH($C98, 'Option1 (base case)'!$C$14:$C$87,0))</f>
        <v>0</v>
      </c>
      <c r="AC98" s="28">
        <f>INDEX('Option1 (base case)'!AC$14:AC$87, MATCH($C98, 'Option1 (base case)'!$C$14:$C$87,0))</f>
        <v>0</v>
      </c>
      <c r="AD98" s="28">
        <f>INDEX('Option1 (base case)'!AD$14:AD$87, MATCH($C98, 'Option1 (base case)'!$C$14:$C$87,0))</f>
        <v>0</v>
      </c>
      <c r="AE98" s="28">
        <f>INDEX('Option1 (base case)'!AE$14:AE$87, MATCH($C98, 'Option1 (base case)'!$C$14:$C$87,0))</f>
        <v>0</v>
      </c>
      <c r="AF98" s="28">
        <f>INDEX('Option1 (base case)'!AF$14:AF$87, MATCH($C98, 'Option1 (base case)'!$C$14:$C$87,0))</f>
        <v>0</v>
      </c>
      <c r="AG98" s="28">
        <f>INDEX('Option1 (base case)'!AG$14:AG$87, MATCH($C98, 'Option1 (base case)'!$C$14:$C$87,0))</f>
        <v>0</v>
      </c>
    </row>
    <row r="99" spans="1:33" x14ac:dyDescent="0.2">
      <c r="A99" s="172" t="str">
        <f>A23</f>
        <v>Option 1 (base case)</v>
      </c>
      <c r="B99" s="117"/>
      <c r="C99" s="172" t="s">
        <v>118</v>
      </c>
      <c r="D99" s="165">
        <f>MAX(H99:AG99)</f>
        <v>1.8724192296963504</v>
      </c>
      <c r="E99" s="247"/>
      <c r="H99" s="28" t="str">
        <f>A99&amp;" risk cost"</f>
        <v>Option 1 (base case) risk cost</v>
      </c>
      <c r="I99" s="28">
        <f>INDEX('Option1 (base case)'!I$14:I$87, MATCH($C99, 'Option1 (base case)'!$C$14:$C$87,0))/10^6</f>
        <v>0.89786504885907459</v>
      </c>
      <c r="J99" s="28">
        <f>INDEX('Option1 (base case)'!J$14:J$87, MATCH($C99, 'Option1 (base case)'!$C$14:$C$87,0))/10^6</f>
        <v>0.94532030286267665</v>
      </c>
      <c r="K99" s="28">
        <f>INDEX('Option1 (base case)'!K$14:K$87, MATCH($C99, 'Option1 (base case)'!$C$14:$C$87,0))/10^6</f>
        <v>0.99098144929698984</v>
      </c>
      <c r="L99" s="28">
        <f>INDEX('Option1 (base case)'!L$14:L$87, MATCH($C99, 'Option1 (base case)'!$C$14:$C$87,0))/10^6</f>
        <v>1.0357619128066786</v>
      </c>
      <c r="M99" s="28">
        <f>INDEX('Option1 (base case)'!M$14:M$87, MATCH($C99, 'Option1 (base case)'!$C$14:$C$87,0))/10^6</f>
        <v>1.0796831994604259</v>
      </c>
      <c r="N99" s="28">
        <f>INDEX('Option1 (base case)'!N$14:N$87, MATCH($C99, 'Option1 (base case)'!$C$14:$C$87,0))/10^6</f>
        <v>1.1273496145756774</v>
      </c>
      <c r="O99" s="28">
        <f>INDEX('Option1 (base case)'!O$14:O$87, MATCH($C99, 'Option1 (base case)'!$C$14:$C$87,0))/10^6</f>
        <v>1.1858926492483215</v>
      </c>
      <c r="P99" s="28">
        <f>INDEX('Option1 (base case)'!P$14:P$87, MATCH($C99, 'Option1 (base case)'!$C$14:$C$87,0))/10^6</f>
        <v>1.2473513014829247</v>
      </c>
      <c r="Q99" s="28">
        <f>INDEX('Option1 (base case)'!Q$14:Q$87, MATCH($C99, 'Option1 (base case)'!$C$14:$C$87,0))/10^6</f>
        <v>1.2979336618674164</v>
      </c>
      <c r="R99" s="28">
        <f>INDEX('Option1 (base case)'!R$14:R$87, MATCH($C99, 'Option1 (base case)'!$C$14:$C$87,0))/10^6</f>
        <v>1.3312243152799843</v>
      </c>
      <c r="S99" s="28">
        <f>INDEX('Option1 (base case)'!S$14:S$87, MATCH($C99, 'Option1 (base case)'!$C$14:$C$87,0))/10^6</f>
        <v>1.3648688723433158</v>
      </c>
      <c r="T99" s="28">
        <f>INDEX('Option1 (base case)'!T$14:T$87, MATCH($C99, 'Option1 (base case)'!$C$14:$C$87,0))/10^6</f>
        <v>1.3988660846836667</v>
      </c>
      <c r="U99" s="28">
        <f>INDEX('Option1 (base case)'!U$14:U$87, MATCH($C99, 'Option1 (base case)'!$C$14:$C$87,0))/10^6</f>
        <v>1.4332147798658847</v>
      </c>
      <c r="V99" s="28">
        <f>INDEX('Option1 (base case)'!V$14:V$87, MATCH($C99, 'Option1 (base case)'!$C$14:$C$87,0))/10^6</f>
        <v>1.4679138166081711</v>
      </c>
      <c r="W99" s="28">
        <f>INDEX('Option1 (base case)'!W$14:W$87, MATCH($C99, 'Option1 (base case)'!$C$14:$C$87,0))/10^6</f>
        <v>1.5029620249674185</v>
      </c>
      <c r="X99" s="28">
        <f>INDEX('Option1 (base case)'!X$14:X$87, MATCH($C99, 'Option1 (base case)'!$C$14:$C$87,0))/10^6</f>
        <v>1.5383583259230593</v>
      </c>
      <c r="Y99" s="28">
        <f>INDEX('Option1 (base case)'!Y$14:Y$87, MATCH($C99, 'Option1 (base case)'!$C$14:$C$87,0))/10^6</f>
        <v>1.574101641691134</v>
      </c>
      <c r="Z99" s="28">
        <f>INDEX('Option1 (base case)'!Z$14:Z$87, MATCH($C99, 'Option1 (base case)'!$C$14:$C$87,0))/10^6</f>
        <v>1.6101909256206912</v>
      </c>
      <c r="AA99" s="28">
        <f>INDEX('Option1 (base case)'!AA$14:AA$87, MATCH($C99, 'Option1 (base case)'!$C$14:$C$87,0))/10^6</f>
        <v>1.6466251322565437</v>
      </c>
      <c r="AB99" s="28">
        <f>INDEX('Option1 (base case)'!AB$14:AB$87, MATCH($C99, 'Option1 (base case)'!$C$14:$C$87,0))/10^6</f>
        <v>1.6834032622316728</v>
      </c>
      <c r="AC99" s="28">
        <f>INDEX('Option1 (base case)'!AC$14:AC$87, MATCH($C99, 'Option1 (base case)'!$C$14:$C$87,0))/10^6</f>
        <v>1.7205243323366473</v>
      </c>
      <c r="AD99" s="28">
        <f>INDEX('Option1 (base case)'!AD$14:AD$87, MATCH($C99, 'Option1 (base case)'!$C$14:$C$87,0))/10^6</f>
        <v>1.7579874054787723</v>
      </c>
      <c r="AE99" s="28">
        <f>INDEX('Option1 (base case)'!AE$14:AE$87, MATCH($C99, 'Option1 (base case)'!$C$14:$C$87,0))/10^6</f>
        <v>1.7957915157641307</v>
      </c>
      <c r="AF99" s="28">
        <f>INDEX('Option1 (base case)'!AF$14:AF$87, MATCH($C99, 'Option1 (base case)'!$C$14:$C$87,0))/10^6</f>
        <v>1.8339357583882265</v>
      </c>
      <c r="AG99" s="28">
        <f>INDEX('Option1 (base case)'!AG$14:AG$87, MATCH($C99, 'Option1 (base case)'!$C$14:$C$87,0))/10^6</f>
        <v>1.8724192296963504</v>
      </c>
    </row>
    <row r="100" spans="1:33" ht="12" x14ac:dyDescent="0.2">
      <c r="E100" s="8"/>
    </row>
    <row r="101" spans="1:33" s="249" customFormat="1" ht="12" x14ac:dyDescent="0.2"/>
    <row r="102" spans="1:33" ht="12" x14ac:dyDescent="0.2">
      <c r="E102" s="8"/>
    </row>
    <row r="103" spans="1:33" ht="12" x14ac:dyDescent="0.2">
      <c r="E103" s="8"/>
      <c r="I103" s="249"/>
    </row>
    <row r="104" spans="1:33" ht="12" x14ac:dyDescent="0.2">
      <c r="E104" s="8"/>
      <c r="H104" s="128"/>
    </row>
    <row r="105" spans="1:33" ht="12" x14ac:dyDescent="0.2">
      <c r="E105" s="8"/>
      <c r="H105" s="128"/>
    </row>
    <row r="106" spans="1:33" ht="12" x14ac:dyDescent="0.2">
      <c r="D106" s="165"/>
      <c r="E106" s="8"/>
    </row>
    <row r="107" spans="1:33" ht="12" x14ac:dyDescent="0.2">
      <c r="D107" s="165"/>
      <c r="E107" s="8"/>
    </row>
    <row r="108" spans="1:33" ht="12" x14ac:dyDescent="0.2">
      <c r="D108" s="165"/>
      <c r="E108" s="74"/>
    </row>
    <row r="109" spans="1:33" ht="12" x14ac:dyDescent="0.2">
      <c r="C109" s="103"/>
      <c r="D109" s="165"/>
      <c r="E109" s="165"/>
    </row>
    <row r="110" spans="1:33" ht="12" x14ac:dyDescent="0.2">
      <c r="D110" s="165"/>
      <c r="E110" s="74"/>
    </row>
    <row r="111" spans="1:33" ht="12" x14ac:dyDescent="0.2">
      <c r="D111" s="165"/>
      <c r="E111" s="74"/>
    </row>
    <row r="112" spans="1:33" ht="12" x14ac:dyDescent="0.2">
      <c r="D112" s="165"/>
      <c r="E112" s="74"/>
    </row>
    <row r="113" spans="4:5" ht="12" x14ac:dyDescent="0.2">
      <c r="D113" s="165"/>
      <c r="E113" s="74"/>
    </row>
    <row r="114" spans="4:5" ht="12" x14ac:dyDescent="0.2">
      <c r="D114" s="165"/>
      <c r="E114" s="74"/>
    </row>
    <row r="115" spans="4:5" ht="12" x14ac:dyDescent="0.2">
      <c r="D115" s="165"/>
      <c r="E115" s="74"/>
    </row>
    <row r="116" spans="4:5" ht="12" x14ac:dyDescent="0.2">
      <c r="D116" s="165"/>
      <c r="E116" s="74"/>
    </row>
    <row r="117" spans="4:5" ht="12" x14ac:dyDescent="0.2">
      <c r="D117" s="165"/>
      <c r="E117" s="74"/>
    </row>
    <row r="118" spans="4:5" ht="12" x14ac:dyDescent="0.2">
      <c r="D118" s="165"/>
      <c r="E118" s="74"/>
    </row>
    <row r="119" spans="4:5" ht="12" x14ac:dyDescent="0.2">
      <c r="D119" s="165"/>
      <c r="E119" s="74"/>
    </row>
    <row r="120" spans="4:5" ht="12" x14ac:dyDescent="0.2">
      <c r="D120" s="165"/>
      <c r="E120" s="74"/>
    </row>
    <row r="121" spans="4:5" ht="12" x14ac:dyDescent="0.2">
      <c r="D121" s="165"/>
      <c r="E121" s="74"/>
    </row>
    <row r="122" spans="4:5" ht="12" x14ac:dyDescent="0.2">
      <c r="D122" s="165"/>
      <c r="E122" s="74"/>
    </row>
    <row r="123" spans="4:5" ht="12" x14ac:dyDescent="0.2">
      <c r="D123" s="165"/>
      <c r="E123" s="74"/>
    </row>
    <row r="124" spans="4:5" ht="12" x14ac:dyDescent="0.2">
      <c r="D124" s="165"/>
      <c r="E124" s="74"/>
    </row>
    <row r="125" spans="4:5" ht="12" x14ac:dyDescent="0.2">
      <c r="D125" s="165"/>
      <c r="E125" s="74"/>
    </row>
    <row r="126" spans="4:5" ht="12" x14ac:dyDescent="0.2">
      <c r="D126" s="165"/>
      <c r="E126" s="74"/>
    </row>
    <row r="127" spans="4:5" ht="12" x14ac:dyDescent="0.2">
      <c r="D127" s="165"/>
      <c r="E127" s="74"/>
    </row>
    <row r="128" spans="4:5" ht="12" x14ac:dyDescent="0.2">
      <c r="D128" s="165"/>
      <c r="E128" s="74"/>
    </row>
    <row r="129" spans="4:5" ht="12" x14ac:dyDescent="0.2">
      <c r="D129" s="165"/>
      <c r="E129" s="74"/>
    </row>
    <row r="130" spans="4:5" ht="12" x14ac:dyDescent="0.2">
      <c r="D130" s="165"/>
      <c r="E130" s="74"/>
    </row>
    <row r="131" spans="4:5" ht="12" x14ac:dyDescent="0.2">
      <c r="D131" s="165"/>
      <c r="E131" s="74"/>
    </row>
    <row r="132" spans="4:5" ht="12" x14ac:dyDescent="0.2">
      <c r="D132" s="165"/>
      <c r="E132" s="74"/>
    </row>
    <row r="133" spans="4:5" ht="12" x14ac:dyDescent="0.2">
      <c r="D133" s="165"/>
      <c r="E133" s="74"/>
    </row>
    <row r="134" spans="4:5" ht="12" x14ac:dyDescent="0.2">
      <c r="D134" s="165"/>
      <c r="E134" s="74"/>
    </row>
    <row r="135" spans="4:5" ht="12" x14ac:dyDescent="0.2">
      <c r="D135" s="165"/>
      <c r="E135" s="74"/>
    </row>
    <row r="136" spans="4:5" ht="12" x14ac:dyDescent="0.2">
      <c r="D136" s="165"/>
      <c r="E136" s="74"/>
    </row>
    <row r="137" spans="4:5" ht="12" x14ac:dyDescent="0.2">
      <c r="D137" s="165"/>
      <c r="E137" s="74"/>
    </row>
    <row r="138" spans="4:5" ht="12" x14ac:dyDescent="0.2">
      <c r="E138" s="74"/>
    </row>
    <row r="139" spans="4:5" ht="12" x14ac:dyDescent="0.2">
      <c r="E139" s="74"/>
    </row>
    <row r="140" spans="4:5" ht="12" x14ac:dyDescent="0.2">
      <c r="E140" s="74"/>
    </row>
    <row r="141" spans="4:5" ht="12" x14ac:dyDescent="0.2">
      <c r="E141" s="74"/>
    </row>
    <row r="142" spans="4:5" ht="12" x14ac:dyDescent="0.2">
      <c r="E142" s="74"/>
    </row>
    <row r="143" spans="4:5" ht="12" x14ac:dyDescent="0.2">
      <c r="E143" s="74"/>
    </row>
    <row r="144" spans="4:5" ht="12" x14ac:dyDescent="0.2">
      <c r="E144" s="74"/>
    </row>
    <row r="145" spans="5:5" ht="12" x14ac:dyDescent="0.2">
      <c r="E145" s="74"/>
    </row>
    <row r="146" spans="5:5" ht="12" x14ac:dyDescent="0.2">
      <c r="E146" s="74"/>
    </row>
    <row r="147" spans="5:5" ht="12" x14ac:dyDescent="0.2">
      <c r="E147" s="74"/>
    </row>
    <row r="148" spans="5:5" ht="12" x14ac:dyDescent="0.2">
      <c r="E148" s="74"/>
    </row>
    <row r="149" spans="5:5" ht="12" x14ac:dyDescent="0.2">
      <c r="E149" s="74"/>
    </row>
    <row r="150" spans="5:5" ht="12" x14ac:dyDescent="0.2">
      <c r="E150" s="74"/>
    </row>
    <row r="151" spans="5:5" ht="12" x14ac:dyDescent="0.2">
      <c r="E151" s="74"/>
    </row>
    <row r="152" spans="5:5" ht="12" x14ac:dyDescent="0.2">
      <c r="E152" s="74"/>
    </row>
    <row r="153" spans="5:5" ht="12" x14ac:dyDescent="0.2">
      <c r="E153" s="74"/>
    </row>
    <row r="154" spans="5:5" ht="12" x14ac:dyDescent="0.2">
      <c r="E154" s="74"/>
    </row>
    <row r="155" spans="5:5" ht="12" x14ac:dyDescent="0.2">
      <c r="E155" s="74"/>
    </row>
    <row r="156" spans="5:5" ht="12" x14ac:dyDescent="0.2">
      <c r="E156" s="74"/>
    </row>
    <row r="157" spans="5:5" ht="12" x14ac:dyDescent="0.2">
      <c r="E157" s="74"/>
    </row>
    <row r="158" spans="5:5" ht="12" x14ac:dyDescent="0.2">
      <c r="E158" s="74"/>
    </row>
    <row r="159" spans="5:5" ht="12" x14ac:dyDescent="0.2">
      <c r="E159" s="74"/>
    </row>
    <row r="160" spans="5:5" ht="12" x14ac:dyDescent="0.2">
      <c r="E160" s="74"/>
    </row>
    <row r="161" spans="5:5" ht="12" x14ac:dyDescent="0.2">
      <c r="E161" s="74"/>
    </row>
    <row r="162" spans="5:5" ht="12" x14ac:dyDescent="0.2">
      <c r="E162" s="74"/>
    </row>
    <row r="163" spans="5:5" ht="12" x14ac:dyDescent="0.2">
      <c r="E163" s="74"/>
    </row>
    <row r="164" spans="5:5" ht="12" x14ac:dyDescent="0.2">
      <c r="E164" s="74"/>
    </row>
    <row r="165" spans="5:5" ht="12" x14ac:dyDescent="0.2">
      <c r="E165" s="74"/>
    </row>
    <row r="166" spans="5:5" ht="12" x14ac:dyDescent="0.2">
      <c r="E166" s="74"/>
    </row>
    <row r="167" spans="5:5" ht="12" x14ac:dyDescent="0.2">
      <c r="E167" s="74"/>
    </row>
    <row r="168" spans="5:5" ht="12" x14ac:dyDescent="0.2">
      <c r="E168" s="74"/>
    </row>
    <row r="169" spans="5:5" ht="12" x14ac:dyDescent="0.2">
      <c r="E169" s="74"/>
    </row>
    <row r="170" spans="5:5" ht="12" x14ac:dyDescent="0.2">
      <c r="E170" s="74"/>
    </row>
    <row r="171" spans="5:5" ht="12" x14ac:dyDescent="0.2">
      <c r="E171" s="74"/>
    </row>
    <row r="172" spans="5:5" ht="12" x14ac:dyDescent="0.2">
      <c r="E172" s="74"/>
    </row>
    <row r="173" spans="5:5" ht="12" x14ac:dyDescent="0.2">
      <c r="E173" s="74"/>
    </row>
    <row r="174" spans="5:5" ht="12" x14ac:dyDescent="0.2">
      <c r="E174" s="74"/>
    </row>
    <row r="175" spans="5:5" ht="12" x14ac:dyDescent="0.2">
      <c r="E175" s="74"/>
    </row>
    <row r="176" spans="5:5" ht="12" x14ac:dyDescent="0.2">
      <c r="E176" s="74"/>
    </row>
    <row r="177" spans="5:5" ht="12" x14ac:dyDescent="0.2">
      <c r="E177" s="74"/>
    </row>
    <row r="178" spans="5:5" ht="12" x14ac:dyDescent="0.2">
      <c r="E178" s="74"/>
    </row>
    <row r="179" spans="5:5" ht="12" x14ac:dyDescent="0.2">
      <c r="E179" s="74"/>
    </row>
    <row r="180" spans="5:5" ht="12" x14ac:dyDescent="0.2">
      <c r="E180" s="74"/>
    </row>
    <row r="181" spans="5:5" ht="12" x14ac:dyDescent="0.2">
      <c r="E181" s="74"/>
    </row>
    <row r="182" spans="5:5" ht="12" x14ac:dyDescent="0.2">
      <c r="E182" s="74"/>
    </row>
    <row r="183" spans="5:5" ht="12" x14ac:dyDescent="0.2">
      <c r="E183" s="74"/>
    </row>
    <row r="184" spans="5:5" ht="12" x14ac:dyDescent="0.2">
      <c r="E184" s="74"/>
    </row>
    <row r="185" spans="5:5" ht="12" x14ac:dyDescent="0.2">
      <c r="E185" s="74"/>
    </row>
    <row r="186" spans="5:5" ht="12" x14ac:dyDescent="0.2">
      <c r="E186" s="74"/>
    </row>
    <row r="187" spans="5:5" ht="12" x14ac:dyDescent="0.2">
      <c r="E187" s="74"/>
    </row>
    <row r="188" spans="5:5" ht="12" x14ac:dyDescent="0.2">
      <c r="E188" s="74"/>
    </row>
    <row r="189" spans="5:5" ht="12" x14ac:dyDescent="0.2">
      <c r="E189" s="74"/>
    </row>
    <row r="190" spans="5:5" ht="12" x14ac:dyDescent="0.2">
      <c r="E190" s="74"/>
    </row>
    <row r="191" spans="5:5" ht="12" x14ac:dyDescent="0.2">
      <c r="E191" s="74"/>
    </row>
    <row r="192" spans="5:5" ht="12" x14ac:dyDescent="0.2">
      <c r="E192" s="74"/>
    </row>
    <row r="193" spans="5:5" ht="12" x14ac:dyDescent="0.2">
      <c r="E193" s="74"/>
    </row>
    <row r="194" spans="5:5" ht="12" x14ac:dyDescent="0.2">
      <c r="E194" s="74"/>
    </row>
    <row r="195" spans="5:5" ht="12" x14ac:dyDescent="0.2">
      <c r="E195" s="74"/>
    </row>
    <row r="196" spans="5:5" ht="12" x14ac:dyDescent="0.2">
      <c r="E196" s="74"/>
    </row>
    <row r="197" spans="5:5" ht="12" x14ac:dyDescent="0.2">
      <c r="E197" s="74"/>
    </row>
    <row r="198" spans="5:5" ht="12" x14ac:dyDescent="0.2">
      <c r="E198" s="74"/>
    </row>
    <row r="199" spans="5:5" ht="12" x14ac:dyDescent="0.2">
      <c r="E199" s="74"/>
    </row>
    <row r="200" spans="5:5" ht="12" x14ac:dyDescent="0.2">
      <c r="E200" s="74"/>
    </row>
    <row r="201" spans="5:5" ht="12" x14ac:dyDescent="0.2">
      <c r="E201" s="74"/>
    </row>
    <row r="202" spans="5:5" ht="12" x14ac:dyDescent="0.2">
      <c r="E202" s="74"/>
    </row>
    <row r="203" spans="5:5" ht="12" x14ac:dyDescent="0.2">
      <c r="E203" s="74"/>
    </row>
    <row r="204" spans="5:5" ht="12" x14ac:dyDescent="0.2">
      <c r="E204" s="74"/>
    </row>
    <row r="205" spans="5:5" ht="12" x14ac:dyDescent="0.2">
      <c r="E205" s="74"/>
    </row>
    <row r="206" spans="5:5" ht="12" x14ac:dyDescent="0.2">
      <c r="E206" s="74"/>
    </row>
    <row r="207" spans="5:5" ht="12" x14ac:dyDescent="0.2">
      <c r="E207" s="74"/>
    </row>
    <row r="208" spans="5:5" ht="12" x14ac:dyDescent="0.2">
      <c r="E208" s="74"/>
    </row>
    <row r="209" spans="5:5" ht="12" x14ac:dyDescent="0.2">
      <c r="E209" s="74"/>
    </row>
    <row r="210" spans="5:5" ht="12" x14ac:dyDescent="0.2">
      <c r="E210" s="74"/>
    </row>
    <row r="211" spans="5:5" ht="12" x14ac:dyDescent="0.2">
      <c r="E211" s="74"/>
    </row>
    <row r="212" spans="5:5" ht="12" x14ac:dyDescent="0.2">
      <c r="E212" s="74"/>
    </row>
    <row r="213" spans="5:5" ht="12" x14ac:dyDescent="0.2">
      <c r="E213" s="74"/>
    </row>
    <row r="214" spans="5:5" ht="12" x14ac:dyDescent="0.2">
      <c r="E214" s="74"/>
    </row>
    <row r="215" spans="5:5" ht="12" x14ac:dyDescent="0.2">
      <c r="E215" s="74"/>
    </row>
    <row r="216" spans="5:5" ht="12" x14ac:dyDescent="0.2">
      <c r="E216" s="74"/>
    </row>
    <row r="217" spans="5:5" ht="12" x14ac:dyDescent="0.2">
      <c r="E217" s="74"/>
    </row>
    <row r="218" spans="5:5" ht="12" x14ac:dyDescent="0.2">
      <c r="E218" s="74"/>
    </row>
    <row r="219" spans="5:5" ht="12" x14ac:dyDescent="0.2">
      <c r="E219" s="74"/>
    </row>
    <row r="220" spans="5:5" ht="12" x14ac:dyDescent="0.2">
      <c r="E220" s="74"/>
    </row>
    <row r="221" spans="5:5" ht="12" x14ac:dyDescent="0.2">
      <c r="E221" s="74"/>
    </row>
    <row r="222" spans="5:5" ht="12" x14ac:dyDescent="0.2">
      <c r="E222" s="74"/>
    </row>
    <row r="223" spans="5:5" ht="12" x14ac:dyDescent="0.2">
      <c r="E223" s="74"/>
    </row>
    <row r="224" spans="5:5" ht="12" x14ac:dyDescent="0.2">
      <c r="E224" s="74"/>
    </row>
    <row r="225" spans="5:5" ht="12" x14ac:dyDescent="0.2">
      <c r="E225" s="74"/>
    </row>
    <row r="226" spans="5:5" ht="12" x14ac:dyDescent="0.2">
      <c r="E226" s="74"/>
    </row>
    <row r="227" spans="5:5" ht="12" x14ac:dyDescent="0.2">
      <c r="E227" s="74"/>
    </row>
    <row r="228" spans="5:5" ht="12" x14ac:dyDescent="0.2">
      <c r="E228" s="74"/>
    </row>
    <row r="229" spans="5:5" ht="12" x14ac:dyDescent="0.2">
      <c r="E229" s="74"/>
    </row>
    <row r="230" spans="5:5" ht="12" x14ac:dyDescent="0.2">
      <c r="E230" s="74"/>
    </row>
    <row r="231" spans="5:5" ht="12" x14ac:dyDescent="0.2">
      <c r="E231" s="74"/>
    </row>
    <row r="232" spans="5:5" ht="12" x14ac:dyDescent="0.2">
      <c r="E232" s="74"/>
    </row>
    <row r="233" spans="5:5" ht="12" x14ac:dyDescent="0.2">
      <c r="E233" s="74"/>
    </row>
    <row r="234" spans="5:5" ht="12" x14ac:dyDescent="0.2">
      <c r="E234" s="74"/>
    </row>
    <row r="235" spans="5:5" ht="12" x14ac:dyDescent="0.2">
      <c r="E235" s="74"/>
    </row>
    <row r="236" spans="5:5" ht="12" x14ac:dyDescent="0.2">
      <c r="E236" s="74"/>
    </row>
    <row r="237" spans="5:5" ht="12" x14ac:dyDescent="0.2">
      <c r="E237" s="74"/>
    </row>
    <row r="238" spans="5:5" ht="12" x14ac:dyDescent="0.2">
      <c r="E238" s="74"/>
    </row>
    <row r="239" spans="5:5" ht="12" x14ac:dyDescent="0.2">
      <c r="E239" s="74"/>
    </row>
    <row r="240" spans="5:5" ht="12" x14ac:dyDescent="0.2">
      <c r="E240" s="74"/>
    </row>
    <row r="241" spans="5:5" ht="12" x14ac:dyDescent="0.2">
      <c r="E241" s="74"/>
    </row>
    <row r="242" spans="5:5" ht="12" x14ac:dyDescent="0.2">
      <c r="E242" s="74"/>
    </row>
    <row r="243" spans="5:5" ht="12" x14ac:dyDescent="0.2">
      <c r="E243" s="74"/>
    </row>
    <row r="244" spans="5:5" ht="12" x14ac:dyDescent="0.2">
      <c r="E244" s="74"/>
    </row>
    <row r="245" spans="5:5" ht="12" x14ac:dyDescent="0.2">
      <c r="E245" s="74"/>
    </row>
    <row r="246" spans="5:5" ht="12" x14ac:dyDescent="0.2">
      <c r="E246" s="74"/>
    </row>
    <row r="247" spans="5:5" ht="12" x14ac:dyDescent="0.2">
      <c r="E247" s="74"/>
    </row>
    <row r="248" spans="5:5" ht="12" x14ac:dyDescent="0.2">
      <c r="E248" s="74"/>
    </row>
    <row r="249" spans="5:5" ht="12" x14ac:dyDescent="0.2">
      <c r="E249" s="74"/>
    </row>
    <row r="250" spans="5:5" ht="12" x14ac:dyDescent="0.2">
      <c r="E250" s="74"/>
    </row>
    <row r="251" spans="5:5" ht="12" x14ac:dyDescent="0.2">
      <c r="E251" s="74"/>
    </row>
    <row r="252" spans="5:5" x14ac:dyDescent="0.2"/>
    <row r="253" spans="5:5" x14ac:dyDescent="0.2"/>
    <row r="254" spans="5:5" x14ac:dyDescent="0.2"/>
    <row r="255" spans="5:5" x14ac:dyDescent="0.2"/>
    <row r="256" spans="5:5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</sheetData>
  <pageMargins left="0.25" right="0.25" top="0.75" bottom="0.75" header="0.3" footer="0.3"/>
  <pageSetup paperSize="9" scale="3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23</vt:i4>
      </vt:variant>
    </vt:vector>
  </HeadingPairs>
  <TitlesOfParts>
    <vt:vector size="39" baseType="lpstr">
      <vt:lpstr>Cover</vt:lpstr>
      <vt:lpstr>Summary</vt:lpstr>
      <vt:lpstr>Assumptions</vt:lpstr>
      <vt:lpstr>Option1 (base case)</vt:lpstr>
      <vt:lpstr>Option2</vt:lpstr>
      <vt:lpstr>Option3</vt:lpstr>
      <vt:lpstr>Option4</vt:lpstr>
      <vt:lpstr>Option5</vt:lpstr>
      <vt:lpstr>Consol</vt:lpstr>
      <vt:lpstr>Sensitivity_calcs</vt:lpstr>
      <vt:lpstr>Workings_costs</vt:lpstr>
      <vt:lpstr>Workings_risks</vt:lpstr>
      <vt:lpstr>Tx risks</vt:lpstr>
      <vt:lpstr>Misc_calcs</vt:lpstr>
      <vt:lpstr>Data</vt:lpstr>
      <vt:lpstr>EMCa summary</vt:lpstr>
      <vt:lpstr>bus</vt:lpstr>
      <vt:lpstr>compliance</vt:lpstr>
      <vt:lpstr>conv_2026</vt:lpstr>
      <vt:lpstr>custval_date</vt:lpstr>
      <vt:lpstr>CY_years</vt:lpstr>
      <vt:lpstr>first_year</vt:lpstr>
      <vt:lpstr>hy_dates</vt:lpstr>
      <vt:lpstr>hy_escalation</vt:lpstr>
      <vt:lpstr>input_dollars</vt:lpstr>
      <vt:lpstr>mill_conv</vt:lpstr>
      <vt:lpstr>NN_LOAD_TRANSFER</vt:lpstr>
      <vt:lpstr>options</vt:lpstr>
      <vt:lpstr>output_dollars</vt:lpstr>
      <vt:lpstr>preferred</vt:lpstr>
      <vt:lpstr>proj</vt:lpstr>
      <vt:lpstr>real_disc</vt:lpstr>
      <vt:lpstr>sheets</vt:lpstr>
      <vt:lpstr>start</vt:lpstr>
      <vt:lpstr>start_year</vt:lpstr>
      <vt:lpstr>thous_conv</vt:lpstr>
      <vt:lpstr>vcr_date</vt:lpstr>
      <vt:lpstr>vcr_esc</vt:lpstr>
      <vt:lpstr>years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2025-11-27T05:23:13Z</dcterms:created>
  <dcterms:modified xsi:type="dcterms:W3CDTF">2025-11-27T05:25:28Z</dcterms:modified>
  <cp:category/>
  <cp:contentStatus/>
</cp:coreProperties>
</file>