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filterPrivacy="1" codeName="ThisWorkbook"/>
  <xr:revisionPtr revIDLastSave="0" documentId="14_{262DBC69-862C-4AD7-B562-7E87F75A1666}" xr6:coauthVersionLast="47" xr6:coauthVersionMax="47" xr10:uidLastSave="{00000000-0000-0000-0000-000000000000}"/>
  <bookViews>
    <workbookView xWindow="28680" yWindow="-120" windowWidth="29040" windowHeight="15720" tabRatio="889" xr2:uid="{00000000-000D-0000-FFFF-FFFF00000000}"/>
  </bookViews>
  <sheets>
    <sheet name="Index" sheetId="22" r:id="rId1"/>
    <sheet name="Lookup tables" sheetId="24" r:id="rId2"/>
    <sheet name="Data|EBRIN" sheetId="30" r:id="rId3"/>
    <sheet name="Data|OEFs - Short" sheetId="40" r:id="rId4"/>
    <sheet name="Data|OEFs - Long" sheetId="41" r:id="rId5"/>
    <sheet name="Data|CPI" sheetId="33" r:id="rId6"/>
    <sheet name="Data|Forecasts" sheetId="31" r:id="rId7"/>
    <sheet name="Input|Parameters" sheetId="20" r:id="rId8"/>
    <sheet name="Input|Econometrics - Short" sheetId="34" r:id="rId9"/>
    <sheet name="Input|Econometrics - Long" sheetId="25" r:id="rId10"/>
    <sheet name="Calc|Cost drivers" sheetId="23" r:id="rId11"/>
    <sheet name="Calc|Efficiency target" sheetId="27" r:id="rId12"/>
    <sheet name="Calc|Opex forecasts - Short" sheetId="37" r:id="rId13"/>
    <sheet name="Calc|Opex forecasts - Long" sheetId="28" r:id="rId14"/>
    <sheet name="Output|Summary" sheetId="29" r:id="rId15"/>
  </sheets>
  <definedNames>
    <definedName name="____IT2"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___IT2"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__IT1"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__IT2"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513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Q4.1" localSheetId="4" hidden="1">#REF!</definedName>
    <definedName name="_BQ4.1" localSheetId="7" hidden="1">#REF!</definedName>
    <definedName name="_BQ4.1" hidden="1">#REF!</definedName>
    <definedName name="_BQ4.5" localSheetId="4" hidden="1">#REF!</definedName>
    <definedName name="_BQ4.5" localSheetId="7" hidden="1">#REF!</definedName>
    <definedName name="_BQ4.5" hidden="1">#REF!</definedName>
    <definedName name="_BQ4.6" localSheetId="4" hidden="1">#REF!</definedName>
    <definedName name="_BQ4.6" localSheetId="7" hidden="1">#REF!</definedName>
    <definedName name="_BQ4.6" hidden="1">#REF!</definedName>
    <definedName name="_IT1"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_IT2"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a" hidden="1">{#N/A,#N/A,FALSE,"Bgt";#N/A,#N/A,FALSE,"Act";#N/A,#N/A,FALSE,"Chrt Data";#N/A,#N/A,FALSE,"Bus Result";#N/A,#N/A,FALSE,"Main Charts";#N/A,#N/A,FALSE,"P&amp;L Ttl";#N/A,#N/A,FALSE,"P&amp;L C_Ttl";#N/A,#N/A,FALSE,"P&amp;L C_Oct";#N/A,#N/A,FALSE,"P&amp;L C_Sep";#N/A,#N/A,FALSE,"1996";#N/A,#N/A,FALSE,"Data"}</definedName>
    <definedName name="AA" hidden="1">{#N/A,#N/A,FALSE,"Bgt";#N/A,#N/A,FALSE,"Act";#N/A,#N/A,FALSE,"Chrt Data";#N/A,#N/A,FALSE,"Bus Result";#N/A,#N/A,FALSE,"Main Charts";#N/A,#N/A,FALSE,"P&amp;L Ttl";#N/A,#N/A,FALSE,"P&amp;L C_Ttl";#N/A,#N/A,FALSE,"P&amp;L C_Oct";#N/A,#N/A,FALSE,"P&amp;L C_Sep";#N/A,#N/A,FALSE,"1996";#N/A,#N/A,FALSE,"Data"}</definedName>
    <definedName name="animal" hidden="1">{#N/A,#N/A,FALSE,"Bgt";#N/A,#N/A,FALSE,"Act";#N/A,#N/A,FALSE,"Chrt Data";#N/A,#N/A,FALSE,"Bus Result";#N/A,#N/A,FALSE,"Main Charts";#N/A,#N/A,FALSE,"P&amp;L Ttl";#N/A,#N/A,FALSE,"P&amp;L C_Ttl";#N/A,#N/A,FALSE,"P&amp;L C_Oct";#N/A,#N/A,FALSE,"P&amp;L C_Sep";#N/A,#N/A,FALSE,"1996";#N/A,#N/A,FALSE,"Data"}</definedName>
    <definedName name="anscount" hidden="1">1</definedName>
    <definedName name="as" hidden="1">{#N/A,#N/A,FALSE,"SUM QTR 3";#N/A,#N/A,FALSE,"Detail QTR 3 (w_o ly)"}</definedName>
    <definedName name="b" hidden="1">{#N/A,#N/A,FALSE,"Bgt";#N/A,#N/A,FALSE,"Act";#N/A,#N/A,FALSE,"Chrt Data";#N/A,#N/A,FALSE,"Bus Result";#N/A,#N/A,FALSE,"Main Charts";#N/A,#N/A,FALSE,"P&amp;L Ttl";#N/A,#N/A,FALSE,"P&amp;L C_Ttl";#N/A,#N/A,FALSE,"P&amp;L C_Oct";#N/A,#N/A,FALSE,"P&amp;L C_Sep";#N/A,#N/A,FALSE,"1996";#N/A,#N/A,FALSE,"Data"}</definedName>
    <definedName name="BEx0017DGUEDPCFJUPUZOOLJCS2B" hidden="1">#REF!</definedName>
    <definedName name="BEx001CNWHJ5RULCSFM36ZCGJ1UH" hidden="1">#REF!</definedName>
    <definedName name="BEx004791UAJIJSN57OT7YBLNP82" hidden="1">#REF!</definedName>
    <definedName name="BEx008P2NVFDLBHL7IZ5WTMVOQ1F" localSheetId="4" hidden="1">#REF!</definedName>
    <definedName name="BEx008P2NVFDLBHL7IZ5WTMVOQ1F" localSheetId="7"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localSheetId="4" hidden="1">#REF!</definedName>
    <definedName name="BEx00KZHZBHP3TDV1YMX4B19B95O" localSheetId="7" hidden="1">#REF!</definedName>
    <definedName name="BEx00KZHZBHP3TDV1YMX4B19B95O" hidden="1">#REF!</definedName>
    <definedName name="BEx00WOACHDXJ6I70WQ2OGP79902" localSheetId="4" hidden="1">#REF!</definedName>
    <definedName name="BEx00WOACHDXJ6I70WQ2OGP79902" localSheetId="7" hidden="1">#REF!</definedName>
    <definedName name="BEx00WOACHDXJ6I70WQ2OGP79902" hidden="1">#REF!</definedName>
    <definedName name="BEx01DAZE5WX4UTU2TLKODE60MKZ" hidden="1">#REF!</definedName>
    <definedName name="BEx01HY6E3GJ66ABU5ABN26V6Q13" hidden="1">#REF!</definedName>
    <definedName name="BEx01PW5YQKEGAR8JDDI5OARYXDF" hidden="1">#REF!</definedName>
    <definedName name="BEx01XJ94SHJ1YQ7ORPW0RQGKI2H" hidden="1">#REF!</definedName>
    <definedName name="BEx02Q08R9G839Q4RFGG9026C7PX" localSheetId="4" hidden="1">#REF!</definedName>
    <definedName name="BEx02Q08R9G839Q4RFGG9026C7PX" localSheetId="7"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SDBU7WQN41S8RKJEK69AVRU" hidden="1">#REF!</definedName>
    <definedName name="BEx1FZV2CM77TBH1R6YYV9P06KA2" hidden="1">#REF!</definedName>
    <definedName name="BEx1G59AY8195JTUM6P18VXUFJ3E" hidden="1">#REF!</definedName>
    <definedName name="BEx1GVBYVO13O10BPURJQKD3L4DD" hidden="1">#REF!</definedName>
    <definedName name="BEx1GVMRHFXUP6XYYY9NR12PV5TF" hidden="1">#REF!</definedName>
    <definedName name="BEx1H6KIT7BHUH6MDDWC935V9N47" hidden="1">#REF!</definedName>
    <definedName name="BEx1H8YTIDTTO90YLC2ZSSNJ7TNN" localSheetId="4" hidden="1">#REF!</definedName>
    <definedName name="BEx1H8YTIDTTO90YLC2ZSSNJ7TNN" localSheetId="7" hidden="1">#REF!</definedName>
    <definedName name="BEx1H8YTIDTTO90YLC2ZSSNJ7TNN"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H266WCSRYYOY23LANSAM8Z1" localSheetId="4" hidden="1">#REF!</definedName>
    <definedName name="BEx1HH266WCSRYYOY23LANSAM8Z1" localSheetId="7" hidden="1">#REF!</definedName>
    <definedName name="BEx1HH266WCSRYYOY23LANSAM8Z1"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L21EMOYZ97EOEQ30N9KV83" localSheetId="4" hidden="1">#REF!</definedName>
    <definedName name="BEx1I4L21EMOYZ97EOEQ30N9KV83" localSheetId="7" hidden="1">#REF!</definedName>
    <definedName name="BEx1I4L21EMOYZ97EOEQ30N9KV83" hidden="1">#REF!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6NC9DE7CANGLXQGIAHI2C92" hidden="1">#REF!</definedName>
    <definedName name="BEx1J7E8VCGLPYU82QXVUG5N3ZAI" localSheetId="4" hidden="1">#REF!</definedName>
    <definedName name="BEx1J7E8VCGLPYU82QXVUG5N3ZAI" localSheetId="7"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PJ2JSOQN114PESLM5AHS817" localSheetId="4" hidden="1">#REF!</definedName>
    <definedName name="BEx1JPJ2JSOQN114PESLM5AHS817" localSheetId="7" hidden="1">#REF!</definedName>
    <definedName name="BEx1JPJ2JSOQN114PESLM5AHS817" hidden="1">#REF!</definedName>
    <definedName name="BEx1JUBQFRVMASSFK4B3V0AD7YP9" hidden="1">#REF!</definedName>
    <definedName name="BEx1JXBM5W4YRWNQ0P95QQS6JWD6" hidden="1">#REF!</definedName>
    <definedName name="BEx1KGY9QEHZ9QSARMQUTQKRK4UX" hidden="1">#REF!</definedName>
    <definedName name="BEx1KKP1ELIF2UII2FWVGL7M1X7J" hidden="1">#REF!</definedName>
    <definedName name="BEx1KUVWMB0QCWA3RBE4CADFVRIS" hidden="1">#REF!</definedName>
    <definedName name="BEx1KZZC3KMOCVC65KUPQLQG4VI6" localSheetId="4" hidden="1">#REF!</definedName>
    <definedName name="BEx1KZZC3KMOCVC65KUPQLQG4VI6" localSheetId="7" hidden="1">#REF!</definedName>
    <definedName name="BEx1KZZC3KMOCVC65KUPQLQG4VI6"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localSheetId="4" hidden="1">#REF!</definedName>
    <definedName name="BEx1LRUSJW4JG54X07QWD9R27WV9" localSheetId="7" hidden="1">#REF!</definedName>
    <definedName name="BEx1LRUSJW4JG54X07QWD9R27WV9" hidden="1">#REF!</definedName>
    <definedName name="BEx1M1WBK5T0LP1AK2JYV6W87ID6" hidden="1">#REF!</definedName>
    <definedName name="BEx1M2CEKIG7U2M98E8QT7PXKFJI" localSheetId="4" hidden="1">#REF!</definedName>
    <definedName name="BEx1M2CEKIG7U2M98E8QT7PXKFJI" localSheetId="7" hidden="1">#REF!</definedName>
    <definedName name="BEx1M2CEKIG7U2M98E8QT7PXKFJI" hidden="1">#REF!</definedName>
    <definedName name="BEx1M51HHDYGIT8PON7U8ICL2S95" hidden="1">#REF!</definedName>
    <definedName name="BEx1M9DVXW1QKW4BT3H733BJ74CE" localSheetId="4" hidden="1">#REF!</definedName>
    <definedName name="BEx1M9DVXW1QKW4BT3H733BJ74CE" localSheetId="7" hidden="1">#REF!</definedName>
    <definedName name="BEx1M9DVXW1QKW4BT3H733BJ74CE" hidden="1">#REF!</definedName>
    <definedName name="BEx1MJVIWNE5X8L7TRVWT9WWEUBJ" localSheetId="4" hidden="1">#REF!</definedName>
    <definedName name="BEx1MJVIWNE5X8L7TRVWT9WWEUBJ" localSheetId="7" hidden="1">#REF!</definedName>
    <definedName name="BEx1MJVIWNE5X8L7TRVWT9WWEUBJ" hidden="1">#REF!</definedName>
    <definedName name="BEx1MMFAHNWB5B2QUWBELI39PCEY" hidden="1">#REF!</definedName>
    <definedName name="BEx1MTRKKVCHOZ0YGID6HZ49LJTO" localSheetId="4" hidden="1">#REF!</definedName>
    <definedName name="BEx1MTRKKVCHOZ0YGID6HZ49LJTO" localSheetId="7" hidden="1">#REF!</definedName>
    <definedName name="BEx1MTRKKVCHOZ0YGID6HZ49LJTO" hidden="1">#REF!</definedName>
    <definedName name="BEx1N0CYK8OCCI654CPSXGPO2B4B" localSheetId="4" hidden="1">#REF!</definedName>
    <definedName name="BEx1N0CYK8OCCI654CPSXGPO2B4B" localSheetId="7" hidden="1">#REF!</definedName>
    <definedName name="BEx1N0CYK8OCCI654CPSXGPO2B4B" hidden="1">#REF!</definedName>
    <definedName name="BEx1N3CUJ3UX61X38ZAJVPEN4KMC"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RG3LGKCPSRMVQ2O9REG2US8" localSheetId="4" hidden="1">#REF!</definedName>
    <definedName name="BEx1ORG3LGKCPSRMVQ2O9REG2US8" localSheetId="7" hidden="1">#REF!</definedName>
    <definedName name="BEx1ORG3LGKCPSRMVQ2O9REG2US8"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34WRUTVZPX177UUQ9BT3Q9X" localSheetId="4" hidden="1">#REF!</definedName>
    <definedName name="BEx1P34WRUTVZPX177UUQ9BT3Q9X" localSheetId="7" hidden="1">#REF!</definedName>
    <definedName name="BEx1P34WRUTVZPX177UUQ9BT3Q9X"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QA54J2A4I7IBQR19BTY28ZMR" hidden="1">#REF!</definedName>
    <definedName name="BEx1QM4PKKBHXHR5BZ2NON028UYL" localSheetId="4" hidden="1">#REF!</definedName>
    <definedName name="BEx1QM4PKKBHXHR5BZ2NON028UYL" localSheetId="7" hidden="1">#REF!</definedName>
    <definedName name="BEx1QM4PKKBHXHR5BZ2NON028UYL" hidden="1">#REF!</definedName>
    <definedName name="BEx1QMQAHG3KQUK59DVM68SWKZIZ" hidden="1">#REF!</definedName>
    <definedName name="BEx1R9YFKJCMSEST8OVCAO5E47FO" hidden="1">#REF!</definedName>
    <definedName name="BEx1RBGC06B3T52OIC0EQ1KGVP1I" hidden="1">#REF!</definedName>
    <definedName name="BEx1RHLLW599ZLQG0S5YT7QI63BA" localSheetId="4" hidden="1">#REF!</definedName>
    <definedName name="BEx1RHLLW599ZLQG0S5YT7QI63BA" localSheetId="7" hidden="1">#REF!</definedName>
    <definedName name="BEx1RHLLW599ZLQG0S5YT7QI63BA" hidden="1">#REF!</definedName>
    <definedName name="BEx1RRC7X4NI1CU4EO5XYE2GVARJ" hidden="1">#REF!</definedName>
    <definedName name="BEx1RZA1NCGT832L7EMR7GMF588W" hidden="1">#REF!</definedName>
    <definedName name="BEx1S0XGIPUSZQUCSGWSK10GKW7Y" hidden="1">#REF!</definedName>
    <definedName name="BEx1S3BSDAKCI9LVFYLTM3MJY3BE" localSheetId="4" hidden="1">#REF!</definedName>
    <definedName name="BEx1S3BSDAKCI9LVFYLTM3MJY3BE" localSheetId="7" hidden="1">#REF!</definedName>
    <definedName name="BEx1S3BSDAKCI9LVFYLTM3MJY3BE" hidden="1">#REF!</definedName>
    <definedName name="BEx1S5VFNKIXHTTCWSV60UC50EZ8" hidden="1">#REF!</definedName>
    <definedName name="BEx1SEKAWOQJB87D3XQKKK1S7Q7X" localSheetId="4" hidden="1">#REF!</definedName>
    <definedName name="BEx1SEKAWOQJB87D3XQKKK1S7Q7X" localSheetId="7" hidden="1">#REF!</definedName>
    <definedName name="BEx1SEKAWOQJB87D3XQKKK1S7Q7X" hidden="1">#REF!</definedName>
    <definedName name="BEx1SK3U02H0RGKEYXW7ZMCEOF3V" hidden="1">#REF!</definedName>
    <definedName name="BEx1SSNEZINBJT29QVS62VS1THT4" hidden="1">#REF!</definedName>
    <definedName name="BEx1STULPAG4G6PQYHP3DRYTPCHJ" localSheetId="4" hidden="1">#REF!</definedName>
    <definedName name="BEx1STULPAG4G6PQYHP3DRYTPCHJ" localSheetId="7" hidden="1">#REF!</definedName>
    <definedName name="BEx1STULPAG4G6PQYHP3DRYTPCHJ" hidden="1">#REF!</definedName>
    <definedName name="BEx1SVNCHNANBJIDIQVB8AFK4HAN" localSheetId="4" hidden="1">#REF!</definedName>
    <definedName name="BEx1SVNCHNANBJIDIQVB8AFK4HAN" localSheetId="7" hidden="1">#REF!</definedName>
    <definedName name="BEx1SVNCHNANBJIDIQVB8AFK4HAN" hidden="1">#REF!</definedName>
    <definedName name="BEx1TJ0WLS9O7KNSGIPWTYHDYI1D" localSheetId="4" hidden="1">#REF!</definedName>
    <definedName name="BEx1TJ0WLS9O7KNSGIPWTYHDYI1D" localSheetId="7" hidden="1">#REF!</definedName>
    <definedName name="BEx1TJ0WLS9O7KNSGIPWTYHDYI1D" hidden="1">#REF!</definedName>
    <definedName name="BEx1TYR9YIVMD6E36LEX70E5H1UT" localSheetId="4" hidden="1">#REF!</definedName>
    <definedName name="BEx1TYR9YIVMD6E36LEX70E5H1UT" localSheetId="7" hidden="1">#REF!</definedName>
    <definedName name="BEx1TYR9YIVMD6E36LEX70E5H1UT"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OOOMCXM376QJ65W95MJ4RT3" localSheetId="4" hidden="1">#REF!</definedName>
    <definedName name="BEx1UOOOMCXM376QJ65W95MJ4RT3" localSheetId="7" hidden="1">#REF!</definedName>
    <definedName name="BEx1UOOOMCXM376QJ65W95MJ4RT3" hidden="1">#REF!</definedName>
    <definedName name="BEx1UUDIQPZ23XQ79GUL0RAWRSCK" hidden="1">#REF!</definedName>
    <definedName name="BEx1V50N55N07Q5LD91VS9QF1WB6" localSheetId="4" hidden="1">#REF!</definedName>
    <definedName name="BEx1V50N55N07Q5LD91VS9QF1WB6" localSheetId="7" hidden="1">#REF!</definedName>
    <definedName name="BEx1V50N55N07Q5LD91VS9QF1WB6"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localSheetId="4" hidden="1">#REF!</definedName>
    <definedName name="BEx1WHPURIV3D3PTJJ359H1OP7ZV" localSheetId="7"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XYBEF60AUNIQ381B562NLYEL" localSheetId="4" hidden="1">#REF!</definedName>
    <definedName name="BEx1XYBEF60AUNIQ381B562NLYEL" localSheetId="7" hidden="1">#REF!</definedName>
    <definedName name="BEx1XYBEF60AUNIQ381B562NLYEL" hidden="1">#REF!</definedName>
    <definedName name="BEx1Y2IGS2K95E1M51PEF9KJZ0KB" hidden="1">#REF!</definedName>
    <definedName name="BEx1Y3PKK83X2FN9SAALFHOWKMRQ" hidden="1">#REF!</definedName>
    <definedName name="BEx1YL3DJ7Y4AZ01ERCOGW0FJ26T" localSheetId="4" hidden="1">#REF!</definedName>
    <definedName name="BEx1YL3DJ7Y4AZ01ERCOGW0FJ26T" localSheetId="7" hidden="1">#REF!</definedName>
    <definedName name="BEx1YL3DJ7Y4AZ01ERCOGW0FJ26T" hidden="1">#REF!</definedName>
    <definedName name="BEx1Z2RYHSVD1H37817SN93VMURZ" hidden="1">#REF!</definedName>
    <definedName name="BEx3AMAKWI6458B67VKZO56MCNJW" hidden="1">#REF!</definedName>
    <definedName name="BEx3AOOVM42G82TNF53W0EKXLUSI" localSheetId="4" hidden="1">#REF!</definedName>
    <definedName name="BEx3AOOVM42G82TNF53W0EKXLUSI" localSheetId="7" hidden="1">#REF!</definedName>
    <definedName name="BEx3AOOVM42G82TNF53W0EKXLUSI" hidden="1">#REF!</definedName>
    <definedName name="BEx3APL8D18BCFDD4AZK12WFXA67" hidden="1">#REF!</definedName>
    <definedName name="BEx3AZH9W4SUFCAHNDOQ728R9V4L" hidden="1">#REF!</definedName>
    <definedName name="BEx3BNR9ES4KY7Q1DK83KC5NDGL8" hidden="1">#REF!</definedName>
    <definedName name="BEx3BQR5VZXNQ4H949ORM8ESU3B3" localSheetId="4" hidden="1">#REF!</definedName>
    <definedName name="BEx3BQR5VZXNQ4H949ORM8ESU3B3" localSheetId="7"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KFCCPZZ6ROLAT5C1DZNIC1U" hidden="1">#REF!</definedName>
    <definedName name="BEx3CO0SVO4WLH0DO43DCHYDTH1P" hidden="1">#REF!</definedName>
    <definedName name="BEx3CP7ZOFGLSCYTIG9VMZOBZ5BQ" localSheetId="4" hidden="1">#REF!</definedName>
    <definedName name="BEx3CP7ZOFGLSCYTIG9VMZOBZ5BQ" localSheetId="7" hidden="1">#REF!</definedName>
    <definedName name="BEx3CP7ZOFGLSCYTIG9VMZOBZ5BQ" hidden="1">#REF!</definedName>
    <definedName name="BEx3D9G6QTSPF9UYI4X0XY0VE896" hidden="1">#REF!</definedName>
    <definedName name="BEx3DCQU9PBRXIMLO62KS5RLH447" hidden="1">#REF!</definedName>
    <definedName name="BEx3DZDFGLYD8RLUYGMKDC4PRP04" hidden="1">#REF!</definedName>
    <definedName name="BEx3EF99FD6QNNCNOKDEE67JHTUJ" hidden="1">#REF!</definedName>
    <definedName name="BEx3EHCSERZ2O2OAG8Y95UPG2IY9" localSheetId="4" hidden="1">#REF!</definedName>
    <definedName name="BEx3EHCSERZ2O2OAG8Y95UPG2IY9" localSheetId="7"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FERRE7HC84YCYRFTW3IGBJS0" localSheetId="4" hidden="1">#REF!</definedName>
    <definedName name="BEx3FERRE7HC84YCYRFTW3IGBJS0" localSheetId="7" hidden="1">#REF!</definedName>
    <definedName name="BEx3FERRE7HC84YCYRFTW3IGBJS0"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localSheetId="4" hidden="1">#REF!</definedName>
    <definedName name="BEx3FX7EJL47JSLSWP3EOC265WAE" localSheetId="7" hidden="1">#REF!</definedName>
    <definedName name="BEx3FX7EJL47JSLSWP3EOC265WAE" hidden="1">#REF!</definedName>
    <definedName name="BEx3FZG91H1CY5ASLHP4YHKREYG9" localSheetId="4" hidden="1">#REF!</definedName>
    <definedName name="BEx3FZG91H1CY5ASLHP4YHKREYG9" localSheetId="7" hidden="1">#REF!</definedName>
    <definedName name="BEx3FZG91H1CY5ASLHP4YHKREYG9"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localSheetId="4" hidden="1">#REF!</definedName>
    <definedName name="BEx3GEVV18SEQDI1JGY7EN6D1GT1" localSheetId="7" hidden="1">#REF!</definedName>
    <definedName name="BEx3GEVV18SEQDI1JGY7EN6D1GT1" hidden="1">#REF!</definedName>
    <definedName name="BEx3GKFH64MKQX61S7DYTZ15JCPY" hidden="1">#REF!</definedName>
    <definedName name="BEx3GMJ1Y6UU02DLRL0QXCEKDA6C" localSheetId="4" hidden="1">#REF!</definedName>
    <definedName name="BEx3GMJ1Y6UU02DLRL0QXCEKDA6C" localSheetId="7" hidden="1">#REF!</definedName>
    <definedName name="BEx3GMJ1Y6UU02DLRL0QXCEKDA6C" hidden="1">#REF!</definedName>
    <definedName name="BEx3GN4LY0135CBDIN1TU2UEODGF" hidden="1">#REF!</definedName>
    <definedName name="BEx3GPDH2AH4QKT4OOSN563XUHBD" hidden="1">#REF!</definedName>
    <definedName name="BEx3H0RFPKED2NN6LBYFK5P5HLK6" hidden="1">#REF!</definedName>
    <definedName name="BEx3H5UX2GZFZZT657YR76RHW5I6" localSheetId="4" hidden="1">#REF!</definedName>
    <definedName name="BEx3H5UX2GZFZZT657YR76RHW5I6" localSheetId="7" hidden="1">#REF!</definedName>
    <definedName name="BEx3H5UX2GZFZZT657YR76RHW5I6" hidden="1">#REF!</definedName>
    <definedName name="BEx3HA1YAMCT0GK89031ZWXQ3VK3" localSheetId="4" hidden="1">#REF!</definedName>
    <definedName name="BEx3HA1YAMCT0GK89031ZWXQ3VK3" localSheetId="7" hidden="1">#REF!</definedName>
    <definedName name="BEx3HA1YAMCT0GK89031ZWXQ3VK3" hidden="1">#REF!</definedName>
    <definedName name="BEx3HJ1MIYFNI7Y25LLE6AGZ52U2" localSheetId="4" hidden="1">#REF!</definedName>
    <definedName name="BEx3HJ1MIYFNI7Y25LLE6AGZ52U2" localSheetId="7" hidden="1">#REF!</definedName>
    <definedName name="BEx3HJ1MIYFNI7Y25LLE6AGZ52U2" hidden="1">#REF!</definedName>
    <definedName name="BEx3HMN4HBR0MZ546XIBTOE5PHAT" localSheetId="4" hidden="1">#REF!</definedName>
    <definedName name="BEx3HMN4HBR0MZ546XIBTOE5PHAT" localSheetId="7" hidden="1">#REF!</definedName>
    <definedName name="BEx3HMN4HBR0MZ546XIBTOE5PHAT" hidden="1">#REF!</definedName>
    <definedName name="BEx3HMSEFOP6DBM4R97XA6B7NFG6" hidden="1">#REF!</definedName>
    <definedName name="BEx3HOQN57QKFWCTSFFBV19FE17U" localSheetId="4" hidden="1">#REF!</definedName>
    <definedName name="BEx3HOQN57QKFWCTSFFBV19FE17U" localSheetId="7" hidden="1">#REF!</definedName>
    <definedName name="BEx3HOQN57QKFWCTSFFBV19FE17U" hidden="1">#REF!</definedName>
    <definedName name="BEx3HWJ5SQSD2CVCQNR183X44FR8" hidden="1">#REF!</definedName>
    <definedName name="BEx3I09YVXO0G4X7KGSA4WGORM35" hidden="1">#REF!</definedName>
    <definedName name="BEx3ICF1GY8HQEBIU9S43PDJ90BX" hidden="1">#REF!</definedName>
    <definedName name="BEx3IYAH2DEBFWO8F94H4MXE3RLY" localSheetId="4" hidden="1">#REF!</definedName>
    <definedName name="BEx3IYAH2DEBFWO8F94H4MXE3RLY" localSheetId="7" hidden="1">#REF!</definedName>
    <definedName name="BEx3IYAH2DEBFWO8F94H4MXE3RLY" hidden="1">#REF!</definedName>
    <definedName name="BEx3IZXXSYEW50379N2EAFWO8DZV" localSheetId="4" hidden="1">#REF!</definedName>
    <definedName name="BEx3IZXXSYEW50379N2EAFWO8DZV" localSheetId="7" hidden="1">#REF!</definedName>
    <definedName name="BEx3IZXXSYEW50379N2EAFWO8DZV" hidden="1">#REF!</definedName>
    <definedName name="BEx3J1VZVGTKT4ATPO9O5JCSFTTR" hidden="1">#REF!</definedName>
    <definedName name="BEx3JC2TY7JNAAC3L7QHVPQXLGQ8" hidden="1">#REF!</definedName>
    <definedName name="BEx3JIYZIVBGXQG29MDJG53D99D8" hidden="1">#REF!</definedName>
    <definedName name="BEx3JX23SYDIGOGM4Y0CQFBW8ZBV" hidden="1">#REF!</definedName>
    <definedName name="BEx3JXCXCVBZJGV5VEG9MJEI01AL" hidden="1">#REF!</definedName>
    <definedName name="BEx3JYK2N7X59TPJSKYZ77ENY8SS" hidden="1">#REF!</definedName>
    <definedName name="BEx3K4EII7GU1CG0BN7UL15M6J8Z" localSheetId="4" hidden="1">#REF!</definedName>
    <definedName name="BEx3K4EII7GU1CG0BN7UL15M6J8Z" localSheetId="7"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HFTUPUPZJH4ER0RQ5CMQ7ZC" localSheetId="4" hidden="1">#REF!</definedName>
    <definedName name="BEx3KHFTUPUPZJH4ER0RQ5CMQ7ZC" localSheetId="7" hidden="1">#REF!</definedName>
    <definedName name="BEx3KHFTUPUPZJH4ER0RQ5CMQ7ZC" hidden="1">#REF!</definedName>
    <definedName name="BEx3KIXQYOGMPK4WJJAVBRX4NR28" localSheetId="4" hidden="1">#REF!</definedName>
    <definedName name="BEx3KIXQYOGMPK4WJJAVBRX4NR28" localSheetId="7"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localSheetId="4" hidden="1">#REF!</definedName>
    <definedName name="BEx3L4YQ0J7ZU0M5QM6YIPCEYC9K" localSheetId="7" hidden="1">#REF!</definedName>
    <definedName name="BEx3L4YQ0J7ZU0M5QM6YIPCEYC9K" hidden="1">#REF!</definedName>
    <definedName name="BEx3L60DJOR7NQN42G7YSAODP1EX" hidden="1">#REF!</definedName>
    <definedName name="BEx3L7D0PI38HWZ7VADU16C9E33D" hidden="1">#REF!</definedName>
    <definedName name="BEx3LLANOTINBHAJ3AOID9T7Y05X" localSheetId="4" hidden="1">#REF!</definedName>
    <definedName name="BEx3LLANOTINBHAJ3AOID9T7Y05X" localSheetId="7" hidden="1">#REF!</definedName>
    <definedName name="BEx3LLANOTINBHAJ3AOID9T7Y05X" hidden="1">#REF!</definedName>
    <definedName name="BEx3LM1PR4Y7KINKMTMKR984GX8Q" hidden="1">#REF!</definedName>
    <definedName name="BEx3LPCEZ1C0XEKNCM3YT09JWCUO" hidden="1">#REF!</definedName>
    <definedName name="BEx3M1BZ3GQC6D7YTGDIT0JUJ9EC" localSheetId="4" hidden="1">#REF!</definedName>
    <definedName name="BEx3M1BZ3GQC6D7YTGDIT0JUJ9EC" localSheetId="7" hidden="1">#REF!</definedName>
    <definedName name="BEx3M1BZ3GQC6D7YTGDIT0JUJ9EC"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SAX474ABZKYQ7WBYQI19FN1" localSheetId="4" hidden="1">#REF!</definedName>
    <definedName name="BEx3MSAX474ABZKYQ7WBYQI19FN1" localSheetId="7" hidden="1">#REF!</definedName>
    <definedName name="BEx3MSAX474ABZKYQ7WBYQI19FN1" hidden="1">#REF!</definedName>
    <definedName name="BEx3N9JDP50MA4MMRXI6DO38SIEQ" localSheetId="4" hidden="1">#REF!</definedName>
    <definedName name="BEx3N9JDP50MA4MMRXI6DO38SIEQ" localSheetId="7" hidden="1">#REF!</definedName>
    <definedName name="BEx3N9JDP50MA4MMRXI6DO38SIEQ" hidden="1">#REF!</definedName>
    <definedName name="BEx3NBS83TP04EO9LQWM9XWO1JEV" localSheetId="4" hidden="1">#REF!</definedName>
    <definedName name="BEx3NBS83TP04EO9LQWM9XWO1JEV" localSheetId="7" hidden="1">#REF!</definedName>
    <definedName name="BEx3NBS83TP04EO9LQWM9XWO1JEV"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37KIVMTEXDNBMSQLK0KFCF6" localSheetId="4" hidden="1">#REF!</definedName>
    <definedName name="BEx3O37KIVMTEXDNBMSQLK0KFCF6" localSheetId="7" hidden="1">#REF!</definedName>
    <definedName name="BEx3O37KIVMTEXDNBMSQLK0KFCF6" hidden="1">#REF!</definedName>
    <definedName name="BEx3O85IKWARA6NCJOLRBRJFMEWW" localSheetId="4" hidden="1">#REF!</definedName>
    <definedName name="BEx3O85IKWARA6NCJOLRBRJFMEWW" localSheetId="7" hidden="1">#REF!</definedName>
    <definedName name="BEx3O85IKWARA6NCJOLRBRJFMEWW" hidden="1">#REF!</definedName>
    <definedName name="BEx3OJZSCGFRW7SVGBFI0X9DNVMM" hidden="1">#REF!</definedName>
    <definedName name="BEx3ORSBUXAF21MKEY90YJV9AY9A" hidden="1">#REF!</definedName>
    <definedName name="BEx3OV8BH6PYNZT7C246LOAU9SVX" hidden="1">#REF!</definedName>
    <definedName name="BEx3OVDR9BY1SBRX3I92LJ228GPZ" localSheetId="4" hidden="1">#REF!</definedName>
    <definedName name="BEx3OVDR9BY1SBRX3I92LJ228GPZ" localSheetId="7" hidden="1">#REF!</definedName>
    <definedName name="BEx3OVDR9BY1SBRX3I92LJ228GPZ"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5U1E8DSCYITLNZG4FG813OR" localSheetId="4" hidden="1">#REF!</definedName>
    <definedName name="BEx3Q5U1E8DSCYITLNZG4FG813OR" localSheetId="7" hidden="1">#REF!</definedName>
    <definedName name="BEx3Q5U1E8DSCYITLNZG4FG813OR"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OEY7IL4PZNO1XW0Q5KZ3BPA" hidden="1">#REF!</definedName>
    <definedName name="BEx3QPGNBFAPHNWN14HP5HGBZUHY" localSheetId="4" hidden="1">#REF!</definedName>
    <definedName name="BEx3QPGNBFAPHNWN14HP5HGBZUHY" localSheetId="7" hidden="1">#REF!</definedName>
    <definedName name="BEx3QPGNBFAPHNWN14HP5HGBZUHY"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6JNDZ5SKLXPE4E8AGJCT6XV" hidden="1">#REF!</definedName>
    <definedName name="BEx3R81NFRO7M81VHVKOBFT0QBIL" hidden="1">#REF!</definedName>
    <definedName name="BEx3RHC2ZD5UFS6QD4OPFCNNMWH1" localSheetId="4" hidden="1">#REF!</definedName>
    <definedName name="BEx3RHC2ZD5UFS6QD4OPFCNNMWH1" localSheetId="7"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6YJ4FSE6L232EC7JMBHL9LG" localSheetId="4" hidden="1">#REF!</definedName>
    <definedName name="BEx3S6YJ4FSE6L232EC7JMBHL9LG" localSheetId="7" hidden="1">#REF!</definedName>
    <definedName name="BEx3S6YJ4FSE6L232EC7JMBHL9LG"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2FG1ZY4WZBQSPCTC91YU2YJ" localSheetId="4" hidden="1">#REF!</definedName>
    <definedName name="BEx3T2FG1ZY4WZBQSPCTC91YU2YJ" localSheetId="7" hidden="1">#REF!</definedName>
    <definedName name="BEx3T2FG1ZY4WZBQSPCTC91YU2YJ" hidden="1">#REF!</definedName>
    <definedName name="BEx3T6H1GANMM2I05ZEVPCP6MRU2" localSheetId="4" hidden="1">#REF!</definedName>
    <definedName name="BEx3T6H1GANMM2I05ZEVPCP6MRU2" localSheetId="7" hidden="1">#REF!</definedName>
    <definedName name="BEx3T6H1GANMM2I05ZEVPCP6MRU2" hidden="1">#REF!</definedName>
    <definedName name="BEx3T6MJ1QDJ929WMUDVZ0O3UW0Y" hidden="1">#REF!</definedName>
    <definedName name="BEx3TL0EBCEEUJ1A7EWNJRIN2795" localSheetId="4" hidden="1">#REF!</definedName>
    <definedName name="BEx3TL0EBCEEUJ1A7EWNJRIN2795" localSheetId="7" hidden="1">#REF!</definedName>
    <definedName name="BEx3TL0EBCEEUJ1A7EWNJRIN2795"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M0THK7XHBY53ADQX650TQR3" localSheetId="4" hidden="1">#REF!</definedName>
    <definedName name="BEx3UM0THK7XHBY53ADQX650TQR3" localSheetId="7" hidden="1">#REF!</definedName>
    <definedName name="BEx3UM0THK7XHBY53ADQX650TQR3" hidden="1">#REF!</definedName>
    <definedName name="BEx3UO4CSA2W3UIZSAB83N5MOYUI" localSheetId="4" hidden="1">#REF!</definedName>
    <definedName name="BEx3UO4CSA2W3UIZSAB83N5MOYUI" localSheetId="7" hidden="1">#REF!</definedName>
    <definedName name="BEx3UO4CSA2W3UIZSAB83N5MOYUI" hidden="1">#REF!</definedName>
    <definedName name="BEx3UYM19VIXLA0EU7LB9NHA77PB" hidden="1">#REF!</definedName>
    <definedName name="BEx3VML7CG70HPISMVYIUEN3711Q" hidden="1">#REF!</definedName>
    <definedName name="BEx56ZID5H04P9AIYLP1OASFGV56" hidden="1">#REF!</definedName>
    <definedName name="BEx587EYSS57E3PI8DT973HLJM9E" hidden="1">#REF!</definedName>
    <definedName name="BEx587KFQ3VKCOCY1SA5F24PQGUI" hidden="1">#REF!</definedName>
    <definedName name="BEx589O00VWB2CRMRCLO3I5IX5HO" localSheetId="4" hidden="1">#REF!</definedName>
    <definedName name="BEx589O00VWB2CRMRCLO3I5IX5HO" localSheetId="7" hidden="1">#REF!</definedName>
    <definedName name="BEx589O00VWB2CRMRCLO3I5IX5HO" hidden="1">#REF!</definedName>
    <definedName name="BEx58O780PQ05NF0Z1SKKRB3N099" hidden="1">#REF!</definedName>
    <definedName name="BEx58XHO7ZULLF2EUD7YIS0MGQJ5" localSheetId="4" hidden="1">#REF!</definedName>
    <definedName name="BEx58XHO7ZULLF2EUD7YIS0MGQJ5" localSheetId="7" hidden="1">#REF!</definedName>
    <definedName name="BEx58XHO7ZULLF2EUD7YIS0MGQJ5" hidden="1">#REF!</definedName>
    <definedName name="BEx58ZW0HAIGIPEX9CVA1PQQTR6X" hidden="1">#REF!</definedName>
    <definedName name="BEx59AZ7IMWYQU6DW5MVTLDMFU8X" localSheetId="4" hidden="1">#REF!</definedName>
    <definedName name="BEx59AZ7IMWYQU6DW5MVTLDMFU8X" localSheetId="7" hidden="1">#REF!</definedName>
    <definedName name="BEx59AZ7IMWYQU6DW5MVTLDMFU8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localSheetId="4" hidden="1">#REF!</definedName>
    <definedName name="BEx5BHSQ42B50IU1TEQFUXFX9XQD" localSheetId="7"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localSheetId="4" hidden="1">#REF!</definedName>
    <definedName name="BEx5CFYQ0F1Z6P8SCVJ0I3UPVFE4" localSheetId="7" hidden="1">#REF!</definedName>
    <definedName name="BEx5CFYQ0F1Z6P8SCVJ0I3UPVFE4" hidden="1">#REF!</definedName>
    <definedName name="BEx5CKWQHHP966IXELUOVK2L3J48" localSheetId="4" hidden="1">#REF!</definedName>
    <definedName name="BEx5CKWQHHP966IXELUOVK2L3J48" localSheetId="7" hidden="1">#REF!</definedName>
    <definedName name="BEx5CKWQHHP966IXELUOVK2L3J48" hidden="1">#REF!</definedName>
    <definedName name="BEx5CPEKNSJORIPFQC2E1LTRYY8L" hidden="1">#REF!</definedName>
    <definedName name="BEx5CSUOL05D8PAM2TRDA9VRJT1O" hidden="1">#REF!</definedName>
    <definedName name="BEx5CUNFOO4YDFJ22HCMI2QKIGKM" hidden="1">#REF!</definedName>
    <definedName name="BEx5CWLOBFBDZZLDMZV6E0Z1VJA6" hidden="1">#REF!</definedName>
    <definedName name="BEx5D7U7MZFE0E9SNH9NX01XLKLP" localSheetId="4" hidden="1">#REF!</definedName>
    <definedName name="BEx5D7U7MZFE0E9SNH9NX01XLKLP" localSheetId="7" hidden="1">#REF!</definedName>
    <definedName name="BEx5D7U7MZFE0E9SNH9NX01XLKLP" hidden="1">#REF!</definedName>
    <definedName name="BEx5D8L47OF0WHBPFWXGZINZWUBZ" hidden="1">#REF!</definedName>
    <definedName name="BEx5DAJAHQ2SKUPCKSCR3PYML67L" hidden="1">#REF!</definedName>
    <definedName name="BEx5DAZEGUTH4C1FCHVO3EWOQDU3" localSheetId="4" hidden="1">#REF!</definedName>
    <definedName name="BEx5DAZEGUTH4C1FCHVO3EWOQDU3" localSheetId="7" hidden="1">#REF!</definedName>
    <definedName name="BEx5DAZEGUTH4C1FCHVO3EWOQDU3"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LQL9B0VR6UT18KP11DHOTFX" hidden="1">#REF!</definedName>
    <definedName name="BEx5ER4TJTFPN7IB1MNEB1ZFR5M6" hidden="1">#REF!</definedName>
    <definedName name="BEx5ERQE4JE8890QDCQFB0IMTC4I" localSheetId="4" hidden="1">#REF!</definedName>
    <definedName name="BEx5ERQE4JE8890QDCQFB0IMTC4I" localSheetId="7" hidden="1">#REF!</definedName>
    <definedName name="BEx5ERQE4JE8890QDCQFB0IMTC4I"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localSheetId="4" hidden="1">#REF!</definedName>
    <definedName name="BEx5FO8YRFSZCG3L608EHIHIHFY4" localSheetId="7"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localSheetId="4" hidden="1">#REF!</definedName>
    <definedName name="BEx5G1A8TFN4C4QII35U9DKYNIS8" localSheetId="7"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AVIL220VIPAKH02UYIUB7EU" localSheetId="4" hidden="1">#REF!</definedName>
    <definedName name="BEx5GAVIL220VIPAKH02UYIUB7EU" localSheetId="7" hidden="1">#REF!</definedName>
    <definedName name="BEx5GAVIL220VIPAKH02UYIUB7EU" hidden="1">#REF!</definedName>
    <definedName name="BEx5GID9MVBUPFFT9M8K8B5MO9NV" hidden="1">#REF!</definedName>
    <definedName name="BEx5GLD6CMDEYT8QI3HVPGEES2A5" localSheetId="4" hidden="1">#REF!</definedName>
    <definedName name="BEx5GLD6CMDEYT8QI3HVPGEES2A5" localSheetId="7" hidden="1">#REF!</definedName>
    <definedName name="BEx5GLD6CMDEYT8QI3HVPGEES2A5"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HZV4KY20K2E2E581QT80KGFL" localSheetId="4" hidden="1">#REF!</definedName>
    <definedName name="BEx5HZV4KY20K2E2E581QT80KGFL" localSheetId="7" hidden="1">#REF!</definedName>
    <definedName name="BEx5HZV4KY20K2E2E581QT80KGFL" hidden="1">#REF!</definedName>
    <definedName name="BEx5I244LQHZTF3XI66J8705R9XX" localSheetId="4" hidden="1">#REF!</definedName>
    <definedName name="BEx5I244LQHZTF3XI66J8705R9XX" localSheetId="7" hidden="1">#REF!</definedName>
    <definedName name="BEx5I244LQHZTF3XI66J8705R9XX" hidden="1">#REF!</definedName>
    <definedName name="BEx5I8PBP4LIXDGID5BP0THLO0AQ" localSheetId="4" hidden="1">#REF!</definedName>
    <definedName name="BEx5I8PBP4LIXDGID5BP0THLO0AQ" localSheetId="7"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FLNF3FADLCRC1334L3LVOSY" localSheetId="4" hidden="1">#REF!</definedName>
    <definedName name="BEx5IFLNF3FADLCRC1334L3LVOSY" localSheetId="7" hidden="1">#REF!</definedName>
    <definedName name="BEx5IFLNF3FADLCRC1334L3LVOSY" hidden="1">#REF!</definedName>
    <definedName name="BEx5J0FFP1KS4NGY20AEJI8VREEA" hidden="1">#REF!</definedName>
    <definedName name="BEx5JF3ZXLDIS8VNKDCY7ZI7H1CI" hidden="1">#REF!</definedName>
    <definedName name="BEx5JHCZJ8G6OOOW6EF3GABXKH6F" localSheetId="4" hidden="1">#REF!</definedName>
    <definedName name="BEx5JHCZJ8G6OOOW6EF3GABXKH6F" localSheetId="7" hidden="1">#REF!</definedName>
    <definedName name="BEx5JHCZJ8G6OOOW6EF3GABXKH6F" hidden="1">#REF!</definedName>
    <definedName name="BEx5JJB6W446THXQCRUKD3I7RKLP" hidden="1">#REF!</definedName>
    <definedName name="BEx5JNCT8Z7XSSPD5EMNAJELCU2V" localSheetId="4" hidden="1">#REF!</definedName>
    <definedName name="BEx5JNCT8Z7XSSPD5EMNAJELCU2V" localSheetId="7"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7A7V5B87CW37IBINCOQ134P" localSheetId="4" hidden="1">#REF!</definedName>
    <definedName name="BEx5K7A7V5B87CW37IBINCOQ134P" localSheetId="7" hidden="1">#REF!</definedName>
    <definedName name="BEx5K7A7V5B87CW37IBINCOQ134P" hidden="1">#REF!</definedName>
    <definedName name="BEx5KYER580I4T7WTLMUN7NLNP5K" hidden="1">#REF!</definedName>
    <definedName name="BEx5L4UOHIBIXCOOD5809ABRZ9A8" hidden="1">#REF!</definedName>
    <definedName name="BEx5LHLB3M6K4ZKY2F42QBZT30ZH" hidden="1">#REF!</definedName>
    <definedName name="BEx5LRMNU3HXIE1BUMDHRU31F7JJ" hidden="1">#REF!</definedName>
    <definedName name="BEx5LSJ1LPUAX3ENSPECWPG4J7D1" localSheetId="4" hidden="1">#REF!</definedName>
    <definedName name="BEx5LSJ1LPUAX3ENSPECWPG4J7D1" localSheetId="7" hidden="1">#REF!</definedName>
    <definedName name="BEx5LSJ1LPUAX3ENSPECWPG4J7D1" hidden="1">#REF!</definedName>
    <definedName name="BEx5LTKQ8RQWJE4BC88OP928893U" localSheetId="4" hidden="1">#REF!</definedName>
    <definedName name="BEx5LTKQ8RQWJE4BC88OP928893U" localSheetId="7" hidden="1">#REF!</definedName>
    <definedName name="BEx5LTKQ8RQWJE4BC88OP928893U" hidden="1">#REF!</definedName>
    <definedName name="BEx5MB9BR71LZDG7XXQ2EO58JC5F" hidden="1">#REF!</definedName>
    <definedName name="BEx5MLQZM68YQSKARVWTTPINFQ2C" localSheetId="4" hidden="1">#REF!</definedName>
    <definedName name="BEx5MLQZM68YQSKARVWTTPINFQ2C" localSheetId="7" hidden="1">#REF!</definedName>
    <definedName name="BEx5MLQZM68YQSKARVWTTPINFQ2C" hidden="1">#REF!</definedName>
    <definedName name="BEx5MVHOG4GCI4HKTOTP194VMNRA" localSheetId="4" hidden="1">#REF!</definedName>
    <definedName name="BEx5MVHOG4GCI4HKTOTP194VMNRA" localSheetId="7" hidden="1">#REF!</definedName>
    <definedName name="BEx5MVHOG4GCI4HKTOTP194VMNRA" hidden="1">#REF!</definedName>
    <definedName name="BEx5MVXTKNBXHNWTL43C670E4KXC" hidden="1">#REF!</definedName>
    <definedName name="BEx5N4XI4PWB1W9PMZ4O5R0HWTYD" hidden="1">#REF!</definedName>
    <definedName name="BEx5NA68N6FJFX9UJXK4M14U487F" hidden="1">#REF!</definedName>
    <definedName name="BEx5NIKBG2GDJOYGE3WCXKU7YY51" hidden="1">#REF!</definedName>
    <definedName name="BEx5NV06L5J5IMKGOMGKGJ4PBZCD" localSheetId="4" hidden="1">#REF!</definedName>
    <definedName name="BEx5NV06L5J5IMKGOMGKGJ4PBZCD" localSheetId="7" hidden="1">#REF!</definedName>
    <definedName name="BEx5NV06L5J5IMKGOMGKGJ4PBZCD" hidden="1">#REF!</definedName>
    <definedName name="BEx5NZSSQ6PY99ZX2D7Q9IGOR34W" hidden="1">#REF!</definedName>
    <definedName name="BEx5O3ZUQ2OARA1CDOZ3NC4UE5AA" hidden="1">#REF!</definedName>
    <definedName name="BEx5O8N0SPY10WRHN2NNGU5BUWPZ" localSheetId="4" hidden="1">#REF!</definedName>
    <definedName name="BEx5O8N0SPY10WRHN2NNGU5BUWPZ" localSheetId="7" hidden="1">#REF!</definedName>
    <definedName name="BEx5O8N0SPY10WRHN2NNGU5BUWPZ"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FOW04FOAHD3W8FOXUQCGEE0" hidden="1">#REF!</definedName>
    <definedName name="BEx74Q6H3O7133AWQXWC21MI2UFT" hidden="1">#REF!</definedName>
    <definedName name="BEx74SQ5R0VH9X24PI4DADFFLZ9N" localSheetId="4" hidden="1">#REF!</definedName>
    <definedName name="BEx74SQ5R0VH9X24PI4DADFFLZ9N" localSheetId="7" hidden="1">#REF!</definedName>
    <definedName name="BEx74SQ5R0VH9X24PI4DADFFLZ9N" hidden="1">#REF!</definedName>
    <definedName name="BEx74W6BJ8ENO3J25WNM5H5APKA3" localSheetId="4" hidden="1">#REF!</definedName>
    <definedName name="BEx74W6BJ8ENO3J25WNM5H5APKA3" localSheetId="7"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M8YU9VISUVICOSCP5YAMZPI" localSheetId="4" hidden="1">#REF!</definedName>
    <definedName name="BEx75M8YU9VISUVICOSCP5YAMZPI" localSheetId="7" hidden="1">#REF!</definedName>
    <definedName name="BEx75M8YU9VISUVICOSCP5YAMZPI" hidden="1">#REF!</definedName>
    <definedName name="BEx75PZT8TY5P13U978NVBUXKHT4" hidden="1">#REF!</definedName>
    <definedName name="BEx75T55F7GML8V1DMWL26WRT006" hidden="1">#REF!</definedName>
    <definedName name="BEx75VJGR07JY6UUWURQ4PJ29UKC" hidden="1">#REF!</definedName>
    <definedName name="BEx76SNOC6R18OVRQYBQ0JGPW2Z7" localSheetId="4" hidden="1">#REF!</definedName>
    <definedName name="BEx76SNOC6R18OVRQYBQ0JGPW2Z7" localSheetId="7" hidden="1">#REF!</definedName>
    <definedName name="BEx76SNOC6R18OVRQYBQ0JGPW2Z7" hidden="1">#REF!</definedName>
    <definedName name="BEx771SMWJDAFC6Y4FKDDGEFBQ4W" localSheetId="4" hidden="1">#REF!</definedName>
    <definedName name="BEx771SMWJDAFC6Y4FKDDGEFBQ4W" localSheetId="7" hidden="1">#REF!</definedName>
    <definedName name="BEx771SMWJDAFC6Y4FKDDGEFBQ4W"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KOE3LX3JOLFV1E0VZZVCULJ" localSheetId="4" hidden="1">#REF!</definedName>
    <definedName name="BEx77KOE3LX3JOLFV1E0VZZVCULJ" localSheetId="7" hidden="1">#REF!</definedName>
    <definedName name="BEx77KOE3LX3JOLFV1E0VZZVCULJ"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JK3E6JO8MX4O35A5G8NZCC8" hidden="1">#REF!</definedName>
    <definedName name="BEx79LCTDQFKD1KV7R8NW15KLAFT" localSheetId="4" hidden="1">#REF!</definedName>
    <definedName name="BEx79LCTDQFKD1KV7R8NW15KLAFT" localSheetId="7" hidden="1">#REF!</definedName>
    <definedName name="BEx79LCTDQFKD1KV7R8NW15KLAFT" hidden="1">#REF!</definedName>
    <definedName name="BEx79OCP4HQ6XP8EWNGEUDLOZBBS" hidden="1">#REF!</definedName>
    <definedName name="BEx79SEAYKUZB0H4LYBCD6WWJBG2" hidden="1">#REF!</definedName>
    <definedName name="BEx79SJRHTLS9PYM69O9BWW1FMJK" hidden="1">#REF!</definedName>
    <definedName name="BEx79YJJLBELICW9F9FRYSCQ101L" localSheetId="4" hidden="1">#REF!</definedName>
    <definedName name="BEx79YJJLBELICW9F9FRYSCQ101L" localSheetId="7" hidden="1">#REF!</definedName>
    <definedName name="BEx79YJJLBELICW9F9FRYSCQ101L" hidden="1">#REF!</definedName>
    <definedName name="BEx79YUC7B0V77FSBGIRCY1BR4VK" hidden="1">#REF!</definedName>
    <definedName name="BEx7A06T3RC2891FUX05G3QPRAUE" localSheetId="4" hidden="1">#REF!</definedName>
    <definedName name="BEx7A06T3RC2891FUX05G3QPRAUE" localSheetId="7" hidden="1">#REF!</definedName>
    <definedName name="BEx7A06T3RC2891FUX05G3QPRAUE" hidden="1">#REF!</definedName>
    <definedName name="BEx7A4ZGTC3XLZR6M7XK0UX2T49X" localSheetId="4" hidden="1">#REF!</definedName>
    <definedName name="BEx7A4ZGTC3XLZR6M7XK0UX2T49X" localSheetId="7" hidden="1">#REF!</definedName>
    <definedName name="BEx7A4ZGTC3XLZR6M7XK0UX2T49X" hidden="1">#REF!</definedName>
    <definedName name="BEx7A9S3JA1X7FH4CFSQLTZC4691" hidden="1">#REF!</definedName>
    <definedName name="BEx7ABA2C9IWH5VSLVLLLCY62161" hidden="1">#REF!</definedName>
    <definedName name="BEx7ABKU462F6424CGX2QB38TAZN" hidden="1">#REF!</definedName>
    <definedName name="BEx7AE4LPLX8N85BYB0WCO5S7ZPV" hidden="1">#REF!</definedName>
    <definedName name="BEx7ASD1I654MEDCO6GGWA95PXSC" localSheetId="4" hidden="1">#REF!</definedName>
    <definedName name="BEx7ASD1I654MEDCO6GGWA95PXSC" localSheetId="7" hidden="1">#REF!</definedName>
    <definedName name="BEx7ASD1I654MEDCO6GGWA95PXSC" hidden="1">#REF!</definedName>
    <definedName name="BEx7AVCX9S5RJP3NSZ4QM4E6ERDT" localSheetId="4" hidden="1">#REF!</definedName>
    <definedName name="BEx7AVCX9S5RJP3NSZ4QM4E6ERDT" localSheetId="7" hidden="1">#REF!</definedName>
    <definedName name="BEx7AVCX9S5RJP3NSZ4QM4E6ERDT"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localSheetId="4" hidden="1">#REF!</definedName>
    <definedName name="BEx7CO8T2XKC7GHDSYNAWTZ9L7YR" localSheetId="7"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localSheetId="4" hidden="1">#REF!</definedName>
    <definedName name="BEx7E2QT2U8THYOKBPXONB1B47WH" localSheetId="7" hidden="1">#REF!</definedName>
    <definedName name="BEx7E2QT2U8THYOKBPXONB1B47WH" hidden="1">#REF!</definedName>
    <definedName name="BEx7E5QP7W6UKO74F5Y0VJ741HS5" hidden="1">#REF!</definedName>
    <definedName name="BEx7E66XF797M3VAMVIZK8WXZGRE" localSheetId="4" hidden="1">#REF!</definedName>
    <definedName name="BEx7E66XF797M3VAMVIZK8WXZGRE" localSheetId="7" hidden="1">#REF!</definedName>
    <definedName name="BEx7E66XF797M3VAMVIZK8WXZGRE" hidden="1">#REF!</definedName>
    <definedName name="BEx7E6N29HGH3I47AFB2DCS6MVS6" hidden="1">#REF!</definedName>
    <definedName name="BEx7EBA8IYHQKT7IQAOAML660SYA" hidden="1">#REF!</definedName>
    <definedName name="BEx7EI6C8MCRZFEQYUBE5FSUTIHK" hidden="1">#REF!</definedName>
    <definedName name="BEx7EI6DL1Z6UWLFBXAKVGZTKHWJ" localSheetId="4" hidden="1">#REF!</definedName>
    <definedName name="BEx7EI6DL1Z6UWLFBXAKVGZTKHWJ" localSheetId="7" hidden="1">#REF!</definedName>
    <definedName name="BEx7EI6DL1Z6UWLFBXAKVGZTKHWJ" hidden="1">#REF!</definedName>
    <definedName name="BEx7EQKHX7GZYOLXRDU534TT4H64" hidden="1">#REF!</definedName>
    <definedName name="BEx7ERM6499BJKCAJ9DPN8MU140B" hidden="1">#REF!</definedName>
    <definedName name="BEx7ETV6L1TM7JSXJIGK3FC6RVZW" hidden="1">#REF!</definedName>
    <definedName name="BEx7EYYLHMBYQTH6I377FCQS7CSX" hidden="1">#REF!</definedName>
    <definedName name="BEx7FCLG1RYI2SNOU1Y2GQZNZSWA" hidden="1">#REF!</definedName>
    <definedName name="BEx7FD1P2YDISQM4TTRYZB37K00O" hidden="1">#REF!</definedName>
    <definedName name="BEx7FN32ZGWOAA4TTH79KINTDWR9" hidden="1">#REF!</definedName>
    <definedName name="BEx7FOFQ7MR21UZFTP7X4HI7UWRR" localSheetId="4" hidden="1">#REF!</definedName>
    <definedName name="BEx7FOFQ7MR21UZFTP7X4HI7UWRR" localSheetId="7" hidden="1">#REF!</definedName>
    <definedName name="BEx7FOFQ7MR21UZFTP7X4HI7UWRR" hidden="1">#REF!</definedName>
    <definedName name="BEx7G82CKM3NIY1PHNFK28M09PCH" hidden="1">#REF!</definedName>
    <definedName name="BEx7GR3ENYWRXXS5IT0UMEGOLGUH" hidden="1">#REF!</definedName>
    <definedName name="BEx7GSAL6P7TASL8MB63RFST1LJL" hidden="1">#REF!</definedName>
    <definedName name="BEx7GTN79OJWGSCA62UELE41F0A6" hidden="1">#REF!</definedName>
    <definedName name="BEx7H0JD6I5I8WQLLWOYWY5YWPQE" hidden="1">#REF!</definedName>
    <definedName name="BEx7H14XCXH7WEXEY1HVO53A6AGH" hidden="1">#REF!</definedName>
    <definedName name="BEx7HGVBEF4LEIF6RC14N3PSU461" hidden="1">#REF!</definedName>
    <definedName name="BEx7HL7W9TZ7FC8JOMGNE06BJAQG" localSheetId="4" hidden="1">#REF!</definedName>
    <definedName name="BEx7HL7W9TZ7FC8JOMGNE06BJAQG" localSheetId="7" hidden="1">#REF!</definedName>
    <definedName name="BEx7HL7W9TZ7FC8JOMGNE06BJAQG" hidden="1">#REF!</definedName>
    <definedName name="BEx7HQ5T9FZ42QWS09UO4DT42Y0R" hidden="1">#REF!</definedName>
    <definedName name="BEx7HRCZE3CVGON1HV07MT5MNDZ3" hidden="1">#REF!</definedName>
    <definedName name="BEx7HWGE2CANG5M17X4C8YNC3N8F" hidden="1">#REF!</definedName>
    <definedName name="BEx7IBVYN47SFZIA0K4MDKQZNN9V"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JW2YB57L6MPYI5CXCAC5VO24" localSheetId="4" hidden="1">#REF!</definedName>
    <definedName name="BEx7JW2YB57L6MPYI5CXCAC5VO24" localSheetId="7" hidden="1">#REF!</definedName>
    <definedName name="BEx7JW2YB57L6MPYI5CXCAC5VO24"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5C6U8MP6IZ67BD649WQYJEK" hidden="1">#REF!</definedName>
    <definedName name="BEx7L8HEYEVTATR0OG5JJO647KNI" hidden="1">#REF!</definedName>
    <definedName name="BEx7L8XOV64OMS15ZFURFEUXLMWF" hidden="1">#REF!</definedName>
    <definedName name="BEx7LRNWHYRP8KY04FDJ7BHTLOMC" localSheetId="4" hidden="1">#REF!</definedName>
    <definedName name="BEx7LRNWHYRP8KY04FDJ7BHTLOMC" localSheetId="7" hidden="1">#REF!</definedName>
    <definedName name="BEx7LRNWHYRP8KY04FDJ7BHTLOMC" hidden="1">#REF!</definedName>
    <definedName name="BEx7MAUI1JJFDIJGDW4RWY5384LY" hidden="1">#REF!</definedName>
    <definedName name="BEx7MJZO3UKAMJ53UWOJ5ZD4GGMQ" hidden="1">#REF!</definedName>
    <definedName name="BEx7MT4MFNXIVQGAT6D971GZW7CA" hidden="1">#REF!</definedName>
    <definedName name="BEx7NFB22WBK00BOG2H7GYRN05R1" hidden="1">#REF!</definedName>
    <definedName name="BEx7NI062THZAM6I8AJWTFJL91CS" hidden="1">#REF!</definedName>
    <definedName name="BEx8ZRLGUR6D7DSDJNOT3MGNPIHT" localSheetId="4" hidden="1">#REF!</definedName>
    <definedName name="BEx8ZRLGUR6D7DSDJNOT3MGNPIHT" localSheetId="7" hidden="1">#REF!</definedName>
    <definedName name="BEx8ZRLGUR6D7DSDJNOT3MGNPIHT" hidden="1">#REF!</definedName>
    <definedName name="BEx900ACZ0V1VYSC0W43QEUHOVZS" hidden="1">#REF!</definedName>
    <definedName name="BEx904S75BPRYMHF0083JF7ES4NG" hidden="1">#REF!</definedName>
    <definedName name="BEx90HDD4RWF7JZGA8GCGG7D63MG" hidden="1">#REF!</definedName>
    <definedName name="BEx90LPR7EPY9B2HQPUT8UY7S0EO"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localSheetId="4" hidden="1">#REF!</definedName>
    <definedName name="BEx91QH5JRZKQP1GPN2SQMR3CKAG" localSheetId="7" hidden="1">#REF!</definedName>
    <definedName name="BEx91QH5JRZKQP1GPN2SQMR3CKAG" hidden="1">#REF!</definedName>
    <definedName name="BEx91ROALDNHO7FI4X8L61RH4UJE" localSheetId="4" hidden="1">#REF!</definedName>
    <definedName name="BEx91ROALDNHO7FI4X8L61RH4UJE" localSheetId="7"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6YKM8TTG7PUO1UYIDCBXTWU" localSheetId="4" hidden="1">#REF!</definedName>
    <definedName name="BEx926YKM8TTG7PUO1UYIDCBXTWU" localSheetId="7" hidden="1">#REF!</definedName>
    <definedName name="BEx926YKM8TTG7PUO1UYIDCBXTWU"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JZTWI2NV5R3DXEP4NS1NVLT" hidden="1">#REF!</definedName>
    <definedName name="BEx92PUBDIXAU1FW5ZAXECMAU0LN" hidden="1">#REF!</definedName>
    <definedName name="BEx92S8MHFFIVRQ2YSHZNQGOFUHD" hidden="1">#REF!</definedName>
    <definedName name="BEx92VOMR5U4BPW19GODTNNQPLQS" localSheetId="4" hidden="1">#REF!</definedName>
    <definedName name="BEx92VOMR5U4BPW19GODTNNQPLQS" localSheetId="7" hidden="1">#REF!</definedName>
    <definedName name="BEx92VOMR5U4BPW19GODTNNQPLQS" hidden="1">#REF!</definedName>
    <definedName name="BEx92YOIWN6IEUE1U85XCO40QLR1" localSheetId="4" hidden="1">#REF!</definedName>
    <definedName name="BEx92YOIWN6IEUE1U85XCO40QLR1" localSheetId="7" hidden="1">#REF!</definedName>
    <definedName name="BEx92YOIWN6IEUE1U85XCO40QLR1"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3YY393Z5DLMHRK8KZL5903S3" localSheetId="4" hidden="1">#REF!</definedName>
    <definedName name="BEx93YY393Z5DLMHRK8KZL5903S3" localSheetId="7" hidden="1">#REF!</definedName>
    <definedName name="BEx93YY393Z5DLMHRK8KZL5903S3" hidden="1">#REF!</definedName>
    <definedName name="BEx942UCRHMI4B0US31HO95GSC2X" hidden="1">#REF!</definedName>
    <definedName name="BEx948ZFFQWVIDNG4AZAUGGGEB5U" hidden="1">#REF!</definedName>
    <definedName name="BEx94CKXG92OMURH41SNU6IOHK4J" localSheetId="4" hidden="1">#REF!</definedName>
    <definedName name="BEx94CKXG92OMURH41SNU6IOHK4J" localSheetId="7" hidden="1">#REF!</definedName>
    <definedName name="BEx94CKXG92OMURH41SNU6IOHK4J" hidden="1">#REF!</definedName>
    <definedName name="BEx94GXG30CIVB6ZQN3X3IK6BZXQ" localSheetId="4" hidden="1">#REF!</definedName>
    <definedName name="BEx94GXG30CIVB6ZQN3X3IK6BZXQ" localSheetId="7" hidden="1">#REF!</definedName>
    <definedName name="BEx94GXG30CIVB6ZQN3X3IK6BZXQ" hidden="1">#REF!</definedName>
    <definedName name="BEx94HZ5LURYM9ST744ALV6ZCKYP" localSheetId="4" hidden="1">#REF!</definedName>
    <definedName name="BEx94HZ5LURYM9ST744ALV6ZCKYP" localSheetId="7" hidden="1">#REF!</definedName>
    <definedName name="BEx94HZ5LURYM9ST744ALV6ZCKYP" hidden="1">#REF!</definedName>
    <definedName name="BEx94IQ75E90YUMWJ9N591LR7DQQ" localSheetId="4" hidden="1">#REF!</definedName>
    <definedName name="BEx94IQ75E90YUMWJ9N591LR7DQQ" localSheetId="7" hidden="1">#REF!</definedName>
    <definedName name="BEx94IQ75E90YUMWJ9N591LR7DQQ" hidden="1">#REF!</definedName>
    <definedName name="BEx94N7W5T3U7UOE97D6OVIBUCXS" hidden="1">#REF!</definedName>
    <definedName name="BEx94XK7HTOCAI9XPVFSIIW2YKUT" localSheetId="4" hidden="1">#REF!</definedName>
    <definedName name="BEx94XK7HTOCAI9XPVFSIIW2YKUT" localSheetId="7" hidden="1">#REF!</definedName>
    <definedName name="BEx94XK7HTOCAI9XPVFSIIW2YKUT" hidden="1">#REF!</definedName>
    <definedName name="BEx955NIAWX5OLAHMTV6QFUZPR30" localSheetId="4" hidden="1">#REF!</definedName>
    <definedName name="BEx955NIAWX5OLAHMTV6QFUZPR30" localSheetId="7"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602K2GHNBUEUVT9ONRQU1GMD" hidden="1">#REF!</definedName>
    <definedName name="BEx962BL3Y4LA53EBYI64ZYMZE8U" hidden="1">#REF!</definedName>
    <definedName name="BEx96DPEANYPFX7M8LZ2UWJN17P5" localSheetId="4" hidden="1">#REF!</definedName>
    <definedName name="BEx96DPEANYPFX7M8LZ2UWJN17P5" localSheetId="7" hidden="1">#REF!</definedName>
    <definedName name="BEx96DPEANYPFX7M8LZ2UWJN17P5" hidden="1">#REF!</definedName>
    <definedName name="BEx96JP7X7K0JLFXG5H49RXRME5R" localSheetId="4" hidden="1">#REF!</definedName>
    <definedName name="BEx96JP7X7K0JLFXG5H49RXRME5R" localSheetId="7" hidden="1">#REF!</definedName>
    <definedName name="BEx96JP7X7K0JLFXG5H49RXRME5R" hidden="1">#REF!</definedName>
    <definedName name="BEx96KR21O7H9R29TN0S45Y3QPUK" hidden="1">#REF!</definedName>
    <definedName name="BEx96SUFKHHFE8XQ6UUO6ILDOXHO" hidden="1">#REF!</definedName>
    <definedName name="BEx96UN4YWXBDEZ1U1ZUIPP41Z7I" hidden="1">#REF!</definedName>
    <definedName name="BEx978KSD61YJH3S9DGO050R2EHA" hidden="1">#REF!</definedName>
    <definedName name="BEx97H9O1NAKAPK4MX4PKO34ICL5" hidden="1">#REF!</definedName>
    <definedName name="BEx97MNUZQ1Z0AO2FL7XQYVNCPR7" hidden="1">#REF!</definedName>
    <definedName name="BEx97NPQBACJVD9K1YXI08RTW9E2" localSheetId="4" hidden="1">#REF!</definedName>
    <definedName name="BEx97NPQBACJVD9K1YXI08RTW9E2" localSheetId="7" hidden="1">#REF!</definedName>
    <definedName name="BEx97NPQBACJVD9K1YXI08RTW9E2" hidden="1">#REF!</definedName>
    <definedName name="BEx97O0DV0K9YPP91QBJAT6MS3RD" localSheetId="4" hidden="1">#REF!</definedName>
    <definedName name="BEx97O0DV0K9YPP91QBJAT6MS3RD" localSheetId="7" hidden="1">#REF!</definedName>
    <definedName name="BEx97O0DV0K9YPP91QBJAT6MS3RD" hidden="1">#REF!</definedName>
    <definedName name="BEx97RWQLXS0OORDCN69IGA58CWU" hidden="1">#REF!</definedName>
    <definedName name="BEx97YNGGDFIXHTMGFL2IHAQX9MI" hidden="1">#REF!</definedName>
    <definedName name="BEx980G6OO93SXIQ4H0NMENRJJHQ" hidden="1">#REF!</definedName>
    <definedName name="BEx981HW73BUZWT14TBTZHC0ZTJ4" hidden="1">#REF!</definedName>
    <definedName name="BEx9871KU0N99P0900EAK69VFYT2" hidden="1">#REF!</definedName>
    <definedName name="BEx98IFKNJFGZFLID1YTRFEG1SXY" hidden="1">#REF!</definedName>
    <definedName name="BEx98KZ7LNKCVOT9D2LOYY4QBVY3" localSheetId="4" hidden="1">#REF!</definedName>
    <definedName name="BEx98KZ7LNKCVOT9D2LOYY4QBVY3" localSheetId="7" hidden="1">#REF!</definedName>
    <definedName name="BEx98KZ7LNKCVOT9D2LOYY4QBVY3" hidden="1">#REF!</definedName>
    <definedName name="BEx98VGU9QUYP1365CXZRT20O3L4" localSheetId="4" hidden="1">#REF!</definedName>
    <definedName name="BEx98VGU9QUYP1365CXZRT20O3L4" localSheetId="7" hidden="1">#REF!</definedName>
    <definedName name="BEx98VGU9QUYP1365CXZRT20O3L4"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UDROAK28GWTG7FXE0N78XYN" hidden="1">#REF!</definedName>
    <definedName name="BEx99WBYT2D6UUC1PT7A40ENYID4" hidden="1">#REF!</definedName>
    <definedName name="BEx99ZRZ4I7FHDPGRAT5VW7NVBPU" hidden="1">#REF!</definedName>
    <definedName name="BEx9AT5E3ZSHKSOL35O38L8HF9TH" hidden="1">#REF!</definedName>
    <definedName name="BEx9AV8W1FAWF5BHATYEN47X12JN" hidden="1">#REF!</definedName>
    <definedName name="BEx9B8A5186FNTQQNLIO5LK02ABI" localSheetId="4" hidden="1">#REF!</definedName>
    <definedName name="BEx9B8A5186FNTQQNLIO5LK02ABI" localSheetId="7"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HDIFZFPSM1WYA3RHQ0G9I" localSheetId="4" hidden="1">#REF!</definedName>
    <definedName name="BEx9BAOHDIFZFPSM1WYA3RHQ0G9I" localSheetId="7" hidden="1">#REF!</definedName>
    <definedName name="BEx9BAOHDIFZFPSM1WYA3RHQ0G9I" hidden="1">#REF!</definedName>
    <definedName name="BEx9BYSYW7QCPXS2NAVLFAU5Y2Z2" hidden="1">#REF!</definedName>
    <definedName name="BEx9C590HJ2O31IWJB73C1HR74AI" hidden="1">#REF!</definedName>
    <definedName name="BEx9CCQRMYYOGIOYTOM73VKDIPS1" hidden="1">#REF!</definedName>
    <definedName name="BEx9D1BC9FT19KY0INAABNDBAMR1" hidden="1">#REF!</definedName>
    <definedName name="BEx9DN6ZMF18Q39MPMXSDJTZQNJ3" hidden="1">#REF!</definedName>
    <definedName name="BEx9E14TDNSEMI784W0OTIEQMWN6" hidden="1">#REF!</definedName>
    <definedName name="BEx9E2BZ2B1R41FMGJCJ7JLGLUAJ" hidden="1">#REF!</definedName>
    <definedName name="BEx9EG9KBJ77M8LEOR9ITOKN5KXY" hidden="1">#REF!</definedName>
    <definedName name="BEx9ELT9J5NDVVY4N2UDXPELXQC3"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OA9AZX8DJGLEVWAJIIXRVFO" hidden="1">#REF!</definedName>
    <definedName name="BEx9GTJ6YTNR09A1J3DJOTVV6SGI"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LP8FC22WFQ6C2PNR5A9187F" localSheetId="4" hidden="1">#REF!</definedName>
    <definedName name="BEx9HLP8FC22WFQ6C2PNR5A9187F" localSheetId="7" hidden="1">#REF!</definedName>
    <definedName name="BEx9HLP8FC22WFQ6C2PNR5A9187F" hidden="1">#REF!</definedName>
    <definedName name="BEx9HZ1G1J0CB5PC45ZW4S9Q4EFY" localSheetId="4" hidden="1">#REF!</definedName>
    <definedName name="BEx9HZ1G1J0CB5PC45ZW4S9Q4EFY" localSheetId="7" hidden="1">#REF!</definedName>
    <definedName name="BEx9HZ1G1J0CB5PC45ZW4S9Q4EFY" hidden="1">#REF!</definedName>
    <definedName name="BEx9I8XIG7E5NB48QQHXP23FIN60" hidden="1">#REF!</definedName>
    <definedName name="BEx9IQRF01ATLVK0YE60ARKQJ68L" hidden="1">#REF!</definedName>
    <definedName name="BEx9IT5QNZWKM6YQ5WER0DC2PMMU" hidden="1">#REF!</definedName>
    <definedName name="BEx9IW5MFLXTVCJHVUZTUH93AXOS" localSheetId="4" hidden="1">#REF!</definedName>
    <definedName name="BEx9IW5MFLXTVCJHVUZTUH93AXOS" localSheetId="7" hidden="1">#REF!</definedName>
    <definedName name="BEx9IW5MFLXTVCJHVUZTUH93AXOS" hidden="1">#REF!</definedName>
    <definedName name="BEx9IXCSPSZC80YZUPRCYTG326KV" hidden="1">#REF!</definedName>
    <definedName name="BEx9IZR39NHDGOM97H4E6F81RTQW" hidden="1">#REF!</definedName>
    <definedName name="BEx9J6CH5E7YZPER7HXEIOIKGPCA" localSheetId="4" hidden="1">#REF!</definedName>
    <definedName name="BEx9J6CH5E7YZPER7HXEIOIKGPCA" localSheetId="7" hidden="1">#REF!</definedName>
    <definedName name="BEx9J6CH5E7YZPER7HXEIOIKGPCA" hidden="1">#REF!</definedName>
    <definedName name="BEx9JJTZKVUJAVPTRE0RAVTEH41G" hidden="1">#REF!</definedName>
    <definedName name="BEx9JLBYK239B3F841C7YG1GT7ST" localSheetId="4" hidden="1">#REF!</definedName>
    <definedName name="BEx9JLBYK239B3F841C7YG1GT7ST" localSheetId="7" hidden="1">#REF!</definedName>
    <definedName name="BEx9JLBYK239B3F841C7YG1GT7ST" hidden="1">#REF!</definedName>
    <definedName name="BEx9KLW9GH3AS7L6X2QVYRX4MP47" localSheetId="4" hidden="1">#REF!</definedName>
    <definedName name="BEx9KLW9GH3AS7L6X2QVYRX4MP47" localSheetId="7" hidden="1">#REF!</definedName>
    <definedName name="BEx9KLW9GH3AS7L6X2QVYRX4MP47" hidden="1">#REF!</definedName>
    <definedName name="BExAW4IIW5D0MDY6TJ3G4FOLPYIR" hidden="1">#REF!</definedName>
    <definedName name="BExAWEPCKLF5GHCVH6O4GKOE0SW1" hidden="1">#REF!</definedName>
    <definedName name="BExAX28937OH2SJJ980WOFXSWR07" hidden="1">#REF!</definedName>
    <definedName name="BExAX410NB4F2XOB84OR2197H8M5" localSheetId="4" hidden="1">#REF!</definedName>
    <definedName name="BExAX410NB4F2XOB84OR2197H8M5" localSheetId="7" hidden="1">#REF!</definedName>
    <definedName name="BExAX410NB4F2XOB84OR2197H8M5" hidden="1">#REF!</definedName>
    <definedName name="BExAX8TNG8LQ5Q4904SAYQIPGBSV" hidden="1">#REF!</definedName>
    <definedName name="BExAXH2FJ8S1SX2XRI17ZABSFERB" localSheetId="4" hidden="1">#REF!</definedName>
    <definedName name="BExAXH2FJ8S1SX2XRI17ZABSFERB" localSheetId="7" hidden="1">#REF!</definedName>
    <definedName name="BExAXH2FJ8S1SX2XRI17ZABSFERB" hidden="1">#REF!</definedName>
    <definedName name="BExAY0EAT2LXR5MFGM0DLIB45PLO" hidden="1">#REF!</definedName>
    <definedName name="BExAYDA8H0HQ51AQDS0QEQS4IUSJ" localSheetId="4" hidden="1">#REF!</definedName>
    <definedName name="BExAYDA8H0HQ51AQDS0QEQS4IUSJ" localSheetId="7" hidden="1">#REF!</definedName>
    <definedName name="BExAYDA8H0HQ51AQDS0QEQS4IUSJ" hidden="1">#REF!</definedName>
    <definedName name="BExAYE6LNIEBR9DSNI5JGNITGKIT" hidden="1">#REF!</definedName>
    <definedName name="BExAYHMLXGGO25P8HYB2S75DEB4F" hidden="1">#REF!</definedName>
    <definedName name="BExAYHXJ3CVLPZX5R6UR0U1MNDXJ"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localSheetId="4" hidden="1">#REF!</definedName>
    <definedName name="BExB072HHXVMUC0VYNGG48GRSH5Q" localSheetId="7"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713OG4CGOEQ7O0FXSI2FQWZ" localSheetId="4" hidden="1">#REF!</definedName>
    <definedName name="BExB1713OG4CGOEQ7O0FXSI2FQWZ" localSheetId="7" hidden="1">#REF!</definedName>
    <definedName name="BExB1713OG4CGOEQ7O0FXSI2FQWZ" hidden="1">#REF!</definedName>
    <definedName name="BExB1FKNY2UO4W5FUGFHJOA2WFGG" localSheetId="4" hidden="1">#REF!</definedName>
    <definedName name="BExB1FKNY2UO4W5FUGFHJOA2WFGG" localSheetId="7" hidden="1">#REF!</definedName>
    <definedName name="BExB1FKNY2UO4W5FUGFHJOA2WFGG" hidden="1">#REF!</definedName>
    <definedName name="BExB1GMD0PIDGTFBGQOPRWQSP9I4" localSheetId="4" hidden="1">#REF!</definedName>
    <definedName name="BExB1GMD0PIDGTFBGQOPRWQSP9I4" localSheetId="7" hidden="1">#REF!</definedName>
    <definedName name="BExB1GMD0PIDGTFBGQOPRWQSP9I4" hidden="1">#REF!</definedName>
    <definedName name="BExB1PWZDAO1V9N18MU22F75P6Y5" hidden="1">#REF!</definedName>
    <definedName name="BExB1Q29OO6LNFNT1EQLA3KYE7MX" hidden="1">#REF!</definedName>
    <definedName name="BExB1TNRV5EBWZEHYLHI76T0FVA7" hidden="1">#REF!</definedName>
    <definedName name="BExB1WI6M8I0EEP1ANUQZCFY24EV" localSheetId="4" hidden="1">#REF!</definedName>
    <definedName name="BExB1WI6M8I0EEP1ANUQZCFY24EV" localSheetId="7" hidden="1">#REF!</definedName>
    <definedName name="BExB1WI6M8I0EEP1ANUQZCFY24EV" hidden="1">#REF!</definedName>
    <definedName name="BExB1Z7GTT7CR0FJMG7GTKH7A4KN"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localSheetId="4" hidden="1">#REF!</definedName>
    <definedName name="BExB2Q0VJ0MU2URO3JOVUAVHEI3V" localSheetId="7" hidden="1">#REF!</definedName>
    <definedName name="BExB2Q0VJ0MU2URO3JOVUAVHEI3V" hidden="1">#REF!</definedName>
    <definedName name="BExB2TBPD6APUT2TO3BGE6IU9G7C" hidden="1">#REF!</definedName>
    <definedName name="BExB2TRVKQUUYWEZA4GM0V7NE7IX" localSheetId="4" hidden="1">#REF!</definedName>
    <definedName name="BExB2TRVKQUUYWEZA4GM0V7NE7IX" localSheetId="7" hidden="1">#REF!</definedName>
    <definedName name="BExB2TRVKQUUYWEZA4GM0V7NE7IX" hidden="1">#REF!</definedName>
    <definedName name="BExB30IP1DNKNQ6PZ5ERUGR5MK4Z" hidden="1">#REF!</definedName>
    <definedName name="BExB42VLHX3FLYCON9QDRE70MBLO" localSheetId="4" hidden="1">#REF!</definedName>
    <definedName name="BExB42VLHX3FLYCON9QDRE70MBLO" localSheetId="7" hidden="1">#REF!</definedName>
    <definedName name="BExB42VLHX3FLYCON9QDRE70MBLO" hidden="1">#REF!</definedName>
    <definedName name="BExB442RX0T3L6HUL6X5T21CENW6" localSheetId="4" hidden="1">#REF!</definedName>
    <definedName name="BExB442RX0T3L6HUL6X5T21CENW6" localSheetId="7" hidden="1">#REF!</definedName>
    <definedName name="BExB442RX0T3L6HUL6X5T21CENW6" hidden="1">#REF!</definedName>
    <definedName name="BExB4ADD0L7417CII901XTFKXD1J" hidden="1">#REF!</definedName>
    <definedName name="BExB4DYU06HCGRIPBSWRCXK804UM" hidden="1">#REF!</definedName>
    <definedName name="BExB4KEQ72L2ONQ7IFMYZAK0153C" hidden="1">#REF!</definedName>
    <definedName name="BExB4M24SMODJ32BDKDH2DWLGTXO" localSheetId="4" hidden="1">#REF!</definedName>
    <definedName name="BExB4M24SMODJ32BDKDH2DWLGTXO" localSheetId="7" hidden="1">#REF!</definedName>
    <definedName name="BExB4M24SMODJ32BDKDH2DWLGTXO" hidden="1">#REF!</definedName>
    <definedName name="BExB4Z3EZBGYYI33U0KQ8NEIH8PY" hidden="1">#REF!</definedName>
    <definedName name="BExB55368XW7UX657ZSPC6BFE92S" hidden="1">#REF!</definedName>
    <definedName name="BExB57MZEPL2SA2ONPK66YFLZWJU" hidden="1">#REF!</definedName>
    <definedName name="BExB5833OAOJ22VK1YK47FHUSVK2" localSheetId="4" hidden="1">#REF!</definedName>
    <definedName name="BExB5833OAOJ22VK1YK47FHUSVK2" localSheetId="7"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localSheetId="4" hidden="1">#REF!</definedName>
    <definedName name="BExB78RH79J0MIF7H8CAZ0CFE88Q" localSheetId="7"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K9L3ECVVHYODX1ITUTEHJTR" hidden="1">#REF!</definedName>
    <definedName name="BExB8QPH8DC5BESEVPSMBCWVN6PO" hidden="1">#REF!</definedName>
    <definedName name="BExB8U5N0D85YR8APKN3PPKG0FWP" localSheetId="4" hidden="1">#REF!</definedName>
    <definedName name="BExB8U5N0D85YR8APKN3PPKG0FWP" localSheetId="7" hidden="1">#REF!</definedName>
    <definedName name="BExB8U5N0D85YR8APKN3PPKG0FWP" hidden="1">#REF!</definedName>
    <definedName name="BExB8WJYEQ55LDAYQH0NXEDCQOVD" localSheetId="4" hidden="1">#REF!</definedName>
    <definedName name="BExB8WJYEQ55LDAYQH0NXEDCQOVD" localSheetId="7" hidden="1">#REF!</definedName>
    <definedName name="BExB8WJYEQ55LDAYQH0NXEDCQOVD" hidden="1">#REF!</definedName>
    <definedName name="BExB9AXUUDDTRDLVSC7REODDIYJ2" localSheetId="4" hidden="1">#REF!</definedName>
    <definedName name="BExB9AXUUDDTRDLVSC7REODDIYJ2" localSheetId="7" hidden="1">#REF!</definedName>
    <definedName name="BExB9AXUUDDTRDLVSC7REODDIYJ2" hidden="1">#REF!</definedName>
    <definedName name="BExB9DHI5I2TJ2LXYPM98EE81L27" hidden="1">#REF!</definedName>
    <definedName name="BExB9Q2MZZHBGW8QQKVEYIMJBPIE" localSheetId="4" hidden="1">#REF!</definedName>
    <definedName name="BExB9Q2MZZHBGW8QQKVEYIMJBPIE" localSheetId="7" hidden="1">#REF!</definedName>
    <definedName name="BExB9Q2MZZHBGW8QQKVEYIMJBPIE" hidden="1">#REF!</definedName>
    <definedName name="BExB9R4HYJ83UNLFWKDKDJ31E2DS" localSheetId="4" hidden="1">#REF!</definedName>
    <definedName name="BExB9R4HYJ83UNLFWKDKDJ31E2DS" localSheetId="7" hidden="1">#REF!</definedName>
    <definedName name="BExB9R4HYJ83UNLFWKDKDJ31E2DS"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AGDKQLBSZJAFZFOCDTVS99P" localSheetId="4" hidden="1">#REF!</definedName>
    <definedName name="BExBAAGDKQLBSZJAFZFOCDTVS99P" localSheetId="7" hidden="1">#REF!</definedName>
    <definedName name="BExBAAGDKQLBSZJAFZFOCDTVS99P"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localSheetId="4" hidden="1">#REF!</definedName>
    <definedName name="BExBCLMEPAN3XXX174TU8SS0627Q" localSheetId="7" hidden="1">#REF!</definedName>
    <definedName name="BExBCLMEPAN3XXX174TU8SS0627Q" hidden="1">#REF!</definedName>
    <definedName name="BExBCRBEYR2KZ8FAQFZ2NHY13WIY" hidden="1">#REF!</definedName>
    <definedName name="BExBD4I559NXSV6J07Q343TKYMVJ" hidden="1">#REF!</definedName>
    <definedName name="BExBD77362J9OENRUETJ6CVQYGZ1" localSheetId="4" hidden="1">#REF!</definedName>
    <definedName name="BExBD77362J9OENRUETJ6CVQYGZ1" localSheetId="7" hidden="1">#REF!</definedName>
    <definedName name="BExBD77362J9OENRUETJ6CVQYGZ1" hidden="1">#REF!</definedName>
    <definedName name="BExBDBZQLTX3OGFYGULQFK5WEZU5" hidden="1">#REF!</definedName>
    <definedName name="BExBDJS9TUEU8Z84IV59E5V4T8K6" localSheetId="4" hidden="1">#REF!</definedName>
    <definedName name="BExBDJS9TUEU8Z84IV59E5V4T8K6" localSheetId="7" hidden="1">#REF!</definedName>
    <definedName name="BExBDJS9TUEU8Z84IV59E5V4T8K6" hidden="1">#REF!</definedName>
    <definedName name="BExBDKOMSVH4XMH52CFJ3F028I9R" hidden="1">#REF!</definedName>
    <definedName name="BExBDSRXVZQ0W5WXQMP5XD00GRRL" hidden="1">#REF!</definedName>
    <definedName name="BExBDT2QTPSTYED3RWGES5QGI7VV" localSheetId="4" hidden="1">#REF!</definedName>
    <definedName name="BExBDT2QTPSTYED3RWGES5QGI7VV" localSheetId="7" hidden="1">#REF!</definedName>
    <definedName name="BExBDT2QTPSTYED3RWGES5QGI7VV" hidden="1">#REF!</definedName>
    <definedName name="BExBDUVGK3E1J4JY9ZYTS7V14BLY" hidden="1">#REF!</definedName>
    <definedName name="BExBE162OSBKD30I7T1DKKPT3I9I" hidden="1">#REF!</definedName>
    <definedName name="BExBEC9ATLQZF86W1M3APSM4HEOH" hidden="1">#REF!</definedName>
    <definedName name="BExBEF3VXW3Y3SZ6RC9PX7QEB12Y" hidden="1">#REF!</definedName>
    <definedName name="BExBEJG7L9BDVH7L2B9YXRV84GFT" localSheetId="4" hidden="1">#REF!</definedName>
    <definedName name="BExBEJG7L9BDVH7L2B9YXRV84GFT" localSheetId="7" hidden="1">#REF!</definedName>
    <definedName name="BExBEJG7L9BDVH7L2B9YXRV84GFT" hidden="1">#REF!</definedName>
    <definedName name="BExBEYFQJE9YK12A6JBMRFKEC7RN" hidden="1">#REF!</definedName>
    <definedName name="BExBG1ED81J2O4A2S5F5Y3BPHMCR" hidden="1">#REF!</definedName>
    <definedName name="BExCRLIHS7466WFJ3RPIUGGXYESZ" hidden="1">#REF!</definedName>
    <definedName name="BExCRQWQFIEUV7HE228YUBUUJA9K" hidden="1">#REF!</definedName>
    <definedName name="BExCS1EDDUEAEWHVYXHIP9I1WCJH" hidden="1">#REF!</definedName>
    <definedName name="BExCS4E9E7CKF2RTM6INK6MAILOV" localSheetId="4" hidden="1">#REF!</definedName>
    <definedName name="BExCS4E9E7CKF2RTM6INK6MAILOV" localSheetId="7" hidden="1">#REF!</definedName>
    <definedName name="BExCS4E9E7CKF2RTM6INK6MAILOV" hidden="1">#REF!</definedName>
    <definedName name="BExCS7ZPMHFJ4UJDAL8CQOLSZ13B" localSheetId="4" hidden="1">#REF!</definedName>
    <definedName name="BExCS7ZPMHFJ4UJDAL8CQOLSZ13B" localSheetId="7"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localSheetId="4" hidden="1">#REF!</definedName>
    <definedName name="BExCSSDG3TM6TPKS19E9QYJEELZ6" localSheetId="7" hidden="1">#REF!</definedName>
    <definedName name="BExCSSDG3TM6TPKS19E9QYJEELZ6" hidden="1">#REF!</definedName>
    <definedName name="BExCSZV7U67UWXL2HKJNM5W1E4OO" hidden="1">#REF!</definedName>
    <definedName name="BExCT4NSDT61OCH04Y2QIFIOP75H" localSheetId="4" hidden="1">#REF!</definedName>
    <definedName name="BExCT4NSDT61OCH04Y2QIFIOP75H" localSheetId="7" hidden="1">#REF!</definedName>
    <definedName name="BExCT4NSDT61OCH04Y2QIFIOP75H" hidden="1">#REF!</definedName>
    <definedName name="BExCTW8G3VCZ55S09HTUGXKB1P2M" hidden="1">#REF!</definedName>
    <definedName name="BExCTYS2KX0QANOLT8LGZ9WV3S3T" hidden="1">#REF!</definedName>
    <definedName name="BExCTZZ9JNES4EDHW97NP0EGQALX" hidden="1">#REF!</definedName>
    <definedName name="BExCU0A1V6NMZQ9ASYJ8QIVQ5UR2" localSheetId="4" hidden="1">#REF!</definedName>
    <definedName name="BExCU0A1V6NMZQ9ASYJ8QIVQ5UR2" localSheetId="7"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VK8GI44DNT5MTM7AOS4U9N8" hidden="1">#REF!</definedName>
    <definedName name="BExCVZ5PN4V6MRBZ04PZJW3GEF8S" localSheetId="4" hidden="1">#REF!</definedName>
    <definedName name="BExCVZ5PN4V6MRBZ04PZJW3GEF8S" localSheetId="7" hidden="1">#REF!</definedName>
    <definedName name="BExCVZ5PN4V6MRBZ04PZJW3GEF8S" hidden="1">#REF!</definedName>
    <definedName name="BExCW13R0GWJYGXZBNCPAHQN4NR2" hidden="1">#REF!</definedName>
    <definedName name="BExCW9Y5HWU4RJTNX74O6L24VGCK" hidden="1">#REF!</definedName>
    <definedName name="BExCWMJAP755C7AV2QKTWYDPDSSV" hidden="1">#REF!</definedName>
    <definedName name="BExCWPDPESGZS07QGBLSBWDNVJLZ" hidden="1">#REF!</definedName>
    <definedName name="BExCWSDLJ7DJX3139FQJM3LND72J" hidden="1">#REF!</definedName>
    <definedName name="BExCWTVKHIVCRHF8GC39KI58YM5K" hidden="1">#REF!</definedName>
    <definedName name="BExCX2KGRZBRVLZNM8SUSIE6A0RL" localSheetId="4" hidden="1">#REF!</definedName>
    <definedName name="BExCX2KGRZBRVLZNM8SUSIE6A0RL" localSheetId="7"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K3M8NPWOZZALA6L6RUCBB2J" localSheetId="4" hidden="1">#REF!</definedName>
    <definedName name="BExCXK3M8NPWOZZALA6L6RUCBB2J" localSheetId="7" hidden="1">#REF!</definedName>
    <definedName name="BExCXK3M8NPWOZZALA6L6RUCBB2J" hidden="1">#REF!</definedName>
    <definedName name="BExCXKZZ6U10NBCECNUV9U56FB6V" localSheetId="4" hidden="1">#REF!</definedName>
    <definedName name="BExCXKZZ6U10NBCECNUV9U56FB6V" localSheetId="7" hidden="1">#REF!</definedName>
    <definedName name="BExCXKZZ6U10NBCECNUV9U56FB6V"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FV9Z4OENTUNF9IWT6ELMRCL" hidden="1">#REF!</definedName>
    <definedName name="BExCYPRC5HJE6N2XQTHCT6NXGP8N" hidden="1">#REF!</definedName>
    <definedName name="BExCYUK0I3UEXZNFDW71G6Z6D8XR" localSheetId="4" hidden="1">#REF!</definedName>
    <definedName name="BExCYUK0I3UEXZNFDW71G6Z6D8XR" localSheetId="7" hidden="1">#REF!</definedName>
    <definedName name="BExCYUK0I3UEXZNFDW71G6Z6D8XR" hidden="1">#REF!</definedName>
    <definedName name="BExCZ4QTDJA3L8AGID0HLSLRVP6A" localSheetId="4" hidden="1">#REF!</definedName>
    <definedName name="BExCZ4QTDJA3L8AGID0HLSLRVP6A" localSheetId="7" hidden="1">#REF!</definedName>
    <definedName name="BExCZ4QTDJA3L8AGID0HLSLRVP6A" hidden="1">#REF!</definedName>
    <definedName name="BExCZFZCXMLY5DWESYJ9NGTJYQ8M" hidden="1">#REF!</definedName>
    <definedName name="BExCZJ4P8WS0BDT31WDXI0ROE7D6" hidden="1">#REF!</definedName>
    <definedName name="BExCZKH6NI0EE02L995IFVBD1J59" hidden="1">#REF!</definedName>
    <definedName name="BExCZU7T2KCK97JI9FE1XITCRE8U" localSheetId="4" hidden="1">#REF!</definedName>
    <definedName name="BExCZU7T2KCK97JI9FE1XITCRE8U" localSheetId="7" hidden="1">#REF!</definedName>
    <definedName name="BExCZU7T2KCK97JI9FE1XITCRE8U" hidden="1">#REF!</definedName>
    <definedName name="BExCZUD9FEOJBKDJ51Z3JON9LKJ8" hidden="1">#REF!</definedName>
    <definedName name="BExD0CCO4AZHRMZ3PSLCEN7T63L2"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1HKYZH6AN0830NG17ZRUS1T" hidden="1">#REF!</definedName>
    <definedName name="BExD2CFHIRMBKN5KXE5QP4XXEWFS" localSheetId="4" hidden="1">#REF!</definedName>
    <definedName name="BExD2CFHIRMBKN5KXE5QP4XXEWFS" localSheetId="7"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7QXHXNRAT3KZWRFA3MXHIF8" hidden="1">#REF!</definedName>
    <definedName name="BExD3A588E939V61P1XEW0FI5Q0S" hidden="1">#REF!</definedName>
    <definedName name="BExD3CJJDKVR9M18XI3WDZH80WL6" hidden="1">#REF!</definedName>
    <definedName name="BExD3ESD9WYJIB3TRDPJ1CKXRAVL" hidden="1">#REF!</definedName>
    <definedName name="BExD3F368X5S25MWSUNIV57RDB57" localSheetId="4" hidden="1">#REF!</definedName>
    <definedName name="BExD3F368X5S25MWSUNIV57RDB57" localSheetId="7" hidden="1">#REF!</definedName>
    <definedName name="BExD3F368X5S25MWSUNIV57RDB57" hidden="1">#REF!</definedName>
    <definedName name="BExD3H6Q0X859YKIX6M8ZEYXI1G6"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localSheetId="4" hidden="1">#REF!</definedName>
    <definedName name="BExD40O0CFTNJFOFMMM1KH0P7BUI" localSheetId="7" hidden="1">#REF!</definedName>
    <definedName name="BExD40O0CFTNJFOFMMM1KH0P7BUI" hidden="1">#REF!</definedName>
    <definedName name="BExD4BR9HJ3MWWZ5KLVZWX9FJAUS" hidden="1">#REF!</definedName>
    <definedName name="BExD4F1WTKT3H0N9MF4H1LX7MBSY" hidden="1">#REF!</definedName>
    <definedName name="BExD4H5GQWXBS6LUL3TSP36DVO38" localSheetId="4" hidden="1">#REF!</definedName>
    <definedName name="BExD4H5GQWXBS6LUL3TSP36DVO38" localSheetId="7" hidden="1">#REF!</definedName>
    <definedName name="BExD4H5GQWXBS6LUL3TSP36DVO38" hidden="1">#REF!</definedName>
    <definedName name="BExD4IHX75GVFK6I80F7IR7955K1" hidden="1">#REF!</definedName>
    <definedName name="BExD4JJSS3QDBLABCJCHD45SRNPI" localSheetId="4" hidden="1">#REF!</definedName>
    <definedName name="BExD4JJSS3QDBLABCJCHD45SRNPI" localSheetId="7" hidden="1">#REF!</definedName>
    <definedName name="BExD4JJSS3QDBLABCJCHD45SRNPI" hidden="1">#REF!</definedName>
    <definedName name="BExD4R1I0MKF033I5LPUYIMTZ6E8" localSheetId="4" hidden="1">#REF!</definedName>
    <definedName name="BExD4R1I0MKF033I5LPUYIMTZ6E8" localSheetId="7"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localSheetId="4" hidden="1">#REF!</definedName>
    <definedName name="BExD623C9LRX18BE0W2V6SZLQUXX" localSheetId="7" hidden="1">#REF!</definedName>
    <definedName name="BExD623C9LRX18BE0W2V6SZLQUXX" hidden="1">#REF!</definedName>
    <definedName name="BExD6CQA7UMJBXV7AIFAIHUF2ICX" hidden="1">#REF!</definedName>
    <definedName name="BExD6DS52K2CC3509UN77XBR0868" localSheetId="4" hidden="1">#REF!</definedName>
    <definedName name="BExD6DS52K2CC3509UN77XBR0868" localSheetId="7" hidden="1">#REF!</definedName>
    <definedName name="BExD6DS52K2CC3509UN77XBR0868" hidden="1">#REF!</definedName>
    <definedName name="BExD6FKVK8WJWNYPVENR7Q8Q30PK" hidden="1">#REF!</definedName>
    <definedName name="BExD6GMP0LK8WKVWMIT1NNH8CHLF" localSheetId="4" hidden="1">#REF!</definedName>
    <definedName name="BExD6GMP0LK8WKVWMIT1NNH8CHLF" localSheetId="7" hidden="1">#REF!</definedName>
    <definedName name="BExD6GMP0LK8WKVWMIT1NNH8CHLF" hidden="1">#REF!</definedName>
    <definedName name="BExD6H2TE0WWAUIWVSSCLPZ6B88N" hidden="1">#REF!</definedName>
    <definedName name="BExD6HTUMONFBQHM7Y5UW4DPHU7X" hidden="1">#REF!</definedName>
    <definedName name="BExD71LTOE015TV5RSAHM8NT8GVW" hidden="1">#REF!</definedName>
    <definedName name="BExD73USXVADC7EHGHVTQNCT06ZA" hidden="1">#REF!</definedName>
    <definedName name="BExD7GAIGULTB3YHM1OS9RBQOTEC" localSheetId="4" hidden="1">#REF!</definedName>
    <definedName name="BExD7GAIGULTB3YHM1OS9RBQOTEC" localSheetId="7" hidden="1">#REF!</definedName>
    <definedName name="BExD7GAIGULTB3YHM1OS9RBQOTEC" hidden="1">#REF!</definedName>
    <definedName name="BExD7IE1DHIS52UFDCTSKPJQNRD5" hidden="1">#REF!</definedName>
    <definedName name="BExD7IUBGUWHYC9UNZ1IY5XFYKQN" hidden="1">#REF!</definedName>
    <definedName name="BExD7JL7NW9EKGU5ITCE4VJZ2N5W" hidden="1">#REF!</definedName>
    <definedName name="BExD7JQOJ35HGL8U2OCEI2P2JT7I" localSheetId="4" hidden="1">#REF!</definedName>
    <definedName name="BExD7JQOJ35HGL8U2OCEI2P2JT7I" localSheetId="7" hidden="1">#REF!</definedName>
    <definedName name="BExD7JQOJ35HGL8U2OCEI2P2JT7I" hidden="1">#REF!</definedName>
    <definedName name="BExD7KSDKNDNH95NDT3S7GM3MUU2" hidden="1">#REF!</definedName>
    <definedName name="BExD8H5O087KQVWIVPUUID5VMGMS" hidden="1">#REF!</definedName>
    <definedName name="BExD8OCLZMFN5K3VZYI4Q4ITVKUA" localSheetId="4" hidden="1">#REF!</definedName>
    <definedName name="BExD8OCLZMFN5K3VZYI4Q4ITVKUA" localSheetId="7"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GO5JA4ADLQH22ZFJKY2FEAV" localSheetId="4" hidden="1">#REF!</definedName>
    <definedName name="BExD9GO5JA4ADLQH22ZFJKY2FEAV" localSheetId="7" hidden="1">#REF!</definedName>
    <definedName name="BExD9GO5JA4ADLQH22ZFJKY2FEAV"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6LD9061UULVKUUI4QP8SK13" hidden="1">#REF!</definedName>
    <definedName name="BExDAGMVMNLQ6QXASB9R6D8DIT12" hidden="1">#REF!</definedName>
    <definedName name="BExDAL4R440JG0CQM6QZM9CCATO7" hidden="1">#REF!</definedName>
    <definedName name="BExDAYBHU9ADLXI8VRC7F608RVGM" hidden="1">#REF!</definedName>
    <definedName name="BExDBDR1XR0FV0CYUCB2OJ7CJCZU" hidden="1">#REF!</definedName>
    <definedName name="BExDBQXTJ9F9DE7FNTJCL0LMOJ21" localSheetId="4" hidden="1">#REF!</definedName>
    <definedName name="BExDBQXTJ9F9DE7FNTJCL0LMOJ21" localSheetId="7" hidden="1">#REF!</definedName>
    <definedName name="BExDBQXTJ9F9DE7FNTJCL0LMOJ21" hidden="1">#REF!</definedName>
    <definedName name="BExDC7F818VN0S18ID7XRCRVYPJ4" hidden="1">#REF!</definedName>
    <definedName name="BExDCL7K96PC9VZYB70ZW3QPVIJE" hidden="1">#REF!</definedName>
    <definedName name="BExDCP3UZ3C2O4C1F7KMU0Z9U32N" hidden="1">#REF!</definedName>
    <definedName name="BExENR8MCJOVBYLHQOJ4XC4TSDLT" localSheetId="4" hidden="1">#REF!</definedName>
    <definedName name="BExENR8MCJOVBYLHQOJ4XC4TSDLT" localSheetId="7" hidden="1">#REF!</definedName>
    <definedName name="BExENR8MCJOVBYLHQOJ4XC4TSDLT" hidden="1">#REF!</definedName>
    <definedName name="BExEOBX3WECDMYCV9RLN49APTXMM" hidden="1">#REF!</definedName>
    <definedName name="BExEPN9VIYI0FVL0HLZQXJFO6TT0" hidden="1">#REF!</definedName>
    <definedName name="BExEPYT6VDSMR8MU2341Q5GM2Y9V" hidden="1">#REF!</definedName>
    <definedName name="BExEQ1YK2GGF3PCQ5YXT4E5L9FQG" localSheetId="4" hidden="1">#REF!</definedName>
    <definedName name="BExEQ1YK2GGF3PCQ5YXT4E5L9FQG" localSheetId="7" hidden="1">#REF!</definedName>
    <definedName name="BExEQ1YK2GGF3PCQ5YXT4E5L9FQG" hidden="1">#REF!</definedName>
    <definedName name="BExEQ2ENYLMY8K1796XBB31CJHNN" hidden="1">#REF!</definedName>
    <definedName name="BExEQ2PFE4N40LEPGDPS90WDL6BN" hidden="1">#REF!</definedName>
    <definedName name="BExEQ2PFURT24NQYGYVE8NKX1EGA" hidden="1">#REF!</definedName>
    <definedName name="BExEQB8ZWXO6IIGOEPWTLOJGE2NR" localSheetId="4" hidden="1">#REF!</definedName>
    <definedName name="BExEQB8ZWXO6IIGOEPWTLOJGE2NR" localSheetId="7"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TZAP8R69U31W4LKGTKKGKQE" hidden="1">#REF!</definedName>
    <definedName name="BExER2O72H1F9WV6S1J04C15PXX7" hidden="1">#REF!</definedName>
    <definedName name="BExERRUIKIOATPZ9U4HQ0V52RJAU" hidden="1">#REF!</definedName>
    <definedName name="BExERSANFNM1O7T65PC5MJ301YET" localSheetId="4" hidden="1">#REF!</definedName>
    <definedName name="BExERSANFNM1O7T65PC5MJ301YET" localSheetId="7" hidden="1">#REF!</definedName>
    <definedName name="BExERSANFNM1O7T65PC5MJ301YET" hidden="1">#REF!</definedName>
    <definedName name="BExERWCEBKQRYWRQLYJ4UCMMKTHG" localSheetId="4" hidden="1">#REF!</definedName>
    <definedName name="BExERWCEBKQRYWRQLYJ4UCMMKTHG" localSheetId="7" hidden="1">#REF!</definedName>
    <definedName name="BExERWCEBKQRYWRQLYJ4UCMMKTHG" hidden="1">#REF!</definedName>
    <definedName name="BExERX39X2B577E8G980B6146MR4" hidden="1">#REF!</definedName>
    <definedName name="BExES44RHHDL3V7FLV6M20834WF1" hidden="1">#REF!</definedName>
    <definedName name="BExES4A7VE2X3RYYTVRLKZD4I7WU" hidden="1">#REF!</definedName>
    <definedName name="BExESMKD95A649M0WRSG6CXXP326" hidden="1">#REF!</definedName>
    <definedName name="BExESNWVY914X62GFBPJRODSAZ7B" localSheetId="4" hidden="1">#REF!</definedName>
    <definedName name="BExESNWVY914X62GFBPJRODSAZ7B" localSheetId="7" hidden="1">#REF!</definedName>
    <definedName name="BExESNWVY914X62GFBPJRODSAZ7B" hidden="1">#REF!</definedName>
    <definedName name="BExESR27ZXJG5VMY4PR9D940VS7T" hidden="1">#REF!</definedName>
    <definedName name="BExESU25LOS36OLUCBS6GANOVO9P"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TYO0S2RGTHJQ60TB37B647GU" localSheetId="4" hidden="1">#REF!</definedName>
    <definedName name="BExETYO0S2RGTHJQ60TB37B647GU" localSheetId="7" hidden="1">#REF!</definedName>
    <definedName name="BExETYO0S2RGTHJQ60TB37B647GU"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localSheetId="4" hidden="1">#REF!</definedName>
    <definedName name="BExEX9HWY2G6928ZVVVQF77QCM2C" localSheetId="7" hidden="1">#REF!</definedName>
    <definedName name="BExEX9HWY2G6928ZVVVQF77QCM2C" hidden="1">#REF!</definedName>
    <definedName name="BExEXBQWAYKMVBRJRHB8PFCSYFVN" hidden="1">#REF!</definedName>
    <definedName name="BExEXRBZ0DI9E2UFLLKYWGN66B61" localSheetId="4" hidden="1">#REF!</definedName>
    <definedName name="BExEXRBZ0DI9E2UFLLKYWGN66B61" localSheetId="7" hidden="1">#REF!</definedName>
    <definedName name="BExEXRBZ0DI9E2UFLLKYWGN66B61" hidden="1">#REF!</definedName>
    <definedName name="BExEYLG9FL9V1JPPNZ3FUDNSEJ4V" hidden="1">#REF!</definedName>
    <definedName name="BExEYMSPJ8NAM530KGLCIZKRIZQ2" localSheetId="4" hidden="1">#REF!</definedName>
    <definedName name="BExEYMSPJ8NAM530KGLCIZKRIZQ2" localSheetId="7" hidden="1">#REF!</definedName>
    <definedName name="BExEYMSPJ8NAM530KGLCIZKRIZQ2"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EZWNIZ06IIMDYQSV4BSTCR7UN" hidden="1">#REF!</definedName>
    <definedName name="BExF02Y3V3QEPO2XLDSK47APK9XJ" hidden="1">#REF!</definedName>
    <definedName name="BExF09OS91RT7N7IW8JLMZ121ZP3" hidden="1">#REF!</definedName>
    <definedName name="BExF0C8L8MPMMA1XQ6J8H8CEDPJ9" hidden="1">#REF!</definedName>
    <definedName name="BExF0LOEHV42P2DV7QL8O7HOQ3N9" hidden="1">#REF!</definedName>
    <definedName name="BExF0WRM9VO25RLSO03ZOCE8H7K5" hidden="1">#REF!</definedName>
    <definedName name="BExF0ZRI7W4RSLIDLHTSM0AWXO3S" localSheetId="4" hidden="1">#REF!</definedName>
    <definedName name="BExF0ZRI7W4RSLIDLHTSM0AWXO3S" localSheetId="7"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UHD1URZND0VTZ5BY2FRCCF7" localSheetId="4" hidden="1">#REF!</definedName>
    <definedName name="BExF1UHD1URZND0VTZ5BY2FRCCF7" localSheetId="7" hidden="1">#REF!</definedName>
    <definedName name="BExF1UHD1URZND0VTZ5BY2FRCCF7" hidden="1">#REF!</definedName>
    <definedName name="BExF1US4ZIQYSU5LBFYNRA9N0K2O" hidden="1">#REF!</definedName>
    <definedName name="BExF2CWZN6E87RGTBMD4YQI2QT7R" hidden="1">#REF!</definedName>
    <definedName name="BExF2DYO1WQ7GMXSTAQRDBW1NSFG" hidden="1">#REF!</definedName>
    <definedName name="BExF2LWJ8M4NGGKOIOZBJ3TPKQMD" localSheetId="4" hidden="1">#REF!</definedName>
    <definedName name="BExF2LWJ8M4NGGKOIOZBJ3TPKQMD" localSheetId="7" hidden="1">#REF!</definedName>
    <definedName name="BExF2LWJ8M4NGGKOIOZBJ3TPKQMD"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localSheetId="4" hidden="1">#REF!</definedName>
    <definedName name="BExF3NTC4BGZEM6B87TCFX277QCS" localSheetId="7" hidden="1">#REF!</definedName>
    <definedName name="BExF3NTC4BGZEM6B87TCFX277QCS" hidden="1">#REF!</definedName>
    <definedName name="BExF3Q7NI90WT31QHYSJDIG0LLLJ" hidden="1">#REF!</definedName>
    <definedName name="BExF3QD55TIY1MSBSRK9TUJKBEWO" hidden="1">#REF!</definedName>
    <definedName name="BExF3QD5AXW8T6FZ8O1C78NHR5C3" localSheetId="4" hidden="1">#REF!</definedName>
    <definedName name="BExF3QD5AXW8T6FZ8O1C78NHR5C3" localSheetId="7" hidden="1">#REF!</definedName>
    <definedName name="BExF3QD5AXW8T6FZ8O1C78NHR5C3" hidden="1">#REF!</definedName>
    <definedName name="BExF3QT8J6RIF1L3R700MBSKIOKW" hidden="1">#REF!</definedName>
    <definedName name="BExF41WFMNZ2YQ1KBKOBZWROKVHO" localSheetId="4" hidden="1">#REF!</definedName>
    <definedName name="BExF41WFMNZ2YQ1KBKOBZWROKVHO" localSheetId="7" hidden="1">#REF!</definedName>
    <definedName name="BExF41WFMNZ2YQ1KBKOBZWROKVHO" hidden="1">#REF!</definedName>
    <definedName name="BExF42SSBVPMLK2UB3B7FPEIY9TU" localSheetId="4" hidden="1">#REF!</definedName>
    <definedName name="BExF42SSBVPMLK2UB3B7FPEIY9TU" localSheetId="7" hidden="1">#REF!</definedName>
    <definedName name="BExF42SSBVPMLK2UB3B7FPEIY9TU" hidden="1">#REF!</definedName>
    <definedName name="BExF4HXSWB50BKYPWA0HTT8W56H6" hidden="1">#REF!</definedName>
    <definedName name="BExF4KHF04IWW4LQ95FHQPFE4Y9K" hidden="1">#REF!</definedName>
    <definedName name="BExF4MVQM5Y0QRDLDFSKWWTF709C" hidden="1">#REF!</definedName>
    <definedName name="BExF4PVMZYV36E8HOYY06J81AMBI" localSheetId="4" hidden="1">#REF!</definedName>
    <definedName name="BExF4PVMZYV36E8HOYY06J81AMBI" localSheetId="7"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CCUNN10ODYNRYLTJ6DOSQA7" localSheetId="4" hidden="1">#REF!</definedName>
    <definedName name="BExF5CCUNN10ODYNRYLTJ6DOSQA7" localSheetId="7" hidden="1">#REF!</definedName>
    <definedName name="BExF5CCUNN10ODYNRYLTJ6DOSQA7" hidden="1">#REF!</definedName>
    <definedName name="BExF5HR2GFV7O8LKG9SJ4BY78LYA" hidden="1">#REF!</definedName>
    <definedName name="BExF5ZFO2A29GHWR5ES64Z9OS16J" localSheetId="4" hidden="1">#REF!</definedName>
    <definedName name="BExF5ZFO2A29GHWR5ES64Z9OS16J" localSheetId="7" hidden="1">#REF!</definedName>
    <definedName name="BExF5ZFO2A29GHWR5ES64Z9OS16J" hidden="1">#REF!</definedName>
    <definedName name="BExF63S045JO7H2ZJCBTBVH3SUIF" hidden="1">#REF!</definedName>
    <definedName name="BExF642TEGTXCI9A61ZOONJCB0U1" hidden="1">#REF!</definedName>
    <definedName name="BExF67O951CF8UJF3KBDNR0E83C1" localSheetId="4" hidden="1">#REF!</definedName>
    <definedName name="BExF67O951CF8UJF3KBDNR0E83C1" localSheetId="7" hidden="1">#REF!</definedName>
    <definedName name="BExF67O951CF8UJF3KBDNR0E83C1" hidden="1">#REF!</definedName>
    <definedName name="BExF690Y20C503FDB3JYBPHX2VD1" localSheetId="4" hidden="1">#REF!</definedName>
    <definedName name="BExF690Y20C503FDB3JYBPHX2VD1" localSheetId="7" hidden="1">#REF!</definedName>
    <definedName name="BExF690Y20C503FDB3JYBPHX2VD1" hidden="1">#REF!</definedName>
    <definedName name="BExF6EV7I35NVMIJGYTB6E24YVPA" hidden="1">#REF!</definedName>
    <definedName name="BExF6FGUF393KTMBT40S5BYAFG00" hidden="1">#REF!</definedName>
    <definedName name="BExF6GNYXWY8A0SY4PW1B6KJMMTM" localSheetId="4" hidden="1">#REF!</definedName>
    <definedName name="BExF6GNYXWY8A0SY4PW1B6KJMMTM" localSheetId="7"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localSheetId="4" hidden="1">#REF!</definedName>
    <definedName name="BExF7K88K7ASGV6RAOAGH52G04VR" localSheetId="7" hidden="1">#REF!</definedName>
    <definedName name="BExF7K88K7ASGV6RAOAGH52G04VR" hidden="1">#REF!</definedName>
    <definedName name="BExF7N83YDEVXDEZQFACS9ZVES27" localSheetId="4" hidden="1">#REF!</definedName>
    <definedName name="BExF7N83YDEVXDEZQFACS9ZVES27" localSheetId="7" hidden="1">#REF!</definedName>
    <definedName name="BExF7N83YDEVXDEZQFACS9ZVES27" hidden="1">#REF!</definedName>
    <definedName name="BExF7OVDRP3LHNAF2CX4V84CKKIR" hidden="1">#REF!</definedName>
    <definedName name="BExF7QO41X2A2SL8UXDNP99GY7U9" hidden="1">#REF!</definedName>
    <definedName name="BExF81GI8B8WBHXFTET68A9358BR" hidden="1">#REF!</definedName>
    <definedName name="BExGL97US0Y3KXXASUTVR26XLT70" localSheetId="4" hidden="1">#REF!</definedName>
    <definedName name="BExGL97US0Y3KXXASUTVR26XLT70" localSheetId="7" hidden="1">#REF!</definedName>
    <definedName name="BExGL97US0Y3KXXASUTVR26XLT70" hidden="1">#REF!</definedName>
    <definedName name="BExGLC7R4C33RO0PID97ZPPVCW4M" hidden="1">#REF!</definedName>
    <definedName name="BExGLFIF7HCFSHNQHKEV6RY0WCO3" hidden="1">#REF!</definedName>
    <definedName name="BExGLMPD5LHHQXURM0Y3L44P343X" hidden="1">#REF!</definedName>
    <definedName name="BExGLTARRL0J772UD2TXEYAVPY6E" hidden="1">#REF!</definedName>
    <definedName name="BExGLYE6RZTAAWHJBG2QFJPTDS2Q" hidden="1">#REF!</definedName>
    <definedName name="BExGM4DZ65OAQP7MA4LN6QMYZOFF" hidden="1">#REF!</definedName>
    <definedName name="BExGM7DV048A50I5ERW750F4VS9C" localSheetId="4" hidden="1">#REF!</definedName>
    <definedName name="BExGM7DV048A50I5ERW750F4VS9C" localSheetId="7" hidden="1">#REF!</definedName>
    <definedName name="BExGM7DV048A50I5ERW750F4VS9C" hidden="1">#REF!</definedName>
    <definedName name="BExGMCXCWEC9XNUOEMZ61TMI6CUO" hidden="1">#REF!</definedName>
    <definedName name="BExGMJDGIH0MEPC2TUSFUCY2ROTB" localSheetId="4" hidden="1">#REF!</definedName>
    <definedName name="BExGMJDGIH0MEPC2TUSFUCY2ROTB" localSheetId="7"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localSheetId="4" hidden="1">#REF!</definedName>
    <definedName name="BExGNDSIMTHOCXXG6QOGR6DA8SGG" localSheetId="7" hidden="1">#REF!</definedName>
    <definedName name="BExGNDSIMTHOCXXG6QOGR6DA8SGG" hidden="1">#REF!</definedName>
    <definedName name="BExGNN2YQ9BDAZXT2GLCSAPXKIM7" localSheetId="4" hidden="1">#REF!</definedName>
    <definedName name="BExGNN2YQ9BDAZXT2GLCSAPXKIM7" localSheetId="7" hidden="1">#REF!</definedName>
    <definedName name="BExGNN2YQ9BDAZXT2GLCSAPXKIM7" hidden="1">#REF!</definedName>
    <definedName name="BExGNSS0CKRPKHO25R3TDBEL2NHX" hidden="1">#REF!</definedName>
    <definedName name="BExGNYH0MO8NOVS85L15G0RWX4GW" hidden="1">#REF!</definedName>
    <definedName name="BExGNZO44DEG8CGIDYSEGDUQ531R" localSheetId="4" hidden="1">#REF!</definedName>
    <definedName name="BExGNZO44DEG8CGIDYSEGDUQ531R" localSheetId="7" hidden="1">#REF!</definedName>
    <definedName name="BExGNZO44DEG8CGIDYSEGDUQ531R" hidden="1">#REF!</definedName>
    <definedName name="BExGO2O0V6UYDY26AX8OSN72F77N" hidden="1">#REF!</definedName>
    <definedName name="BExGO2YUBOVLYHY1QSIHRE1KLAFV" localSheetId="4" hidden="1">#REF!</definedName>
    <definedName name="BExGO2YUBOVLYHY1QSIHRE1KLAFV" localSheetId="7" hidden="1">#REF!</definedName>
    <definedName name="BExGO2YUBOVLYHY1QSIHRE1KLAFV" hidden="1">#REF!</definedName>
    <definedName name="BExGO70E2O70LF46V8T26YFPL4V8" hidden="1">#REF!</definedName>
    <definedName name="BExGOB25QJMQCQE76MRW9X58OIOO" hidden="1">#REF!</definedName>
    <definedName name="BExGODAZKJ9EXMQZNQR5YDBSS525" localSheetId="4" hidden="1">#REF!</definedName>
    <definedName name="BExGODAZKJ9EXMQZNQR5YDBSS525" localSheetId="7" hidden="1">#REF!</definedName>
    <definedName name="BExGODAZKJ9EXMQZNQR5YDBSS525" hidden="1">#REF!</definedName>
    <definedName name="BExGODR8ZSMUC11I56QHSZ686XV5"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localSheetId="4" hidden="1">#REF!</definedName>
    <definedName name="BExGQ36ZOMR9GV8T05M605MMOY3Y" localSheetId="7"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X0H4EZMXBJTKJJE4ICJWN5O" localSheetId="4" hidden="1">#REF!</definedName>
    <definedName name="BExGQX0H4EZMXBJTKJJE4ICJWN5O" localSheetId="7" hidden="1">#REF!</definedName>
    <definedName name="BExGQX0H4EZMXBJTKJJE4ICJWN5O" hidden="1">#REF!</definedName>
    <definedName name="BExGR2ENVVMIJQENKY6QPV34HDYB" localSheetId="4" hidden="1">#REF!</definedName>
    <definedName name="BExGR2ENVVMIJQENKY6QPV34HDYB" localSheetId="7" hidden="1">#REF!</definedName>
    <definedName name="BExGR2ENVVMIJQENKY6QPV34HDYB" hidden="1">#REF!</definedName>
    <definedName name="BExGR4CW3WRIID17GGX4MI9ZDHFE" hidden="1">#REF!</definedName>
    <definedName name="BExGR65GJX27MU2OL6NI5PB8XVB4" hidden="1">#REF!</definedName>
    <definedName name="BExGR6LQ97HETGS3CT96L4IK0JSH" hidden="1">#REF!</definedName>
    <definedName name="BExGR902JCXO7ZLKL3VYXM9XRW3A" localSheetId="4" hidden="1">#REF!</definedName>
    <definedName name="BExGR902JCXO7ZLKL3VYXM9XRW3A" localSheetId="7" hidden="1">#REF!</definedName>
    <definedName name="BExGR902JCXO7ZLKL3VYXM9XRW3A" hidden="1">#REF!</definedName>
    <definedName name="BExGR9ATP2LVT7B9OCPSLJ11H9SX" hidden="1">#REF!</definedName>
    <definedName name="BExGRA1VE5SDFH8FM4H8YLA70J65" localSheetId="4" hidden="1">#REF!</definedName>
    <definedName name="BExGRA1VE5SDFH8FM4H8YLA70J65" localSheetId="7" hidden="1">#REF!</definedName>
    <definedName name="BExGRA1VE5SDFH8FM4H8YLA70J65" hidden="1">#REF!</definedName>
    <definedName name="BExGREP2D0XVCEBGWU6RQ7KX23Q3" hidden="1">#REF!</definedName>
    <definedName name="BExGRUKVVKDL8483WI70VN2QZDGD" hidden="1">#REF!</definedName>
    <definedName name="BExGRVXD519NRV2E1ZYNYCW0PMW6" localSheetId="4" hidden="1">#REF!</definedName>
    <definedName name="BExGRVXD519NRV2E1ZYNYCW0PMW6" localSheetId="7" hidden="1">#REF!</definedName>
    <definedName name="BExGRVXD519NRV2E1ZYNYCW0PMW6"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ARJTLL2AE6NAMXZ7IGZI2M1" localSheetId="4" hidden="1">#REF!</definedName>
    <definedName name="BExGSARJTLL2AE6NAMXZ7IGZI2M1" localSheetId="7" hidden="1">#REF!</definedName>
    <definedName name="BExGSARJTLL2AE6NAMXZ7IGZI2M1" hidden="1">#REF!</definedName>
    <definedName name="BExGSCEUCQQVDEEKWJ677QTGUVTE" hidden="1">#REF!</definedName>
    <definedName name="BExGSQY65LH1PCKKM5WHDW83F35O" localSheetId="4" hidden="1">#REF!</definedName>
    <definedName name="BExGSQY65LH1PCKKM5WHDW83F35O" localSheetId="7" hidden="1">#REF!</definedName>
    <definedName name="BExGSQY65LH1PCKKM5WHDW83F35O" hidden="1">#REF!</definedName>
    <definedName name="BExGSYW1GKISF0PMUAK3XJK9PEW9" hidden="1">#REF!</definedName>
    <definedName name="BExGT0DZJB6LSF6L693UUB9EY1VQ" localSheetId="4" hidden="1">#REF!</definedName>
    <definedName name="BExGT0DZJB6LSF6L693UUB9EY1VQ" localSheetId="7" hidden="1">#REF!</definedName>
    <definedName name="BExGT0DZJB6LSF6L693UUB9EY1VQ" hidden="1">#REF!</definedName>
    <definedName name="BExGT0OSYJ4G1RU3EZR9QY6M3SCB" hidden="1">#REF!</definedName>
    <definedName name="BExGTGVFIF8HOQXR54SK065A8M4K" hidden="1">#REF!</definedName>
    <definedName name="BExGTIYX3OWPIINOGY1E4QQYSKHP" localSheetId="4" hidden="1">#REF!</definedName>
    <definedName name="BExGTIYX3OWPIINOGY1E4QQYSKHP" localSheetId="7" hidden="1">#REF!</definedName>
    <definedName name="BExGTIYX3OWPIINOGY1E4QQYSKHP" hidden="1">#REF!</definedName>
    <definedName name="BExGTKGUN0KUU3C0RL2LK98D8MEK" hidden="1">#REF!</definedName>
    <definedName name="BExGTQB6STG5OP8F4WFG4MJ1QG32" hidden="1">#REF!</definedName>
    <definedName name="BExGTZ046J7VMUG4YPKFN2K8TWB7" hidden="1">#REF!</definedName>
    <definedName name="BExGU2G9OPRZRIU9YGF6NX9FUW0J" hidden="1">#REF!</definedName>
    <definedName name="BExGU6HTKLRZO8UOI3DTAM5RFDBA" hidden="1">#REF!</definedName>
    <definedName name="BExGUDDZXFFQHAF4UZF8ZB1HO7H6" localSheetId="4" hidden="1">#REF!</definedName>
    <definedName name="BExGUDDZXFFQHAF4UZF8ZB1HO7H6" localSheetId="7" hidden="1">#REF!</definedName>
    <definedName name="BExGUDDZXFFQHAF4UZF8ZB1HO7H6" hidden="1">#REF!</definedName>
    <definedName name="BExGUIBXBRHGM97ZX6GBA4ZDQ79C" hidden="1">#REF!</definedName>
    <definedName name="BExGUM8D91UNPCOO4TKP9FGX85TF" localSheetId="4" hidden="1">#REF!</definedName>
    <definedName name="BExGUM8D91UNPCOO4TKP9FGX85TF" localSheetId="7"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VYZ49VJJQ6ZGHDI0J4Q6VUK" localSheetId="4" hidden="1">#REF!</definedName>
    <definedName name="BExGUVYZ49VJJQ6ZGHDI0J4Q6VUK" localSheetId="7" hidden="1">#REF!</definedName>
    <definedName name="BExGUVYZ49VJJQ6ZGHDI0J4Q6VUK" hidden="1">#REF!</definedName>
    <definedName name="BExGUZKF06F209XL1IZWVJEQ82EE" hidden="1">#REF!</definedName>
    <definedName name="BExGV2EVT380QHD4AP2RL9MR8L5L" hidden="1">#REF!</definedName>
    <definedName name="BExGV4NVN9KBLA14SOD5M7JEE632" hidden="1">#REF!</definedName>
    <definedName name="BExGVV6OOLDQ3TXZK51TTF3YX0WN" hidden="1">#REF!</definedName>
    <definedName name="BExGW0KVS7U0C87XFZ78QW991IEV" hidden="1">#REF!</definedName>
    <definedName name="BExGW2Z7AMPG6H9EXA9ML6EZVGGA" hidden="1">#REF!</definedName>
    <definedName name="BExGWABG5VT5XO1A196RK61AXA8C" hidden="1">#REF!</definedName>
    <definedName name="BExGWEO0JDG84NYLEAV5NSOAGMJZ" localSheetId="4" hidden="1">#REF!</definedName>
    <definedName name="BExGWEO0JDG84NYLEAV5NSOAGMJZ" localSheetId="7" hidden="1">#REF!</definedName>
    <definedName name="BExGWEO0JDG84NYLEAV5NSOAGMJZ" hidden="1">#REF!</definedName>
    <definedName name="BExGWLEOC70Z8QAJTPT2PDHTNM4L" hidden="1">#REF!</definedName>
    <definedName name="BExGWNCXLCRTLBVMTXYJ5PHQI6SS" localSheetId="4" hidden="1">#REF!</definedName>
    <definedName name="BExGWNCXLCRTLBVMTXYJ5PHQI6SS" localSheetId="7" hidden="1">#REF!</definedName>
    <definedName name="BExGWNCXLCRTLBVMTXYJ5PHQI6SS" hidden="1">#REF!</definedName>
    <definedName name="BExGX6U988MCFIGDA1282F92U9AA" hidden="1">#REF!</definedName>
    <definedName name="BExGX7FTB1CKAT5HUW6H531FIY6I" localSheetId="4" hidden="1">#REF!</definedName>
    <definedName name="BExGX7FTB1CKAT5HUW6H531FIY6I" localSheetId="7"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P9PLH9HGLX6X9E31SFWH8E0"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JE09NMFU592QN78WBPFJH50" localSheetId="4" hidden="1">#REF!</definedName>
    <definedName name="BExGYJE09NMFU592QN78WBPFJH50" localSheetId="7" hidden="1">#REF!</definedName>
    <definedName name="BExGYJE09NMFU592QN78WBPFJH50" hidden="1">#REF!</definedName>
    <definedName name="BExGYOS6TV2C72PLRFU8RP1I58GY"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localSheetId="4" hidden="1">#REF!</definedName>
    <definedName name="BExH02ZD6VAY1KQLAQYBBI6WWIZB" localSheetId="7" hidden="1">#REF!</definedName>
    <definedName name="BExH02ZD6VAY1KQLAQYBBI6WWIZB" hidden="1">#REF!</definedName>
    <definedName name="BExH08Z6LQCGGSGSAILMHX4X7JMD" hidden="1">#REF!</definedName>
    <definedName name="BExH09VINWGY7QSDNGT9BDVKS3JQ" localSheetId="4" hidden="1">#REF!</definedName>
    <definedName name="BExH09VINWGY7QSDNGT9BDVKS3JQ" localSheetId="7" hidden="1">#REF!</definedName>
    <definedName name="BExH09VINWGY7QSDNGT9BDVKS3JQ" hidden="1">#REF!</definedName>
    <definedName name="BExH0KT9Z8HEVRRQRGQ8YHXRLIJA" hidden="1">#REF!</definedName>
    <definedName name="BExH0M0FDN12YBOCKL3XL2Z7T7Y8" hidden="1">#REF!</definedName>
    <definedName name="BExH0O9G06YPZ5TN9RYT326I1CP2" hidden="1">#REF!</definedName>
    <definedName name="BExH0WNJAKTJRCKMTX8O4KNMIIJM" localSheetId="4" hidden="1">#REF!</definedName>
    <definedName name="BExH0WNJAKTJRCKMTX8O4KNMIIJM" localSheetId="7" hidden="1">#REF!</definedName>
    <definedName name="BExH0WNJAKTJRCKMTX8O4KNMIIJM" hidden="1">#REF!</definedName>
    <definedName name="BExH12Y4WX542WI3ZEM15AK4UM9J" hidden="1">#REF!</definedName>
    <definedName name="BExH1FDTQXR9QQ31WDB7OPXU7MPT" localSheetId="4" hidden="1">#REF!</definedName>
    <definedName name="BExH1FDTQXR9QQ31WDB7OPXU7MPT" localSheetId="7" hidden="1">#REF!</definedName>
    <definedName name="BExH1FDTQXR9QQ31WDB7OPXU7MPT" hidden="1">#REF!</definedName>
    <definedName name="BExH1FOMEUIJNIDJAUY0ZQFBJSY9" hidden="1">#REF!</definedName>
    <definedName name="BExH1IDQM8I99T9BKP4XNASNIKR8" localSheetId="4" hidden="1">#REF!</definedName>
    <definedName name="BExH1IDQM8I99T9BKP4XNASNIKR8" localSheetId="7" hidden="1">#REF!</definedName>
    <definedName name="BExH1IDQM8I99T9BKP4XNASNIKR8"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WKXV8X5S2GSBBTWGI0NLNAH" hidden="1">#REF!</definedName>
    <definedName name="BExH2XS1UFYFGU0S0EBXX90W2WE8" hidden="1">#REF!</definedName>
    <definedName name="BExH2XS2TND9SB0GC295R4FP6K5Y" hidden="1">#REF!</definedName>
    <definedName name="BExH2ZA0SZ4SSITL50NA8LZ3OEX6" localSheetId="4" hidden="1">#REF!</definedName>
    <definedName name="BExH2ZA0SZ4SSITL50NA8LZ3OEX6" localSheetId="7" hidden="1">#REF!</definedName>
    <definedName name="BExH2ZA0SZ4SSITL50NA8LZ3OEX6" hidden="1">#REF!</definedName>
    <definedName name="BExH31Z3JNVJPESWKXHILGXZHP2M" hidden="1">#REF!</definedName>
    <definedName name="BExH37TLURRTF1YO0TUV9JOJ0C78" localSheetId="4" hidden="1">#REF!</definedName>
    <definedName name="BExH37TLURRTF1YO0TUV9JOJ0C78" localSheetId="7" hidden="1">#REF!</definedName>
    <definedName name="BExH37TLURRTF1YO0TUV9JOJ0C78" hidden="1">#REF!</definedName>
    <definedName name="BExH3E9HZ3QJCDZW7WI7YACFQCHE" hidden="1">#REF!</definedName>
    <definedName name="BExH3IRB6764RQ5HBYRLH6XCT29X" hidden="1">#REF!</definedName>
    <definedName name="BExIG2U8V6RSB47SXLCQG3Q68YRO" hidden="1">#REF!</definedName>
    <definedName name="BExIG5JDFDNKGLHGNDY7U8KIF9NT" localSheetId="4" hidden="1">#REF!</definedName>
    <definedName name="BExIG5JDFDNKGLHGNDY7U8KIF9NT" localSheetId="7" hidden="1">#REF!</definedName>
    <definedName name="BExIG5JDFDNKGLHGNDY7U8KIF9NT" hidden="1">#REF!</definedName>
    <definedName name="BExIGJBO8R13LV7CZ7C1YCP974NN" hidden="1">#REF!</definedName>
    <definedName name="BExIGWT86FPOEYTI8GXCGU5Y3KGK" localSheetId="4" hidden="1">#REF!</definedName>
    <definedName name="BExIGWT86FPOEYTI8GXCGU5Y3KGK" localSheetId="7"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localSheetId="4" hidden="1">#REF!</definedName>
    <definedName name="BExIJFGZJ5ED9D6KAY4PGQYLELAX" localSheetId="7" hidden="1">#REF!</definedName>
    <definedName name="BExIJFGZJ5ED9D6KAY4PGQYLELAX" hidden="1">#REF!</definedName>
    <definedName name="BExIJM2EOJY1E8YQ1ZS3GHTIQQRM" localSheetId="4" hidden="1">#REF!</definedName>
    <definedName name="BExIJM2EOJY1E8YQ1ZS3GHTIQQRM" localSheetId="7" hidden="1">#REF!</definedName>
    <definedName name="BExIJM2EOJY1E8YQ1ZS3GHTIQQRM" hidden="1">#REF!</definedName>
    <definedName name="BExIJQ3XPPSZ585U2ER0RSSC71PK" localSheetId="4" hidden="1">#REF!</definedName>
    <definedName name="BExIJQ3XPPSZ585U2ER0RSSC71PK" localSheetId="7" hidden="1">#REF!</definedName>
    <definedName name="BExIJQ3XPPSZ585U2ER0RSSC71PK"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7CGQS2B8BVWBEP2KKWMVHK9" hidden="1">#REF!</definedName>
    <definedName name="BExIKHTXPZR5A8OHB6HDP6QWDHAD" hidden="1">#REF!</definedName>
    <definedName name="BExIKMMJOETSAXJYY1SIKM58LMA2" hidden="1">#REF!</definedName>
    <definedName name="BExIKN2SLYNFHS9SQHJSB0NE57OF"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localSheetId="4" hidden="1">#REF!</definedName>
    <definedName name="BExILG5F338C0FFLMVOKMKF8X5ZP" localSheetId="7" hidden="1">#REF!</definedName>
    <definedName name="BExILG5F338C0FFLMVOKMKF8X5ZP" hidden="1">#REF!</definedName>
    <definedName name="BExILGQTQM0HOD0BJI90YO7GOIN3" hidden="1">#REF!</definedName>
    <definedName name="BExILTHIEYYOIUWRZ5LLF1T70AJ7"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5ACO87Q5P34GNK1QC1WWACK" hidden="1">#REF!</definedName>
    <definedName name="BExINI6A7H3KSFRFA6UBBDPKW37F" hidden="1">#REF!</definedName>
    <definedName name="BExINIMK8XC3JOBT2EXYFHHH52H0" hidden="1">#REF!</definedName>
    <definedName name="BExINLX401ZKEGWU168DS4JUM2J6" localSheetId="4" hidden="1">#REF!</definedName>
    <definedName name="BExINLX401ZKEGWU168DS4JUM2J6" localSheetId="7" hidden="1">#REF!</definedName>
    <definedName name="BExINLX401ZKEGWU168DS4JUM2J6" hidden="1">#REF!</definedName>
    <definedName name="BExINMYYJO1FTV1CZF6O5XCFAMQX" localSheetId="4" hidden="1">#REF!</definedName>
    <definedName name="BExINMYYJO1FTV1CZF6O5XCFAMQX" localSheetId="7"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KTZXH2A908F83ANDHGHNJ07" localSheetId="4" hidden="1">#REF!</definedName>
    <definedName name="BExIOKTZXH2A908F83ANDHGHNJ07" localSheetId="7" hidden="1">#REF!</definedName>
    <definedName name="BExIOKTZXH2A908F83ANDHGHNJ07"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P5TB0T9V3OKFX0GV0526AQ3D" localSheetId="4" hidden="1">#REF!</definedName>
    <definedName name="BExIP5TB0T9V3OKFX0GV0526AQ3D" localSheetId="7" hidden="1">#REF!</definedName>
    <definedName name="BExIP5TB0T9V3OKFX0GV0526AQ3D" hidden="1">#REF!</definedName>
    <definedName name="BExIP8YNN6UUE1GZ223SWH7DLGKO" hidden="1">#REF!</definedName>
    <definedName name="BExIPAB4AOL592OJCC1CFAXTLF1A" hidden="1">#REF!</definedName>
    <definedName name="BExIPB25DKX4S2ZCKQN7KWSC3JBF" hidden="1">#REF!</definedName>
    <definedName name="BExIPDLT8JYAMGE5HTN4D1YHZF3V" localSheetId="4" hidden="1">#REF!</definedName>
    <definedName name="BExIPDLT8JYAMGE5HTN4D1YHZF3V" localSheetId="7"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MV2D77A07E403GAA7CYB8C2" hidden="1">#REF!</definedName>
    <definedName name="BExIQX1XBB31HZTYEEVOBSE3C5A6" hidden="1">#REF!</definedName>
    <definedName name="BExIR2ALYRP9FW99DK2084J7IIDC" hidden="1">#REF!</definedName>
    <definedName name="BExIR8FQETPTQYW37DBVDWG3J4JW" hidden="1">#REF!</definedName>
    <definedName name="BExIRBVWGULCWXZ0NA6HCLFX8VW6"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OL5FNHZHVLEZZZZ47YXZ5QS" localSheetId="4" hidden="1">#REF!</definedName>
    <definedName name="BExISOL5FNHZHVLEZZZZ47YXZ5QS" localSheetId="7" hidden="1">#REF!</definedName>
    <definedName name="BExISOL5FNHZHVLEZZZZ47YXZ5QS" hidden="1">#REF!</definedName>
    <definedName name="BExISRFKJYUZ4AKW44IJF7RF9Y90" hidden="1">#REF!</definedName>
    <definedName name="BExIT1MK8TBAK3SNP36A8FKDQSOK" hidden="1">#REF!</definedName>
    <definedName name="BExIT7RP2B89RX2C5P1P5H2DY1CI" localSheetId="4" hidden="1">#REF!</definedName>
    <definedName name="BExIT7RP2B89RX2C5P1P5H2DY1CI" localSheetId="7" hidden="1">#REF!</definedName>
    <definedName name="BExIT7RP2B89RX2C5P1P5H2DY1CI" hidden="1">#REF!</definedName>
    <definedName name="BExITBNYANV2S8KD56GOGCKW393R" hidden="1">#REF!</definedName>
    <definedName name="BExIU6ZCS275CPHR7BIJ2SCIXCP7" localSheetId="4" hidden="1">#REF!</definedName>
    <definedName name="BExIU6ZCS275CPHR7BIJ2SCIXCP7" localSheetId="7" hidden="1">#REF!</definedName>
    <definedName name="BExIU6ZCS275CPHR7BIJ2SCIXCP7" hidden="1">#REF!</definedName>
    <definedName name="BExIUD4OJGH65NFNQ4VMCE3R4J1X" hidden="1">#REF!</definedName>
    <definedName name="BExIUTB5OAAXYW0OFMP0PS40SPOB" hidden="1">#REF!</definedName>
    <definedName name="BExIUUT2MHIOV6R3WHA0DPM1KBKY" localSheetId="4" hidden="1">#REF!</definedName>
    <definedName name="BExIUUT2MHIOV6R3WHA0DPM1KBKY" localSheetId="7"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CMY91WXOF56UOYD0AUHJ3N" localSheetId="4" hidden="1">#REF!</definedName>
    <definedName name="BExIV3CMY91WXOF56UOYD0AUHJ3N" localSheetId="7" hidden="1">#REF!</definedName>
    <definedName name="BExIV3CMY91WXOF56UOYD0AUHJ3N" hidden="1">#REF!</definedName>
    <definedName name="BExIV3HY4S0YRV1F7XEMF2YHAR2I" hidden="1">#REF!</definedName>
    <definedName name="BExIV6HUZFRIFLXW2SICKGTAH1PV" hidden="1">#REF!</definedName>
    <definedName name="BExIVCXWL6H5LD9DHDIA4F5U9TQL" hidden="1">#REF!</definedName>
    <definedName name="BExIVMOIPSEWSIHIDDLOXESQ28A0" hidden="1">#REF!</definedName>
    <definedName name="BExIVNVNJX9BYDLC88NG09YF5XQ6" hidden="1">#REF!</definedName>
    <definedName name="BExIVOH8Z5N2NCDXBL9INQNLC76M" localSheetId="4" hidden="1">#REF!</definedName>
    <definedName name="BExIVOH8Z5N2NCDXBL9INQNLC76M" localSheetId="7" hidden="1">#REF!</definedName>
    <definedName name="BExIVOH8Z5N2NCDXBL9INQNLC76M" hidden="1">#REF!</definedName>
    <definedName name="BExIVQVKLMGSRYT1LFZH0KUIA4OR" hidden="1">#REF!</definedName>
    <definedName name="BExIVYTFI35KNR2XSA6N8OJYUTUR" localSheetId="4" hidden="1">#REF!</definedName>
    <definedName name="BExIVYTFI35KNR2XSA6N8OJYUTUR" localSheetId="7" hidden="1">#REF!</definedName>
    <definedName name="BExIVYTFI35KNR2XSA6N8OJYUTUR" hidden="1">#REF!</definedName>
    <definedName name="BExIWB3SY3WRIVIOF988DNNODBOA" hidden="1">#REF!</definedName>
    <definedName name="BExIWB99CG0H52LRD6QWPN4L6DV2" hidden="1">#REF!</definedName>
    <definedName name="BExIWG1W7XP9DFYYSZAIOSHM0QLQ" localSheetId="4" hidden="1">#REF!</definedName>
    <definedName name="BExIWG1W7XP9DFYYSZAIOSHM0QLQ" localSheetId="7" hidden="1">#REF!</definedName>
    <definedName name="BExIWG1W7XP9DFYYSZAIOSHM0QLQ" hidden="1">#REF!</definedName>
    <definedName name="BExIWH3KUK94B7833DD4TB0Y6KP9" hidden="1">#REF!</definedName>
    <definedName name="BExIWKE9MGIDWORBI43AWTUNYFAN" hidden="1">#REF!</definedName>
    <definedName name="BExIX34PM5DBTRHRQWP6PL6WIX88" hidden="1">#REF!</definedName>
    <definedName name="BExIX5OAP9KSUE5SIZCW9P39Q4WE" hidden="1">#REF!</definedName>
    <definedName name="BExIX69Y0CM4OW8NEPQXX4ORSAT2"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localSheetId="4" hidden="1">#REF!</definedName>
    <definedName name="BExIYI2RH0K4225XO970K2IQ1E79" localSheetId="7"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INL6JE573R3GB2W6M9LF" localSheetId="4" hidden="1">#REF!</definedName>
    <definedName name="BExIZAECINL6JE573R3GB2W6M9LF" localSheetId="7" hidden="1">#REF!</definedName>
    <definedName name="BExIZAECINL6JE573R3GB2W6M9LF" hidden="1">#REF!</definedName>
    <definedName name="BExIZAECOEZGBAO29QMV14E6XDIV" hidden="1">#REF!</definedName>
    <definedName name="BExIZKVXYD5O2JBU81F2UFJZLLSI" hidden="1">#REF!</definedName>
    <definedName name="BExIZPZDHC8HGER83WHCZAHOX7LK" hidden="1">#REF!</definedName>
    <definedName name="BExIZS2X10QUS4CITNIUIELXAFAJ" localSheetId="4" hidden="1">#REF!</definedName>
    <definedName name="BExIZS2X10QUS4CITNIUIELXAFAJ" localSheetId="7" hidden="1">#REF!</definedName>
    <definedName name="BExIZS2X10QUS4CITNIUIELXAFAJ" hidden="1">#REF!</definedName>
    <definedName name="BExIZY2PUZ0OF9YKK1B13IW0VS6G" hidden="1">#REF!</definedName>
    <definedName name="BExJ08KBRR2XMWW3VZMPSQKXHZUH" localSheetId="4" hidden="1">#REF!</definedName>
    <definedName name="BExJ08KBRR2XMWW3VZMPSQKXHZUH" localSheetId="7" hidden="1">#REF!</definedName>
    <definedName name="BExJ08KBRR2XMWW3VZMPSQKXHZUH" hidden="1">#REF!</definedName>
    <definedName name="BExJ0DYJWXGE7DA39PYL3WM05U9O" hidden="1">#REF!</definedName>
    <definedName name="BExJ0MY8SY5J5V50H3UKE78ODTVB" hidden="1">#REF!</definedName>
    <definedName name="BExJ0SCG7GD0KHI9T46FKP68270U" localSheetId="4" hidden="1">#REF!</definedName>
    <definedName name="BExJ0SCG7GD0KHI9T46FKP68270U" localSheetId="7" hidden="1">#REF!</definedName>
    <definedName name="BExJ0SCG7GD0KHI9T46FKP68270U" hidden="1">#REF!</definedName>
    <definedName name="BExJ0YC98G37ML4N8FLP8D95EFRF" hidden="1">#REF!</definedName>
    <definedName name="BExKCDYKAEV45AFXHVHZZ62E5BM3" hidden="1">#REF!</definedName>
    <definedName name="BExKDKO0W4AGQO1V7K6Q4VM750FT" hidden="1">#REF!</definedName>
    <definedName name="BExKDLF10G7W77J87QWH3ZGLUCLW" hidden="1">#REF!</definedName>
    <definedName name="BExKDYWMP2XKZPZZ3JN74IZA31I4" localSheetId="4" hidden="1">#REF!</definedName>
    <definedName name="BExKDYWMP2XKZPZZ3JN74IZA31I4" localSheetId="7" hidden="1">#REF!</definedName>
    <definedName name="BExKDYWMP2XKZPZZ3JN74IZA31I4"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TJTGZ5J6MUJ1UXP14KX6XN1" localSheetId="4" hidden="1">#REF!</definedName>
    <definedName name="BExKGTJTGZ5J6MUJ1UXP14KX6XN1" localSheetId="7" hidden="1">#REF!</definedName>
    <definedName name="BExKGTJTGZ5J6MUJ1UXP14KX6XN1" hidden="1">#REF!</definedName>
    <definedName name="BExKGV77YH9YXIQTRKK2331QGYKF" hidden="1">#REF!</definedName>
    <definedName name="BExKGXLJQX4WJ1YCKHSMCPSSKX21" localSheetId="4" hidden="1">#REF!</definedName>
    <definedName name="BExKGXLJQX4WJ1YCKHSMCPSSKX21" localSheetId="7" hidden="1">#REF!</definedName>
    <definedName name="BExKGXLJQX4WJ1YCKHSMCPSSKX21" hidden="1">#REF!</definedName>
    <definedName name="BExKH3FTZ5VGTB86W9M4AB39R0G8" hidden="1">#REF!</definedName>
    <definedName name="BExKH3FV5U5O6XZM7STS3NZKQFGJ" hidden="1">#REF!</definedName>
    <definedName name="BExKH8JEZRE8MEZ9VRCNMJT15RST" hidden="1">#REF!</definedName>
    <definedName name="BExKHAMUH8NR3HRV0V6FHJE3ROLN" hidden="1">#REF!</definedName>
    <definedName name="BExKHCFKOWFHO2WW0N7Y5XDXEWAO" hidden="1">#REF!</definedName>
    <definedName name="BExKHDMPODAJPZY7M2BN39326C43" localSheetId="4" hidden="1">#REF!</definedName>
    <definedName name="BExKHDMPODAJPZY7M2BN39326C43" localSheetId="7" hidden="1">#REF!</definedName>
    <definedName name="BExKHDMPODAJPZY7M2BN39326C43" hidden="1">#REF!</definedName>
    <definedName name="BExKHIVLONZ46HLMR50DEXKEUNEP" hidden="1">#REF!</definedName>
    <definedName name="BExKHPM9XA0ADDK7TUR0N38EXWEP" hidden="1">#REF!</definedName>
    <definedName name="BExKHWNRIZ5D7KKG5MQK7WNAIKUJ" localSheetId="4" hidden="1">#REF!</definedName>
    <definedName name="BExKHWNRIZ5D7KKG5MQK7WNAIKUJ" localSheetId="7" hidden="1">#REF!</definedName>
    <definedName name="BExKHWNRIZ5D7KKG5MQK7WNAIKUJ" hidden="1">#REF!</definedName>
    <definedName name="BExKI4076KXCDE5KXL79KT36OKLO" localSheetId="4" hidden="1">#REF!</definedName>
    <definedName name="BExKI4076KXCDE5KXL79KT36OKLO" localSheetId="7" hidden="1">#REF!</definedName>
    <definedName name="BExKI4076KXCDE5KXL79KT36OKLO" hidden="1">#REF!</definedName>
    <definedName name="BExKI7LO70WYISR7Q0Y1ZDWO9M3B" hidden="1">#REF!</definedName>
    <definedName name="BExKI8STNKBGV3XDC4DWP9DUI95F" hidden="1">#REF!</definedName>
    <definedName name="BExKIGQV6TXIZG039HBOJU62WP2U" hidden="1">#REF!</definedName>
    <definedName name="BExKILE008SF3KTAN8WML3XKI1NZ" hidden="1">#REF!</definedName>
    <definedName name="BExKILE0KASW8HUYMPSCDCLPF7G9" localSheetId="4" hidden="1">#REF!</definedName>
    <definedName name="BExKILE0KASW8HUYMPSCDCLPF7G9" localSheetId="7" hidden="1">#REF!</definedName>
    <definedName name="BExKILE0KASW8HUYMPSCDCLPF7G9" hidden="1">#REF!</definedName>
    <definedName name="BExKINSBB6RS7I489QHMCOMU4Z2X" hidden="1">#REF!</definedName>
    <definedName name="BExKIU87ZKSOC2DYZWFK6SAK9I8E" hidden="1">#REF!</definedName>
    <definedName name="BExKJ449HLYX2DJ9UF0H9GTPSQ73" hidden="1">#REF!</definedName>
    <definedName name="BExKJ80JCKTCTLIXPIWZCK93PF9N" localSheetId="4" hidden="1">#REF!</definedName>
    <definedName name="BExKJ80JCKTCTLIXPIWZCK93PF9N" localSheetId="7" hidden="1">#REF!</definedName>
    <definedName name="BExKJ80JCKTCTLIXPIWZCK93PF9N" hidden="1">#REF!</definedName>
    <definedName name="BExKJC7MJKEAMFD3Y9Q6TXP4MP3L"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6136BZL98KXU16PG6QG8APU" localSheetId="4" hidden="1">#REF!</definedName>
    <definedName name="BExKK6136BZL98KXU16PG6QG8APU" localSheetId="7" hidden="1">#REF!</definedName>
    <definedName name="BExKK6136BZL98KXU16PG6QG8APU" hidden="1">#REF!</definedName>
    <definedName name="BExKK8VP5RS3D0UXZVKA37C4SYBP" hidden="1">#REF!</definedName>
    <definedName name="BExKKIM9NPF6B3SPMPIQB27HQME4" hidden="1">#REF!</definedName>
    <definedName name="BExKKIX1BCBQ4R3K41QD8NTV0OV0" hidden="1">#REF!</definedName>
    <definedName name="BExKKQ3ZWADYV03YHMXDOAMU90EB" localSheetId="4" hidden="1">#REF!</definedName>
    <definedName name="BExKKQ3ZWADYV03YHMXDOAMU90EB" localSheetId="7" hidden="1">#REF!</definedName>
    <definedName name="BExKKQ3ZWADYV03YHMXDOAMU90EB" hidden="1">#REF!</definedName>
    <definedName name="BExKKUGD2HMJWQEYZ8H3X1BMXFS9" hidden="1">#REF!</definedName>
    <definedName name="BExKKX05KCZZZPKOR1NE5A8RGVT4" hidden="1">#REF!</definedName>
    <definedName name="BExKL3AQ1IV1NVX782PTFKU7U16A" localSheetId="4" hidden="1">#REF!</definedName>
    <definedName name="BExKL3AQ1IV1NVX782PTFKU7U16A" localSheetId="7" hidden="1">#REF!</definedName>
    <definedName name="BExKL3AQ1IV1NVX782PTFKU7U16A" hidden="1">#REF!</definedName>
    <definedName name="BExKLD6S9L66QYREYHBE5J44OK7X" hidden="1">#REF!</definedName>
    <definedName name="BExKLEZK32L28GYJWVO63BZ5E1JD" hidden="1">#REF!</definedName>
    <definedName name="BExKLLKVVHT06LA55JB2FC871DC5" hidden="1">#REF!</definedName>
    <definedName name="BExKMHSPAJPHUEZXSHTFJNWYFCQR" hidden="1">#REF!</definedName>
    <definedName name="BExKMWBX4EH3EYJ07UFEM08NB40Z" hidden="1">#REF!</definedName>
    <definedName name="BExKMX8A5ZOYAIX1JNJ198214P08" hidden="1">#REF!</definedName>
    <definedName name="BExKNBGV2IR3S7M0BX4810KZB4V3" hidden="1">#REF!</definedName>
    <definedName name="BExKNCTBZTSY3MO42VU5PLV6YUHZ" hidden="1">#REF!</definedName>
    <definedName name="BExKNGV2YY749C42AQ2T9QNIE5C3" hidden="1">#REF!</definedName>
    <definedName name="BExKNTG8WOYHOW9I6K6WBGXTRX0X" localSheetId="4" hidden="1">#REF!</definedName>
    <definedName name="BExKNTG8WOYHOW9I6K6WBGXTRX0X" localSheetId="7" hidden="1">#REF!</definedName>
    <definedName name="BExKNTG8WOYHOW9I6K6WBGXTRX0X"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BJJN98NVSALRMK9B8P0823D" localSheetId="4" hidden="1">#REF!</definedName>
    <definedName name="BExKPBJJN98NVSALRMK9B8P0823D" localSheetId="7" hidden="1">#REF!</definedName>
    <definedName name="BExKPBJJN98NVSALRMK9B8P0823D" hidden="1">#REF!</definedName>
    <definedName name="BExKPEZP0QTKOTLIMMIFSVTHQEEK" hidden="1">#REF!</definedName>
    <definedName name="BExKPLQJX0HJ8OTXBXH9IC9J2V0W" localSheetId="4" hidden="1">#REF!</definedName>
    <definedName name="BExKPLQJX0HJ8OTXBXH9IC9J2V0W" localSheetId="7" hidden="1">#REF!</definedName>
    <definedName name="BExKPLQJX0HJ8OTXBXH9IC9J2V0W" hidden="1">#REF!</definedName>
    <definedName name="BExKPN8C7GN36ZJZHLOB74LU6KT0" hidden="1">#REF!</definedName>
    <definedName name="BExKPOA7KQEO5H53FUG2NPXVNY9Z" hidden="1">#REF!</definedName>
    <definedName name="BExKPX9VZ1J5021Q98K60HMPJU58" hidden="1">#REF!</definedName>
    <definedName name="BExKQJGAAWNM3NT19E9I0CQDBTU0" localSheetId="4" hidden="1">#REF!</definedName>
    <definedName name="BExKQJGAAWNM3NT19E9I0CQDBTU0" localSheetId="7" hidden="1">#REF!</definedName>
    <definedName name="BExKQJGAAWNM3NT19E9I0CQDBTU0" hidden="1">#REF!</definedName>
    <definedName name="BExKQM5GJ1ZN5REKFE7YVBQ0KXWF" hidden="1">#REF!</definedName>
    <definedName name="BExKQPLDXXZOE89AAUX3S6BSJMIK" localSheetId="4" hidden="1">#REF!</definedName>
    <definedName name="BExKQPLDXXZOE89AAUX3S6BSJMIK" localSheetId="7" hidden="1">#REF!</definedName>
    <definedName name="BExKQPLDXXZOE89AAUX3S6BSJMIK" hidden="1">#REF!</definedName>
    <definedName name="BExKQQ71278061G7ZFYGPWOMOMY2" hidden="1">#REF!</definedName>
    <definedName name="BExKQTXRG3ECU8NT47UR7643LO5G" hidden="1">#REF!</definedName>
    <definedName name="BExKQVL7HPOIZ4FHANDFMVOJLEPR" hidden="1">#REF!</definedName>
    <definedName name="BExKR8RZSEHW184G0Z56B4EGNU72" hidden="1">#REF!</definedName>
    <definedName name="BExKRCO7LYZM5H2ESGUGVF5TQICB" localSheetId="4" hidden="1">#REF!</definedName>
    <definedName name="BExKRCO7LYZM5H2ESGUGVF5TQICB" localSheetId="7" hidden="1">#REF!</definedName>
    <definedName name="BExKRCO7LYZM5H2ESGUGVF5TQICB" hidden="1">#REF!</definedName>
    <definedName name="BExKRKRIT575GO53KC15JKG2VLFG"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ANIAETULCMHDF2ZODPC0VO9" localSheetId="4" hidden="1">#REF!</definedName>
    <definedName name="BExKTANIAETULCMHDF2ZODPC0VO9" localSheetId="7" hidden="1">#REF!</definedName>
    <definedName name="BExKTANIAETULCMHDF2ZODPC0VO9" hidden="1">#REF!</definedName>
    <definedName name="BExKTQZGN8GI3XGSEXMPCCA3S19H" hidden="1">#REF!</definedName>
    <definedName name="BExKTUKYYU0F6TUW1RXV24LRAZFE" hidden="1">#REF!</definedName>
    <definedName name="BExKTZIWB189ZS2J613U4KZO1QG6" localSheetId="4" hidden="1">#REF!</definedName>
    <definedName name="BExKTZIWB189ZS2J613U4KZO1QG6" localSheetId="7" hidden="1">#REF!</definedName>
    <definedName name="BExKTZIWB189ZS2J613U4KZO1QG6" hidden="1">#REF!</definedName>
    <definedName name="BExKU3FBLHQBIUTN6XEZW5GC9OG1" hidden="1">#REF!</definedName>
    <definedName name="BExKU6PVEJJWP8VRA5YJY2K0HNEG" localSheetId="4" hidden="1">#REF!</definedName>
    <definedName name="BExKU6PVEJJWP8VRA5YJY2K0HNEG" localSheetId="7" hidden="1">#REF!</definedName>
    <definedName name="BExKU6PVEJJWP8VRA5YJY2K0HNEG" hidden="1">#REF!</definedName>
    <definedName name="BExKU82I99FEUIZLODXJDOJC96CQ" hidden="1">#REF!</definedName>
    <definedName name="BExKUD0FMBF362EUFCQISBRY7WZ0" localSheetId="4" hidden="1">#REF!</definedName>
    <definedName name="BExKUD0FMBF362EUFCQISBRY7WZ0" localSheetId="7" hidden="1">#REF!</definedName>
    <definedName name="BExKUD0FMBF362EUFCQISBRY7WZ0"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DVK6HN74GQPTXICP9BFC8CF" hidden="1">#REF!</definedName>
    <definedName name="BExKVFDI6VT9LE5D9GFPZX51AC4I" hidden="1">#REF!</definedName>
    <definedName name="BExKVFZ3ZZGIC1QI8XN6BYFWN0ZY" localSheetId="4" hidden="1">#REF!</definedName>
    <definedName name="BExKVFZ3ZZGIC1QI8XN6BYFWN0ZY" localSheetId="7" hidden="1">#REF!</definedName>
    <definedName name="BExKVFZ3ZZGIC1QI8XN6BYFWN0ZY" hidden="1">#REF!</definedName>
    <definedName name="BExKVG4KGO28KPGTAFL1R8TTZ10N" hidden="1">#REF!</definedName>
    <definedName name="BExKVZR7CUPJCB2M8WO0J2ESDEUX" hidden="1">#REF!</definedName>
    <definedName name="BExKW0CSH7DA02YSNV64PSEIXB2P" hidden="1">#REF!</definedName>
    <definedName name="BExKWG8MR20O13C3YSUIHBD2BWQ2" localSheetId="4" hidden="1">#REF!</definedName>
    <definedName name="BExKWG8MR20O13C3YSUIHBD2BWQ2" localSheetId="7" hidden="1">#REF!</definedName>
    <definedName name="BExKWG8MR20O13C3YSUIHBD2BWQ2" hidden="1">#REF!</definedName>
    <definedName name="BExM9NUG3Q31X01AI9ZJCZIX25CS" hidden="1">#REF!</definedName>
    <definedName name="BExM9OG182RP30MY23PG49LVPZ1C" localSheetId="4" hidden="1">#REF!</definedName>
    <definedName name="BExM9OG182RP30MY23PG49LVPZ1C" localSheetId="7" hidden="1">#REF!</definedName>
    <definedName name="BExM9OG182RP30MY23PG49LVPZ1C" hidden="1">#REF!</definedName>
    <definedName name="BExMA64MW1S18NH8DCKPCCEI5KCB" hidden="1">#REF!</definedName>
    <definedName name="BExMALEWFUEM8Y686IT03ECURUBR" localSheetId="4" hidden="1">#REF!</definedName>
    <definedName name="BExMALEWFUEM8Y686IT03ECURUBR" localSheetId="7" hidden="1">#REF!</definedName>
    <definedName name="BExMALEWFUEM8Y686IT03ECURUBR"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TBHSHFUHXZPKH8T1T26W5AQ" hidden="1">#REF!</definedName>
    <definedName name="BExMBYPQDG9AYDQ5E8IECVFREPO6" localSheetId="4" hidden="1">#REF!</definedName>
    <definedName name="BExMBYPQDG9AYDQ5E8IECVFREPO6" localSheetId="7" hidden="1">#REF!</definedName>
    <definedName name="BExMBYPQDG9AYDQ5E8IECVFREPO6" hidden="1">#REF!</definedName>
    <definedName name="BExMC7K41G5WMXC4OKZPL523IN5C" hidden="1">#REF!</definedName>
    <definedName name="BExMC8AZUTX8LG89K2JJR7ZG62XX" hidden="1">#REF!</definedName>
    <definedName name="BExMCA96YR10V72G2R0SCIKPZLIZ" localSheetId="4" hidden="1">#REF!</definedName>
    <definedName name="BExMCA96YR10V72G2R0SCIKPZLIZ" localSheetId="7" hidden="1">#REF!</definedName>
    <definedName name="BExMCA96YR10V72G2R0SCIKPZLIZ" hidden="1">#REF!</definedName>
    <definedName name="BExMCB5JU5I2VQDUBS4O42BTEVKI" hidden="1">#REF!</definedName>
    <definedName name="BExMCFSQFSEMPY5IXDIRKZDASDBR" localSheetId="4" hidden="1">#REF!</definedName>
    <definedName name="BExMCFSQFSEMPY5IXDIRKZDASDBR" localSheetId="7" hidden="1">#REF!</definedName>
    <definedName name="BExMCFSQFSEMPY5IXDIRKZDASDBR" hidden="1">#REF!</definedName>
    <definedName name="BExMCI726Y7CQ98CFILJNB189OL7" localSheetId="4" hidden="1">#REF!</definedName>
    <definedName name="BExMCI726Y7CQ98CFILJNB189OL7" localSheetId="7" hidden="1">#REF!</definedName>
    <definedName name="BExMCI726Y7CQ98CFILJNB189OL7"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3GYN2LDARCNPWPZAMRBJJI7" localSheetId="4" hidden="1">#REF!</definedName>
    <definedName name="BExMD3GYN2LDARCNPWPZAMRBJJI7" localSheetId="7" hidden="1">#REF!</definedName>
    <definedName name="BExMD3GYN2LDARCNPWPZAMRBJJI7" hidden="1">#REF!</definedName>
    <definedName name="BExMD5F6IAV108XYJLXUO9HD0IT6" hidden="1">#REF!</definedName>
    <definedName name="BExMDANV66W9T3XAXID40XFJ0J93" hidden="1">#REF!</definedName>
    <definedName name="BExMDB9N9PYO86JHHFQP7ONO2P9B" localSheetId="4" hidden="1">#REF!</definedName>
    <definedName name="BExMDB9N9PYO86JHHFQP7ONO2P9B" localSheetId="7" hidden="1">#REF!</definedName>
    <definedName name="BExMDB9N9PYO86JHHFQP7ONO2P9B" hidden="1">#REF!</definedName>
    <definedName name="BExMDFWS9BJGE5SKB9YDJZR8AV48" hidden="1">#REF!</definedName>
    <definedName name="BExMDGD1KQP7NNR78X2ZX4FCBQ1S" localSheetId="4" hidden="1">#REF!</definedName>
    <definedName name="BExMDGD1KQP7NNR78X2ZX4FCBQ1S" localSheetId="7" hidden="1">#REF!</definedName>
    <definedName name="BExMDGD1KQP7NNR78X2ZX4FCBQ1S" hidden="1">#REF!</definedName>
    <definedName name="BExMDIRDK0DI8P86HB7WPH8QWLSQ" hidden="1">#REF!</definedName>
    <definedName name="BExMDJT3GXQN5F3BE6X3BGLJRVP6" localSheetId="4" hidden="1">#REF!</definedName>
    <definedName name="BExMDJT3GXQN5F3BE6X3BGLJRVP6" localSheetId="7" hidden="1">#REF!</definedName>
    <definedName name="BExMDJT3GXQN5F3BE6X3BGLJRVP6" hidden="1">#REF!</definedName>
    <definedName name="BExMDPI2FVMORSWDDCVAJ85WYAYO" hidden="1">#REF!</definedName>
    <definedName name="BExMDUWB7VWHFFR266QXO46BNV2S" hidden="1">#REF!</definedName>
    <definedName name="BExME2U47N8LZG0BPJ49ANY5QVV2" hidden="1">#REF!</definedName>
    <definedName name="BExME7165EDUSONBWV5AZ51HSY4H" localSheetId="4" hidden="1">#REF!</definedName>
    <definedName name="BExME7165EDUSONBWV5AZ51HSY4H" localSheetId="7" hidden="1">#REF!</definedName>
    <definedName name="BExME7165EDUSONBWV5AZ51HSY4H" hidden="1">#REF!</definedName>
    <definedName name="BExME88DH5DUKMUFI9FNVECXFD2E" hidden="1">#REF!</definedName>
    <definedName name="BExME9A7MOGAK7YTTQYXP5DL6VYA"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JFS7Y0MW1N26ORGBGS696R0" localSheetId="4" hidden="1">#REF!</definedName>
    <definedName name="BExMFJFS7Y0MW1N26ORGBGS696R0" localSheetId="7" hidden="1">#REF!</definedName>
    <definedName name="BExMFJFS7Y0MW1N26ORGBGS696R0" hidden="1">#REF!</definedName>
    <definedName name="BExMFLDTMRTCHKA37LQW67BG8D5C" hidden="1">#REF!</definedName>
    <definedName name="BExMH0XGUY9O1W5KGWNFPGQRE7FI" hidden="1">#REF!</definedName>
    <definedName name="BExMH3H9TW5TJCNU5Z1EWXP3BAEP" hidden="1">#REF!</definedName>
    <definedName name="BExMHFBDKU7SL1XYKYR6CGEO8CEL" localSheetId="4" hidden="1">#REF!</definedName>
    <definedName name="BExMHFBDKU7SL1XYKYR6CGEO8CEL" localSheetId="7" hidden="1">#REF!</definedName>
    <definedName name="BExMHFBDKU7SL1XYKYR6CGEO8CEL" hidden="1">#REF!</definedName>
    <definedName name="BExMHOWPB34KPZ76M2KIX2C9R2VB" localSheetId="4" hidden="1">#REF!</definedName>
    <definedName name="BExMHOWPB34KPZ76M2KIX2C9R2VB" localSheetId="7" hidden="1">#REF!</definedName>
    <definedName name="BExMHOWPB34KPZ76M2KIX2C9R2VB" hidden="1">#REF!</definedName>
    <definedName name="BExMHSSYC6KVHA3QDTSYPN92TWMI" hidden="1">#REF!</definedName>
    <definedName name="BExMI3AJ9477KDL4T9DHET4LJJTW" localSheetId="4" hidden="1">#REF!</definedName>
    <definedName name="BExMI3AJ9477KDL4T9DHET4LJJTW" localSheetId="7" hidden="1">#REF!</definedName>
    <definedName name="BExMI3AJ9477KDL4T9DHET4LJJTW" hidden="1">#REF!</definedName>
    <definedName name="BExMI6QQ20XHD0NWJUN741B37182" hidden="1">#REF!</definedName>
    <definedName name="BExMI8JB94SBD9EMNJEK7Y2T6GYU" hidden="1">#REF!</definedName>
    <definedName name="BExMI8OS85YTW3KYVE4YD0R7Z6UV" hidden="1">#REF!</definedName>
    <definedName name="BExMIBOOZU40JS3F89OMPSRCE9MM" localSheetId="4" hidden="1">#REF!</definedName>
    <definedName name="BExMIBOOZU40JS3F89OMPSRCE9MM" localSheetId="7" hidden="1">#REF!</definedName>
    <definedName name="BExMIBOOZU40JS3F89OMPSRCE9MM" hidden="1">#REF!</definedName>
    <definedName name="BExMIETWI175OVTQ66FIIUOEG2VO" localSheetId="4" hidden="1">#REF!</definedName>
    <definedName name="BExMIETWI175OVTQ66FIIUOEG2VO" localSheetId="7" hidden="1">#REF!</definedName>
    <definedName name="BExMIETWI175OVTQ66FIIUOEG2VO" hidden="1">#REF!</definedName>
    <definedName name="BExMIIQ5MBWSIHTFWAQADXMZC22Q" hidden="1">#REF!</definedName>
    <definedName name="BExMIL4I2GE866I25CR5JBLJWJ6A" hidden="1">#REF!</definedName>
    <definedName name="BExMIRKIPF27SNO82SPFSB3T5U17" hidden="1">#REF!</definedName>
    <definedName name="BExMIV0KC8555D5E42ZGWG15Y0MO" localSheetId="4" hidden="1">#REF!</definedName>
    <definedName name="BExMIV0KC8555D5E42ZGWG15Y0MO" localSheetId="7" hidden="1">#REF!</definedName>
    <definedName name="BExMIV0KC8555D5E42ZGWG15Y0MO" hidden="1">#REF!</definedName>
    <definedName name="BExMIZT6AN7E6YMW2S87CTCN2UXH" hidden="1">#REF!</definedName>
    <definedName name="BExMJNC8ZFB9DRFOJ961ZAJ8U3A8"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localSheetId="4" hidden="1">#REF!</definedName>
    <definedName name="BExMKUN3WPECJR2XRID2R7GZRGNX" localSheetId="7" hidden="1">#REF!</definedName>
    <definedName name="BExMKUN3WPECJR2XRID2R7GZRGNX" hidden="1">#REF!</definedName>
    <definedName name="BExMKZ535P011X4TNV16GCOH4H21" localSheetId="4" hidden="1">#REF!</definedName>
    <definedName name="BExMKZ535P011X4TNV16GCOH4H21" localSheetId="7" hidden="1">#REF!</definedName>
    <definedName name="BExMKZ535P011X4TNV16GCOH4H21" hidden="1">#REF!</definedName>
    <definedName name="BExML3XQNDIMX55ZCHHXKUV3D6E6" hidden="1">#REF!</definedName>
    <definedName name="BExML5QGSWHLI18BGY4CGOTD3UWH" hidden="1">#REF!</definedName>
    <definedName name="BExMLKF1HGC9W2MK37E42OJJP44E" localSheetId="4" hidden="1">#REF!</definedName>
    <definedName name="BExMLKF1HGC9W2MK37E42OJJP44E" localSheetId="7" hidden="1">#REF!</definedName>
    <definedName name="BExMLKF1HGC9W2MK37E42OJJP44E" hidden="1">#REF!</definedName>
    <definedName name="BExMLO5Z61RE85X8HHX2G4IU3AZW" hidden="1">#REF!</definedName>
    <definedName name="BExMLVI7UORSHM9FMO8S2EI0TMTS" localSheetId="4" hidden="1">#REF!</definedName>
    <definedName name="BExMLVI7UORSHM9FMO8S2EI0TMTS" localSheetId="7" hidden="1">#REF!</definedName>
    <definedName name="BExMLVI7UORSHM9FMO8S2EI0TMTS" hidden="1">#REF!</definedName>
    <definedName name="BExMM5UCOT2HSSN0ZIPZW55GSOVO" localSheetId="4" hidden="1">#REF!</definedName>
    <definedName name="BExMM5UCOT2HSSN0ZIPZW55GSOVO" localSheetId="7"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localSheetId="4" hidden="1">#REF!</definedName>
    <definedName name="BExMMNIZ2T7M22WECMUQXEF4NJ71" localSheetId="7"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JLFWZBRN9PZF1IO9CYWV1B2" hidden="1">#REF!</definedName>
    <definedName name="BExMNKCJ0FA57YEUUAJE43U1QN5P" hidden="1">#REF!</definedName>
    <definedName name="BExMNKN5D1WEF2OOJVP6LZ6DLU3Y" hidden="1">#REF!</definedName>
    <definedName name="BExMNQMYHO8P4UBDPYK2S8W4EQCA" localSheetId="4" hidden="1">#REF!</definedName>
    <definedName name="BExMNQMYHO8P4UBDPYK2S8W4EQCA" localSheetId="7" hidden="1">#REF!</definedName>
    <definedName name="BExMNQMYHO8P4UBDPYK2S8W4EQCA" hidden="1">#REF!</definedName>
    <definedName name="BExMNQXWSJGR1IZ33DHEA6H4C8X4"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OUHYJ7S5Q4B9QB0G3KR526U3" localSheetId="4" hidden="1">#REF!</definedName>
    <definedName name="BExMOUHYJ7S5Q4B9QB0G3KR526U3" localSheetId="7" hidden="1">#REF!</definedName>
    <definedName name="BExMOUHYJ7S5Q4B9QB0G3KR526U3"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localSheetId="4" hidden="1">#REF!</definedName>
    <definedName name="BExMPSD77XQ3HA6A4FZOJK8G2JP3" localSheetId="7" hidden="1">#REF!</definedName>
    <definedName name="BExMPSD77XQ3HA6A4FZOJK8G2JP3" hidden="1">#REF!</definedName>
    <definedName name="BExMQ4I3Q7F0BMPHSFMFW9TZ87UD" hidden="1">#REF!</definedName>
    <definedName name="BExMQ4SWDWI4N16AZ0T5CJ6HH8WC" hidden="1">#REF!</definedName>
    <definedName name="BExMQ71WHW50GVX45JU951AGPLFQ" localSheetId="4" hidden="1">#REF!</definedName>
    <definedName name="BExMQ71WHW50GVX45JU951AGPLFQ" localSheetId="7" hidden="1">#REF!</definedName>
    <definedName name="BExMQ71WHW50GVX45JU951AGPLFQ" hidden="1">#REF!</definedName>
    <definedName name="BExMQFLC51WC0ZQ3ISX3C0WWY8ON" localSheetId="4" hidden="1">#REF!</definedName>
    <definedName name="BExMQFLC51WC0ZQ3ISX3C0WWY8ON" localSheetId="7" hidden="1">#REF!</definedName>
    <definedName name="BExMQFLC51WC0ZQ3ISX3C0WWY8ON"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JGBMBQR02EUGWJB4OYWVQPC" hidden="1">#REF!</definedName>
    <definedName name="BExMRRJNUMGRSDD5GGKKGEIZ6FTS" hidden="1">#REF!</definedName>
    <definedName name="BExMRU3ACIU0RD2BNWO55LH5U2BR" hidden="1">#REF!</definedName>
    <definedName name="BExMRYVXZYRCNM005S74K8KVJXSW" hidden="1">#REF!</definedName>
    <definedName name="BExMSQRCC40AP8BDUPL2I2DNC210" hidden="1">#REF!</definedName>
    <definedName name="BExMTLXHZ9H4QYDQ0VMHUXWSVD3Q"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A7G3T6F15S63S1OQ24SFQJH" localSheetId="4" hidden="1">#REF!</definedName>
    <definedName name="BExO6A7G3T6F15S63S1OQ24SFQJH" localSheetId="7" hidden="1">#REF!</definedName>
    <definedName name="BExO6A7G3T6F15S63S1OQ24SFQJH" hidden="1">#REF!</definedName>
    <definedName name="BExO6LLHCYTF7CIVHKAO0NMET14Q" hidden="1">#REF!</definedName>
    <definedName name="BExO764GVLC6R6LREFVX7QYWT3RE" localSheetId="4" hidden="1">#REF!</definedName>
    <definedName name="BExO764GVLC6R6LREFVX7QYWT3RE" localSheetId="7" hidden="1">#REF!</definedName>
    <definedName name="BExO764GVLC6R6LREFVX7QYWT3RE" hidden="1">#REF!</definedName>
    <definedName name="BExO7OUQS3XTUQ2LDKGQ8AAQ3OJJ" hidden="1">#REF!</definedName>
    <definedName name="BExO85HMYXZJ7SONWBKKIAXMCI3C" hidden="1">#REF!</definedName>
    <definedName name="BExO863922O4PBGQMUNEQKGN3K96" hidden="1">#REF!</definedName>
    <definedName name="BExO89ZCBQDFNQMXBL81B6NYT5U3" localSheetId="4" hidden="1">#REF!</definedName>
    <definedName name="BExO89ZCBQDFNQMXBL81B6NYT5U3" localSheetId="7" hidden="1">#REF!</definedName>
    <definedName name="BExO89ZCBQDFNQMXBL81B6NYT5U3" hidden="1">#REF!</definedName>
    <definedName name="BExO89ZIOXN0HOKHY24F7HDZ87UT" hidden="1">#REF!</definedName>
    <definedName name="BExO8A4S3VKZ6N6VX4CXOWCPKHWC" localSheetId="4" hidden="1">#REF!</definedName>
    <definedName name="BExO8A4S3VKZ6N6VX4CXOWCPKHWC" localSheetId="7" hidden="1">#REF!</definedName>
    <definedName name="BExO8A4S3VKZ6N6VX4CXOWCPKHWC" hidden="1">#REF!</definedName>
    <definedName name="BExO8CDTBCABLEUD6PE2UM2EZ6C4" hidden="1">#REF!</definedName>
    <definedName name="BExO8UTAGQWDBQZEEF4HUNMLQCVU" hidden="1">#REF!</definedName>
    <definedName name="BExO937E20IHMGQOZMECL3VZC7OX" hidden="1">#REF!</definedName>
    <definedName name="BExO94UTJKQQ7TJTTJRTSR70YVJC" hidden="1">#REF!</definedName>
    <definedName name="BExO9I1E64ENA8Z42JI2J81DKZ8T" localSheetId="4" hidden="1">#REF!</definedName>
    <definedName name="BExO9I1E64ENA8Z42JI2J81DKZ8T" localSheetId="7" hidden="1">#REF!</definedName>
    <definedName name="BExO9I1E64ENA8Z42JI2J81DKZ8T"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3M8QPKLDQSMPYFUCAQJNK70" hidden="1">#REF!</definedName>
    <definedName name="BExOAFR4YY8GPWAZ4GI5AYC2OHJ4" localSheetId="4" hidden="1">#REF!</definedName>
    <definedName name="BExOAFR4YY8GPWAZ4GI5AYC2OHJ4" localSheetId="7" hidden="1">#REF!</definedName>
    <definedName name="BExOAFR4YY8GPWAZ4GI5AYC2OHJ4" hidden="1">#REF!</definedName>
    <definedName name="BExOAQ3GKCT7YZW1EMVU3EILSZL2" hidden="1">#REF!</definedName>
    <definedName name="BExOB9KT2THGV4SPLDVFTFXS4B14" hidden="1">#REF!</definedName>
    <definedName name="BExOBARY8ORR3FTR16NG5BCOPOIX" localSheetId="4" hidden="1">#REF!</definedName>
    <definedName name="BExOBARY8ORR3FTR16NG5BCOPOIX" localSheetId="7" hidden="1">#REF!</definedName>
    <definedName name="BExOBARY8ORR3FTR16NG5BCOPOIX"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localSheetId="4" hidden="1">#REF!</definedName>
    <definedName name="BExOBP0FKQ4SVR59FB48UNLKCOR6" localSheetId="7" hidden="1">#REF!</definedName>
    <definedName name="BExOBP0FKQ4SVR59FB48UNLKCOR6" hidden="1">#REF!</definedName>
    <definedName name="BExOBYAVUCQ0IGM0Y6A75QHP0Q1A" hidden="1">#REF!</definedName>
    <definedName name="BExOC1G3P4Z633NKFJLRITBBHVCY" localSheetId="4" hidden="1">#REF!</definedName>
    <definedName name="BExOC1G3P4Z633NKFJLRITBBHVCY" localSheetId="7" hidden="1">#REF!</definedName>
    <definedName name="BExOC1G3P4Z633NKFJLRITBBHVCY"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ZFEIWV26E8RFU7XQYX1J458" hidden="1">#REF!</definedName>
    <definedName name="BExOEBKG55EROA2VL360A06LKASE" hidden="1">#REF!</definedName>
    <definedName name="BExOERG5LWXYYEN1DY1H2FWRJS9T" hidden="1">#REF!</definedName>
    <definedName name="BExOERR3JZBGPM0JUHNGZKIHF51J" localSheetId="4" hidden="1">#REF!</definedName>
    <definedName name="BExOERR3JZBGPM0JUHNGZKIHF51J" localSheetId="7" hidden="1">#REF!</definedName>
    <definedName name="BExOERR3JZBGPM0JUHNGZKIHF51J" hidden="1">#REF!</definedName>
    <definedName name="BExOEV1S6JJVO5PP4BZ20SNGZR7D" hidden="1">#REF!</definedName>
    <definedName name="BExOF8J5ENHOI8E3NE2IDX8Q1PAA" localSheetId="4" hidden="1">#REF!</definedName>
    <definedName name="BExOF8J5ENHOI8E3NE2IDX8Q1PAA" localSheetId="7" hidden="1">#REF!</definedName>
    <definedName name="BExOF8J5ENHOI8E3NE2IDX8Q1PAA" hidden="1">#REF!</definedName>
    <definedName name="BExOFEDNCYI2TPTMQ8SJN3AW4YMF" hidden="1">#REF!</definedName>
    <definedName name="BExOFVLXVD6RVHSQO8KZOOACSV24" localSheetId="4" hidden="1">#REF!</definedName>
    <definedName name="BExOFVLXVD6RVHSQO8KZOOACSV24" localSheetId="7" hidden="1">#REF!</definedName>
    <definedName name="BExOFVLXVD6RVHSQO8KZOOACSV24" hidden="1">#REF!</definedName>
    <definedName name="BExOFVWR29JOZ66F7LOP8BWQPXPI" localSheetId="4" hidden="1">#REF!</definedName>
    <definedName name="BExOFVWR29JOZ66F7LOP8BWQPXPI" localSheetId="7" hidden="1">#REF!</definedName>
    <definedName name="BExOFVWR29JOZ66F7LOP8BWQPXPI" hidden="1">#REF!</definedName>
    <definedName name="BExOG2SW3XOGP9VAPQ3THV3VWV12" hidden="1">#REF!</definedName>
    <definedName name="BExOG45J81K4OPA40KW5VQU54KY3" hidden="1">#REF!</definedName>
    <definedName name="BExOGFE2SCL8HHT4DFAXKLUTJZOG" hidden="1">#REF!</definedName>
    <definedName name="BExOGR2VS4QGVJ34NR8UE7CLMPQ0" localSheetId="4" hidden="1">#REF!</definedName>
    <definedName name="BExOGR2VS4QGVJ34NR8UE7CLMPQ0" localSheetId="7" hidden="1">#REF!</definedName>
    <definedName name="BExOGR2VS4QGVJ34NR8UE7CLMPQ0"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HY8LCO3ZHOEH1ZTL0MQTYQOL" localSheetId="4" hidden="1">#REF!</definedName>
    <definedName name="BExOHY8LCO3ZHOEH1ZTL0MQTYQOL" localSheetId="7" hidden="1">#REF!</definedName>
    <definedName name="BExOHY8LCO3ZHOEH1ZTL0MQTYQOL"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localSheetId="4" hidden="1">#REF!</definedName>
    <definedName name="BExOJXEUJJ9SYRJXKYYV2NCCDT2R" localSheetId="7" hidden="1">#REF!</definedName>
    <definedName name="BExOJXEUJJ9SYRJXKYYV2NCCDT2R" hidden="1">#REF!</definedName>
    <definedName name="BExOK0EQYM9JUMAGWOUN7QDH7VMZ" localSheetId="4" hidden="1">#REF!</definedName>
    <definedName name="BExOK0EQYM9JUMAGWOUN7QDH7VMZ" localSheetId="7" hidden="1">#REF!</definedName>
    <definedName name="BExOK0EQYM9JUMAGWOUN7QDH7VMZ" hidden="1">#REF!</definedName>
    <definedName name="BExOK10DPUX7E7X0CT199QVBODEW" localSheetId="4" hidden="1">#REF!</definedName>
    <definedName name="BExOK10DPUX7E7X0CT199QVBODEW" localSheetId="7" hidden="1">#REF!</definedName>
    <definedName name="BExOK10DPUX7E7X0CT199QVBODEW" hidden="1">#REF!</definedName>
    <definedName name="BExOK4WM9O7QNG6O57FOASI5QSN1" hidden="1">#REF!</definedName>
    <definedName name="BExOK8SVNS9DXWU2QWBNB1YVNR7L" localSheetId="4" hidden="1">#REF!</definedName>
    <definedName name="BExOK8SVNS9DXWU2QWBNB1YVNR7L" localSheetId="7" hidden="1">#REF!</definedName>
    <definedName name="BExOK8SVNS9DXWU2QWBNB1YVNR7L"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localSheetId="4" hidden="1">#REF!</definedName>
    <definedName name="BExOLICXFHJLILCJVFMJE5MGGWKR" localSheetId="7" hidden="1">#REF!</definedName>
    <definedName name="BExOLICXFHJLILCJVFMJE5MGGWKR" hidden="1">#REF!</definedName>
    <definedName name="BExOLMUQP54SNJ4377CSQ2W2VRVE" localSheetId="4" hidden="1">#REF!</definedName>
    <definedName name="BExOLMUQP54SNJ4377CSQ2W2VRVE" localSheetId="7" hidden="1">#REF!</definedName>
    <definedName name="BExOLMUQP54SNJ4377CSQ2W2VRVE" hidden="1">#REF!</definedName>
    <definedName name="BExOLOI0WJS3QC12I3ISL0D9AWOF" hidden="1">#REF!</definedName>
    <definedName name="BExOLYZNG5RBD0BTS1OEZJNU92Q5" hidden="1">#REF!</definedName>
    <definedName name="BExOM3HIJ3UZPOKJI68KPBJAHPDC" hidden="1">#REF!</definedName>
    <definedName name="BExOMKPURE33YQ3K1JG9NVQD4W49" hidden="1">#REF!</definedName>
    <definedName name="BExOMP7NGCLUNFK50QD2LPKRG078" hidden="1">#REF!</definedName>
    <definedName name="BExOMU0A6XMY48SZRYL4WQZD13BI" localSheetId="4" hidden="1">#REF!</definedName>
    <definedName name="BExOMU0A6XMY48SZRYL4WQZD13BI" localSheetId="7"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FQH6UUXF8V0GI4BRIST9RFO" hidden="1">#REF!</definedName>
    <definedName name="BExONH34JHZ9VP2WPUBTIVZOCPM6" hidden="1">#REF!</definedName>
    <definedName name="BExONHU65LML12UB9EWV7FQBQBNE" localSheetId="4" hidden="1">#REF!</definedName>
    <definedName name="BExONHU65LML12UB9EWV7FQBQBNE" localSheetId="7" hidden="1">#REF!</definedName>
    <definedName name="BExONHU65LML12UB9EWV7FQBQBNE"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OUOOR1038J07BOYJJU106NFS" hidden="1">#REF!</definedName>
    <definedName name="BExOOUZHJUFHENA2ET6S02TMZRNP" localSheetId="4" hidden="1">#REF!</definedName>
    <definedName name="BExOOUZHJUFHENA2ET6S02TMZRNP" localSheetId="7" hidden="1">#REF!</definedName>
    <definedName name="BExOOUZHJUFHENA2ET6S02TMZRNP"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OQ31LFF5V955K4N7NSFG61GNX" hidden="1">#REF!</definedName>
    <definedName name="BExQ19DEUOLC11IW32E2AMVZLFF1" hidden="1">#REF!</definedName>
    <definedName name="BExQ1SJXKHE45NHA4Y912ZWK0BVS" localSheetId="4" hidden="1">#REF!</definedName>
    <definedName name="BExQ1SJXKHE45NHA4Y912ZWK0BVS" localSheetId="7" hidden="1">#REF!</definedName>
    <definedName name="BExQ1SJXKHE45NHA4Y912ZWK0BVS" hidden="1">#REF!</definedName>
    <definedName name="BExQ1V922YTT0W39UMN4F4HNC5AS" localSheetId="4" hidden="1">#REF!</definedName>
    <definedName name="BExQ1V922YTT0W39UMN4F4HNC5AS" localSheetId="7" hidden="1">#REF!</definedName>
    <definedName name="BExQ1V922YTT0W39UMN4F4HNC5AS" hidden="1">#REF!</definedName>
    <definedName name="BExQ1WG83K960T15H8A2VLMPXVU0" hidden="1">#REF!</definedName>
    <definedName name="BExQ29C73XR33S3668YYSYZAIHTG" hidden="1">#REF!</definedName>
    <definedName name="BExQ2FS228IUDUP2023RA1D4AO4C" hidden="1">#REF!</definedName>
    <definedName name="BExQ2L0XYWLY9VPZWXYYFRIRQRJ1" hidden="1">#REF!</definedName>
    <definedName name="BExQ2M841F5Z1BQYR8DG5FKK0LIU" localSheetId="4" hidden="1">#REF!</definedName>
    <definedName name="BExQ2M841F5Z1BQYR8DG5FKK0LIU" localSheetId="7" hidden="1">#REF!</definedName>
    <definedName name="BExQ2M841F5Z1BQYR8DG5FKK0LIU" hidden="1">#REF!</definedName>
    <definedName name="BExQ300G8I8TK45A0MVHV15422EU" localSheetId="4" hidden="1">#REF!</definedName>
    <definedName name="BExQ300G8I8TK45A0MVHV15422EU" localSheetId="7" hidden="1">#REF!</definedName>
    <definedName name="BExQ300G8I8TK45A0MVHV15422EU" hidden="1">#REF!</definedName>
    <definedName name="BExQ38JVNZHQEVM20T8PEG1GP01R" localSheetId="4" hidden="1">#REF!</definedName>
    <definedName name="BExQ38JVNZHQEVM20T8PEG1GP01R" localSheetId="7" hidden="1">#REF!</definedName>
    <definedName name="BExQ38JVNZHQEVM20T8PEG1GP01R" hidden="1">#REF!</definedName>
    <definedName name="BExQ39R28MXSG2SEV956F0KZ20AN" localSheetId="4" hidden="1">#REF!</definedName>
    <definedName name="BExQ39R28MXSG2SEV956F0KZ20AN" localSheetId="7" hidden="1">#REF!</definedName>
    <definedName name="BExQ39R28MXSG2SEV956F0KZ20AN" hidden="1">#REF!</definedName>
    <definedName name="BExQ3D1P3M5Z3HLMEZ17E0BLEE4U" localSheetId="4" hidden="1">#REF!</definedName>
    <definedName name="BExQ3D1P3M5Z3HLMEZ17E0BLEE4U" localSheetId="7" hidden="1">#REF!</definedName>
    <definedName name="BExQ3D1P3M5Z3HLMEZ17E0BLEE4U" hidden="1">#REF!</definedName>
    <definedName name="BExQ3O4W7QF8BOXTUT4IOGF6YKUD" hidden="1">#REF!</definedName>
    <definedName name="BExQ3PXOWSN8561ZR8IEY8ZASI3B" hidden="1">#REF!</definedName>
    <definedName name="BExQ3TZF04IPY0B0UG9CQQ5736UA" hidden="1">#REF!</definedName>
    <definedName name="BExQ42IU9MNDYLODP41DL6YTZMAR" localSheetId="4" hidden="1">#REF!</definedName>
    <definedName name="BExQ42IU9MNDYLODP41DL6YTZMAR" localSheetId="7" hidden="1">#REF!</definedName>
    <definedName name="BExQ42IU9MNDYLODP41DL6YTZMAR" hidden="1">#REF!</definedName>
    <definedName name="BExQ452HF7N1HYPXJXQ8WD6SOWUV" hidden="1">#REF!</definedName>
    <definedName name="BExQ4BTBSHPHVEDRCXC2ROW8PLFC" hidden="1">#REF!</definedName>
    <definedName name="BExQ4DGKF54SRKQUTUT4B1CZSS62" hidden="1">#REF!</definedName>
    <definedName name="BExQ4M04XQFHM953TPL217CAK4ZP"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ITIC66SDM614FOSP325TOY5" localSheetId="4" hidden="1">#REF!</definedName>
    <definedName name="BExQ5ITIC66SDM614FOSP325TOY5" localSheetId="7" hidden="1">#REF!</definedName>
    <definedName name="BExQ5ITIC66SDM614FOSP325TOY5" hidden="1">#REF!</definedName>
    <definedName name="BExQ5KX3Z668H1KUCKZ9J24HUQ1F" hidden="1">#REF!</definedName>
    <definedName name="BExQ5SPLEYLGXSVLD9HO5BKQXKIP" localSheetId="4" hidden="1">#REF!</definedName>
    <definedName name="BExQ5SPLEYLGXSVLD9HO5BKQXKIP" localSheetId="7" hidden="1">#REF!</definedName>
    <definedName name="BExQ5SPLEYLGXSVLD9HO5BKQXKIP" hidden="1">#REF!</definedName>
    <definedName name="BExQ5SPMSOCJYLAY20NB5A6O32RE" hidden="1">#REF!</definedName>
    <definedName name="BExQ5UICMGTMK790KTLK49MAGXRC" hidden="1">#REF!</definedName>
    <definedName name="BExQ5YUUK9FD0QGTY4WD0W90O7OL" hidden="1">#REF!</definedName>
    <definedName name="BExQ63793YQ9BH7JLCNRIATIGTRG" localSheetId="4" hidden="1">#REF!</definedName>
    <definedName name="BExQ63793YQ9BH7JLCNRIATIGTRG" localSheetId="7" hidden="1">#REF!</definedName>
    <definedName name="BExQ63793YQ9BH7JLCNRIATIGTRG"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6XRSPHARKJTKTB0NOV3SBZIW" hidden="1">#REF!</definedName>
    <definedName name="BExQ783XTMM2A9I3UKCFWJH1PP2N" hidden="1">#REF!</definedName>
    <definedName name="BExQ79LX01ZPQB8EGD1ZHR2VK2H3" hidden="1">#REF!</definedName>
    <definedName name="BExQ7ANJWDL69ZUG3AW5S2HJL4GL" localSheetId="4" hidden="1">#REF!</definedName>
    <definedName name="BExQ7ANJWDL69ZUG3AW5S2HJL4GL" localSheetId="7" hidden="1">#REF!</definedName>
    <definedName name="BExQ7ANJWDL69ZUG3AW5S2HJL4GL"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localSheetId="4" hidden="1">#REF!</definedName>
    <definedName name="BExQ7MY3U2Z1IZ71U5LJUD00VVB4" localSheetId="7" hidden="1">#REF!</definedName>
    <definedName name="BExQ7MY3U2Z1IZ71U5LJUD00VVB4" hidden="1">#REF!</definedName>
    <definedName name="BExQ7XL2Q1GVUFL1F9KK0K0EXMWG" localSheetId="4" hidden="1">#REF!</definedName>
    <definedName name="BExQ7XL2Q1GVUFL1F9KK0K0EXMWG" localSheetId="7"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9PYX7QKH887T258CNA7DPDG" localSheetId="4" hidden="1">#REF!</definedName>
    <definedName name="BExQ89PYX7QKH887T258CNA7DPDG" localSheetId="7" hidden="1">#REF!</definedName>
    <definedName name="BExQ89PYX7QKH887T258CNA7DPDG" hidden="1">#REF!</definedName>
    <definedName name="BExQ8A0RPE3IMIFIZLUE7KD2N21W" localSheetId="4" hidden="1">#REF!</definedName>
    <definedName name="BExQ8A0RPE3IMIFIZLUE7KD2N21W" localSheetId="7" hidden="1">#REF!</definedName>
    <definedName name="BExQ8A0RPE3IMIFIZLUE7KD2N21W" hidden="1">#REF!</definedName>
    <definedName name="BExQ8ABK6H1ADV2R2OYT8NFFYG2N" hidden="1">#REF!</definedName>
    <definedName name="BExQ8B2GTATY2SYZWYQKTTDGONE4" localSheetId="4" hidden="1">#REF!</definedName>
    <definedName name="BExQ8B2GTATY2SYZWYQKTTDGONE4" localSheetId="7" hidden="1">#REF!</definedName>
    <definedName name="BExQ8B2GTATY2SYZWYQKTTDGONE4" hidden="1">#REF!</definedName>
    <definedName name="BExQ8DM90XJ6GCJIK9LC5O82I2TJ" hidden="1">#REF!</definedName>
    <definedName name="BExQ8G0K46ZORA0QVQTDI7Z8LXGF" hidden="1">#REF!</definedName>
    <definedName name="BExQ8O3WEU8HNTTGKTW5T0QSKCLP" localSheetId="4" hidden="1">#REF!</definedName>
    <definedName name="BExQ8O3WEU8HNTTGKTW5T0QSKCLP" localSheetId="7" hidden="1">#REF!</definedName>
    <definedName name="BExQ8O3WEU8HNTTGKTW5T0QSKCLP"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KX9734KIAK7IMRLHCPYDHO2" hidden="1">#REF!</definedName>
    <definedName name="BExQ9L81FF4I7816VTPFBDWVU4CW" hidden="1">#REF!</definedName>
    <definedName name="BExQ9M4E2ACZOWWWP1JJIQO8AHUM" localSheetId="4" hidden="1">#REF!</definedName>
    <definedName name="BExQ9M4E2ACZOWWWP1JJIQO8AHUM" localSheetId="7" hidden="1">#REF!</definedName>
    <definedName name="BExQ9M4E2ACZOWWWP1JJIQO8AHUM" hidden="1">#REF!</definedName>
    <definedName name="BExQ9UTANMJCK7LJ4OQMD6F2Q01L" hidden="1">#REF!</definedName>
    <definedName name="BExQ9ZLYHWABXAA9NJDW8ZS0UQ9P" localSheetId="4" hidden="1">#REF!</definedName>
    <definedName name="BExQ9ZLYHWABXAA9NJDW8ZS0UQ9P" localSheetId="7" hidden="1">#REF!</definedName>
    <definedName name="BExQ9ZLYHWABXAA9NJDW8ZS0UQ9P" hidden="1">#REF!</definedName>
    <definedName name="BExQA324HSCK40ENJUT9CS9EC71B" localSheetId="4" hidden="1">#REF!</definedName>
    <definedName name="BExQA324HSCK40ENJUT9CS9EC71B" localSheetId="7" hidden="1">#REF!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BC0EAV6PKQT8I8C3GLEZDMZL" localSheetId="4" hidden="1">#REF!</definedName>
    <definedName name="BExQBC0EAV6PKQT8I8C3GLEZDMZL" localSheetId="7" hidden="1">#REF!</definedName>
    <definedName name="BExQBC0EAV6PKQT8I8C3GLEZDMZL"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KTD8AT0824LGWREXM1B5D1X" hidden="1">#REF!</definedName>
    <definedName name="BExQCP0EE3PKTDKVOL04IOBUGZ6F" hidden="1">#REF!</definedName>
    <definedName name="BExQD3ZVGTFSCD9MSWY8NN45FLM3" localSheetId="4" hidden="1">#REF!</definedName>
    <definedName name="BExQD3ZVGTFSCD9MSWY8NN45FLM3" localSheetId="7" hidden="1">#REF!</definedName>
    <definedName name="BExQD3ZVGTFSCD9MSWY8NN45FLM3" hidden="1">#REF!</definedName>
    <definedName name="BExQD571YWOXKR2SX85K5MKQ0AO2" hidden="1">#REF!</definedName>
    <definedName name="BExQD7AKUWKH58PNJCJZNN1COR9E" localSheetId="4" hidden="1">#REF!</definedName>
    <definedName name="BExQD7AKUWKH58PNJCJZNN1COR9E" localSheetId="7" hidden="1">#REF!</definedName>
    <definedName name="BExQD7AKUWKH58PNJCJZNN1COR9E" hidden="1">#REF!</definedName>
    <definedName name="BExQDB6VCHN8PNX8EA6JNIEQ2JC2" hidden="1">#REF!</definedName>
    <definedName name="BExQDE1B6U2Q9B73KBENABP71YM1" localSheetId="4" hidden="1">#REF!</definedName>
    <definedName name="BExQDE1B6U2Q9B73KBENABP71YM1" localSheetId="7" hidden="1">#REF!</definedName>
    <definedName name="BExQDE1B6U2Q9B73KBENABP71YM1" hidden="1">#REF!</definedName>
    <definedName name="BExQDGQCN7ZW41QDUHOBJUGQAX40" hidden="1">#REF!</definedName>
    <definedName name="BExQE32AI2WOKFCB98XJZ6D7SAOF" localSheetId="4" hidden="1">#REF!</definedName>
    <definedName name="BExQE32AI2WOKFCB98XJZ6D7SAOF" localSheetId="7" hidden="1">#REF!</definedName>
    <definedName name="BExQE32AI2WOKFCB98XJZ6D7SAOF" hidden="1">#REF!</definedName>
    <definedName name="BExQEK54SZATP11ZZ75GH6P9GFQ3" localSheetId="4" hidden="1">#REF!</definedName>
    <definedName name="BExQEK54SZATP11ZZ75GH6P9GFQ3" localSheetId="7" hidden="1">#REF!</definedName>
    <definedName name="BExQEK54SZATP11ZZ75GH6P9GFQ3" hidden="1">#REF!</definedName>
    <definedName name="BExQEMUA4HEFM4OVO8M8MA8PIAW1" localSheetId="4" hidden="1">#REF!</definedName>
    <definedName name="BExQEMUA4HEFM4OVO8M8MA8PIAW1" localSheetId="7" hidden="1">#REF!</definedName>
    <definedName name="BExQEMUA4HEFM4OVO8M8MA8PIAW1" hidden="1">#REF!</definedName>
    <definedName name="BExQEQ4XZQFIKUXNU9H7WE7AMZ1U" hidden="1">#REF!</definedName>
    <definedName name="BExQF1OEB07CRAP6ALNNMJNJ3P2D" hidden="1">#REF!</definedName>
    <definedName name="BExQF54F62R5B3N9BG47XYK8T6XS" localSheetId="4" hidden="1">#REF!</definedName>
    <definedName name="BExQF54F62R5B3N9BG47XYK8T6XS" localSheetId="7" hidden="1">#REF!</definedName>
    <definedName name="BExQF54F62R5B3N9BG47XYK8T6XS" hidden="1">#REF!</definedName>
    <definedName name="BExQF9X2AQPFJZTCHTU5PTTR0JAH" hidden="1">#REF!</definedName>
    <definedName name="BExQFC0M9KKFMQKPLPEO2RQDB7MM" hidden="1">#REF!</definedName>
    <definedName name="BExQFEEV7627R8TYZCM28C6V6WHE" hidden="1">#REF!</definedName>
    <definedName name="BExQFEK8NUD04X2OBRA275ADPSDL" localSheetId="4" hidden="1">#REF!</definedName>
    <definedName name="BExQFEK8NUD04X2OBRA275ADPSDL" localSheetId="7" hidden="1">#REF!</definedName>
    <definedName name="BExQFEK8NUD04X2OBRA275ADPSDL" hidden="1">#REF!</definedName>
    <definedName name="BExQFGYIWDR4W0YF7XR6E4EWWJ02" hidden="1">#REF!</definedName>
    <definedName name="BExQFOGG5ULYNV6XAFVJ1T69RAUZ" hidden="1">#REF!</definedName>
    <definedName name="BExQFPNFKA36IAPS22LAUMBDI4KE" hidden="1">#REF!</definedName>
    <definedName name="BExQFPSWEMA8WBUZ4WK20LR13VSU" hidden="1">#REF!</definedName>
    <definedName name="BExQFSYARQ5AIUI2V7O1EDCDM882" localSheetId="4" hidden="1">#REF!</definedName>
    <definedName name="BExQFSYARQ5AIUI2V7O1EDCDM882" localSheetId="7" hidden="1">#REF!</definedName>
    <definedName name="BExQFSYARQ5AIUI2V7O1EDCDM882"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GZ7H6ND6DRMZMKKTMXLFYHJC" localSheetId="4" hidden="1">#REF!</definedName>
    <definedName name="BExQGZ7H6ND6DRMZMKKTMXLFYHJC" localSheetId="7" hidden="1">#REF!</definedName>
    <definedName name="BExQGZ7H6ND6DRMZMKKTMXLFYHJC" hidden="1">#REF!</definedName>
    <definedName name="BExQH0UURAJ13AVO5UI04HSRGVYW" hidden="1">#REF!</definedName>
    <definedName name="BExQH6ZZY0NR8SE48PSI9D0CU1TC" hidden="1">#REF!</definedName>
    <definedName name="BExQH9P2MCXAJOVEO4GFQT6MNW22" hidden="1">#REF!</definedName>
    <definedName name="BExQHC3DXXZX5BWEIV17DNSO0EB6" localSheetId="4" hidden="1">#REF!</definedName>
    <definedName name="BExQHC3DXXZX5BWEIV17DNSO0EB6" localSheetId="7" hidden="1">#REF!</definedName>
    <definedName name="BExQHC3DXXZX5BWEIV17DNSO0EB6"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M3J1Y2DOI3BDUM8WV3BMSIN"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IBC34O4SDXEWBX0XXJ9F93B" localSheetId="4" hidden="1">#REF!</definedName>
    <definedName name="BExQJIBC34O4SDXEWBX0XXJ9F93B" localSheetId="7" hidden="1">#REF!</definedName>
    <definedName name="BExQJIBC34O4SDXEWBX0XXJ9F93B" hidden="1">#REF!</definedName>
    <definedName name="BExQJJYSDX8B0J1QGF2HL071KKA3" hidden="1">#REF!</definedName>
    <definedName name="BExQJL0FR3OWBYI6TVYE6R6KPU28" localSheetId="4" hidden="1">#REF!</definedName>
    <definedName name="BExQJL0FR3OWBYI6TVYE6R6KPU28" localSheetId="7" hidden="1">#REF!</definedName>
    <definedName name="BExQJL0FR3OWBYI6TVYE6R6KPU28" hidden="1">#REF!</definedName>
    <definedName name="BExQK1HV6SQQ7CP8H8IUKI9TYXTD" hidden="1">#REF!</definedName>
    <definedName name="BExQK3LE5CSBW1E4H4KHW548FL2R"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RZR0LVVK3899VBSAJ65GT2E3B" localSheetId="4" hidden="1">#REF!</definedName>
    <definedName name="BExRZR0LVVK3899VBSAJ65GT2E3B" localSheetId="7" hidden="1">#REF!</definedName>
    <definedName name="BExRZR0LVVK3899VBSAJ65GT2E3B" hidden="1">#REF!</definedName>
    <definedName name="BExS0ASQBKRTPDWFK0KUDFOS9LE5" hidden="1">#REF!</definedName>
    <definedName name="BExS0GHQUF6YT0RU3TKDEO8CSJYB" hidden="1">#REF!</definedName>
    <definedName name="BExS0JSDQ1GV78JIPV6TBXM2DTJL" hidden="1">#REF!</definedName>
    <definedName name="BExS0K8IHC45I78DMZBOJ1P13KQA"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1VL8PBT2LUQ4ZEAPPFJ4XW2N" hidden="1">#REF!</definedName>
    <definedName name="BExS226HTWL5WVC76MP5A1IBI8WD" hidden="1">#REF!</definedName>
    <definedName name="BExS26OI2QNNAH2WMDD95Z400048" hidden="1">#REF!</definedName>
    <definedName name="BExS2BH5B8XAQLRCALR1KDKIS6AP"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SWKM93XA275AXHYP8AG6SU" hidden="1">#REF!</definedName>
    <definedName name="BExS4DSSYMU66HS480YWZC1VZML6" localSheetId="4" hidden="1">#REF!</definedName>
    <definedName name="BExS4DSSYMU66HS480YWZC1VZML6" localSheetId="7" hidden="1">#REF!</definedName>
    <definedName name="BExS4DSSYMU66HS480YWZC1VZML6" hidden="1">#REF!</definedName>
    <definedName name="BExS4JN3Y6SVBKILQK0R9HS45Y52" hidden="1">#REF!</definedName>
    <definedName name="BExS4LQMUTP91FH4M5NM9Y7L6XN6" localSheetId="4" hidden="1">#REF!</definedName>
    <definedName name="BExS4LQMUTP91FH4M5NM9Y7L6XN6" localSheetId="7" hidden="1">#REF!</definedName>
    <definedName name="BExS4LQMUTP91FH4M5NM9Y7L6XN6"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L3TGB8JVW9ROYWTKYTUPW27" hidden="1">#REF!</definedName>
    <definedName name="BExS5TCGLYOBBY10G49VWHGM40DJ" localSheetId="4" hidden="1">#REF!</definedName>
    <definedName name="BExS5TCGLYOBBY10G49VWHGM40DJ" localSheetId="7" hidden="1">#REF!</definedName>
    <definedName name="BExS5TCGLYOBBY10G49VWHGM40DJ" hidden="1">#REF!</definedName>
    <definedName name="BExS6GKQ96EHVLYWNJDWXZXUZW90" hidden="1">#REF!</definedName>
    <definedName name="BExS6ITKSZFRR01YD5B0F676SYN7" localSheetId="4" hidden="1">#REF!</definedName>
    <definedName name="BExS6ITKSZFRR01YD5B0F676SYN7" localSheetId="7"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CSJZR2R51S2LFXJ1OO82L9R" hidden="1">#REF!</definedName>
    <definedName name="BExS7TKQYLRZGM93UY3ZJZJBQNFJ" hidden="1">#REF!</definedName>
    <definedName name="BExS7Y2LNGVHSIBKC7C3R6X4LDR6" hidden="1">#REF!</definedName>
    <definedName name="BExS81TE0EY44Y3W2M4Z4MGNP5OM" localSheetId="4" hidden="1">#REF!</definedName>
    <definedName name="BExS81TE0EY44Y3W2M4Z4MGNP5OM" localSheetId="7"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FR1778VV7DHWQTG4B927FMB" localSheetId="4" hidden="1">#REF!</definedName>
    <definedName name="BExS8FR1778VV7DHWQTG4B927FMB" localSheetId="7" hidden="1">#REF!</definedName>
    <definedName name="BExS8FR1778VV7DHWQTG4B927FMB"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6Q4LPS2XW49NMVPAVI6Y2PQ" localSheetId="4" hidden="1">#REF!</definedName>
    <definedName name="BExS96Q4LPS2XW49NMVPAVI6Y2PQ" localSheetId="7" hidden="1">#REF!</definedName>
    <definedName name="BExS96Q4LPS2XW49NMVPAVI6Y2PQ"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localSheetId="4" hidden="1">#REF!</definedName>
    <definedName name="BExSAY9CA9TFXQ9M9FBJRGJO9T9E" localSheetId="7" hidden="1">#REF!</definedName>
    <definedName name="BExSAY9CA9TFXQ9M9FBJRGJO9T9E" hidden="1">#REF!</definedName>
    <definedName name="BExSB4JYKQ3MINI7RAYK5M8BLJDC" hidden="1">#REF!</definedName>
    <definedName name="BExSB85FV73BJGCHMB5WBRYZT69Z" localSheetId="4" hidden="1">#REF!</definedName>
    <definedName name="BExSB85FV73BJGCHMB5WBRYZT69Z" localSheetId="7" hidden="1">#REF!</definedName>
    <definedName name="BExSB85FV73BJGCHMB5WBRYZT69Z" hidden="1">#REF!</definedName>
    <definedName name="BExSBD8TZE1B5CZK6VNCCA977BCZ" localSheetId="4" hidden="1">#REF!</definedName>
    <definedName name="BExSBD8TZE1B5CZK6VNCCA977BCZ" localSheetId="7" hidden="1">#REF!</definedName>
    <definedName name="BExSBD8TZE1B5CZK6VNCCA977BCZ" hidden="1">#REF!</definedName>
    <definedName name="BExSBMOS41ZRLWYLOU29V6Y7YORR" localSheetId="4" hidden="1">#REF!</definedName>
    <definedName name="BExSBMOS41ZRLWYLOU29V6Y7YORR" localSheetId="7"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F07QFLZCO4P6K6QF05XG7PH1"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60TZAT2SKO046IKGMD8SGUE" localSheetId="4" hidden="1">#REF!</definedName>
    <definedName name="BExSG60TZAT2SKO046IKGMD8SGUE" localSheetId="7" hidden="1">#REF!</definedName>
    <definedName name="BExSG60TZAT2SKO046IKGMD8SGUE" hidden="1">#REF!</definedName>
    <definedName name="BExSG90Q4ZUU2IPGDYOM169NJV9S" hidden="1">#REF!</definedName>
    <definedName name="BExSG9X3DU845PNXYJGGLBQY2UHG" localSheetId="4" hidden="1">#REF!</definedName>
    <definedName name="BExSG9X3DU845PNXYJGGLBQY2UHG" localSheetId="7" hidden="1">#REF!</definedName>
    <definedName name="BExSG9X3DU845PNXYJGGLBQY2UHG" hidden="1">#REF!</definedName>
    <definedName name="BExSGE45J27MDUUNXW7Z8Q33UAON" hidden="1">#REF!</definedName>
    <definedName name="BExSGE9LY91Q0URHB4YAMX0UAMYI" hidden="1">#REF!</definedName>
    <definedName name="BExSGEPPAC5VNZNBFZ6X4J18CUCB" hidden="1">#REF!</definedName>
    <definedName name="BExSGIB6UEU4H2UHIK30B61ELOCC" hidden="1">#REF!</definedName>
    <definedName name="BExSGLB2URTLBCKBB4Y885W925F2" hidden="1">#REF!</definedName>
    <definedName name="BExSGM25R69NWJV48BYBJO2J24VT" hidden="1">#REF!</definedName>
    <definedName name="BExSGOAYG73SFWOPAQV80P710GID" localSheetId="4" hidden="1">#REF!</definedName>
    <definedName name="BExSGOAYG73SFWOPAQV80P710GID" localSheetId="7"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ZNS2PBCR93C9IUW49UZ4I6T" localSheetId="4" hidden="1">#REF!</definedName>
    <definedName name="BExTTZNS2PBCR93C9IUW49UZ4I6T" localSheetId="7"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localSheetId="4" hidden="1">#REF!</definedName>
    <definedName name="BExTUY9WNSJ91GV8CP0SKJTEIV82" localSheetId="7" hidden="1">#REF!</definedName>
    <definedName name="BExTUY9WNSJ91GV8CP0SKJTEIV82" hidden="1">#REF!</definedName>
    <definedName name="BExTV67VIM8PV6KO253M4DUBJQLC" hidden="1">#REF!</definedName>
    <definedName name="BExTVELZCF2YA5L6F23BYZZR6WHF" localSheetId="4" hidden="1">#REF!</definedName>
    <definedName name="BExTVELZCF2YA5L6F23BYZZR6WHF" localSheetId="7" hidden="1">#REF!</definedName>
    <definedName name="BExTVELZCF2YA5L6F23BYZZR6WHF" hidden="1">#REF!</definedName>
    <definedName name="BExTVGPIQZ99YFXUC8OONUX5BD42" hidden="1">#REF!</definedName>
    <definedName name="BExTVS8U0EZLJRZ2MIUYGE8U301G" localSheetId="4" hidden="1">#REF!</definedName>
    <definedName name="BExTVS8U0EZLJRZ2MIUYGE8U301G" localSheetId="7" hidden="1">#REF!</definedName>
    <definedName name="BExTVS8U0EZLJRZ2MIUYGE8U301G" hidden="1">#REF!</definedName>
    <definedName name="BExTVZQLP9VFLEYQ9280W13X7E8K" hidden="1">#REF!</definedName>
    <definedName name="BExTW5QDSCAJ7RXS743LW6RL5SJK" hidden="1">#REF!</definedName>
    <definedName name="BExTWB4LA1PODQOH4LDTHQKBN16K" hidden="1">#REF!</definedName>
    <definedName name="BExTWI0Q8AWXUA3ZN7I5V3QK2KM1" hidden="1">#REF!</definedName>
    <definedName name="BExTWJTIA3WUW1PUWXAOP9O8NKLZ" hidden="1">#REF!</definedName>
    <definedName name="BExTWW95OX07FNA01WF5MSSSFQLX" hidden="1">#REF!</definedName>
    <definedName name="BExTX11TGMK4J1I8SCX5QV40L2NX" localSheetId="4" hidden="1">#REF!</definedName>
    <definedName name="BExTX11TGMK4J1I8SCX5QV40L2NX" localSheetId="7" hidden="1">#REF!</definedName>
    <definedName name="BExTX11TGMK4J1I8SCX5QV40L2NX" hidden="1">#REF!</definedName>
    <definedName name="BExTX1NDJMYRERGKCYTBGJXXUSGU" localSheetId="4" hidden="1">#REF!</definedName>
    <definedName name="BExTX1NDJMYRERGKCYTBGJXXUSGU" localSheetId="7" hidden="1">#REF!</definedName>
    <definedName name="BExTX1NDJMYRERGKCYTBGJXXUSGU" hidden="1">#REF!</definedName>
    <definedName name="BExTX476KI0RNB71XI5TYMANSGBG" hidden="1">#REF!</definedName>
    <definedName name="BExTX8UBV7014XRKCDCLI03YH4RN" localSheetId="4" hidden="1">#REF!</definedName>
    <definedName name="BExTX8UBV7014XRKCDCLI03YH4RN" localSheetId="7" hidden="1">#REF!</definedName>
    <definedName name="BExTX8UBV7014XRKCDCLI03YH4RN" hidden="1">#REF!</definedName>
    <definedName name="BExTXJ6HBAIXMMWKZTJNFDYVZCAY" localSheetId="4" hidden="1">#REF!</definedName>
    <definedName name="BExTXJ6HBAIXMMWKZTJNFDYVZCAY" localSheetId="7" hidden="1">#REF!</definedName>
    <definedName name="BExTXJ6HBAIXMMWKZTJNFDYVZCAY" hidden="1">#REF!</definedName>
    <definedName name="BExTXT812NQT8GAEGH738U29BI0D" localSheetId="4" hidden="1">#REF!</definedName>
    <definedName name="BExTXT812NQT8GAEGH738U29BI0D" localSheetId="7" hidden="1">#REF!</definedName>
    <definedName name="BExTXT812NQT8GAEGH738U29BI0D" hidden="1">#REF!</definedName>
    <definedName name="BExTXWIP2TFPTQ76NHFOB72NICRZ" hidden="1">#REF!</definedName>
    <definedName name="BExTY5T62H651VC86QM4X7E28JVA" localSheetId="4" hidden="1">#REF!</definedName>
    <definedName name="BExTY5T62H651VC86QM4X7E28JVA" localSheetId="7" hidden="1">#REF!</definedName>
    <definedName name="BExTY5T62H651VC86QM4X7E28JVA" hidden="1">#REF!</definedName>
    <definedName name="BExTYKCEFJ83LZM95M1V7CSFQVEA" hidden="1">#REF!</definedName>
    <definedName name="BExTYNHRQ0T9YWN16KKDWXQ3D73B"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localSheetId="4" hidden="1">#REF!</definedName>
    <definedName name="BExTZO2596CBZKPI7YNA1QQNPAIJ" localSheetId="7" hidden="1">#REF!</definedName>
    <definedName name="BExTZO2596CBZKPI7YNA1QQNPAIJ" hidden="1">#REF!</definedName>
    <definedName name="BExTZRI5JZ4A251Y611W94RCOSWH" localSheetId="4" hidden="1">#REF!</definedName>
    <definedName name="BExTZRI5JZ4A251Y611W94RCOSWH" localSheetId="7" hidden="1">#REF!</definedName>
    <definedName name="BExTZRI5JZ4A251Y611W94RCOSWH" hidden="1">#REF!</definedName>
    <definedName name="BExTZY8TDV4U7FQL7O10G6VKWKPJ" hidden="1">#REF!</definedName>
    <definedName name="BExU02QNT4LT7H9JPUC4FXTLVGZT" localSheetId="4" hidden="1">#REF!</definedName>
    <definedName name="BExU02QNT4LT7H9JPUC4FXTLVGZT" localSheetId="7"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GTRJDB0T7KEE27AHPJ1VG21" localSheetId="4" hidden="1">#REF!</definedName>
    <definedName name="BExU0GTRJDB0T7KEE27AHPJ1VG21" localSheetId="7" hidden="1">#REF!</definedName>
    <definedName name="BExU0GTRJDB0T7KEE27AHPJ1VG21" hidden="1">#REF!</definedName>
    <definedName name="BExU0HKTO8WJDQDWRTUK5TETM3HS" hidden="1">#REF!</definedName>
    <definedName name="BExU0MO3IK2BK6Z03N91DRPAM4ZL" localSheetId="4" hidden="1">#REF!</definedName>
    <definedName name="BExU0MO3IK2BK6Z03N91DRPAM4ZL" localSheetId="7" hidden="1">#REF!</definedName>
    <definedName name="BExU0MO3IK2BK6Z03N91DRPAM4ZL" hidden="1">#REF!</definedName>
    <definedName name="BExU0MTJQPE041ZN7H8UKGV6MZT7" hidden="1">#REF!</definedName>
    <definedName name="BExU0XWRUGFUSOVL9IX14W0517FO" localSheetId="4" hidden="1">#REF!</definedName>
    <definedName name="BExU0XWRUGFUSOVL9IX14W0517FO" localSheetId="7" hidden="1">#REF!</definedName>
    <definedName name="BExU0XWRUGFUSOVL9IX14W0517FO"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CQSGHIYEUTB4X944L0P5KO6" hidden="1">#REF!</definedName>
    <definedName name="BExU1GXUTLRPJN4MRINLAPHSZQFG" hidden="1">#REF!</definedName>
    <definedName name="BExU1IL9AOHFO85BZB6S60DK3N8H" localSheetId="4" hidden="1">#REF!</definedName>
    <definedName name="BExU1IL9AOHFO85BZB6S60DK3N8H" localSheetId="7" hidden="1">#REF!</definedName>
    <definedName name="BExU1IL9AOHFO85BZB6S60DK3N8H" hidden="1">#REF!</definedName>
    <definedName name="BExU1NOPS09CLFZL1O31RAF9BQNQ" localSheetId="4" hidden="1">#REF!</definedName>
    <definedName name="BExU1NOPS09CLFZL1O31RAF9BQNQ" localSheetId="7" hidden="1">#REF!</definedName>
    <definedName name="BExU1NOPS09CLFZL1O31RAF9BQNQ" hidden="1">#REF!</definedName>
    <definedName name="BExU1PH9MOEX1JZVZ3D5M9DXB191" hidden="1">#REF!</definedName>
    <definedName name="BExU1QZEEKJA35IMEOLOJ3ODX0ZA" hidden="1">#REF!</definedName>
    <definedName name="BExU1VRURIWWVJ95O40WA23LMTJD" localSheetId="4" hidden="1">#REF!</definedName>
    <definedName name="BExU1VRURIWWVJ95O40WA23LMTJD" localSheetId="7" hidden="1">#REF!</definedName>
    <definedName name="BExU1VRURIWWVJ95O40WA23LMTJD" hidden="1">#REF!</definedName>
    <definedName name="BExU2M5CK6XK55UIHDVYRXJJJRI4" hidden="1">#REF!</definedName>
    <definedName name="BExU2TXVT25ZTOFQAF6CM53Z1RLF" hidden="1">#REF!</definedName>
    <definedName name="BExU2XZLYIU19G7358W5T9E87AFR" hidden="1">#REF!</definedName>
    <definedName name="BExU31FMG5EZ3RLMEW3HTVQ1N7XG" localSheetId="4" hidden="1">#REF!</definedName>
    <definedName name="BExU31FMG5EZ3RLMEW3HTVQ1N7XG" localSheetId="7" hidden="1">#REF!</definedName>
    <definedName name="BExU31FMG5EZ3RLMEW3HTVQ1N7XG" hidden="1">#REF!</definedName>
    <definedName name="BExU3B66MCKJFSKT3HL8B5EJGVX0" hidden="1">#REF!</definedName>
    <definedName name="BExU3RYEDSJFAKYWNZXCULXMIK83" hidden="1">#REF!</definedName>
    <definedName name="BExU3UNI9NR1RNZR07NSLSZMDOQQ" hidden="1">#REF!</definedName>
    <definedName name="BExU401R18N6XKZKL7CNFOZQCM14" hidden="1">#REF!</definedName>
    <definedName name="BExU42QVGY7TK39W1BIN6CDRG2OE" hidden="1">#REF!</definedName>
    <definedName name="BExU47OZMS6TCWMEHHF0UCSFLLPI" hidden="1">#REF!</definedName>
    <definedName name="BExU4D36E8TXN0M8KSNGEAFYP4DQ" hidden="1">#REF!</definedName>
    <definedName name="BExU4G31RRVLJ3AC6E1FNEFMXM3O" hidden="1">#REF!</definedName>
    <definedName name="BExU4GDVLPUEWBA4MRYRTQAUNO7B" localSheetId="4" hidden="1">#REF!</definedName>
    <definedName name="BExU4GDVLPUEWBA4MRYRTQAUNO7B" localSheetId="7"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29I6YHVOG83TJHWSILIQU1S" hidden="1">#REF!</definedName>
    <definedName name="BExU57YCIKPRD8QWL6EU0YR3NG3J" hidden="1">#REF!</definedName>
    <definedName name="BExU59WK17RXBRY6DNZSMRYEZFUD"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ES0XCYMF26C2IBWVI4GIYRC" localSheetId="4" hidden="1">#REF!</definedName>
    <definedName name="BExU7ES0XCYMF26C2IBWVI4GIYRC" localSheetId="7" hidden="1">#REF!</definedName>
    <definedName name="BExU7ES0XCYMF26C2IBWVI4GIYRC"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localSheetId="4" hidden="1">#REF!</definedName>
    <definedName name="BExU80I6AE5OU7P7F5V7HWIZBJ4P" localSheetId="7"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D618VJT7Y268F09VY8TCB6I" hidden="1">#REF!</definedName>
    <definedName name="BExUAFV4JMBSM2SKBQL9NHL0NIBS" hidden="1">#REF!</definedName>
    <definedName name="BExUAMWQODKBXMRH1QCMJLJBF8M7" hidden="1">#REF!</definedName>
    <definedName name="BExUAX8WS5OPVLCDXRGKTU2QMTFO" hidden="1">#REF!</definedName>
    <definedName name="BExUB08T2BYPVAJVBMXLIDWLL1OE" localSheetId="4" hidden="1">#REF!</definedName>
    <definedName name="BExUB08T2BYPVAJVBMXLIDWLL1OE" localSheetId="7" hidden="1">#REF!</definedName>
    <definedName name="BExUB08T2BYPVAJVBMXLIDWLL1OE" hidden="1">#REF!</definedName>
    <definedName name="BExUB33EK29TFQ0BN3SU5AAHUXYI"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WBBDMQYIMES51STJPTYF2KB" localSheetId="4" hidden="1">#REF!</definedName>
    <definedName name="BExUBWBBDMQYIMES51STJPTYF2KB" localSheetId="7" hidden="1">#REF!</definedName>
    <definedName name="BExUBWBBDMQYIMES51STJPTYF2KB" hidden="1">#REF!</definedName>
    <definedName name="BExUC623BDYEODBN0N4DO6PJQ7NU" localSheetId="4" hidden="1">#REF!</definedName>
    <definedName name="BExUC623BDYEODBN0N4DO6PJQ7NU" localSheetId="7" hidden="1">#REF!</definedName>
    <definedName name="BExUC623BDYEODBN0N4DO6PJQ7NU" hidden="1">#REF!</definedName>
    <definedName name="BExUC8G72O2YXWX0KZM5IEBC5NYF" hidden="1">#REF!</definedName>
    <definedName name="BExUC8WH8TCKBB5313JGYYQ1WFLT"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EV0CYVO7Y5IQQBEJ6FUY9S6" localSheetId="4" hidden="1">#REF!</definedName>
    <definedName name="BExUDEV0CYVO7Y5IQQBEJ6FUY9S6" localSheetId="7" hidden="1">#REF!</definedName>
    <definedName name="BExUDEV0CYVO7Y5IQQBEJ6FUY9S6" hidden="1">#REF!</definedName>
    <definedName name="BExUDJ7DYJ87DXRZ8X55DX7WPECP"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localSheetId="4" hidden="1">#REF!</definedName>
    <definedName name="BExUEJGX3OQQP5KFRJSRCZ70EI9V" localSheetId="7" hidden="1">#REF!</definedName>
    <definedName name="BExUEJGX3OQQP5KFRJSRCZ70EI9V" hidden="1">#REF!</definedName>
    <definedName name="BExUEYR71COFS2X8PDNU21IPMQEU" hidden="1">#REF!</definedName>
    <definedName name="BExVPRLJ9I6RX45EDVFSQGCPJSOK" hidden="1">#REF!</definedName>
    <definedName name="BExVRSFF20PCW4U8ETRBU8GKPJ09" localSheetId="4" hidden="1">#REF!</definedName>
    <definedName name="BExVRSFF20PCW4U8ETRBU8GKPJ09" localSheetId="7" hidden="1">#REF!</definedName>
    <definedName name="BExVRSFF20PCW4U8ETRBU8GKPJ09" hidden="1">#REF!</definedName>
    <definedName name="BExVSK5E1T5C3Z7L1TS7KHBIC1EB" hidden="1">#REF!</definedName>
    <definedName name="BExVSL787C8E4HFQZ2NVLT35I2XV"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localSheetId="4" hidden="1">#REF!</definedName>
    <definedName name="BExVTCMDDEDGLUIMUU6BSFHEWTOP" localSheetId="7"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L9V3H8ZF6Y72LQBBN639YAA" hidden="1">#REF!</definedName>
    <definedName name="BExVV4WOJHBCFS30YPAH56TF8XV7" localSheetId="4" hidden="1">#REF!</definedName>
    <definedName name="BExVV4WOJHBCFS30YPAH56TF8XV7" localSheetId="7" hidden="1">#REF!</definedName>
    <definedName name="BExVV4WOJHBCFS30YPAH56TF8XV7" hidden="1">#REF!</definedName>
    <definedName name="BExVV5T14N2HZIK7HQ4P2KG09U0J" hidden="1">#REF!</definedName>
    <definedName name="BExVV7R410VYLADLX9LNG63ID6H1" hidden="1">#REF!</definedName>
    <definedName name="BExVVCEED4JEKF59OV0G3T4XFMFO" hidden="1">#REF!</definedName>
    <definedName name="BExVVJAKR0OH8T15R52V6Z4K8OAI" localSheetId="4" hidden="1">#REF!</definedName>
    <definedName name="BExVVJAKR0OH8T15R52V6Z4K8OAI" localSheetId="7" hidden="1">#REF!</definedName>
    <definedName name="BExVVJAKR0OH8T15R52V6Z4K8OAI" hidden="1">#REF!</definedName>
    <definedName name="BExVVPFO2J7FMSRPD36909HN4BZJ" localSheetId="4" hidden="1">#REF!</definedName>
    <definedName name="BExVVPFO2J7FMSRPD36909HN4BZJ" localSheetId="7" hidden="1">#REF!</definedName>
    <definedName name="BExVVPFO2J7FMSRPD36909HN4BZJ" hidden="1">#REF!</definedName>
    <definedName name="BExVVQ19AQ3VCARJOC38SF7OYE9Y" hidden="1">#REF!</definedName>
    <definedName name="BExVVQ19TAECID45CS4HXT1RD3AQ" localSheetId="4" hidden="1">#REF!</definedName>
    <definedName name="BExVVQ19TAECID45CS4HXT1RD3AQ" localSheetId="7"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H5O60DAWDALWYLP29FXHNYB" localSheetId="4" hidden="1">#REF!</definedName>
    <definedName name="BExVWH5O60DAWDALWYLP29FXHNYB" localSheetId="7" hidden="1">#REF!</definedName>
    <definedName name="BExVWH5O60DAWDALWYLP29FXHNYB" hidden="1">#REF!</definedName>
    <definedName name="BExVWINKCH0V0NUWH363SMXAZE62" hidden="1">#REF!</definedName>
    <definedName name="BExVWSZWDVO3AP2D6EDY5H1QYOXC" hidden="1">#REF!</definedName>
    <definedName name="BExVWYU8EK669NP172GEIGCTVPPA" hidden="1">#REF!</definedName>
    <definedName name="BExVX2VZNPKLDHY7OGN2A2H5HC14" localSheetId="4" hidden="1">#REF!</definedName>
    <definedName name="BExVX2VZNPKLDHY7OGN2A2H5HC14" localSheetId="7" hidden="1">#REF!</definedName>
    <definedName name="BExVX2VZNPKLDHY7OGN2A2H5HC14" hidden="1">#REF!</definedName>
    <definedName name="BExVX3XN2DRJKL8EDBIG58RYQ36R" hidden="1">#REF!</definedName>
    <definedName name="BExVXDZ63PUART77BBR5SI63TPC6" hidden="1">#REF!</definedName>
    <definedName name="BExVXHKI6LFYMGWISMPACMO247HL" hidden="1">#REF!</definedName>
    <definedName name="BExVXLX2BZ5EF2X6R41BTKRJR1NM" localSheetId="4" hidden="1">#REF!</definedName>
    <definedName name="BExVXLX2BZ5EF2X6R41BTKRJR1NM" localSheetId="7" hidden="1">#REF!</definedName>
    <definedName name="BExVXLX2BZ5EF2X6R41BTKRJR1NM" hidden="1">#REF!</definedName>
    <definedName name="BExVY11V7U1SAY4QKYE0PBSPD7LW" hidden="1">#REF!</definedName>
    <definedName name="BExVY1SV37DL5YU59HS4IG3VBCP4" localSheetId="4" hidden="1">#REF!</definedName>
    <definedName name="BExVY1SV37DL5YU59HS4IG3VBCP4" localSheetId="7" hidden="1">#REF!</definedName>
    <definedName name="BExVY1SV37DL5YU59HS4IG3VBCP4" hidden="1">#REF!</definedName>
    <definedName name="BExVY3WFGJKSQA08UF9NCMST928Y" hidden="1">#REF!</definedName>
    <definedName name="BExVY954UOEVQEIC5OFO4NEWVKAQ" hidden="1">#REF!</definedName>
    <definedName name="BExVYH8GALJI83YRQSC210IEPVCS"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9EO732IK6MNMG17Y1EFTJQC" hidden="1">#REF!</definedName>
    <definedName name="BExVZB1Y5J4UL2LKK0363EU7GIJ1" hidden="1">#REF!</definedName>
    <definedName name="BExVZJQVO5LQ0BJH5JEN5NOBIAF6" localSheetId="4" hidden="1">#REF!</definedName>
    <definedName name="BExVZJQVO5LQ0BJH5JEN5NOBIAF6" localSheetId="7" hidden="1">#REF!</definedName>
    <definedName name="BExVZJQVO5LQ0BJH5JEN5NOBIAF6" hidden="1">#REF!</definedName>
    <definedName name="BExVZNXWS91RD7NXV5NE2R3C8WW7" hidden="1">#REF!</definedName>
    <definedName name="BExVZYQCU2I82W5UAYV4GQJ2JL8U" hidden="1">#REF!</definedName>
    <definedName name="BExW02MMAYD9RIPXIGRXIWU01SWU" localSheetId="4" hidden="1">#REF!</definedName>
    <definedName name="BExW02MMAYD9RIPXIGRXIWU01SWU" localSheetId="7" hidden="1">#REF!</definedName>
    <definedName name="BExW02MMAYD9RIPXIGRXIWU01SWU" hidden="1">#REF!</definedName>
    <definedName name="BExW0386REQRCQCVT9BCX80UPTRY" hidden="1">#REF!</definedName>
    <definedName name="BExW0CIOA9SK0V6OKKWTZOS8F5C5"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RX03DZ35EAWTOIKB7PS5VV7" localSheetId="4" hidden="1">#REF!</definedName>
    <definedName name="BExW1RX03DZ35EAWTOIKB7PS5VV7" localSheetId="7" hidden="1">#REF!</definedName>
    <definedName name="BExW1RX03DZ35EAWTOIKB7PS5VV7"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NJ8EILHC8GHK3EOST8J05U0" hidden="1">#REF!</definedName>
    <definedName name="BExW2SMO90FU9W8DVVES6Q4E6BZR" hidden="1">#REF!</definedName>
    <definedName name="BExW2ZITSE40OUTU5LH01FV5JEA3" localSheetId="4" hidden="1">#REF!</definedName>
    <definedName name="BExW2ZITSE40OUTU5LH01FV5JEA3" localSheetId="7" hidden="1">#REF!</definedName>
    <definedName name="BExW2ZITSE40OUTU5LH01FV5JEA3" hidden="1">#REF!</definedName>
    <definedName name="BExW36V9N91OHCUMGWJQL3I5P4JK" hidden="1">#REF!</definedName>
    <definedName name="BExW3E7HW3NMLQEPIHSOP33UGJEC"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Z029R9E19ZENN3WEA3VDAD1" hidden="1">#REF!</definedName>
    <definedName name="BExW4ZLNV6FJGQP2WOU4NKG3GNYO" localSheetId="4" hidden="1">#REF!</definedName>
    <definedName name="BExW4ZLNV6FJGQP2WOU4NKG3GNYO" localSheetId="7" hidden="1">#REF!</definedName>
    <definedName name="BExW4ZLNV6FJGQP2WOU4NKG3GNYO" hidden="1">#REF!</definedName>
    <definedName name="BExW5AZNT6IAZGNF2C879ODHY1B8" hidden="1">#REF!</definedName>
    <definedName name="BExW5FMU99PBR9I4QY9LWERMXPCD" hidden="1">#REF!</definedName>
    <definedName name="BExW5WPU27WD4NWZOT0ZEJIDLX5J" hidden="1">#REF!</definedName>
    <definedName name="BExW660AV1TUV2XNUPD65RZR3QOO" hidden="1">#REF!</definedName>
    <definedName name="BExW66LVVZK656PQY1257QMHP2AY" localSheetId="4" hidden="1">#REF!</definedName>
    <definedName name="BExW66LVVZK656PQY1257QMHP2AY" localSheetId="7" hidden="1">#REF!</definedName>
    <definedName name="BExW66LVVZK656PQY1257QMHP2AY" hidden="1">#REF!</definedName>
    <definedName name="BExW6AY8KWN3C31NX1MZHXBFTSK7" localSheetId="4" hidden="1">#REF!</definedName>
    <definedName name="BExW6AY8KWN3C31NX1MZHXBFTSK7" localSheetId="7" hidden="1">#REF!</definedName>
    <definedName name="BExW6AY8KWN3C31NX1MZHXBFTSK7" hidden="1">#REF!</definedName>
    <definedName name="BExW6EJPHAP1TWT380AZLXNHR22P" hidden="1">#REF!</definedName>
    <definedName name="BExW6G1PJ38H10DVLL8WPQ736OEB" hidden="1">#REF!</definedName>
    <definedName name="BExW75OA5AS517IHUYDHRJXDDOWS" hidden="1">#REF!</definedName>
    <definedName name="BExW794A74Z5F2K8LVQLD6VSKXUE" hidden="1">#REF!</definedName>
    <definedName name="BExW7H7MHCUHD1MA5VUKYPO21U2I" localSheetId="4" hidden="1">#REF!</definedName>
    <definedName name="BExW7H7MHCUHD1MA5VUKYPO21U2I" localSheetId="7" hidden="1">#REF!</definedName>
    <definedName name="BExW7H7MHCUHD1MA5VUKYPO21U2I" hidden="1">#REF!</definedName>
    <definedName name="BExW7O3S5FIOKIM535S9J7PKA52A" localSheetId="4" hidden="1">#REF!</definedName>
    <definedName name="BExW7O3S5FIOKIM535S9J7PKA52A" localSheetId="7" hidden="1">#REF!</definedName>
    <definedName name="BExW7O3S5FIOKIM535S9J7PKA52A" hidden="1">#REF!</definedName>
    <definedName name="BExW7RUK8CJ81J4KZCOOP63WMXTX" hidden="1">#REF!</definedName>
    <definedName name="BExW886OBR91JIW5EKLII4CQO6E4" hidden="1">#REF!</definedName>
    <definedName name="BExW8AFIEPGHQDY6PZGJPQ7YFTB1" localSheetId="4" hidden="1">#REF!</definedName>
    <definedName name="BExW8AFIEPGHQDY6PZGJPQ7YFTB1" localSheetId="7" hidden="1">#REF!</definedName>
    <definedName name="BExW8AFIEPGHQDY6PZGJPQ7YFTB1" hidden="1">#REF!</definedName>
    <definedName name="BExW8K0SSIPSKBVP06IJ71600HJZ"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XLDE6PN4ESWT3LXJNQCY94NE4" localSheetId="4" hidden="1">#REF!</definedName>
    <definedName name="BExXLDE6PN4ESWT3LXJNQCY94NE4" localSheetId="7" hidden="1">#REF!</definedName>
    <definedName name="BExXLDE6PN4ESWT3LXJNQCY94NE4" hidden="1">#REF!</definedName>
    <definedName name="BExXLQVPK2H3IF0NDDA5CT612EUK" hidden="1">#REF!</definedName>
    <definedName name="BExXLR6IO70TYTACKQH9M5PGV24J" hidden="1">#REF!</definedName>
    <definedName name="BExXM065WOLYRYHGHOJE0OOFXA4M" localSheetId="4" hidden="1">#REF!</definedName>
    <definedName name="BExXM065WOLYRYHGHOJE0OOFXA4M" localSheetId="7" hidden="1">#REF!</definedName>
    <definedName name="BExXM065WOLYRYHGHOJE0OOFXA4M" hidden="1">#REF!</definedName>
    <definedName name="BExXM3GUNXVDM82KUR17NNUMQCNI" hidden="1">#REF!</definedName>
    <definedName name="BExXMA28M8SH7MKIGETSDA72WUIZ" hidden="1">#REF!</definedName>
    <definedName name="BExXMJYBFUWD4HN6WTKX2CX41JCA"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6QAP8UJQVN4R4BQKPP4QK35" hidden="1">#REF!</definedName>
    <definedName name="BExXNBOA39T2X6Y5Y5GZ5DDNA1AX" hidden="1">#REF!</definedName>
    <definedName name="BExXND6872VJ3M2PGT056WQMWBHD" hidden="1">#REF!</definedName>
    <definedName name="BExXNF4F0489IITD5JLD8XFY5JNZ" localSheetId="4" hidden="1">#REF!</definedName>
    <definedName name="BExXNF4F0489IITD5JLD8XFY5JNZ" localSheetId="7" hidden="1">#REF!</definedName>
    <definedName name="BExXNF4F0489IITD5JLD8XFY5JNZ" hidden="1">#REF!</definedName>
    <definedName name="BExXNPM24UN2PGVL9D1TUBFRIKR4" hidden="1">#REF!</definedName>
    <definedName name="BExXNWYB165VO9MHARCL5WLCHWS0" localSheetId="4" hidden="1">#REF!</definedName>
    <definedName name="BExXNWYB165VO9MHARCL5WLCHWS0" localSheetId="7" hidden="1">#REF!</definedName>
    <definedName name="BExXNWYB165VO9MHARCL5WLCHWS0" hidden="1">#REF!</definedName>
    <definedName name="BExXO278QHQN8JDK5425EJ615ECC" hidden="1">#REF!</definedName>
    <definedName name="BExXO8N5ROLIUVFKV9AVT4EASFRY" localSheetId="4" hidden="1">#REF!</definedName>
    <definedName name="BExXO8N5ROLIUVFKV9AVT4EASFRY" localSheetId="7" hidden="1">#REF!</definedName>
    <definedName name="BExXO8N5ROLIUVFKV9AVT4EASFRY" hidden="1">#REF!</definedName>
    <definedName name="BExXOBHOP0WGFHI2Y9AO4L440UVQ" hidden="1">#REF!</definedName>
    <definedName name="BExXOHSAD2NSHOLLMZ2JWA4I3I1R" hidden="1">#REF!</definedName>
    <definedName name="BExXOKH8LRQ9BNMQSYR3RTWXFPLJ" localSheetId="4" hidden="1">#REF!</definedName>
    <definedName name="BExXOKH8LRQ9BNMQSYR3RTWXFPLJ" localSheetId="7" hidden="1">#REF!</definedName>
    <definedName name="BExXOKH8LRQ9BNMQSYR3RTWXFPLJ" hidden="1">#REF!</definedName>
    <definedName name="BExXP80B5FGA00JCM7UXKPI3PB7Y" hidden="1">#REF!</definedName>
    <definedName name="BExXP85M4WXYVN1UVHUTOEKEG5XS" hidden="1">#REF!</definedName>
    <definedName name="BExXPELOTHOAG0OWILLAH94OZV5J" hidden="1">#REF!</definedName>
    <definedName name="BExXPLXY0H93MFKJ5WQCZHXQYOUA" localSheetId="4" hidden="1">#REF!</definedName>
    <definedName name="BExXPLXY0H93MFKJ5WQCZHXQYOUA" localSheetId="7" hidden="1">#REF!</definedName>
    <definedName name="BExXPLXY0H93MFKJ5WQCZHXQYOUA"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localSheetId="4" hidden="1">#REF!</definedName>
    <definedName name="BExXQH41O5HZAH8BO6HCFY8YC3TU" localSheetId="7" hidden="1">#REF!</definedName>
    <definedName name="BExXQH41O5HZAH8BO6HCFY8YC3TU" hidden="1">#REF!</definedName>
    <definedName name="BExXQJIEF5R3QQ6D8HO3NGPU0IQC" hidden="1">#REF!</definedName>
    <definedName name="BExXQR0550UX7PZCHV6RMVWU8PH7"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localSheetId="4" hidden="1">#REF!</definedName>
    <definedName name="BExXRD13K1S9Y3JGR7CXSONT7RJZ" localSheetId="7" hidden="1">#REF!</definedName>
    <definedName name="BExXRD13K1S9Y3JGR7CXSONT7RJZ" hidden="1">#REF!</definedName>
    <definedName name="BExXRIFB4QQ87QIGA9AG0NXP577K" hidden="1">#REF!</definedName>
    <definedName name="BExXRIQ2JF2CVTRDQX2D9SPH7FTN" hidden="1">#REF!</definedName>
    <definedName name="BExXRLKJ6CS4AJYAEHD0WH96AEBA" localSheetId="4" hidden="1">#REF!</definedName>
    <definedName name="BExXRLKJ6CS4AJYAEHD0WH96AEBA" localSheetId="7" hidden="1">#REF!</definedName>
    <definedName name="BExXRLKJ6CS4AJYAEHD0WH96AEBA" hidden="1">#REF!</definedName>
    <definedName name="BExXRO4A6VUH1F4XV8N1BRJ4896W" localSheetId="4" hidden="1">#REF!</definedName>
    <definedName name="BExXRO4A6VUH1F4XV8N1BRJ4896W" localSheetId="7"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S63O4OMWMNXXAODZQFSDG33N" hidden="1">#REF!</definedName>
    <definedName name="BExXS702KUBW3EFNSAYMW64C95M3" localSheetId="4" hidden="1">#REF!</definedName>
    <definedName name="BExXS702KUBW3EFNSAYMW64C95M3" localSheetId="7" hidden="1">#REF!</definedName>
    <definedName name="BExXS702KUBW3EFNSAYMW64C95M3" hidden="1">#REF!</definedName>
    <definedName name="BExXSBSP1TOY051HSPEPM0AEIO2M"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TA9CMTC19FSCX4UIQBV2C7R9" localSheetId="4" hidden="1">#REF!</definedName>
    <definedName name="BExXTA9CMTC19FSCX4UIQBV2C7R9" localSheetId="7" hidden="1">#REF!</definedName>
    <definedName name="BExXTA9CMTC19FSCX4UIQBV2C7R9" hidden="1">#REF!</definedName>
    <definedName name="BExXTHLRNL82GN7KZY3TOLO508N7" hidden="1">#REF!</definedName>
    <definedName name="BExXTIY89DH3YOJMAQ0Q8WTGODVQ" localSheetId="4" hidden="1">#REF!</definedName>
    <definedName name="BExXTIY89DH3YOJMAQ0Q8WTGODVQ" localSheetId="7" hidden="1">#REF!</definedName>
    <definedName name="BExXTIY89DH3YOJMAQ0Q8WTGODVQ"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KZ4CG92ZQLIRKEXXH9BFIR" hidden="1">#REF!</definedName>
    <definedName name="BExXU4J2BM2964GD5UZHM752Q4NS" hidden="1">#REF!</definedName>
    <definedName name="BExXU4ZC2TLLQLLN5Z55LSE6D0AG" hidden="1">#REF!</definedName>
    <definedName name="BExXU6XDTT7RM93KILIDEYPA9XKF" hidden="1">#REF!</definedName>
    <definedName name="BExXU8VLZA7WLPZ3RAQZGNERUD26" localSheetId="4" hidden="1">#REF!</definedName>
    <definedName name="BExXU8VLZA7WLPZ3RAQZGNERUD26" localSheetId="7" hidden="1">#REF!</definedName>
    <definedName name="BExXU8VLZA7WLPZ3RAQZGNERUD26" hidden="1">#REF!</definedName>
    <definedName name="BExXUB9RSLSCNN5ETLXY72DAPZZM" hidden="1">#REF!</definedName>
    <definedName name="BExXUEV8QPATH32AX9XYWBHUVOO8" localSheetId="4" hidden="1">#REF!</definedName>
    <definedName name="BExXUEV8QPATH32AX9XYWBHUVOO8" localSheetId="7" hidden="1">#REF!</definedName>
    <definedName name="BExXUEV8QPATH32AX9XYWBHUVOO8" hidden="1">#REF!</definedName>
    <definedName name="BExXUFRM82XQIN2T8KGLDQL1IBQW" hidden="1">#REF!</definedName>
    <definedName name="BExXUFX23FE72H6IM4JSHIQV4VNK" localSheetId="4" hidden="1">#REF!</definedName>
    <definedName name="BExXUFX23FE72H6IM4JSHIQV4VNK" localSheetId="7" hidden="1">#REF!</definedName>
    <definedName name="BExXUFX23FE72H6IM4JSHIQV4VNK" hidden="1">#REF!</definedName>
    <definedName name="BExXUM27VX063JGHF9FYOOLNOP4V" localSheetId="4" hidden="1">#REF!</definedName>
    <definedName name="BExXUM27VX063JGHF9FYOOLNOP4V" localSheetId="7" hidden="1">#REF!</definedName>
    <definedName name="BExXUM27VX063JGHF9FYOOLNOP4V" hidden="1">#REF!</definedName>
    <definedName name="BExXUQEQBF6FI240ZGIF9YXZSRAU" hidden="1">#REF!</definedName>
    <definedName name="BExXUYND6EJO7CJ5KRICV4O1JNWK" hidden="1">#REF!</definedName>
    <definedName name="BExXV3LG12X440HUOAJXFCK9NX6J" localSheetId="4" hidden="1">#REF!</definedName>
    <definedName name="BExXV3LG12X440HUOAJXFCK9NX6J" localSheetId="7" hidden="1">#REF!</definedName>
    <definedName name="BExXV3LG12X440HUOAJXFCK9NX6J" hidden="1">#REF!</definedName>
    <definedName name="BExXV6FWG4H3S2QEUJZYIXILNGJ7" hidden="1">#REF!</definedName>
    <definedName name="BExXVK87BMMO6LHKV0CFDNIQVIBS" hidden="1">#REF!</definedName>
    <definedName name="BExXVKZ9WXPGL6IVY6T61IDD771I" hidden="1">#REF!</definedName>
    <definedName name="BExXVLVNRJK2QSK3UMZRFRADS2G4" localSheetId="4" hidden="1">#REF!</definedName>
    <definedName name="BExXVLVNRJK2QSK3UMZRFRADS2G4" localSheetId="7" hidden="1">#REF!</definedName>
    <definedName name="BExXVLVNRJK2QSK3UMZRFRADS2G4"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LJG5TBEL46BL8CA7MCLGTUZ" localSheetId="4" hidden="1">#REF!</definedName>
    <definedName name="BExXWLJG5TBEL46BL8CA7MCLGTUZ" localSheetId="7" hidden="1">#REF!</definedName>
    <definedName name="BExXWLJG5TBEL46BL8CA7MCLGTUZ" hidden="1">#REF!</definedName>
    <definedName name="BExXWVFIBQT8OY1O41FRFPFGXQHK" hidden="1">#REF!</definedName>
    <definedName name="BExXWWXHBZHA9J3N8K47F84X0M0L" hidden="1">#REF!</definedName>
    <definedName name="BExXXBM521DL8R4ZX7NZ3DBCUOR5" localSheetId="4" hidden="1">#REF!</definedName>
    <definedName name="BExXXBM521DL8R4ZX7NZ3DBCUOR5" localSheetId="7"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localSheetId="4" hidden="1">#REF!</definedName>
    <definedName name="BExXXZQNZY6IZI45DJXJK0MQZWA7" localSheetId="7" hidden="1">#REF!</definedName>
    <definedName name="BExXXZQNZY6IZI45DJXJK0MQZWA7" hidden="1">#REF!</definedName>
    <definedName name="BExXY5QFG6QP94SFT3935OBM8Y4K" hidden="1">#REF!</definedName>
    <definedName name="BExXY7TYEBFXRYUYIFHTN65RJ8EW" localSheetId="4" hidden="1">#REF!</definedName>
    <definedName name="BExXY7TYEBFXRYUYIFHTN65RJ8EW" localSheetId="7" hidden="1">#REF!</definedName>
    <definedName name="BExXY7TYEBFXRYUYIFHTN65RJ8EW" hidden="1">#REF!</definedName>
    <definedName name="BExXYCBSIHFUY3BDHNBY5TMPFMGL" localSheetId="4" hidden="1">#REF!</definedName>
    <definedName name="BExXYCBSIHFUY3BDHNBY5TMPFMGL" localSheetId="7" hidden="1">#REF!</definedName>
    <definedName name="BExXYCBSIHFUY3BDHNBY5TMPFMGL" hidden="1">#REF!</definedName>
    <definedName name="BExXYLBHANUXC5FCTDDTGOVD3GQS" hidden="1">#REF!</definedName>
    <definedName name="BExXYMNYAYH3WA2ZCFAYKZID9ZCI" hidden="1">#REF!</definedName>
    <definedName name="BExXYYT12SVN2VDMLVNV4P3ISD8T" hidden="1">#REF!</definedName>
    <definedName name="BExXZ3LNUGA4E1LWS1MPLGG3LXKD" localSheetId="4" hidden="1">#REF!</definedName>
    <definedName name="BExXZ3LNUGA4E1LWS1MPLGG3LXKD" localSheetId="7" hidden="1">#REF!</definedName>
    <definedName name="BExXZ3LNUGA4E1LWS1MPLGG3LXKD" hidden="1">#REF!</definedName>
    <definedName name="BExXZFVV4YB42AZ3H1I40YG3JAPU" hidden="1">#REF!</definedName>
    <definedName name="BExXZHJ9T2JELF12CHHGD54J1B0C" hidden="1">#REF!</definedName>
    <definedName name="BExXZMBX5F1N53KQHPU92S4B5ZZ4" hidden="1">#REF!</definedName>
    <definedName name="BExXZNJ2X1TK2LRK5ZY3MX49H5T7" hidden="1">#REF!</definedName>
    <definedName name="BExXZOVPCEP495TQSON6PSRQ8XCY" localSheetId="4" hidden="1">#REF!</definedName>
    <definedName name="BExXZOVPCEP495TQSON6PSRQ8XCY" localSheetId="7" hidden="1">#REF!</definedName>
    <definedName name="BExXZOVPCEP495TQSON6PSRQ8XCY" hidden="1">#REF!</definedName>
    <definedName name="BExXZS0XCQNYYY1DP75R3PCXFSRH" localSheetId="4" hidden="1">#REF!</definedName>
    <definedName name="BExXZS0XCQNYYY1DP75R3PCXFSRH" localSheetId="7" hidden="1">#REF!</definedName>
    <definedName name="BExXZS0XCQNYYY1DP75R3PCXFSRH" hidden="1">#REF!</definedName>
    <definedName name="BExXZXKH7NBARQQAZM69Z57IH1MM" hidden="1">#REF!</definedName>
    <definedName name="BExY06EUGA7EW4VVDQKIUQW4P39O" localSheetId="4" hidden="1">#REF!</definedName>
    <definedName name="BExY06EUGA7EW4VVDQKIUQW4P39O" localSheetId="7" hidden="1">#REF!</definedName>
    <definedName name="BExY06EUGA7EW4VVDQKIUQW4P39O" hidden="1">#REF!</definedName>
    <definedName name="BExY07WSDH5QEVM7BJXJK2ZRAI1O" localSheetId="4" hidden="1">#REF!</definedName>
    <definedName name="BExY07WSDH5QEVM7BJXJK2ZRAI1O" localSheetId="7" hidden="1">#REF!</definedName>
    <definedName name="BExY07WSDH5QEVM7BJXJK2ZRAI1O" hidden="1">#REF!</definedName>
    <definedName name="BExY0BI99V6MXLHXBCSPUL0OPF3M" localSheetId="4" hidden="1">#REF!</definedName>
    <definedName name="BExY0BI99V6MXLHXBCSPUL0OPF3M" localSheetId="7" hidden="1">#REF!</definedName>
    <definedName name="BExY0BI99V6MXLHXBCSPUL0OPF3M" hidden="1">#REF!</definedName>
    <definedName name="BExY0C3UBVC4M59JIRXVQ8OWAJC1" hidden="1">#REF!</definedName>
    <definedName name="BExY0OE8GFHMLLTEAFIOQTOPEVPB" hidden="1">#REF!</definedName>
    <definedName name="BExY0OJHW85S0VKBA8T4HTYPYBOS" hidden="1">#REF!</definedName>
    <definedName name="BExY0T1E034D7XAXNC6F7540LLIE" hidden="1">#REF!</definedName>
    <definedName name="BExY0V4VNPA7ZZUMJNNU0ZHE1KOH" localSheetId="4" hidden="1">#REF!</definedName>
    <definedName name="BExY0V4VNPA7ZZUMJNNU0ZHE1KOH" localSheetId="7" hidden="1">#REF!</definedName>
    <definedName name="BExY0V4VNPA7ZZUMJNNU0ZHE1KOH" hidden="1">#REF!</definedName>
    <definedName name="BExY0XTZLHN49J2JH94BYTKBJLT3" hidden="1">#REF!</definedName>
    <definedName name="BExY11FH9TXHERUYGG8FE50U7H7J" hidden="1">#REF!</definedName>
    <definedName name="BExY16IWJ7CI1QGWVNBVHPYS9JPN" localSheetId="4" hidden="1">#REF!</definedName>
    <definedName name="BExY16IWJ7CI1QGWVNBVHPYS9JPN" localSheetId="7" hidden="1">#REF!</definedName>
    <definedName name="BExY16IWJ7CI1QGWVNBVHPYS9JPN" hidden="1">#REF!</definedName>
    <definedName name="BExY180UKNW5NIAWD6ZUYTFEH8QS" hidden="1">#REF!</definedName>
    <definedName name="BExY1DPTV4LSY9MEOUGXF8X052NA" hidden="1">#REF!</definedName>
    <definedName name="BExY1GK9ELBEKDD7O6HR6DUO8YGO" hidden="1">#REF!</definedName>
    <definedName name="BExY1HBBZWCVKT5KEBLCKMKR9LKK"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HOSK7YI364K15OX70AVR6F1" localSheetId="4" hidden="1">#REF!</definedName>
    <definedName name="BExY3HOSK7YI364K15OX70AVR6F1" localSheetId="7" hidden="1">#REF!</definedName>
    <definedName name="BExY3HOSK7YI364K15OX70AVR6F1" hidden="1">#REF!</definedName>
    <definedName name="BExY3T89AUR83SOAZZ3OMDEJDQ39" hidden="1">#REF!</definedName>
    <definedName name="BExY45O3XSWT6MQU6R33GI3YUAUM" localSheetId="4" hidden="1">#REF!</definedName>
    <definedName name="BExY45O3XSWT6MQU6R33GI3YUAUM" localSheetId="7" hidden="1">#REF!</definedName>
    <definedName name="BExY45O3XSWT6MQU6R33GI3YUAUM" hidden="1">#REF!</definedName>
    <definedName name="BExY4ET3RLNWSSJL6DIXQZOTATID"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V3UFTA5NUDN1GI8BVHFL1ZK" localSheetId="4" hidden="1">#REF!</definedName>
    <definedName name="BExY5V3UFTA5NUDN1GI8BVHFL1ZK" localSheetId="7" hidden="1">#REF!</definedName>
    <definedName name="BExY5V3UFTA5NUDN1GI8BVHFL1ZK"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CYXTDLM412P6E5FAC4YB5M" hidden="1">#REF!</definedName>
    <definedName name="BExZJ7I9T8XU4MZRKJ1VVU76V2LZ" hidden="1">#REF!</definedName>
    <definedName name="BExZJMY170JCUU1RWASNZ1HJPRTA" hidden="1">#REF!</definedName>
    <definedName name="BExZJOQR77H0P4SUKVYACDCFBBXO" hidden="1">#REF!</definedName>
    <definedName name="BExZJS6RG34ODDY9HMZ0O34MEMSB" hidden="1">#REF!</definedName>
    <definedName name="BExZJWDUEYTV7TBR6HSM97T24VTT" localSheetId="4" hidden="1">#REF!</definedName>
    <definedName name="BExZJWDUEYTV7TBR6HSM97T24VTT" localSheetId="7" hidden="1">#REF!</definedName>
    <definedName name="BExZJWDUEYTV7TBR6HSM97T24VTT" hidden="1">#REF!</definedName>
    <definedName name="BExZK34NR4BAD7HJAP7SQ926UQP3" hidden="1">#REF!</definedName>
    <definedName name="BExZK3FGPHH5H771U7D5XY7XBS6E" localSheetId="4" hidden="1">#REF!</definedName>
    <definedName name="BExZK3FGPHH5H771U7D5XY7XBS6E" localSheetId="7" hidden="1">#REF!</definedName>
    <definedName name="BExZK3FGPHH5H771U7D5XY7XBS6E" hidden="1">#REF!</definedName>
    <definedName name="BExZKHYORG3O8C772XPFHM1N8T80" localSheetId="4" hidden="1">#REF!</definedName>
    <definedName name="BExZKHYORG3O8C772XPFHM1N8T80" localSheetId="7" hidden="1">#REF!</definedName>
    <definedName name="BExZKHYORG3O8C772XPFHM1N8T80" hidden="1">#REF!</definedName>
    <definedName name="BExZKJRF2IRR57DG9CLC7MSHWNNN" hidden="1">#REF!</definedName>
    <definedName name="BExZKV5GYXO0X760SBD9TWTIQHGI" hidden="1">#REF!</definedName>
    <definedName name="BExZL6E4YVXRUN7ZGF2BIGIXFR8K" localSheetId="4" hidden="1">#REF!</definedName>
    <definedName name="BExZL6E4YVXRUN7ZGF2BIGIXFR8K" localSheetId="7" hidden="1">#REF!</definedName>
    <definedName name="BExZL6E4YVXRUN7ZGF2BIGIXFR8K"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MCNFLS6EUF357U7TXQ4U84V" localSheetId="4" hidden="1">#REF!</definedName>
    <definedName name="BExZNMCNFLS6EUF357U7TXQ4U84V" localSheetId="7" hidden="1">#REF!</definedName>
    <definedName name="BExZNMCNFLS6EUF357U7TXQ4U84V"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8TVZX68PZ4ENQ8QOILK16OS" localSheetId="4" hidden="1">#REF!</definedName>
    <definedName name="BExZO8TVZX68PZ4ENQ8QOILK16OS" localSheetId="7" hidden="1">#REF!</definedName>
    <definedName name="BExZO8TVZX68PZ4ENQ8QOILK16OS" hidden="1">#REF!</definedName>
    <definedName name="BExZOAH4GDULQO35ZGF099VIFGNC" localSheetId="4" hidden="1">#REF!</definedName>
    <definedName name="BExZOAH4GDULQO35ZGF099VIFGNC" localSheetId="7" hidden="1">#REF!</definedName>
    <definedName name="BExZOAH4GDULQO35ZGF099VIFGNC" hidden="1">#REF!</definedName>
    <definedName name="BExZOBO9NYLGVJQ31LVQ9XS2ZT4N" hidden="1">#REF!</definedName>
    <definedName name="BExZOETNB1CJ3Y2RKLI1ZK0S8Z6H"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IU08CG16AZ72BD0PB5ISUQE" localSheetId="4" hidden="1">#REF!</definedName>
    <definedName name="BExZPIU08CG16AZ72BD0PB5ISUQE" localSheetId="7" hidden="1">#REF!</definedName>
    <definedName name="BExZPIU08CG16AZ72BD0PB5ISUQE" hidden="1">#REF!</definedName>
    <definedName name="BExZPQ0XY507N8FJMVPKCTK8HC9H" hidden="1">#REF!</definedName>
    <definedName name="BExZQ37OVBR25U32CO2YYVPZOMR5" hidden="1">#REF!</definedName>
    <definedName name="BExZQ3NT7H06VO0AR48WHZULZB93" hidden="1">#REF!</definedName>
    <definedName name="BExZQ7PJU07SEJMDX18U9YVDC2GU" hidden="1">#REF!</definedName>
    <definedName name="BExZQBLMR2P2GZNI8IW6QBSS5ZV9" localSheetId="4" hidden="1">#REF!</definedName>
    <definedName name="BExZQBLMR2P2GZNI8IW6QBSS5ZV9" localSheetId="7" hidden="1">#REF!</definedName>
    <definedName name="BExZQBLMR2P2GZNI8IW6QBSS5ZV9" hidden="1">#REF!</definedName>
    <definedName name="BExZQIHTGHK7OOI2Y2PN3JYBY82I" localSheetId="4" hidden="1">#REF!</definedName>
    <definedName name="BExZQIHTGHK7OOI2Y2PN3JYBY82I" localSheetId="7" hidden="1">#REF!</definedName>
    <definedName name="BExZQIHTGHK7OOI2Y2PN3JYBY82I" hidden="1">#REF!</definedName>
    <definedName name="BExZQJJMGU5MHQOILGXGJPAQI5XI" localSheetId="4" hidden="1">#REF!</definedName>
    <definedName name="BExZQJJMGU5MHQOILGXGJPAQI5XI" localSheetId="7" hidden="1">#REF!</definedName>
    <definedName name="BExZQJJMGU5MHQOILGXGJPAQI5XI" hidden="1">#REF!</definedName>
    <definedName name="BExZQP3CUHU0IRXBVRJLP1KYRDVE" localSheetId="4" hidden="1">#REF!</definedName>
    <definedName name="BExZQP3CUHU0IRXBVRJLP1KYRDVE" localSheetId="7" hidden="1">#REF!</definedName>
    <definedName name="BExZQP3CUHU0IRXBVRJLP1KYRDVE" hidden="1">#REF!</definedName>
    <definedName name="BExZQRHGZ7WP7RQ2CX0H6W1CIP9U" localSheetId="4" hidden="1">#REF!</definedName>
    <definedName name="BExZQRHGZ7WP7RQ2CX0H6W1CIP9U" localSheetId="7" hidden="1">#REF!</definedName>
    <definedName name="BExZQRHGZ7WP7RQ2CX0H6W1CIP9U" hidden="1">#REF!</definedName>
    <definedName name="BExZQWFMANQLA8Z37ZECN1VLXVSB" localSheetId="4" hidden="1">#REF!</definedName>
    <definedName name="BExZQWFMANQLA8Z37ZECN1VLXVSB" localSheetId="7" hidden="1">#REF!</definedName>
    <definedName name="BExZQWFMANQLA8Z37ZECN1VLXVSB" hidden="1">#REF!</definedName>
    <definedName name="BExZQXBYEBN28QUH1KOVW6KKA5UM" hidden="1">#REF!</definedName>
    <definedName name="BExZQZKT146WEN8FTVZ7Y5TSB8L5" localSheetId="4" hidden="1">#REF!</definedName>
    <definedName name="BExZQZKT146WEN8FTVZ7Y5TSB8L5" localSheetId="7"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localSheetId="4" hidden="1">#REF!</definedName>
    <definedName name="BExZRP1X6UVLN1UOLHH5VF4STP1O" localSheetId="7" hidden="1">#REF!</definedName>
    <definedName name="BExZRP1X6UVLN1UOLHH5VF4STP1O" hidden="1">#REF!</definedName>
    <definedName name="BExZRQ930U6OCYNV00CH5I0Q4LPE" hidden="1">#REF!</definedName>
    <definedName name="BExZRW8W514W8OZ72YBONYJ64GXF" localSheetId="4" hidden="1">#REF!</definedName>
    <definedName name="BExZRW8W514W8OZ72YBONYJ64GXF" localSheetId="7" hidden="1">#REF!</definedName>
    <definedName name="BExZRW8W514W8OZ72YBONYJ64GXF" hidden="1">#REF!</definedName>
    <definedName name="BExZRWJP2BUVFJPO8U8ATQEP0LZU" hidden="1">#REF!</definedName>
    <definedName name="BExZRZUBL5A1WH7YZJXBZG8HPWC7" localSheetId="4" hidden="1">#REF!</definedName>
    <definedName name="BExZRZUBL5A1WH7YZJXBZG8HPWC7" localSheetId="7" hidden="1">#REF!</definedName>
    <definedName name="BExZRZUBL5A1WH7YZJXBZG8HPWC7" hidden="1">#REF!</definedName>
    <definedName name="BExZSI9USDLZAN8LI8M4YYQL24GZ" hidden="1">#REF!</definedName>
    <definedName name="BExZSS0LA2JY4ZLJ1Z5YCMLJJZCH" hidden="1">#REF!</definedName>
    <definedName name="BExZT394ULBLT8EUHBM7KV741HQI" localSheetId="4" hidden="1">#REF!</definedName>
    <definedName name="BExZT394ULBLT8EUHBM7KV741HQI" localSheetId="7" hidden="1">#REF!</definedName>
    <definedName name="BExZT394ULBLT8EUHBM7KV741HQI" hidden="1">#REF!</definedName>
    <definedName name="BExZTAQV2QVSZY5Y3VCCWUBSBW9P" localSheetId="4" hidden="1">#REF!</definedName>
    <definedName name="BExZTAQV2QVSZY5Y3VCCWUBSBW9P" localSheetId="7"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localSheetId="4" hidden="1">#REF!</definedName>
    <definedName name="BExZTT6J3X0TOX0ZY6YPLUVMCW9X" localSheetId="7"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HWEEZO4WXP5DG5P4U6A70KN" localSheetId="4" hidden="1">#REF!</definedName>
    <definedName name="BExZUHWEEZO4WXP5DG5P4U6A70KN" localSheetId="7" hidden="1">#REF!</definedName>
    <definedName name="BExZUHWEEZO4WXP5DG5P4U6A70KN"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BQ29OM0V8XAL3HL0JIM0MMU" hidden="1">#REF!</definedName>
    <definedName name="BExZVBQ3B8IIQW88DDLAW5BA4PL4" localSheetId="4" hidden="1">#REF!</definedName>
    <definedName name="BExZVBQ3B8IIQW88DDLAW5BA4PL4" localSheetId="7" hidden="1">#REF!</definedName>
    <definedName name="BExZVBQ3B8IIQW88DDLAW5BA4PL4" hidden="1">#REF!</definedName>
    <definedName name="BExZVLM4T9ORS4ZWHME46U4Q103C" hidden="1">#REF!</definedName>
    <definedName name="BExZVM7OZWPPRH5YQW50EYMMIW1A" hidden="1">#REF!</definedName>
    <definedName name="BExZVP7KJEUGEZ1AZ15Z29XW6KAH"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B8KPDQGF787P51Y0GON31FF" hidden="1">#REF!</definedName>
    <definedName name="BExZWKDP0QSA9SPSF40ZMQ81QV13"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HY0PBOVDNV2NSZ1Y4G6WMNK" localSheetId="4" hidden="1">#REF!</definedName>
    <definedName name="BExZXHY0PBOVDNV2NSZ1Y4G6WMNK" localSheetId="7" hidden="1">#REF!</definedName>
    <definedName name="BExZXHY0PBOVDNV2NSZ1Y4G6WMNK" hidden="1">#REF!</definedName>
    <definedName name="BExZXOJDELULNLEH7WG0OYJT0NJ4" hidden="1">#REF!</definedName>
    <definedName name="BExZXOOTRNUK8LGEAZ8ZCFW9KXQ1" hidden="1">#REF!</definedName>
    <definedName name="BExZXQSD2T3TQZ268XCC2NG9O3JQ" localSheetId="4" hidden="1">#REF!</definedName>
    <definedName name="BExZXQSD2T3TQZ268XCC2NG9O3JQ" localSheetId="7" hidden="1">#REF!</definedName>
    <definedName name="BExZXQSD2T3TQZ268XCC2NG9O3JQ"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localSheetId="4" hidden="1">#REF!</definedName>
    <definedName name="BExZY02V77YJBMODJSWZOYCMPS5X" localSheetId="7" hidden="1">#REF!</definedName>
    <definedName name="BExZY02V77YJBMODJSWZOYCMPS5X" hidden="1">#REF!</definedName>
    <definedName name="BExZY49QRZIR6CA41LFA9LM6EULU" hidden="1">#REF!</definedName>
    <definedName name="BExZZ2FQA9A8C7CJKMEFQ9VPSLCE" hidden="1">#REF!</definedName>
    <definedName name="BExZZ8VO1HB3783L61XHP87HBCBE" localSheetId="4" hidden="1">#REF!</definedName>
    <definedName name="BExZZ8VO1HB3783L61XHP87HBCBE" localSheetId="7" hidden="1">#REF!</definedName>
    <definedName name="BExZZ8VO1HB3783L61XHP87HBCBE" hidden="1">#REF!</definedName>
    <definedName name="BExZZCHAVHW8C2H649KRGVQ0WVRT" hidden="1">#REF!</definedName>
    <definedName name="BExZZTK54OTLF2YB68BHGOS27GEN" localSheetId="4" hidden="1">#REF!</definedName>
    <definedName name="BExZZTK54OTLF2YB68BHGOS27GEN" localSheetId="7" hidden="1">#REF!</definedName>
    <definedName name="BExZZTK54OTLF2YB68BHGOS27GEN" hidden="1">#REF!</definedName>
    <definedName name="BExZZXB3JQQG4SIZS4MRU6NNW7HI" hidden="1">#REF!</definedName>
    <definedName name="BExZZZEMIIFKMLLV4DJKX5TB9R5V" localSheetId="4" hidden="1">#REF!</definedName>
    <definedName name="BExZZZEMIIFKMLLV4DJKX5TB9R5V" localSheetId="7" hidden="1">#REF!</definedName>
    <definedName name="BExZZZEMIIFKMLLV4DJKX5TB9R5V" hidden="1">#REF!</definedName>
    <definedName name="cats"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CRAP" hidden="1">{#N/A,#N/A,FALSE,"Bgt";#N/A,#N/A,FALSE,"Act";#N/A,#N/A,FALSE,"Chrt Data";#N/A,#N/A,FALSE,"Bus Result";#N/A,#N/A,FALSE,"Main Charts";#N/A,#N/A,FALSE,"P&amp;L Ttl";#N/A,#N/A,FALSE,"P&amp;L C_Ttl";#N/A,#N/A,FALSE,"P&amp;L C_Oct";#N/A,#N/A,FALSE,"P&amp;L C_Sep";#N/A,#N/A,FALSE,"1996";#N/A,#N/A,FALSE,"Data"}</definedName>
    <definedName name="CRAPPER" hidden="1">{#N/A,#N/A,FALSE,"Bgt";#N/A,#N/A,FALSE,"Act";#N/A,#N/A,FALSE,"Chrt Data";#N/A,#N/A,FALSE,"Bus Result";#N/A,#N/A,FALSE,"Main Charts";#N/A,#N/A,FALSE,"P&amp;L Ttl";#N/A,#N/A,FALSE,"P&amp;L C_Ttl";#N/A,#N/A,FALSE,"P&amp;L C_Oct";#N/A,#N/A,FALSE,"P&amp;L C_Sep";#N/A,#N/A,FALSE,"1996";#N/A,#N/A,FALSE,"Data"}</definedName>
    <definedName name="CRAPPEST"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d" hidden="1">{#N/A,#N/A,FALSE,"Bgt";#N/A,#N/A,FALSE,"Act";#N/A,#N/A,FALSE,"Chrt Data";#N/A,#N/A,FALSE,"Bus Result";#N/A,#N/A,FALSE,"Main Charts";#N/A,#N/A,FALSE,"P&amp;L Ttl";#N/A,#N/A,FALSE,"P&amp;L C_Ttl";#N/A,#N/A,FALSE,"P&amp;L C_Oct";#N/A,#N/A,FALSE,"P&amp;L C_Sep";#N/A,#N/A,FALSE,"1996";#N/A,#N/A,FALSE,"Data"}</definedName>
    <definedName name="Dauys"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DD" hidden="1">{#N/A,#N/A,FALSE,"Bgt";#N/A,#N/A,FALSE,"Act";#N/A,#N/A,FALSE,"Chrt Data";#N/A,#N/A,FALSE,"Bus Result";#N/A,#N/A,FALSE,"Main Charts";#N/A,#N/A,FALSE,"P&amp;L Ttl";#N/A,#N/A,FALSE,"P&amp;L C_Ttl";#N/A,#N/A,FALSE,"P&amp;L C_Oct";#N/A,#N/A,FALSE,"P&amp;L C_Sep";#N/A,#N/A,FALSE,"1996";#N/A,#N/A,FALSE,"Data"}</definedName>
    <definedName name="e" hidden="1">{#N/A,#N/A,FALSE,"Bgt";#N/A,#N/A,FALSE,"Act";#N/A,#N/A,FALSE,"Chrt Data";#N/A,#N/A,FALSE,"Bus Result";#N/A,#N/A,FALSE,"Main Charts";#N/A,#N/A,FALSE,"P&amp;L Ttl";#N/A,#N/A,FALSE,"P&amp;L C_Ttl";#N/A,#N/A,FALSE,"P&amp;L C_Oct";#N/A,#N/A,FALSE,"P&amp;L C_Sep";#N/A,#N/A,FALSE,"1996";#N/A,#N/A,FALSE,"Data"}</definedName>
    <definedName name="ED" hidden="1">{#N/A,#N/A,FALSE,"P&amp;L Ttl";#N/A,#N/A,FALSE,"P&amp;L C_Ttl New";#N/A,#N/A,FALSE,"Bus Res";#N/A,#N/A,FALSE,"Chrts";#N/A,#N/A,FALSE,"pcf";#N/A,#N/A,FALSE,"pcr ";#N/A,#N/A,FALSE,"Exp Stmt ";#N/A,#N/A,FALSE,"Cap";#N/A,#N/A,FALSE,"IT Ytd"}</definedName>
    <definedName name="EE" hidden="1">{#N/A,#N/A,FALSE,"P&amp;L Ttl";#N/A,#N/A,FALSE,"P&amp;L C_Ttl New";#N/A,#N/A,FALSE,"Bus Res";#N/A,#N/A,FALSE,"Chrts";#N/A,#N/A,FALSE,"pcf";#N/A,#N/A,FALSE,"pcr ";#N/A,#N/A,FALSE,"Exp Stmt ";#N/A,#N/A,FALSE,"Cap";#N/A,#N/A,FALSE,"IT Ytd"}</definedName>
    <definedName name="energy" hidden="1">{#N/A,#N/A,FALSE,"Bgt";#N/A,#N/A,FALSE,"Act";#N/A,#N/A,FALSE,"Chrt Data";#N/A,#N/A,FALSE,"Bus Result";#N/A,#N/A,FALSE,"Main Charts";#N/A,#N/A,FALSE,"P&amp;L Ttl";#N/A,#N/A,FALSE,"P&amp;L C_Ttl";#N/A,#N/A,FALSE,"P&amp;L C_Oct";#N/A,#N/A,FALSE,"P&amp;L C_Sep";#N/A,#N/A,FALSE,"1996";#N/A,#N/A,FALSE,"Data"}</definedName>
    <definedName name="enrgy" hidden="1">{#N/A,#N/A,FALSE,"Bgt";#N/A,#N/A,FALSE,"Act";#N/A,#N/A,FALSE,"Chrt Data";#N/A,#N/A,FALSE,"Bus Result";#N/A,#N/A,FALSE,"Main Charts";#N/A,#N/A,FALSE,"P&amp;L Ttl";#N/A,#N/A,FALSE,"P&amp;L C_Ttl";#N/A,#N/A,FALSE,"P&amp;L C_Oct";#N/A,#N/A,FALSE,"P&amp;L C_Sep";#N/A,#N/A,FALSE,"1996";#N/A,#N/A,FALSE,"Data"}</definedName>
    <definedName name="erfe" hidden="1">{#N/A,#N/A,FALSE,"Bgt";#N/A,#N/A,FALSE,"Act";#N/A,#N/A,FALSE,"Chrt Data";#N/A,#N/A,FALSE,"Bus Result";#N/A,#N/A,FALSE,"Main Charts";#N/A,#N/A,FALSE,"P&amp;L Ttl";#N/A,#N/A,FALSE,"P&amp;L C_Ttl";#N/A,#N/A,FALSE,"P&amp;L C_Oct";#N/A,#N/A,FALSE,"P&amp;L C_Sep";#N/A,#N/A,FALSE,"1996";#N/A,#N/A,FALSE,"Data"}</definedName>
    <definedName name="ergfe" hidden="1">{#N/A,#N/A,FALSE,"P&amp;L Ttl";#N/A,#N/A,FALSE,"P&amp;L C_Ttl New";#N/A,#N/A,FALSE,"Bus Res";#N/A,#N/A,FALSE,"Chrts";#N/A,#N/A,FALSE,"pcf";#N/A,#N/A,FALSE,"pcr ";#N/A,#N/A,FALSE,"Exp Stmt ";#N/A,#N/A,FALSE,"Cap";#N/A,#N/A,FALSE,"IT Ytd"}</definedName>
    <definedName name="ertyier76" hidden="1">{#N/A,#N/A,FALSE,"Bgt";#N/A,#N/A,FALSE,"Act";#N/A,#N/A,FALSE,"Chrt Data";#N/A,#N/A,FALSE,"Bus Result";#N/A,#N/A,FALSE,"Main Charts";#N/A,#N/A,FALSE,"P&amp;L Ttl";#N/A,#N/A,FALSE,"P&amp;L C_Ttl";#N/A,#N/A,FALSE,"P&amp;L C_Oct";#N/A,#N/A,FALSE,"P&amp;L C_Sep";#N/A,#N/A,FALSE,"1996";#N/A,#N/A,FALSE,"Data"}</definedName>
    <definedName name="EWE" hidden="1">{#N/A,#N/A,FALSE,"Bgt";#N/A,#N/A,FALSE,"Act";#N/A,#N/A,FALSE,"Chrt Data";#N/A,#N/A,FALSE,"Bus Result";#N/A,#N/A,FALSE,"Main Charts";#N/A,#N/A,FALSE,"P&amp;L Ttl";#N/A,#N/A,FALSE,"P&amp;L C_Ttl";#N/A,#N/A,FALSE,"P&amp;L C_Oct";#N/A,#N/A,FALSE,"P&amp;L C_Sep";#N/A,#N/A,FALSE,"1996";#N/A,#N/A,FALSE,"Data"}</definedName>
    <definedName name="excel"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fduj" hidden="1">{#N/A,#N/A,FALSE,"Bgt";#N/A,#N/A,FALSE,"Act";#N/A,#N/A,FALSE,"Chrt Data";#N/A,#N/A,FALSE,"Bus Result";#N/A,#N/A,FALSE,"Main Charts";#N/A,#N/A,FALSE,"P&amp;L Ttl";#N/A,#N/A,FALSE,"P&amp;L C_Ttl";#N/A,#N/A,FALSE,"P&amp;L C_Oct";#N/A,#N/A,FALSE,"P&amp;L C_Sep";#N/A,#N/A,FALSE,"1996";#N/A,#N/A,FALSE,"Data"}</definedName>
    <definedName name="FF" hidden="1">{#N/A,#N/A,FALSE,"pcf";#N/A,#N/A,FALSE,"pcr"}</definedName>
    <definedName name="foo" hidden="1">{#N/A,#N/A,FALSE,"Bgt";#N/A,#N/A,FALSE,"Act";#N/A,#N/A,FALSE,"Chrt Data";#N/A,#N/A,FALSE,"Bus Result";#N/A,#N/A,FALSE,"Main Charts";#N/A,#N/A,FALSE,"P&amp;L Ttl";#N/A,#N/A,FALSE,"P&amp;L C_Ttl";#N/A,#N/A,FALSE,"P&amp;L C_Oct";#N/A,#N/A,FALSE,"P&amp;L C_Sep";#N/A,#N/A,FALSE,"1996";#N/A,#N/A,FALSE,"Data"}</definedName>
    <definedName name="gbes" hidden="1">{#N/A,#N/A,FALSE,"Bgt";#N/A,#N/A,FALSE,"Act";#N/A,#N/A,FALSE,"Chrt Data";#N/A,#N/A,FALSE,"Bus Result";#N/A,#N/A,FALSE,"Main Charts";#N/A,#N/A,FALSE,"P&amp;L Ttl";#N/A,#N/A,FALSE,"P&amp;L C_Ttl";#N/A,#N/A,FALSE,"P&amp;L C_Oct";#N/A,#N/A,FALSE,"P&amp;L C_Sep";#N/A,#N/A,FALSE,"1996";#N/A,#N/A,FALSE,"Data"}</definedName>
    <definedName name="gbv" hidden="1">{#N/A,#N/A,FALSE,"Bgt";#N/A,#N/A,FALSE,"Act";#N/A,#N/A,FALSE,"Chrt Data";#N/A,#N/A,FALSE,"Bus Result";#N/A,#N/A,FALSE,"Main Charts";#N/A,#N/A,FALSE,"P&amp;L Ttl";#N/A,#N/A,FALSE,"P&amp;L C_Ttl";#N/A,#N/A,FALSE,"P&amp;L C_Oct";#N/A,#N/A,FALSE,"P&amp;L C_Sep";#N/A,#N/A,FALSE,"1996";#N/A,#N/A,FALSE,"Data"}</definedName>
    <definedName name="GFGFH" hidden="1">{#N/A,#N/A,FALSE,"pcf";#N/A,#N/A,FALSE,"pcr"}</definedName>
    <definedName name="grrrr" hidden="1">{#N/A,#N/A,FALSE,"Bgt";#N/A,#N/A,FALSE,"Act";#N/A,#N/A,FALSE,"Chrt Data";#N/A,#N/A,FALSE,"Bus Result";#N/A,#N/A,FALSE,"Main Charts";#N/A,#N/A,FALSE,"P&amp;L Ttl";#N/A,#N/A,FALSE,"P&amp;L C_Ttl";#N/A,#N/A,FALSE,"P&amp;L C_Oct";#N/A,#N/A,FALSE,"P&amp;L C_Sep";#N/A,#N/A,FALSE,"1996";#N/A,#N/A,FALSE,"Data"}</definedName>
    <definedName name="Header_Table_Data_EBRIN">'Data|EBRIN'!$10:$10</definedName>
    <definedName name="Header_Table_Data_opex_proposed">'Data|Forecasts'!$16:$16</definedName>
    <definedName name="Header_Table_Econometrics">'Input|Econometrics - Short'!$12:$12</definedName>
    <definedName name="Header_Table_Inflators_per_base_year">'Lookup tables'!$60:$60</definedName>
    <definedName name="Header_Table_OEF_capitalisation_long">'Data|OEFs - Long'!$51:$51</definedName>
    <definedName name="Header_Table_OEF_capitalisation_short">'Data|OEFs - Short'!$51:$51</definedName>
    <definedName name="Header_Table_Summary_long">'Output|Summary'!$57:$57</definedName>
    <definedName name="Header_Table_Summary_short">'Output|Summary'!$87:$87</definedName>
    <definedName name="hj" hidden="1">{#N/A,#N/A,FALSE,"pcf";#N/A,#N/A,FALSE,"pcr"}</definedName>
    <definedName name="III" hidden="1">{#N/A,#N/A,FALSE,"Bgt";#N/A,#N/A,FALSE,"Act";#N/A,#N/A,FALSE,"Chrt Data";#N/A,#N/A,FALSE,"Bus Result";#N/A,#N/A,FALSE,"Main Charts";#N/A,#N/A,FALSE,"P&amp;L Ttl";#N/A,#N/A,FALSE,"P&amp;L C_Ttl";#N/A,#N/A,FALSE,"P&amp;L C_Oct";#N/A,#N/A,FALSE,"P&amp;L C_Sep";#N/A,#N/A,FALSE,"1996";#N/A,#N/A,FALSE,"Data"}</definedName>
    <definedName name="j" hidden="1">{#N/A,#N/A,FALSE,"Bgt";#N/A,#N/A,FALSE,"Act";#N/A,#N/A,FALSE,"Chrt Data";#N/A,#N/A,FALSE,"Bus Result";#N/A,#N/A,FALSE,"Main Charts";#N/A,#N/A,FALSE,"P&amp;L Ttl";#N/A,#N/A,FALSE,"P&amp;L C_Ttl";#N/A,#N/A,FALSE,"P&amp;L C_Oct";#N/A,#N/A,FALSE,"P&amp;L C_Sep";#N/A,#N/A,FALSE,"1996";#N/A,#N/A,FALSE,"Data"}</definedName>
    <definedName name="jesse"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JHJHJ" hidden="1">{#N/A,#N/A,FALSE,"Bgt";#N/A,#N/A,FALSE,"Act";#N/A,#N/A,FALSE,"Chrt Data";#N/A,#N/A,FALSE,"Bus Result";#N/A,#N/A,FALSE,"Main Charts";#N/A,#N/A,FALSE,"P&amp;L Ttl";#N/A,#N/A,FALSE,"P&amp;L C_Ttl";#N/A,#N/A,FALSE,"P&amp;L C_Oct";#N/A,#N/A,FALSE,"P&amp;L C_Sep";#N/A,#N/A,FALSE,"1996";#N/A,#N/A,FALSE,"Data"}</definedName>
    <definedName name="JHJJ" hidden="1">{#N/A,#N/A,FALSE,"Bgt";#N/A,#N/A,FALSE,"Act";#N/A,#N/A,FALSE,"Chrt Data";#N/A,#N/A,FALSE,"Bus Result";#N/A,#N/A,FALSE,"Main Charts";#N/A,#N/A,FALSE,"P&amp;L Ttl";#N/A,#N/A,FALSE,"P&amp;L C_Ttl";#N/A,#N/A,FALSE,"P&amp;L C_Oct";#N/A,#N/A,FALSE,"P&amp;L C_Sep";#N/A,#N/A,FALSE,"1996";#N/A,#N/A,FALSE,"Data"}</definedName>
    <definedName name="kmhjyuk" hidden="1">{#N/A,#N/A,FALSE,"pcf";#N/A,#N/A,FALSE,"pcr"}</definedName>
    <definedName name="kmim" hidden="1">{#N/A,#N/A,FALSE,"Bgt";#N/A,#N/A,FALSE,"Act";#N/A,#N/A,FALSE,"Chrt Data";#N/A,#N/A,FALSE,"Bus Result";#N/A,#N/A,FALSE,"Main Charts";#N/A,#N/A,FALSE,"P&amp;L Ttl";#N/A,#N/A,FALSE,"P&amp;L C_Ttl";#N/A,#N/A,FALSE,"P&amp;L C_Oct";#N/A,#N/A,FALSE,"P&amp;L C_Sep";#N/A,#N/A,FALSE,"1996";#N/A,#N/A,FALSE,"Data"}</definedName>
    <definedName name="kti" hidden="1">{#N/A,#N/A,FALSE,"P&amp;L Ttl";#N/A,#N/A,FALSE,"P&amp;L C_Ttl New";#N/A,#N/A,FALSE,"Bus Res";#N/A,#N/A,FALSE,"Chrts";#N/A,#N/A,FALSE,"pcf";#N/A,#N/A,FALSE,"pcr ";#N/A,#N/A,FALSE,"Exp Stmt ";#N/A,#N/A,FALSE,"Cap";#N/A,#N/A,FALSE,"IT Ytd"}</definedName>
    <definedName name="List_Apply_fixed_growth_rate">'Lookup tables'!$A$8:$A$9</definedName>
    <definedName name="List_DNSP">'Lookup tables'!$A$14:$A$26</definedName>
    <definedName name="List_Include_OEFs">'Lookup tables'!$A$48:$A$49</definedName>
    <definedName name="List_Inflation_method">'Lookup tables'!$A$54:$A$55</definedName>
    <definedName name="List_Number_of_violations_Long_LSETLG">'Input|Econometrics - Long'!$197:$197</definedName>
    <definedName name="List_Number_of_violations_Long_SFATLG">'Input|Econometrics - Long'!$277:$277</definedName>
    <definedName name="List_Number_of_violations_Short_LSETLG">'Input|Econometrics - Short'!$197:$197</definedName>
    <definedName name="List_Number_of_violations_Short_SFATLG">'Input|Econometrics - Short'!$277:$277</definedName>
    <definedName name="List_OEF_capitalisation_basis">'Lookup tables'!$A$85:$A$89</definedName>
    <definedName name="List_Scenario">'Lookup tables'!$A$111:$A$120</definedName>
    <definedName name="nhdtyjdf" hidden="1">{#N/A,#N/A,FALSE,"pcf";#N/A,#N/A,FALSE,"pcr"}</definedName>
    <definedName name="Parameter_Apply_fixed_growth_rate">'Input|Parameters'!$B$25</definedName>
    <definedName name="Parameter_Base_year">'Input|Parameters'!$B$14</definedName>
    <definedName name="Parameter_Base_year_manual_override">'Input|Parameters'!$B$15</definedName>
    <definedName name="Parameter_DNSP">'Input|Parameters'!$B$10</definedName>
    <definedName name="Parameter_Efficiency_target">'Input|Parameters'!$B$30</definedName>
    <definedName name="Parameter_Include_OEFs">'Input|Parameters'!$B$35</definedName>
    <definedName name="Parameter_Inflator">'Input|Parameters'!$B$19</definedName>
    <definedName name="Parameter_OEF_capitalisation_basis_long">'Input|Parameters'!$B$41</definedName>
    <definedName name="Parameter_OEF_capitalisation_basis_short">'Input|Parameters'!$B$53</definedName>
    <definedName name="Parameter_OEF_capitalisation_long">'Input|Parameters'!$B$40</definedName>
    <definedName name="Parameter_OEF_capitalisation_long_manual_override">'Input|Parameters'!$B$42</definedName>
    <definedName name="Parameter_OEF_capitalisation_short">'Input|Parameters'!$B$52</definedName>
    <definedName name="Parameter_OEF_capitalisation_short_manual_override">'Input|Parameters'!$B$54</definedName>
    <definedName name="Parameter_OEF_Sapere_Merz_long">'Input|Parameters'!$B$37</definedName>
    <definedName name="Parameter_OEF_Sapere_Merz_short">'Input|Parameters'!$B$49</definedName>
    <definedName name="Parameter_OEF_total_long">'Input|Parameters'!$B$36</definedName>
    <definedName name="Parameter_OEF_total_short">'Input|Parameters'!$B$48</definedName>
    <definedName name="Parameter_OEF_vegetation_management_long">'Input|Parameters'!$B$39</definedName>
    <definedName name="Parameter_OEF_vegetation_management_short">'Input|Parameters'!$B$51</definedName>
    <definedName name="Parameter_Opex_forecast_error">'Data|Forecasts'!$B$14</definedName>
    <definedName name="Parameter_Period_end">'Input|Parameters'!$B$18</definedName>
    <definedName name="Parameter_Period_start_long">'Input|Parameters'!$B$16</definedName>
    <definedName name="Parameter_Period_start_short">'Input|Parameters'!$B$17</definedName>
    <definedName name="Parameter_Results_dollar_basis">'Input|Parameters'!$B$13</definedName>
    <definedName name="Parameter_Scenario">'Input|Parameters'!$B$8</definedName>
    <definedName name="Parameter_Scenario_number">'Input|Parameters'!$B$9</definedName>
    <definedName name="Parameter_Technology_growth_rate">'Input|Parameters'!$B$24</definedName>
    <definedName name="Parameter_Victorian_or_non_Victorian">'Input|Parameters'!$B$12</definedName>
    <definedName name="PPP" hidden="1">{#N/A,#N/A,FALSE,"Bgt";#N/A,#N/A,FALSE,"Act";#N/A,#N/A,FALSE,"Chrt Data";#N/A,#N/A,FALSE,"Bus Result";#N/A,#N/A,FALSE,"Main Charts";#N/A,#N/A,FALSE,"P&amp;L Ttl";#N/A,#N/A,FALSE,"P&amp;L C_Ttl";#N/A,#N/A,FALSE,"P&amp;L C_Oct";#N/A,#N/A,FALSE,"P&amp;L C_Sep";#N/A,#N/A,FALSE,"1996";#N/A,#N/A,FALSE,"Data"}</definedName>
    <definedName name="q" hidden="1">{#N/A,#N/A,FALSE,"Bgt";#N/A,#N/A,FALSE,"Act";#N/A,#N/A,FALSE,"Chrt Data";#N/A,#N/A,FALSE,"Bus Result";#N/A,#N/A,FALSE,"Main Charts";#N/A,#N/A,FALSE,"P&amp;L Ttl";#N/A,#N/A,FALSE,"P&amp;L C_Ttl";#N/A,#N/A,FALSE,"P&amp;L C_Oct";#N/A,#N/A,FALSE,"P&amp;L C_Sep";#N/A,#N/A,FALSE,"1996";#N/A,#N/A,FALSE,"Data"}</definedName>
    <definedName name="QQ"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rbb"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 hidden="1">{#N/A,#N/A,FALSE,"Bgt";#N/A,#N/A,FALSE,"Act";#N/A,#N/A,FALSE,"Chrt Data";#N/A,#N/A,FALSE,"Bus Result";#N/A,#N/A,FALSE,"Main Charts";#N/A,#N/A,FALSE,"P&amp;L Ttl";#N/A,#N/A,FALSE,"P&amp;L C_Ttl";#N/A,#N/A,FALSE,"P&amp;L C_Oct";#N/A,#N/A,FALSE,"P&amp;L C_Sep";#N/A,#N/A,FALSE,"1996";#N/A,#N/A,FALSE,"Data"}</definedName>
    <definedName name="RRRR" hidden="1">{#N/A,#N/A,FALSE,"pcf";#N/A,#N/A,FALSE,"pcr"}</definedName>
    <definedName name="rtgbr" hidden="1">{#N/A,#N/A,FALSE,"Bgt";#N/A,#N/A,FALSE,"Act";#N/A,#N/A,FALSE,"Chrt Data";#N/A,#N/A,FALSE,"Bus Result";#N/A,#N/A,FALSE,"Main Charts";#N/A,#N/A,FALSE,"P&amp;L Ttl";#N/A,#N/A,FALSE,"P&amp;L C_Ttl";#N/A,#N/A,FALSE,"P&amp;L C_Oct";#N/A,#N/A,FALSE,"P&amp;L C_Sep";#N/A,#N/A,FALSE,"1996";#N/A,#N/A,FALSE,"Data"}</definedName>
    <definedName name="SAPBEXdnldView" hidden="1">"4D0Q4ZKDTZLR4R5LFJNICI02C"</definedName>
    <definedName name="SAPBEXhrIndnt" hidden="1">1</definedName>
    <definedName name="SAPBEXrevision" hidden="1">1</definedName>
    <definedName name="SAPBEXsysID" hidden="1">"BWP"</definedName>
    <definedName name="SAPBEXwbID" hidden="1">"40UUPT0P5GXX8RR8TR6BQRG2M"</definedName>
    <definedName name="SAPsysID" hidden="1">"708C5W7SBKP804JT78WJ0JNKI"</definedName>
    <definedName name="SAPwbID" hidden="1">"ARS"</definedName>
    <definedName name="sdfasdf" hidden="1">{#N/A,#N/A,FALSE,"pcf";#N/A,#N/A,FALSE,"pcr"}</definedName>
    <definedName name="sertyuw"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sgdg" hidden="1">{#N/A,#N/A,FALSE,"Bgt";#N/A,#N/A,FALSE,"Act";#N/A,#N/A,FALSE,"Chrt Data";#N/A,#N/A,FALSE,"Bus Result";#N/A,#N/A,FALSE,"Main Charts";#N/A,#N/A,FALSE,"P&amp;L Ttl";#N/A,#N/A,FALSE,"P&amp;L C_Ttl";#N/A,#N/A,FALSE,"P&amp;L C_Oct";#N/A,#N/A,FALSE,"P&amp;L C_Sep";#N/A,#N/A,FALSE,"1996";#N/A,#N/A,FALSE,"Data"}</definedName>
    <definedName name="sgfstryn" hidden="1">{#N/A,#N/A,FALSE,"Bgt";#N/A,#N/A,FALSE,"Act";#N/A,#N/A,FALSE,"Chrt Data";#N/A,#N/A,FALSE,"Bus Result";#N/A,#N/A,FALSE,"Main Charts";#N/A,#N/A,FALSE,"P&amp;L Ttl";#N/A,#N/A,FALSE,"P&amp;L C_Ttl";#N/A,#N/A,FALSE,"P&amp;L C_Oct";#N/A,#N/A,FALSE,"P&amp;L C_Sep";#N/A,#N/A,FALSE,"1996";#N/A,#N/A,FALSE,"Data"}</definedName>
    <definedName name="sggs" hidden="1">{#N/A,#N/A,FALSE,"Bgt";#N/A,#N/A,FALSE,"Act";#N/A,#N/A,FALSE,"Chrt Data";#N/A,#N/A,FALSE,"Bus Result";#N/A,#N/A,FALSE,"Main Charts";#N/A,#N/A,FALSE,"P&amp;L Ttl";#N/A,#N/A,FALSE,"P&amp;L C_Ttl";#N/A,#N/A,FALSE,"P&amp;L C_Oct";#N/A,#N/A,FALSE,"P&amp;L C_Sep";#N/A,#N/A,FALSE,"1996";#N/A,#N/A,FALSE,"Data"}</definedName>
    <definedName name="sgh" hidden="1">{#N/A,#N/A,FALSE,"Bgt";#N/A,#N/A,FALSE,"Act";#N/A,#N/A,FALSE,"Chrt Data";#N/A,#N/A,FALSE,"Bus Result";#N/A,#N/A,FALSE,"Main Charts";#N/A,#N/A,FALSE,"P&amp;L Ttl";#N/A,#N/A,FALSE,"P&amp;L C_Ttl";#N/A,#N/A,FALSE,"P&amp;L C_Oct";#N/A,#N/A,FALSE,"P&amp;L C_Sep";#N/A,#N/A,FALSE,"1996";#N/A,#N/A,FALSE,"Data"}</definedName>
    <definedName name="shs" hidden="1">{#N/A,#N/A,FALSE,"Bgt";#N/A,#N/A,FALSE,"Act";#N/A,#N/A,FALSE,"Chrt Data";#N/A,#N/A,FALSE,"Bus Result";#N/A,#N/A,FALSE,"Main Charts";#N/A,#N/A,FALSE,"P&amp;L Ttl";#N/A,#N/A,FALSE,"P&amp;L C_Ttl";#N/A,#N/A,FALSE,"P&amp;L C_Oct";#N/A,#N/A,FALSE,"P&amp;L C_Sep";#N/A,#N/A,FALSE,"1996";#N/A,#N/A,FALSE,"Data"}</definedName>
    <definedName name="shsh" hidden="1">{#N/A,#N/A,FALSE,"Bgt";#N/A,#N/A,FALSE,"Act";#N/A,#N/A,FALSE,"Chrt Data";#N/A,#N/A,FALSE,"Bus Result";#N/A,#N/A,FALSE,"Main Charts";#N/A,#N/A,FALSE,"P&amp;L Ttl";#N/A,#N/A,FALSE,"P&amp;L C_Ttl";#N/A,#N/A,FALSE,"P&amp;L C_Oct";#N/A,#N/A,FALSE,"P&amp;L C_Sep";#N/A,#N/A,FALSE,"1996";#N/A,#N/A,FALSE,"Data"}</definedName>
    <definedName name="solver_adj" localSheetId="7" hidden="1">'Input|Parameters'!$C$38</definedName>
    <definedName name="solver_cvg" localSheetId="7" hidden="1">0.0001</definedName>
    <definedName name="solver_drv" localSheetId="7" hidden="1">2</definedName>
    <definedName name="solver_eng" localSheetId="7" hidden="1">1</definedName>
    <definedName name="solver_est" localSheetId="7" hidden="1">1</definedName>
    <definedName name="solver_itr" localSheetId="7" hidden="1">2147483647</definedName>
    <definedName name="solver_mip" localSheetId="7" hidden="1">2147483647</definedName>
    <definedName name="solver_mni" localSheetId="7" hidden="1">30</definedName>
    <definedName name="solver_mrt" localSheetId="7" hidden="1">0.075</definedName>
    <definedName name="solver_msl" localSheetId="7" hidden="1">2</definedName>
    <definedName name="solver_neg" localSheetId="7" hidden="1">1</definedName>
    <definedName name="solver_nod" localSheetId="7" hidden="1">2147483647</definedName>
    <definedName name="solver_num" localSheetId="7" hidden="1">0</definedName>
    <definedName name="solver_nwt" localSheetId="7" hidden="1">1</definedName>
    <definedName name="solver_opt" localSheetId="7" hidden="1">'Input|Parameters'!$D$38</definedName>
    <definedName name="solver_pre" localSheetId="7" hidden="1">0.000001</definedName>
    <definedName name="solver_rbv" localSheetId="7" hidden="1">2</definedName>
    <definedName name="solver_rlx" localSheetId="7" hidden="1">2</definedName>
    <definedName name="solver_rsd" localSheetId="7" hidden="1">0</definedName>
    <definedName name="solver_scl" localSheetId="7" hidden="1">2</definedName>
    <definedName name="solver_sho" localSheetId="7" hidden="1">2</definedName>
    <definedName name="solver_ssz" localSheetId="7" hidden="1">100</definedName>
    <definedName name="solver_tim" localSheetId="7" hidden="1">2147483647</definedName>
    <definedName name="solver_tol" localSheetId="7" hidden="1">0.01</definedName>
    <definedName name="solver_typ" localSheetId="7" hidden="1">3</definedName>
    <definedName name="solver_val" localSheetId="7" hidden="1">0</definedName>
    <definedName name="solver_ver" localSheetId="7" hidden="1">3</definedName>
    <definedName name="SS" hidden="1">{#N/A,#N/A,FALSE,"Bgt";#N/A,#N/A,FALSE,"Act";#N/A,#N/A,FALSE,"Chrt Data";#N/A,#N/A,FALSE,"Bus Result";#N/A,#N/A,FALSE,"Main Charts";#N/A,#N/A,FALSE,"P&amp;L Ttl";#N/A,#N/A,FALSE,"P&amp;L C_Ttl";#N/A,#N/A,FALSE,"P&amp;L C_Oct";#N/A,#N/A,FALSE,"P&amp;L C_Sep";#N/A,#N/A,FALSE,"1996";#N/A,#N/A,FALSE,"Data"}</definedName>
    <definedName name="stoopid" hidden="1">{#N/A,#N/A,FALSE,"Bgt";#N/A,#N/A,FALSE,"Act";#N/A,#N/A,FALSE,"Chrt Data";#N/A,#N/A,FALSE,"Bus Result";#N/A,#N/A,FALSE,"Main Charts";#N/A,#N/A,FALSE,"P&amp;L Ttl";#N/A,#N/A,FALSE,"P&amp;L C_Ttl";#N/A,#N/A,FALSE,"P&amp;L C_Oct";#N/A,#N/A,FALSE,"P&amp;L C_Sep";#N/A,#N/A,FALSE,"1996";#N/A,#N/A,FALSE,"Data"}</definedName>
    <definedName name="Table_Base_year_default">'Lookup tables'!$30:$43</definedName>
    <definedName name="Table_Coefficients_long_LSECD">'Input|Econometrics - Long'!$12:$38</definedName>
    <definedName name="Table_Coefficients_long_LSETLG">'Input|Econometrics - Long'!$126:$152</definedName>
    <definedName name="Table_Coefficients_long_SFACD">'Input|Econometrics - Long'!$69:$95</definedName>
    <definedName name="Table_Coefficients_long_SFATLG">'Input|Econometrics - Long'!$206:$232</definedName>
    <definedName name="Table_Coefficients_short_LSECD">'Input|Econometrics - Short'!$12:$38</definedName>
    <definedName name="Table_Coefficients_short_LSETLG">'Input|Econometrics - Short'!$126:$152</definedName>
    <definedName name="Table_Coefficients_short_SFACD">'Input|Econometrics - Short'!$69:$95</definedName>
    <definedName name="Table_Coefficients_short_SFATLG">'Input|Econometrics - Short'!$206:$232</definedName>
    <definedName name="Table_Data_All_groups_CPI_Australia">'Data|CPI'!$18:$1006</definedName>
    <definedName name="Table_Data_EBRIN">'Data|EBRIN'!$10:$17</definedName>
    <definedName name="Table_Data_forecast">'Data|Forecasts'!$16:$25</definedName>
    <definedName name="Table_Data_opex_alternative">'Data|EBRIN'!$53:$63</definedName>
    <definedName name="Table_Data_opex_selected">'Data|EBRIN'!$67:$68</definedName>
    <definedName name="Table_data_opexforecast_alternative">'Data|Forecasts'!$34:$42</definedName>
    <definedName name="Table_DNSP">'Lookup tables'!$13:$26</definedName>
    <definedName name="Table_Efficiency_scores_long_LSECD">'Input|Econometrics - Long'!$47:$60</definedName>
    <definedName name="Table_Efficiency_scores_long_LSETLG">'Input|Econometrics - Long'!$161:$174</definedName>
    <definedName name="Table_Efficiency_scores_long_SFACD">'Input|Econometrics - Long'!$104:$117</definedName>
    <definedName name="Table_Efficiency_scores_long_SFATLG">'Input|Econometrics - Long'!$241:$254</definedName>
    <definedName name="Table_Efficiency_scores_short_LSECD">'Input|Econometrics - Short'!$47:$60</definedName>
    <definedName name="Table_Efficiency_scores_short_LSETLG">'Input|Econometrics - Short'!$161:$174</definedName>
    <definedName name="Table_Efficiency_scores_short_SFACD">'Input|Econometrics - Short'!$104:$117</definedName>
    <definedName name="Table_Efficiency_scores_short_SFATLG">'Input|Econometrics - Short'!$241:$254</definedName>
    <definedName name="Table_Inflators_per_base_year">'Lookup tables'!$60:$78</definedName>
    <definedName name="Table_Monotonicity_violations_long_LSETLG">'Input|Econometrics - Long'!$183:$196</definedName>
    <definedName name="Table_Monotonicity_violations_long_SFATLG">'Input|Econometrics - Long'!$263:$276</definedName>
    <definedName name="Table_Monotonicity_violations_short_LSETLG">'Input|Econometrics - Short'!$183:$196</definedName>
    <definedName name="Table_Monotonicity_violations_short_SFATLG">'Input|Econometrics - Short'!$263:$276</definedName>
    <definedName name="Table_OEF_capitalisation_long">'Data|OEFs - Long'!$51:$64</definedName>
    <definedName name="Table_OEF_capitalisation_short">'Data|OEFs - Short'!$51:$64</definedName>
    <definedName name="Table_OEF_Sapere_Merz_long">'Data|OEFs - Long'!$10:$23</definedName>
    <definedName name="Table_OEF_Sapere_Merz_short">'Data|OEFs - Short'!$10:$23</definedName>
    <definedName name="Table_OEF_vegetation_management_long">'Data|OEFs - Long'!$30:$43</definedName>
    <definedName name="Table_OEF_vegetation_management_short">'Data|OEFs - Short'!$30:$43</definedName>
    <definedName name="Table_Scenario_number">'Lookup tables'!$110:$120</definedName>
    <definedName name="Table_Summary_long">'Output|Summary'!$57:$72</definedName>
    <definedName name="Table_Summary_short">'Output|Summary'!$87:$102</definedName>
    <definedName name="Table_Victorian_or_non_Victorian">'Lookup tables'!$93:$106</definedName>
    <definedName name="tiimt" hidden="1">{#N/A,#N/A,FALSE,"pcf";#N/A,#N/A,FALSE,"pcr"}</definedName>
    <definedName name="tikt"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tiumut" hidden="1">{#N/A,#N/A,FALSE,"SUM QTR 3";#N/A,#N/A,FALSE,"Detail QTR 3 (w_o ly)"}</definedName>
    <definedName name="ujm" hidden="1">{#N/A,#N/A,FALSE,"Bgt";#N/A,#N/A,FALSE,"Act";#N/A,#N/A,FALSE,"Chrt Data";#N/A,#N/A,FALSE,"Bus Result";#N/A,#N/A,FALSE,"Main Charts";#N/A,#N/A,FALSE,"P&amp;L Ttl";#N/A,#N/A,FALSE,"P&amp;L C_Ttl";#N/A,#N/A,FALSE,"P&amp;L C_Oct";#N/A,#N/A,FALSE,"P&amp;L C_Sep";#N/A,#N/A,FALSE,"1996";#N/A,#N/A,FALSE,"Data"}</definedName>
    <definedName name="ukfykf" hidden="1">{#N/A,#N/A,FALSE,"P&amp;L Ttl";#N/A,#N/A,FALSE,"P&amp;L C_Ttl New";#N/A,#N/A,FALSE,"Bus Res";#N/A,#N/A,FALSE,"Chrts";#N/A,#N/A,FALSE,"pcf";#N/A,#N/A,FALSE,"pcr ";#N/A,#N/A,FALSE,"Exp Stmt ";#N/A,#N/A,FALSE,"Cap";#N/A,#N/A,FALSE,"IT Ytd"}</definedName>
    <definedName name="w" hidden="1">{#N/A,#N/A,FALSE,"pcf";#N/A,#N/A,FALSE,"pcr"}</definedName>
    <definedName name="w4yy"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wrn.ANNUAL._.REPORT." hidden="1">{#N/A,#N/A,FALSE,"PLDETAIL.XLS";#N/A,#N/A,FALSE,"P-LOSS.XLS";#N/A,#N/A,FALSE,"BALSHEET.XLS";#N/A,#N/A,FALSE,"CASHFLOW.XLS";#N/A,#N/A,FALSE,"NOTE02.XLS";#N/A,#N/A,FALSE,"NOTE03.XLS";#N/A,#N/A,FALSE,"NOTE04.XLS";#N/A,#N/A,FALSE,"NOTE05.XLS";#N/A,#N/A,FALSE,"NOTE06.XLS";#N/A,#N/A,FALSE,"NOTE07.XLS";#N/A,#N/A,FALSE,"NOTE08.XLS";#N/A,#N/A,FALSE,"NOTE09.XLS";#N/A,#N/A,FALSE,"NOTE10.XLS";#N/A,#N/A,FALSE,"NOTE11.XLS";#N/A,#N/A,FALSE,"NOTE12.XLS";#N/A,#N/A,FALSE,"NOTE13.XLS";#N/A,#N/A,FALSE,"NOTE14.XLS";#N/A,#N/A,FALSE,"NOTE15.XLS";#N/A,#N/A,FALSE,"NOTE16.XLS";#N/A,#N/A,FALSE,"NOTE17.XLS";#N/A,#N/A,FALSE,"NOTE18.XLS";#N/A,#N/A,FALSE,"NOTE19.XLS";#N/A,#N/A,FALSE,"NOTE20.XLS";#N/A,#N/A,FALSE,"NOTE21.XLS";#N/A,#N/A,FALSE,"NOTE22.XLS";#N/A,#N/A,FALSE,"NOTE22a.XLS";#N/A,#N/A,FALSE,"NOTE23.XLS";#N/A,#N/A,FALSE,"NOTE24.XLS";#N/A,#N/A,FALSE,"DIR_STAT"}</definedName>
    <definedName name="wrn.Budget_1998." hidden="1">{#N/A,#N/A,FALSE,"Header";#N/A,#N/A,FALSE,"P&amp;L_Acct_UE";#N/A,#N/A,FALSE,"P&amp;L_Acct_E";#N/A,#N/A,FALSE,"P&amp;L_Program";#N/A,#N/A,FALSE,"P&amp;L_Strategy";#N/A,#N/A,FALSE,"P&amp;L_Functn_UE";#N/A,#N/A,FALSE,"Sales";#N/A,#N/A,FALSE,"Deprec'n";#N/A,#N/A,FALSE,"Transfers";#N/A,#N/A,FALSE,"Balance_Sheet";#N/A,#N/A,FALSE,"Accts Recvble";#N/A,#N/A,FALSE,"Retire";#N/A,#N/A,FALSE,"Provisions";#N/A,#N/A,FALSE,"Additions";#N/A,#N/A,FALSE,"Cap_Actv";#N/A,#N/A,FALSE,"Personnel"}</definedName>
    <definedName name="wrn.BUS._.RPT." hidden="1">{#N/A,#N/A,FALSE,"P&amp;L Ttl";#N/A,#N/A,FALSE,"P&amp;L C_Ttl New";#N/A,#N/A,FALSE,"Bus Res";#N/A,#N/A,FALSE,"Chrts";#N/A,#N/A,FALSE,"pcf";#N/A,#N/A,FALSE,"pcr ";#N/A,#N/A,FALSE,"Exp Stmt ";#N/A,#N/A,FALSE,"Cap";#N/A,#N/A,FALSE,"IT Ytd"}</definedName>
    <definedName name="wrn.pages." hidden="1">{#N/A,#N/A,FALSE,"Bgt";#N/A,#N/A,FALSE,"Act";#N/A,#N/A,FALSE,"Chrt Data";#N/A,#N/A,FALSE,"Bus Result";#N/A,#N/A,FALSE,"Main Charts";#N/A,#N/A,FALSE,"P&amp;L Ttl";#N/A,#N/A,FALSE,"P&amp;L C_Ttl";#N/A,#N/A,FALSE,"P&amp;L C_Oct";#N/A,#N/A,FALSE,"P&amp;L C_Sep";#N/A,#N/A,FALSE,"1996";#N/A,#N/A,FALSE,"Data"}</definedName>
    <definedName name="wrn.S_R._.tables." hidden="1">{#N/A,#N/A,FALSE,"pcf";#N/A,#N/A,FALSE,"pcr"}</definedName>
    <definedName name="wrn.S_RQTR3." hidden="1">{#N/A,#N/A,FALSE,"SUM QTR 3";#N/A,#N/A,FALSE,"Detail QTR 3 (w_o ly)"}</definedName>
    <definedName name="yht" hidden="1">{#N/A,#N/A,FALSE,"SUM QTR 3";#N/A,#N/A,FALSE,"Detail QTR 3 (w_o ly)"}</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3" i="33" l="1"/>
  <c r="B339" i="33"/>
  <c r="B337" i="33"/>
  <c r="C337" i="33"/>
  <c r="C335" i="33"/>
  <c r="ER22" i="31" l="1"/>
  <c r="ER25" i="31"/>
  <c r="C63" i="30"/>
  <c r="D63" i="30"/>
  <c r="E63" i="30"/>
  <c r="F63" i="30"/>
  <c r="G63" i="30"/>
  <c r="H63" i="30"/>
  <c r="I63" i="30"/>
  <c r="J63" i="30"/>
  <c r="K63" i="30"/>
  <c r="L63" i="30"/>
  <c r="M63" i="30"/>
  <c r="N63" i="30"/>
  <c r="O63" i="30"/>
  <c r="P63" i="30"/>
  <c r="Q63" i="30"/>
  <c r="R63" i="30"/>
  <c r="S63" i="30"/>
  <c r="T63" i="30"/>
  <c r="U63" i="30"/>
  <c r="V63" i="30"/>
  <c r="W63" i="30"/>
  <c r="X63" i="30"/>
  <c r="Y63" i="30"/>
  <c r="Z63" i="30"/>
  <c r="AA63" i="30"/>
  <c r="AB63" i="30"/>
  <c r="AC63" i="30"/>
  <c r="AD63" i="30"/>
  <c r="AE63" i="30"/>
  <c r="AF63" i="30"/>
  <c r="AG63" i="30"/>
  <c r="AH63" i="30"/>
  <c r="AI63" i="30"/>
  <c r="AJ63" i="30"/>
  <c r="AK63" i="30"/>
  <c r="AL63" i="30"/>
  <c r="AM63" i="30"/>
  <c r="AN63" i="30"/>
  <c r="AO63" i="30"/>
  <c r="AP63" i="30"/>
  <c r="AQ63" i="30"/>
  <c r="AR63" i="30"/>
  <c r="AS63" i="30"/>
  <c r="AT63" i="30"/>
  <c r="AU63" i="30"/>
  <c r="AV63" i="30"/>
  <c r="AW63" i="30"/>
  <c r="AX63" i="30"/>
  <c r="AY63" i="30"/>
  <c r="AZ63" i="30"/>
  <c r="BA63" i="30"/>
  <c r="BB63" i="30"/>
  <c r="BC63" i="30"/>
  <c r="BD63" i="30"/>
  <c r="BE63" i="30"/>
  <c r="BF63" i="30"/>
  <c r="BG63" i="30"/>
  <c r="BH63" i="30"/>
  <c r="BI63" i="30"/>
  <c r="BJ63" i="30"/>
  <c r="BK63" i="30"/>
  <c r="BL63" i="30"/>
  <c r="BM63" i="30"/>
  <c r="BN63" i="30"/>
  <c r="BO63" i="30"/>
  <c r="BP63" i="30"/>
  <c r="BQ63" i="30"/>
  <c r="BR63" i="30"/>
  <c r="BS63" i="30"/>
  <c r="BT63" i="30"/>
  <c r="BU63" i="30"/>
  <c r="BV63" i="30"/>
  <c r="BW63" i="30"/>
  <c r="BX63" i="30"/>
  <c r="BY63" i="30"/>
  <c r="BZ63" i="30"/>
  <c r="CA63" i="30"/>
  <c r="CB63" i="30"/>
  <c r="CC63" i="30"/>
  <c r="CD63" i="30"/>
  <c r="CE63" i="30"/>
  <c r="CF63" i="30"/>
  <c r="CG63" i="30"/>
  <c r="CH63" i="30"/>
  <c r="CI63" i="30"/>
  <c r="CJ63" i="30"/>
  <c r="CK63" i="30"/>
  <c r="CL63" i="30"/>
  <c r="CM63" i="30"/>
  <c r="CN63" i="30"/>
  <c r="CO63" i="30"/>
  <c r="CP63" i="30"/>
  <c r="CQ63" i="30"/>
  <c r="CR63" i="30"/>
  <c r="CS63" i="30"/>
  <c r="CT63" i="30"/>
  <c r="CU63" i="30"/>
  <c r="CV63" i="30"/>
  <c r="CW63" i="30"/>
  <c r="CX63" i="30"/>
  <c r="CY63" i="30"/>
  <c r="CZ63" i="30"/>
  <c r="DA63" i="30"/>
  <c r="DB63" i="30"/>
  <c r="DC63" i="30"/>
  <c r="DD63" i="30"/>
  <c r="DE63" i="30"/>
  <c r="DF63" i="30"/>
  <c r="DG63" i="30"/>
  <c r="DH63" i="30"/>
  <c r="DI63" i="30"/>
  <c r="DJ63" i="30"/>
  <c r="DK63" i="30"/>
  <c r="DL63" i="30"/>
  <c r="DM63" i="30"/>
  <c r="DN63" i="30"/>
  <c r="DO63" i="30"/>
  <c r="DP63" i="30"/>
  <c r="DQ63" i="30"/>
  <c r="DR63" i="30"/>
  <c r="DS63" i="30"/>
  <c r="DT63" i="30"/>
  <c r="DU63" i="30"/>
  <c r="DV63" i="30"/>
  <c r="DW63" i="30"/>
  <c r="DX63" i="30"/>
  <c r="DY63" i="30"/>
  <c r="DZ63" i="30"/>
  <c r="EA63" i="30"/>
  <c r="EB63" i="30"/>
  <c r="EC63" i="30"/>
  <c r="ED63" i="30"/>
  <c r="EE63" i="30"/>
  <c r="EF63" i="30"/>
  <c r="EG63" i="30"/>
  <c r="EH63" i="30"/>
  <c r="EI63" i="30"/>
  <c r="EJ63" i="30"/>
  <c r="L263" i="25" l="1"/>
  <c r="L241" i="25"/>
  <c r="L206" i="25"/>
  <c r="L183" i="25"/>
  <c r="L161" i="25"/>
  <c r="L126" i="25"/>
  <c r="L104" i="25"/>
  <c r="L69" i="25"/>
  <c r="L47" i="25"/>
  <c r="L263" i="34"/>
  <c r="L241" i="34"/>
  <c r="L206" i="34"/>
  <c r="L183" i="34"/>
  <c r="L104" i="34"/>
  <c r="L126" i="34" s="1"/>
  <c r="L161" i="34" s="1"/>
  <c r="L69" i="34"/>
  <c r="L47" i="34"/>
  <c r="L197" i="34" l="1"/>
  <c r="L277" i="25"/>
  <c r="L277" i="34"/>
  <c r="L197" i="25"/>
  <c r="B80" i="24"/>
  <c r="U9" i="23"/>
  <c r="U11" i="23"/>
  <c r="U13" i="23"/>
  <c r="EQ20" i="31" l="1"/>
  <c r="EQ18" i="31"/>
  <c r="EQ17" i="31"/>
  <c r="EJ54" i="30"/>
  <c r="EJ57" i="30" s="1"/>
  <c r="EJ13" i="30" l="1"/>
  <c r="EJ55" i="30"/>
  <c r="V15" i="23"/>
  <c r="EQ19" i="31" l="1"/>
  <c r="U10" i="23"/>
  <c r="U14" i="23" s="1"/>
  <c r="EJ56" i="30"/>
  <c r="EJ58" i="30"/>
  <c r="EJ59" i="30"/>
  <c r="EJ61" i="30" s="1"/>
  <c r="EJ62" i="30" s="1"/>
  <c r="EJ68" i="30" s="1"/>
  <c r="EJ60" i="30"/>
  <c r="EQ23" i="31" l="1"/>
  <c r="EQ25" i="31" s="1"/>
  <c r="EQ36" i="31" s="1"/>
  <c r="EQ37" i="31" s="1"/>
  <c r="U15" i="23"/>
  <c r="EI55" i="30"/>
  <c r="EI60" i="30" s="1"/>
  <c r="EI54" i="30"/>
  <c r="EI57" i="30" s="1"/>
  <c r="EJ17" i="30"/>
  <c r="U17" i="23" s="1"/>
  <c r="V17" i="23" s="1"/>
  <c r="EI59" i="30"/>
  <c r="EI61" i="30" s="1"/>
  <c r="EI62" i="30" s="1"/>
  <c r="EI68" i="30" s="1"/>
  <c r="EI56" i="30"/>
  <c r="EI58" i="30"/>
  <c r="ER36" i="31"/>
  <c r="ER37" i="31" s="1"/>
  <c r="EP23" i="31" l="1"/>
  <c r="DW17" i="31"/>
  <c r="DW18" i="31"/>
  <c r="DW20" i="31"/>
  <c r="EO17" i="31"/>
  <c r="EO18" i="31"/>
  <c r="EP18" i="31"/>
  <c r="EO20" i="31"/>
  <c r="EP20" i="31"/>
  <c r="EI13" i="30"/>
  <c r="EP17" i="31" l="1"/>
  <c r="EP19" i="31"/>
  <c r="EP22" i="31" l="1"/>
  <c r="B341" i="33" l="1"/>
  <c r="F98" i="29" l="1"/>
  <c r="F68" i="29"/>
  <c r="C86" i="29"/>
  <c r="K277" i="34"/>
  <c r="K263" i="34"/>
  <c r="K241" i="34"/>
  <c r="K206" i="34"/>
  <c r="K183" i="34"/>
  <c r="K161" i="34"/>
  <c r="K126" i="34"/>
  <c r="K104" i="34"/>
  <c r="K69" i="34"/>
  <c r="K47" i="34"/>
  <c r="K197" i="34" l="1"/>
  <c r="K277" i="25" l="1"/>
  <c r="K263" i="25"/>
  <c r="K241" i="25"/>
  <c r="K206" i="25"/>
  <c r="K197" i="25"/>
  <c r="K183" i="25"/>
  <c r="K161" i="25"/>
  <c r="K126" i="25"/>
  <c r="K104" i="25"/>
  <c r="K69" i="25"/>
  <c r="K47" i="25"/>
  <c r="G98" i="29"/>
  <c r="G68" i="29"/>
  <c r="F57" i="29"/>
  <c r="E57" i="29" s="1"/>
  <c r="D57" i="29" s="1"/>
  <c r="C57" i="29" s="1"/>
  <c r="B57" i="29" s="1"/>
  <c r="I128" i="28"/>
  <c r="J128" i="28" s="1"/>
  <c r="I125" i="28"/>
  <c r="J125" i="28" s="1"/>
  <c r="I97" i="28"/>
  <c r="J97" i="28" s="1"/>
  <c r="I94" i="28"/>
  <c r="J94" i="28" s="1"/>
  <c r="I66" i="28"/>
  <c r="J66" i="28" s="1"/>
  <c r="I63" i="28"/>
  <c r="J63" i="28" s="1"/>
  <c r="I35" i="28"/>
  <c r="J35" i="28" s="1"/>
  <c r="J32" i="28"/>
  <c r="I32" i="28"/>
  <c r="J12" i="28"/>
  <c r="I12" i="28"/>
  <c r="B338" i="33" l="1"/>
  <c r="I128" i="37"/>
  <c r="J128" i="37" s="1"/>
  <c r="I125" i="37"/>
  <c r="J125" i="37" s="1"/>
  <c r="I97" i="37"/>
  <c r="J97" i="37" s="1"/>
  <c r="I94" i="37"/>
  <c r="J94" i="37" s="1"/>
  <c r="I66" i="37"/>
  <c r="J66" i="37" s="1"/>
  <c r="J63" i="37"/>
  <c r="I63" i="37"/>
  <c r="I35" i="37"/>
  <c r="J35" i="37" s="1"/>
  <c r="I32" i="37"/>
  <c r="J32" i="37" s="1"/>
  <c r="J12" i="37"/>
  <c r="I12" i="37"/>
  <c r="K34" i="23"/>
  <c r="J34" i="23"/>
  <c r="K24" i="23"/>
  <c r="J24" i="23"/>
  <c r="B340" i="33" l="1"/>
  <c r="B81" i="24"/>
  <c r="C81" i="24"/>
  <c r="U7" i="23"/>
  <c r="V7" i="23"/>
  <c r="V10" i="23" l="1"/>
  <c r="V9" i="23"/>
  <c r="V11" i="23"/>
  <c r="B51" i="20" l="1"/>
  <c r="B39" i="20"/>
  <c r="HL39" i="31" l="1"/>
  <c r="HL40" i="31" s="1"/>
  <c r="HL41" i="31" s="1"/>
  <c r="HL42" i="31" s="1"/>
  <c r="BC37" i="31" l="1"/>
  <c r="B14" i="20" l="1"/>
  <c r="CN39" i="31" l="1"/>
  <c r="CN40" i="31" s="1"/>
  <c r="CN41" i="31" s="1"/>
  <c r="CN42" i="31" s="1"/>
  <c r="DF41" i="31"/>
  <c r="DF42" i="31"/>
  <c r="DF40" i="31"/>
  <c r="G24" i="30" l="1"/>
  <c r="E24" i="30"/>
  <c r="I24" i="30"/>
  <c r="K24" i="30"/>
  <c r="M24" i="30"/>
  <c r="Q24" i="30"/>
  <c r="S24" i="30"/>
  <c r="P21" i="30"/>
  <c r="I21" i="30"/>
  <c r="O21" i="30"/>
  <c r="R21" i="30"/>
  <c r="S21" i="30"/>
  <c r="L21" i="30" l="1"/>
  <c r="C21" i="30"/>
  <c r="G21" i="30"/>
  <c r="N21" i="30"/>
  <c r="F21" i="30"/>
  <c r="P24" i="30"/>
  <c r="H24" i="30"/>
  <c r="E21" i="30"/>
  <c r="D21" i="30"/>
  <c r="J21" i="30"/>
  <c r="M21" i="30"/>
  <c r="H21" i="30"/>
  <c r="C24" i="30"/>
  <c r="L24" i="30"/>
  <c r="D24" i="30"/>
  <c r="O24" i="30"/>
  <c r="J277" i="25"/>
  <c r="K21" i="30"/>
  <c r="F24" i="30"/>
  <c r="H277" i="25"/>
  <c r="J277" i="34"/>
  <c r="I277" i="25"/>
  <c r="I277" i="34"/>
  <c r="Q21" i="30"/>
  <c r="R24" i="30"/>
  <c r="J24" i="30"/>
  <c r="H277" i="34"/>
  <c r="N24" i="30"/>
  <c r="H197" i="34"/>
  <c r="J197" i="34"/>
  <c r="H197" i="25"/>
  <c r="J197" i="25"/>
  <c r="I197" i="25"/>
  <c r="I197" i="34"/>
  <c r="BV39" i="31" l="1"/>
  <c r="BV40" i="31" s="1"/>
  <c r="BV41" i="31" s="1"/>
  <c r="BV42" i="31" s="1"/>
  <c r="DX39" i="31" l="1"/>
  <c r="DX40" i="31" s="1"/>
  <c r="DX41" i="31" s="1"/>
  <c r="DX42" i="31" s="1"/>
  <c r="B50" i="20" l="1"/>
  <c r="T46" i="31" l="1"/>
  <c r="T41" i="31"/>
  <c r="T36" i="31"/>
  <c r="T42" i="31"/>
  <c r="T40" i="31"/>
  <c r="B39" i="23" l="1"/>
  <c r="B29" i="23"/>
  <c r="B79" i="24" l="1"/>
  <c r="C79" i="24"/>
  <c r="C80" i="24"/>
  <c r="G101" i="29" l="1"/>
  <c r="G71" i="29"/>
  <c r="F71" i="29"/>
  <c r="F101" i="29"/>
  <c r="DF38" i="31"/>
  <c r="DF36" i="31"/>
  <c r="DF37" i="31" s="1"/>
  <c r="CN38" i="31"/>
  <c r="CN36" i="31"/>
  <c r="CN37" i="31" s="1"/>
  <c r="AL38" i="31" l="1"/>
  <c r="A102" i="29" l="1"/>
  <c r="A101" i="29"/>
  <c r="A71" i="29"/>
  <c r="A72" i="29"/>
  <c r="B47" i="28" l="1"/>
  <c r="B109" i="28" s="1"/>
  <c r="B30" i="28"/>
  <c r="B92" i="28" s="1"/>
  <c r="B47" i="37"/>
  <c r="B140" i="37" s="1"/>
  <c r="B30" i="37"/>
  <c r="B123" i="37" s="1"/>
  <c r="B140" i="28" l="1"/>
  <c r="B78" i="28"/>
  <c r="B92" i="37"/>
  <c r="B123" i="28"/>
  <c r="B109" i="37"/>
  <c r="B78" i="37"/>
  <c r="B61" i="37"/>
  <c r="B61" i="28"/>
  <c r="G197" i="34" l="1"/>
  <c r="G277" i="34"/>
  <c r="G197" i="25"/>
  <c r="G277" i="25"/>
  <c r="F197" i="25" l="1"/>
  <c r="F277" i="25"/>
  <c r="F277" i="34"/>
  <c r="F197" i="34"/>
  <c r="H57" i="30" l="1"/>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BQ57" i="30"/>
  <c r="BR57" i="30"/>
  <c r="BS57" i="30"/>
  <c r="BT57" i="30"/>
  <c r="BU57" i="30"/>
  <c r="BV57" i="30"/>
  <c r="BW57" i="30"/>
  <c r="BX57" i="30"/>
  <c r="BY57" i="30"/>
  <c r="BZ57" i="30"/>
  <c r="CA57" i="30"/>
  <c r="CB57" i="30"/>
  <c r="CC57" i="30"/>
  <c r="CD57" i="30"/>
  <c r="CE57" i="30"/>
  <c r="CF57" i="30"/>
  <c r="CG57" i="30"/>
  <c r="CH57" i="30"/>
  <c r="CI57" i="30"/>
  <c r="CJ57" i="30"/>
  <c r="CK57" i="30"/>
  <c r="CL57" i="30"/>
  <c r="CM57" i="30"/>
  <c r="CN57" i="30"/>
  <c r="CO57" i="30"/>
  <c r="CP57" i="30"/>
  <c r="CQ57" i="30"/>
  <c r="CR57" i="30"/>
  <c r="CS57" i="30"/>
  <c r="CT57" i="30"/>
  <c r="CU57" i="30"/>
  <c r="CV57" i="30"/>
  <c r="CW57" i="30"/>
  <c r="CX57" i="30"/>
  <c r="CY57" i="30"/>
  <c r="CZ57" i="30"/>
  <c r="DA57" i="30"/>
  <c r="DB57" i="30"/>
  <c r="DC57" i="30"/>
  <c r="DD57" i="30"/>
  <c r="DE57" i="30"/>
  <c r="DF57" i="30"/>
  <c r="DG57" i="30"/>
  <c r="DH57" i="30"/>
  <c r="DI57" i="30"/>
  <c r="DJ57" i="30"/>
  <c r="DK57" i="30"/>
  <c r="DL57" i="30"/>
  <c r="DM57" i="30"/>
  <c r="DN57" i="30"/>
  <c r="DO57" i="30"/>
  <c r="DP57" i="30"/>
  <c r="DQ57" i="30"/>
  <c r="DR57" i="30"/>
  <c r="DS57" i="30"/>
  <c r="DT57" i="30"/>
  <c r="DU57" i="30"/>
  <c r="DV57" i="30"/>
  <c r="DW57" i="30"/>
  <c r="DX57" i="30"/>
  <c r="DY57" i="30"/>
  <c r="DZ57" i="30"/>
  <c r="EA57" i="30"/>
  <c r="EB57" i="30"/>
  <c r="EC57" i="30"/>
  <c r="ED57" i="30"/>
  <c r="EE57" i="30"/>
  <c r="EF57" i="30"/>
  <c r="EG57" i="30"/>
  <c r="EH57" i="30"/>
  <c r="EK57" i="30"/>
  <c r="EL57" i="30"/>
  <c r="EM57" i="30"/>
  <c r="EN57" i="30"/>
  <c r="EO57" i="30"/>
  <c r="EP57" i="30"/>
  <c r="EQ57" i="30"/>
  <c r="ER57" i="30"/>
  <c r="ES57" i="30"/>
  <c r="ET57" i="30"/>
  <c r="EU57" i="30"/>
  <c r="EV57" i="30"/>
  <c r="EW57" i="30"/>
  <c r="EX57" i="30"/>
  <c r="EY57" i="30"/>
  <c r="EZ57" i="30"/>
  <c r="FA57" i="30"/>
  <c r="FB57" i="30"/>
  <c r="FC57" i="30"/>
  <c r="FD57" i="30"/>
  <c r="FE57" i="30"/>
  <c r="FF57" i="30"/>
  <c r="FG57" i="30"/>
  <c r="FH57" i="30"/>
  <c r="FI57" i="30"/>
  <c r="FJ57" i="30"/>
  <c r="FK57" i="30"/>
  <c r="FL57" i="30"/>
  <c r="FM57" i="30"/>
  <c r="FN57" i="30"/>
  <c r="FO57" i="30"/>
  <c r="FP57" i="30"/>
  <c r="FQ57" i="30"/>
  <c r="FR57" i="30"/>
  <c r="FS57" i="30"/>
  <c r="FT57" i="30"/>
  <c r="FU57" i="30"/>
  <c r="FV57" i="30"/>
  <c r="FW57" i="30"/>
  <c r="FX57" i="30"/>
  <c r="FY57" i="30"/>
  <c r="FZ57" i="30"/>
  <c r="GA57" i="30"/>
  <c r="GB57" i="30"/>
  <c r="GC57" i="30"/>
  <c r="GD57" i="30"/>
  <c r="GE57" i="30"/>
  <c r="GF57" i="30"/>
  <c r="GG57" i="30"/>
  <c r="GH57" i="30"/>
  <c r="GI57" i="30"/>
  <c r="GJ57" i="30"/>
  <c r="GK57" i="30"/>
  <c r="GL57" i="30"/>
  <c r="GM57" i="30"/>
  <c r="GN57" i="30"/>
  <c r="GO57" i="30"/>
  <c r="GP57" i="30"/>
  <c r="GQ57" i="30"/>
  <c r="GR57" i="30"/>
  <c r="GS57" i="30"/>
  <c r="GT57" i="30"/>
  <c r="GU57" i="30"/>
  <c r="GV57" i="30"/>
  <c r="GW57" i="30"/>
  <c r="GX57" i="30"/>
  <c r="GY57" i="30"/>
  <c r="GZ57" i="30"/>
  <c r="HA57" i="30"/>
  <c r="HB57" i="30"/>
  <c r="HC57" i="30"/>
  <c r="HD57" i="30"/>
  <c r="HE57" i="30"/>
  <c r="HF57" i="30"/>
  <c r="HG57" i="30"/>
  <c r="HH57" i="30"/>
  <c r="HI57" i="30"/>
  <c r="HJ57" i="30"/>
  <c r="HK57" i="30"/>
  <c r="HL57" i="30"/>
  <c r="HM57" i="30"/>
  <c r="HN57" i="30"/>
  <c r="HO57" i="30"/>
  <c r="HP57" i="30"/>
  <c r="HQ57" i="30"/>
  <c r="E57" i="30"/>
  <c r="F57" i="30"/>
  <c r="G57" i="30"/>
  <c r="D57" i="30"/>
  <c r="C57" i="30"/>
  <c r="HP58" i="30" l="1"/>
  <c r="HP60" i="30"/>
  <c r="HP59" i="30"/>
  <c r="HP61" i="30" s="1"/>
  <c r="HP62" i="30" s="1"/>
  <c r="FD58" i="30"/>
  <c r="FD60" i="30"/>
  <c r="FD59" i="30"/>
  <c r="FD61" i="30" s="1"/>
  <c r="FD62" i="30" s="1"/>
  <c r="CH58" i="30"/>
  <c r="CH60" i="30"/>
  <c r="CH59" i="30"/>
  <c r="CH61" i="30" s="1"/>
  <c r="CH62" i="30" s="1"/>
  <c r="HG58" i="30"/>
  <c r="HG60" i="30"/>
  <c r="HG59" i="30"/>
  <c r="HG61" i="30" s="1"/>
  <c r="HG62" i="30" s="1"/>
  <c r="FK58" i="30"/>
  <c r="FK60" i="30"/>
  <c r="FK59" i="30"/>
  <c r="FK61" i="30" s="1"/>
  <c r="FK62" i="30" s="1"/>
  <c r="CO58" i="30"/>
  <c r="CO60" i="30"/>
  <c r="CO59" i="30"/>
  <c r="CO61" i="30" s="1"/>
  <c r="CO62" i="30" s="1"/>
  <c r="F58" i="30"/>
  <c r="F59" i="30"/>
  <c r="F61" i="30" s="1"/>
  <c r="F62" i="30" s="1"/>
  <c r="GH58" i="30"/>
  <c r="GH60" i="30"/>
  <c r="GH59" i="30"/>
  <c r="GH61" i="30" s="1"/>
  <c r="GH62" i="30" s="1"/>
  <c r="ET58" i="30"/>
  <c r="ET60" i="30"/>
  <c r="ET59" i="30"/>
  <c r="ET61" i="30" s="1"/>
  <c r="ET62" i="30" s="1"/>
  <c r="CN58" i="30"/>
  <c r="CN60" i="30"/>
  <c r="CN59" i="30"/>
  <c r="CN61" i="30" s="1"/>
  <c r="CN62" i="30" s="1"/>
  <c r="D58" i="30"/>
  <c r="D59" i="30"/>
  <c r="D61" i="30" s="1"/>
  <c r="D62" i="30" s="1"/>
  <c r="HQ60" i="30"/>
  <c r="HQ59" i="30"/>
  <c r="HQ61" i="30" s="1"/>
  <c r="HQ62" i="30" s="1"/>
  <c r="HI58" i="30"/>
  <c r="HI60" i="30"/>
  <c r="HI59" i="30"/>
  <c r="HI61" i="30" s="1"/>
  <c r="HI62" i="30" s="1"/>
  <c r="HA58" i="30"/>
  <c r="HA60" i="30"/>
  <c r="HA59" i="30"/>
  <c r="HA61" i="30" s="1"/>
  <c r="HA62" i="30" s="1"/>
  <c r="GS58" i="30"/>
  <c r="GS60" i="30"/>
  <c r="GS59" i="30"/>
  <c r="GS61" i="30" s="1"/>
  <c r="GS62" i="30" s="1"/>
  <c r="GK58" i="30"/>
  <c r="GK60" i="30"/>
  <c r="GK59" i="30"/>
  <c r="GK61" i="30" s="1"/>
  <c r="GK62" i="30" s="1"/>
  <c r="GC58" i="30"/>
  <c r="GC60" i="30"/>
  <c r="GC59" i="30"/>
  <c r="GC61" i="30" s="1"/>
  <c r="GC62" i="30" s="1"/>
  <c r="FU58" i="30"/>
  <c r="FU60" i="30"/>
  <c r="FU59" i="30"/>
  <c r="FU61" i="30" s="1"/>
  <c r="FU62" i="30" s="1"/>
  <c r="FM58" i="30"/>
  <c r="FM60" i="30"/>
  <c r="FM59" i="30"/>
  <c r="FM61" i="30" s="1"/>
  <c r="FM62" i="30" s="1"/>
  <c r="FE58" i="30"/>
  <c r="FE60" i="30"/>
  <c r="FE59" i="30"/>
  <c r="FE61" i="30" s="1"/>
  <c r="FE62" i="30" s="1"/>
  <c r="EW58" i="30"/>
  <c r="EW60" i="30"/>
  <c r="EW59" i="30"/>
  <c r="EW61" i="30" s="1"/>
  <c r="EW62" i="30" s="1"/>
  <c r="EO58" i="30"/>
  <c r="EO60" i="30"/>
  <c r="EO59" i="30"/>
  <c r="EO61" i="30" s="1"/>
  <c r="EO62" i="30" s="1"/>
  <c r="EE58" i="30"/>
  <c r="EE60" i="30"/>
  <c r="EE59" i="30"/>
  <c r="EE61" i="30" s="1"/>
  <c r="EE62" i="30" s="1"/>
  <c r="DW58" i="30"/>
  <c r="DW60" i="30"/>
  <c r="DW59" i="30"/>
  <c r="DW61" i="30" s="1"/>
  <c r="DW62" i="30" s="1"/>
  <c r="DO58" i="30"/>
  <c r="DO60" i="30"/>
  <c r="DO59" i="30"/>
  <c r="DO61" i="30" s="1"/>
  <c r="DO62" i="30" s="1"/>
  <c r="DG58" i="30"/>
  <c r="DG60" i="30"/>
  <c r="DG59" i="30"/>
  <c r="DG61" i="30" s="1"/>
  <c r="DG62" i="30" s="1"/>
  <c r="CY58" i="30"/>
  <c r="CY60" i="30"/>
  <c r="CY59" i="30"/>
  <c r="CY61" i="30" s="1"/>
  <c r="CY62" i="30" s="1"/>
  <c r="CQ58" i="30"/>
  <c r="CQ60" i="30"/>
  <c r="CQ59" i="30"/>
  <c r="CQ61" i="30" s="1"/>
  <c r="CQ62" i="30" s="1"/>
  <c r="CI60" i="30"/>
  <c r="CI59" i="30"/>
  <c r="CI61" i="30" s="1"/>
  <c r="CI62" i="30" s="1"/>
  <c r="CA58" i="30"/>
  <c r="CA60" i="30"/>
  <c r="CA59" i="30"/>
  <c r="CA61" i="30" s="1"/>
  <c r="CA62" i="30" s="1"/>
  <c r="BS58" i="30"/>
  <c r="BS60" i="30"/>
  <c r="BS59" i="30"/>
  <c r="BS61" i="30" s="1"/>
  <c r="BS62" i="30" s="1"/>
  <c r="BK58" i="30"/>
  <c r="BK60" i="30"/>
  <c r="BK59" i="30"/>
  <c r="BK61" i="30" s="1"/>
  <c r="BK62" i="30" s="1"/>
  <c r="BC58" i="30"/>
  <c r="BC60" i="30"/>
  <c r="BC59" i="30"/>
  <c r="BC61" i="30" s="1"/>
  <c r="BC62" i="30" s="1"/>
  <c r="AU58" i="30"/>
  <c r="AU60" i="30"/>
  <c r="AU59" i="30"/>
  <c r="AU61" i="30" s="1"/>
  <c r="AU62" i="30" s="1"/>
  <c r="AM58" i="30"/>
  <c r="AM60" i="30"/>
  <c r="AM59" i="30"/>
  <c r="AM61" i="30" s="1"/>
  <c r="AM62" i="30" s="1"/>
  <c r="AE58" i="30"/>
  <c r="AE60" i="30"/>
  <c r="AE59" i="30"/>
  <c r="AE61" i="30" s="1"/>
  <c r="AE62" i="30" s="1"/>
  <c r="W58" i="30"/>
  <c r="W60" i="30"/>
  <c r="W59" i="30"/>
  <c r="W61" i="30" s="1"/>
  <c r="W62" i="30" s="1"/>
  <c r="O58" i="30"/>
  <c r="O59" i="30"/>
  <c r="O61" i="30" s="1"/>
  <c r="O62" i="30" s="1"/>
  <c r="GZ60" i="30"/>
  <c r="GZ59" i="30"/>
  <c r="GZ61" i="30" s="1"/>
  <c r="GZ62" i="30" s="1"/>
  <c r="FL58" i="30"/>
  <c r="FL60" i="30"/>
  <c r="FL59" i="30"/>
  <c r="FL61" i="30" s="1"/>
  <c r="FL62" i="30" s="1"/>
  <c r="DV58" i="30"/>
  <c r="DV60" i="30"/>
  <c r="DV59" i="30"/>
  <c r="DV61" i="30" s="1"/>
  <c r="DV62" i="30" s="1"/>
  <c r="CP58" i="30"/>
  <c r="CP60" i="30"/>
  <c r="CP59" i="30"/>
  <c r="CP61" i="30" s="1"/>
  <c r="CP62" i="30" s="1"/>
  <c r="BJ58" i="30"/>
  <c r="BJ60" i="30"/>
  <c r="BJ59" i="30"/>
  <c r="BJ61" i="30" s="1"/>
  <c r="BJ62" i="30" s="1"/>
  <c r="BB58" i="30"/>
  <c r="BB60" i="30"/>
  <c r="BB59" i="30"/>
  <c r="BB61" i="30" s="1"/>
  <c r="BB62" i="30" s="1"/>
  <c r="AT58" i="30"/>
  <c r="AT60" i="30"/>
  <c r="AT59" i="30"/>
  <c r="AT61" i="30" s="1"/>
  <c r="AT62" i="30" s="1"/>
  <c r="AL58" i="30"/>
  <c r="AL60" i="30"/>
  <c r="AL59" i="30"/>
  <c r="AL61" i="30" s="1"/>
  <c r="AL62" i="30" s="1"/>
  <c r="AD58" i="30"/>
  <c r="AD60" i="30"/>
  <c r="AD59" i="30"/>
  <c r="AD61" i="30" s="1"/>
  <c r="AD62" i="30" s="1"/>
  <c r="V58" i="30"/>
  <c r="V60" i="30"/>
  <c r="V59" i="30"/>
  <c r="V61" i="30" s="1"/>
  <c r="V62" i="30" s="1"/>
  <c r="N58" i="30"/>
  <c r="N59" i="30"/>
  <c r="N61" i="30" s="1"/>
  <c r="N62" i="30" s="1"/>
  <c r="FT58" i="30"/>
  <c r="FT60" i="30"/>
  <c r="FT59" i="30"/>
  <c r="FT61" i="30" s="1"/>
  <c r="FT62" i="30" s="1"/>
  <c r="CX58" i="30"/>
  <c r="CX60" i="30"/>
  <c r="CX59" i="30"/>
  <c r="CX61" i="30" s="1"/>
  <c r="CX62" i="30" s="1"/>
  <c r="FS58" i="30"/>
  <c r="FS60" i="30"/>
  <c r="FS59" i="30"/>
  <c r="FS61" i="30" s="1"/>
  <c r="FS62" i="30" s="1"/>
  <c r="DU58" i="30"/>
  <c r="DU60" i="30"/>
  <c r="DU59" i="30"/>
  <c r="DU61" i="30" s="1"/>
  <c r="DU62" i="30" s="1"/>
  <c r="DE58" i="30"/>
  <c r="DE60" i="30"/>
  <c r="DE59" i="30"/>
  <c r="DE61" i="30" s="1"/>
  <c r="DE62" i="30" s="1"/>
  <c r="CW58" i="30"/>
  <c r="CW60" i="30"/>
  <c r="CW59" i="30"/>
  <c r="CW61" i="30" s="1"/>
  <c r="CW62" i="30" s="1"/>
  <c r="BI58" i="30"/>
  <c r="BI60" i="30"/>
  <c r="BI59" i="30"/>
  <c r="BI61" i="30" s="1"/>
  <c r="BI62" i="30" s="1"/>
  <c r="AS58" i="30"/>
  <c r="AS60" i="30"/>
  <c r="AS59" i="30"/>
  <c r="AS61" i="30" s="1"/>
  <c r="AS62" i="30" s="1"/>
  <c r="AK58" i="30"/>
  <c r="AK60" i="30"/>
  <c r="AK59" i="30"/>
  <c r="AK61" i="30" s="1"/>
  <c r="AK62" i="30" s="1"/>
  <c r="AC58" i="30"/>
  <c r="AC60" i="30"/>
  <c r="AC59" i="30"/>
  <c r="AC61" i="30" s="1"/>
  <c r="AC62" i="30" s="1"/>
  <c r="U58" i="30"/>
  <c r="U60" i="30"/>
  <c r="U59" i="30"/>
  <c r="U61" i="30" s="1"/>
  <c r="U62" i="30" s="1"/>
  <c r="M58" i="30"/>
  <c r="M59" i="30"/>
  <c r="M61" i="30" s="1"/>
  <c r="M62" i="30" s="1"/>
  <c r="GR58" i="30"/>
  <c r="GR60" i="30"/>
  <c r="GR59" i="30"/>
  <c r="GR61" i="30" s="1"/>
  <c r="GR62" i="30" s="1"/>
  <c r="EN58" i="30"/>
  <c r="EN60" i="30"/>
  <c r="EN59" i="30"/>
  <c r="EN61" i="30" s="1"/>
  <c r="EN62" i="30" s="1"/>
  <c r="DF58" i="30"/>
  <c r="DF60" i="30"/>
  <c r="DF59" i="30"/>
  <c r="DF61" i="30" s="1"/>
  <c r="DF62" i="30" s="1"/>
  <c r="G58" i="30"/>
  <c r="G59" i="30"/>
  <c r="G61" i="30" s="1"/>
  <c r="G62" i="30" s="1"/>
  <c r="GQ58" i="30"/>
  <c r="GQ60" i="30"/>
  <c r="GQ59" i="30"/>
  <c r="GQ61" i="30" s="1"/>
  <c r="GQ62" i="30" s="1"/>
  <c r="FC58" i="30"/>
  <c r="FC60" i="30"/>
  <c r="FC59" i="30"/>
  <c r="FC61" i="30" s="1"/>
  <c r="FC62" i="30" s="1"/>
  <c r="DM58" i="30"/>
  <c r="DM60" i="30"/>
  <c r="DM59" i="30"/>
  <c r="DM61" i="30" s="1"/>
  <c r="DM62" i="30" s="1"/>
  <c r="BA60" i="30"/>
  <c r="BA59" i="30"/>
  <c r="BA61" i="30" s="1"/>
  <c r="BA62" i="30" s="1"/>
  <c r="HF58" i="30"/>
  <c r="HF60" i="30"/>
  <c r="HF59" i="30"/>
  <c r="HF61" i="30" s="1"/>
  <c r="HF62" i="30" s="1"/>
  <c r="FR60" i="30"/>
  <c r="FR59" i="30"/>
  <c r="FR61" i="30" s="1"/>
  <c r="FR62" i="30" s="1"/>
  <c r="EB58" i="30"/>
  <c r="EB60" i="30"/>
  <c r="EB59" i="30"/>
  <c r="EB61" i="30" s="1"/>
  <c r="EB62" i="30" s="1"/>
  <c r="CV58" i="30"/>
  <c r="CV60" i="30"/>
  <c r="CV59" i="30"/>
  <c r="CV61" i="30" s="1"/>
  <c r="CV62" i="30" s="1"/>
  <c r="BP58" i="30"/>
  <c r="BP60" i="30"/>
  <c r="BP59" i="30"/>
  <c r="BP61" i="30" s="1"/>
  <c r="BP62" i="30" s="1"/>
  <c r="AJ58" i="30"/>
  <c r="AJ60" i="30"/>
  <c r="AJ68" i="30" s="1"/>
  <c r="AK23" i="31" s="1"/>
  <c r="AJ59" i="30"/>
  <c r="AJ61" i="30" s="1"/>
  <c r="AJ62" i="30" s="1"/>
  <c r="HM58" i="30"/>
  <c r="HM60" i="30"/>
  <c r="HM59" i="30"/>
  <c r="HM61" i="30" s="1"/>
  <c r="HM62" i="30" s="1"/>
  <c r="FY58" i="30"/>
  <c r="FY60" i="30"/>
  <c r="FY59" i="30"/>
  <c r="FY61" i="30" s="1"/>
  <c r="FY62" i="30" s="1"/>
  <c r="ES58" i="30"/>
  <c r="ES60" i="30"/>
  <c r="ES59" i="30"/>
  <c r="ES61" i="30" s="1"/>
  <c r="ES62" i="30" s="1"/>
  <c r="EK58" i="30"/>
  <c r="EK60" i="30"/>
  <c r="EK59" i="30"/>
  <c r="EK61" i="30" s="1"/>
  <c r="EK62" i="30" s="1"/>
  <c r="DS58" i="30"/>
  <c r="DS60" i="30"/>
  <c r="DS59" i="30"/>
  <c r="DS61" i="30" s="1"/>
  <c r="DS62" i="30" s="1"/>
  <c r="DK58" i="30"/>
  <c r="DK60" i="30"/>
  <c r="DK59" i="30"/>
  <c r="DK61" i="30" s="1"/>
  <c r="DK62" i="30" s="1"/>
  <c r="CM58" i="30"/>
  <c r="CM60" i="30"/>
  <c r="CM59" i="30"/>
  <c r="CM61" i="30" s="1"/>
  <c r="CM62" i="30" s="1"/>
  <c r="CE58" i="30"/>
  <c r="CE60" i="30"/>
  <c r="CE59" i="30"/>
  <c r="CE61" i="30" s="1"/>
  <c r="CE62" i="30" s="1"/>
  <c r="BW58" i="30"/>
  <c r="BW60" i="30"/>
  <c r="BW59" i="30"/>
  <c r="BW61" i="30" s="1"/>
  <c r="BW62" i="30" s="1"/>
  <c r="BO58" i="30"/>
  <c r="BO60" i="30"/>
  <c r="BO59" i="30"/>
  <c r="BO61" i="30" s="1"/>
  <c r="BO62" i="30" s="1"/>
  <c r="BG58" i="30"/>
  <c r="BG60" i="30"/>
  <c r="BG59" i="30"/>
  <c r="BG61" i="30" s="1"/>
  <c r="BG62" i="30" s="1"/>
  <c r="AY58" i="30"/>
  <c r="AY60" i="30"/>
  <c r="AY59" i="30"/>
  <c r="AY61" i="30" s="1"/>
  <c r="AY62" i="30" s="1"/>
  <c r="AQ58" i="30"/>
  <c r="AQ60" i="30"/>
  <c r="AQ59" i="30"/>
  <c r="AQ61" i="30" s="1"/>
  <c r="AQ62" i="30" s="1"/>
  <c r="AI58" i="30"/>
  <c r="AI60" i="30"/>
  <c r="AI59" i="30"/>
  <c r="AI61" i="30" s="1"/>
  <c r="AI62" i="30" s="1"/>
  <c r="AA58" i="30"/>
  <c r="AA60" i="30"/>
  <c r="AA59" i="30"/>
  <c r="AA61" i="30" s="1"/>
  <c r="AA62" i="30" s="1"/>
  <c r="S58" i="30"/>
  <c r="S59" i="30"/>
  <c r="S61" i="30" s="1"/>
  <c r="S62" i="30" s="1"/>
  <c r="K58" i="30"/>
  <c r="K59" i="30"/>
  <c r="K61" i="30" s="1"/>
  <c r="K62" i="30" s="1"/>
  <c r="GB58" i="30"/>
  <c r="GB60" i="30"/>
  <c r="GB59" i="30"/>
  <c r="GB61" i="30" s="1"/>
  <c r="GB62" i="30" s="1"/>
  <c r="DN58" i="30"/>
  <c r="DN60" i="30"/>
  <c r="DN59" i="30"/>
  <c r="DN61" i="30" s="1"/>
  <c r="DN62" i="30" s="1"/>
  <c r="HO58" i="30"/>
  <c r="HO60" i="30"/>
  <c r="HO59" i="30"/>
  <c r="HO61" i="30" s="1"/>
  <c r="HO62" i="30" s="1"/>
  <c r="GA58" i="30"/>
  <c r="GA60" i="30"/>
  <c r="GA59" i="30"/>
  <c r="GA61" i="30" s="1"/>
  <c r="GA62" i="30" s="1"/>
  <c r="EC58" i="30"/>
  <c r="EC60" i="30"/>
  <c r="EC59" i="30"/>
  <c r="EC61" i="30" s="1"/>
  <c r="EC62" i="30" s="1"/>
  <c r="BY58" i="30"/>
  <c r="BY60" i="30"/>
  <c r="BY59" i="30"/>
  <c r="BY61" i="30" s="1"/>
  <c r="BY62" i="30" s="1"/>
  <c r="GP58" i="30"/>
  <c r="GP60" i="30"/>
  <c r="GP59" i="30"/>
  <c r="GP61" i="30" s="1"/>
  <c r="GP62" i="30" s="1"/>
  <c r="FB58" i="30"/>
  <c r="FB60" i="30"/>
  <c r="FB59" i="30"/>
  <c r="FB61" i="30" s="1"/>
  <c r="FB62" i="30" s="1"/>
  <c r="DD58" i="30"/>
  <c r="DD60" i="30"/>
  <c r="DD59" i="30"/>
  <c r="DD61" i="30" s="1"/>
  <c r="DD62" i="30" s="1"/>
  <c r="BH58" i="30"/>
  <c r="BH60" i="30"/>
  <c r="BH59" i="30"/>
  <c r="BH61" i="30" s="1"/>
  <c r="BH62" i="30" s="1"/>
  <c r="AB58" i="30"/>
  <c r="AB60" i="30"/>
  <c r="AB59" i="30"/>
  <c r="AB61" i="30" s="1"/>
  <c r="AB62" i="30" s="1"/>
  <c r="E58" i="30"/>
  <c r="E59" i="30"/>
  <c r="E61" i="30" s="1"/>
  <c r="E62" i="30" s="1"/>
  <c r="GO58" i="30"/>
  <c r="GO60" i="30"/>
  <c r="GO59" i="30"/>
  <c r="GO61" i="30" s="1"/>
  <c r="GO62" i="30" s="1"/>
  <c r="FI58" i="30"/>
  <c r="FI60" i="30"/>
  <c r="FI59" i="30"/>
  <c r="FI61" i="30" s="1"/>
  <c r="FI62" i="30" s="1"/>
  <c r="EA58" i="30"/>
  <c r="EA60" i="30"/>
  <c r="EA59" i="30"/>
  <c r="EA61" i="30" s="1"/>
  <c r="EA62" i="30" s="1"/>
  <c r="HL58" i="30"/>
  <c r="HL60" i="30"/>
  <c r="HL59" i="30"/>
  <c r="HL61" i="30" s="1"/>
  <c r="HL62" i="30" s="1"/>
  <c r="HD58" i="30"/>
  <c r="HD60" i="30"/>
  <c r="HD59" i="30"/>
  <c r="HD61" i="30" s="1"/>
  <c r="HD62" i="30" s="1"/>
  <c r="GV58" i="30"/>
  <c r="GV60" i="30"/>
  <c r="GV59" i="30"/>
  <c r="GV61" i="30" s="1"/>
  <c r="GV62" i="30" s="1"/>
  <c r="GN58" i="30"/>
  <c r="GN60" i="30"/>
  <c r="GN59" i="30"/>
  <c r="GN61" i="30" s="1"/>
  <c r="GN62" i="30" s="1"/>
  <c r="GF58" i="30"/>
  <c r="GF60" i="30"/>
  <c r="GF59" i="30"/>
  <c r="GF61" i="30" s="1"/>
  <c r="GF62" i="30" s="1"/>
  <c r="FX58" i="30"/>
  <c r="FX60" i="30"/>
  <c r="FX59" i="30"/>
  <c r="FX61" i="30" s="1"/>
  <c r="FX62" i="30" s="1"/>
  <c r="FP58" i="30"/>
  <c r="FP60" i="30"/>
  <c r="FP59" i="30"/>
  <c r="FP61" i="30" s="1"/>
  <c r="FP62" i="30" s="1"/>
  <c r="FH58" i="30"/>
  <c r="FH60" i="30"/>
  <c r="FH59" i="30"/>
  <c r="FH61" i="30" s="1"/>
  <c r="FH62" i="30" s="1"/>
  <c r="EZ58" i="30"/>
  <c r="EZ60" i="30"/>
  <c r="EZ59" i="30"/>
  <c r="EZ61" i="30" s="1"/>
  <c r="EZ62" i="30" s="1"/>
  <c r="ER58" i="30"/>
  <c r="ER60" i="30"/>
  <c r="ER59" i="30"/>
  <c r="ER61" i="30" s="1"/>
  <c r="ER62" i="30" s="1"/>
  <c r="EH60" i="30"/>
  <c r="EH59" i="30"/>
  <c r="EH61" i="30" s="1"/>
  <c r="EH62" i="30" s="1"/>
  <c r="DZ58" i="30"/>
  <c r="DZ60" i="30"/>
  <c r="DZ59" i="30"/>
  <c r="DZ61" i="30" s="1"/>
  <c r="DZ62" i="30" s="1"/>
  <c r="DR58" i="30"/>
  <c r="DR60" i="30"/>
  <c r="DR59" i="30"/>
  <c r="DR61" i="30" s="1"/>
  <c r="DR62" i="30" s="1"/>
  <c r="DJ58" i="30"/>
  <c r="DJ60" i="30"/>
  <c r="DJ59" i="30"/>
  <c r="DJ61" i="30" s="1"/>
  <c r="DJ62" i="30" s="1"/>
  <c r="DB58" i="30"/>
  <c r="DB60" i="30"/>
  <c r="DB59" i="30"/>
  <c r="DB61" i="30" s="1"/>
  <c r="DB62" i="30" s="1"/>
  <c r="CT58" i="30"/>
  <c r="CT60" i="30"/>
  <c r="CT59" i="30"/>
  <c r="CT61" i="30" s="1"/>
  <c r="CT62" i="30" s="1"/>
  <c r="CL58" i="30"/>
  <c r="CL60" i="30"/>
  <c r="CL59" i="30"/>
  <c r="CL61" i="30" s="1"/>
  <c r="CL62" i="30" s="1"/>
  <c r="CD58" i="30"/>
  <c r="CD60" i="30"/>
  <c r="CD59" i="30"/>
  <c r="CD61" i="30" s="1"/>
  <c r="CD62" i="30" s="1"/>
  <c r="BV58" i="30"/>
  <c r="BV60" i="30"/>
  <c r="BV59" i="30"/>
  <c r="BV61" i="30" s="1"/>
  <c r="BV62" i="30" s="1"/>
  <c r="BN58" i="30"/>
  <c r="BN60" i="30"/>
  <c r="BN59" i="30"/>
  <c r="BN61" i="30" s="1"/>
  <c r="BN62" i="30" s="1"/>
  <c r="BF58" i="30"/>
  <c r="BF60" i="30"/>
  <c r="BF59" i="30"/>
  <c r="BF61" i="30" s="1"/>
  <c r="BF62" i="30" s="1"/>
  <c r="AX58" i="30"/>
  <c r="AX60" i="30"/>
  <c r="AX59" i="30"/>
  <c r="AX61" i="30" s="1"/>
  <c r="AX62" i="30" s="1"/>
  <c r="AP58" i="30"/>
  <c r="AP60" i="30"/>
  <c r="AP59" i="30"/>
  <c r="AP61" i="30" s="1"/>
  <c r="AP62" i="30" s="1"/>
  <c r="AH58" i="30"/>
  <c r="AH60" i="30"/>
  <c r="AH59" i="30"/>
  <c r="AH61" i="30" s="1"/>
  <c r="AH62" i="30" s="1"/>
  <c r="Z58" i="30"/>
  <c r="Z60" i="30"/>
  <c r="Z59" i="30"/>
  <c r="Z61" i="30" s="1"/>
  <c r="Z62" i="30" s="1"/>
  <c r="R58" i="30"/>
  <c r="R59" i="30"/>
  <c r="R61" i="30" s="1"/>
  <c r="R62" i="30" s="1"/>
  <c r="J58" i="30"/>
  <c r="J59" i="30"/>
  <c r="J61" i="30" s="1"/>
  <c r="J62" i="30" s="1"/>
  <c r="HH58" i="30"/>
  <c r="HH60" i="30"/>
  <c r="HH59" i="30"/>
  <c r="HH61" i="30" s="1"/>
  <c r="HH62" i="30" s="1"/>
  <c r="EV58" i="30"/>
  <c r="EV60" i="30"/>
  <c r="EV59" i="30"/>
  <c r="EV61" i="30" s="1"/>
  <c r="EV62" i="30" s="1"/>
  <c r="BR60" i="30"/>
  <c r="BR59" i="30"/>
  <c r="BR61" i="30" s="1"/>
  <c r="BR62" i="30" s="1"/>
  <c r="GI60" i="30"/>
  <c r="GI59" i="30"/>
  <c r="GI61" i="30" s="1"/>
  <c r="GI62" i="30" s="1"/>
  <c r="GI68" i="30" s="1"/>
  <c r="EM58" i="30"/>
  <c r="EM60" i="30"/>
  <c r="EM59" i="30"/>
  <c r="EM61" i="30" s="1"/>
  <c r="EM62" i="30" s="1"/>
  <c r="CG58" i="30"/>
  <c r="CG60" i="30"/>
  <c r="CG59" i="30"/>
  <c r="CG61" i="30" s="1"/>
  <c r="CG62" i="30" s="1"/>
  <c r="HN58" i="30"/>
  <c r="HN60" i="30"/>
  <c r="HN59" i="30"/>
  <c r="HN61" i="30" s="1"/>
  <c r="HN62" i="30" s="1"/>
  <c r="FZ58" i="30"/>
  <c r="FZ60" i="30"/>
  <c r="FZ59" i="30"/>
  <c r="FZ61" i="30" s="1"/>
  <c r="FZ62" i="30" s="1"/>
  <c r="EL58" i="30"/>
  <c r="EL60" i="30"/>
  <c r="EL59" i="30"/>
  <c r="EL61" i="30" s="1"/>
  <c r="EL62" i="30" s="1"/>
  <c r="DT58" i="30"/>
  <c r="DT60" i="30"/>
  <c r="DT59" i="30"/>
  <c r="DT61" i="30" s="1"/>
  <c r="DT62" i="30" s="1"/>
  <c r="CF58" i="30"/>
  <c r="CF60" i="30"/>
  <c r="CF59" i="30"/>
  <c r="CF61" i="30" s="1"/>
  <c r="CF62" i="30" s="1"/>
  <c r="AZ58" i="30"/>
  <c r="AZ60" i="30"/>
  <c r="AZ59" i="30"/>
  <c r="AZ61" i="30" s="1"/>
  <c r="AZ62" i="30" s="1"/>
  <c r="T58" i="30"/>
  <c r="T60" i="30"/>
  <c r="T59" i="30"/>
  <c r="T61" i="30" s="1"/>
  <c r="T62" i="30" s="1"/>
  <c r="GW58" i="30"/>
  <c r="GW60" i="30"/>
  <c r="GW59" i="30"/>
  <c r="GW61" i="30" s="1"/>
  <c r="GW62" i="30" s="1"/>
  <c r="FQ58" i="30"/>
  <c r="FQ60" i="30"/>
  <c r="FQ59" i="30"/>
  <c r="FQ61" i="30" s="1"/>
  <c r="FQ62" i="30" s="1"/>
  <c r="CU58" i="30"/>
  <c r="CU60" i="30"/>
  <c r="CU59" i="30"/>
  <c r="CU61" i="30" s="1"/>
  <c r="CU62" i="30" s="1"/>
  <c r="HK58" i="30"/>
  <c r="HK60" i="30"/>
  <c r="HK59" i="30"/>
  <c r="HK61" i="30" s="1"/>
  <c r="HK62" i="30" s="1"/>
  <c r="HC58" i="30"/>
  <c r="HC60" i="30"/>
  <c r="HC59" i="30"/>
  <c r="HC61" i="30" s="1"/>
  <c r="HC62" i="30" s="1"/>
  <c r="GU58" i="30"/>
  <c r="GU60" i="30"/>
  <c r="GU59" i="30"/>
  <c r="GU61" i="30" s="1"/>
  <c r="GU62" i="30" s="1"/>
  <c r="GM58" i="30"/>
  <c r="GM60" i="30"/>
  <c r="GM59" i="30"/>
  <c r="GM61" i="30" s="1"/>
  <c r="GM62" i="30" s="1"/>
  <c r="GE58" i="30"/>
  <c r="GE60" i="30"/>
  <c r="GE59" i="30"/>
  <c r="GE61" i="30" s="1"/>
  <c r="GE62" i="30" s="1"/>
  <c r="FW58" i="30"/>
  <c r="FW60" i="30"/>
  <c r="FW59" i="30"/>
  <c r="FW61" i="30" s="1"/>
  <c r="FW62" i="30" s="1"/>
  <c r="FO58" i="30"/>
  <c r="FO60" i="30"/>
  <c r="FO59" i="30"/>
  <c r="FO61" i="30" s="1"/>
  <c r="FO62" i="30" s="1"/>
  <c r="FG58" i="30"/>
  <c r="FG60" i="30"/>
  <c r="FG59" i="30"/>
  <c r="FG61" i="30" s="1"/>
  <c r="FG62" i="30" s="1"/>
  <c r="EY58" i="30"/>
  <c r="EY60" i="30"/>
  <c r="EY59" i="30"/>
  <c r="EY61" i="30" s="1"/>
  <c r="EY62" i="30" s="1"/>
  <c r="EQ58" i="30"/>
  <c r="EQ60" i="30"/>
  <c r="EQ59" i="30"/>
  <c r="EQ61" i="30" s="1"/>
  <c r="EQ62" i="30" s="1"/>
  <c r="EG58" i="30"/>
  <c r="EG60" i="30"/>
  <c r="EG59" i="30"/>
  <c r="EG61" i="30" s="1"/>
  <c r="EG62" i="30" s="1"/>
  <c r="DY58" i="30"/>
  <c r="DY60" i="30"/>
  <c r="DY59" i="30"/>
  <c r="DY61" i="30" s="1"/>
  <c r="DY62" i="30" s="1"/>
  <c r="DQ60" i="30"/>
  <c r="DQ59" i="30"/>
  <c r="DQ61" i="30" s="1"/>
  <c r="DQ62" i="30" s="1"/>
  <c r="DI58" i="30"/>
  <c r="DI60" i="30"/>
  <c r="DI59" i="30"/>
  <c r="DI61" i="30" s="1"/>
  <c r="DI62" i="30" s="1"/>
  <c r="DA58" i="30"/>
  <c r="DA60" i="30"/>
  <c r="DA59" i="30"/>
  <c r="DA61" i="30" s="1"/>
  <c r="DA62" i="30" s="1"/>
  <c r="CS58" i="30"/>
  <c r="CS60" i="30"/>
  <c r="CS59" i="30"/>
  <c r="CS61" i="30" s="1"/>
  <c r="CS62" i="30" s="1"/>
  <c r="CK58" i="30"/>
  <c r="CK60" i="30"/>
  <c r="CK59" i="30"/>
  <c r="CK61" i="30" s="1"/>
  <c r="CK62" i="30" s="1"/>
  <c r="CC58" i="30"/>
  <c r="CC60" i="30"/>
  <c r="CC59" i="30"/>
  <c r="CC61" i="30" s="1"/>
  <c r="CC62" i="30" s="1"/>
  <c r="BU58" i="30"/>
  <c r="BU60" i="30"/>
  <c r="BU59" i="30"/>
  <c r="BU61" i="30" s="1"/>
  <c r="BU62" i="30" s="1"/>
  <c r="BM58" i="30"/>
  <c r="BM60" i="30"/>
  <c r="BM59" i="30"/>
  <c r="BM61" i="30" s="1"/>
  <c r="BM62" i="30" s="1"/>
  <c r="BE58" i="30"/>
  <c r="BE60" i="30"/>
  <c r="BE59" i="30"/>
  <c r="BE61" i="30" s="1"/>
  <c r="BE62" i="30" s="1"/>
  <c r="AW58" i="30"/>
  <c r="AW60" i="30"/>
  <c r="AW59" i="30"/>
  <c r="AW61" i="30" s="1"/>
  <c r="AW62" i="30" s="1"/>
  <c r="AO58" i="30"/>
  <c r="AO60" i="30"/>
  <c r="AO59" i="30"/>
  <c r="AO61" i="30" s="1"/>
  <c r="AO62" i="30" s="1"/>
  <c r="AG58" i="30"/>
  <c r="AG60" i="30"/>
  <c r="AG59" i="30"/>
  <c r="AG61" i="30" s="1"/>
  <c r="AG62" i="30" s="1"/>
  <c r="Y58" i="30"/>
  <c r="Y60" i="30"/>
  <c r="Y59" i="30"/>
  <c r="Y61" i="30" s="1"/>
  <c r="Y62" i="30" s="1"/>
  <c r="Q58" i="30"/>
  <c r="Q59" i="30"/>
  <c r="Q61" i="30" s="1"/>
  <c r="Q62" i="30" s="1"/>
  <c r="I58" i="30"/>
  <c r="I59" i="30"/>
  <c r="I61" i="30" s="1"/>
  <c r="I62" i="30" s="1"/>
  <c r="GJ58" i="30"/>
  <c r="GJ60" i="30"/>
  <c r="GJ59" i="30"/>
  <c r="GJ61" i="30" s="1"/>
  <c r="GJ62" i="30" s="1"/>
  <c r="ED58" i="30"/>
  <c r="ED60" i="30"/>
  <c r="ED59" i="30"/>
  <c r="ED61" i="30" s="1"/>
  <c r="ED62" i="30" s="1"/>
  <c r="BZ58" i="30"/>
  <c r="BZ60" i="30"/>
  <c r="BZ59" i="30"/>
  <c r="BZ61" i="30" s="1"/>
  <c r="BZ62" i="30" s="1"/>
  <c r="GY58" i="30"/>
  <c r="GY60" i="30"/>
  <c r="GY59" i="30"/>
  <c r="GY61" i="30" s="1"/>
  <c r="GY62" i="30" s="1"/>
  <c r="EU58" i="30"/>
  <c r="EU60" i="30"/>
  <c r="EU59" i="30"/>
  <c r="EU61" i="30" s="1"/>
  <c r="EU62" i="30" s="1"/>
  <c r="BQ58" i="30"/>
  <c r="BQ60" i="30"/>
  <c r="BQ59" i="30"/>
  <c r="BQ61" i="30" s="1"/>
  <c r="BQ62" i="30" s="1"/>
  <c r="GX58" i="30"/>
  <c r="GX60" i="30"/>
  <c r="GX59" i="30"/>
  <c r="GX61" i="30" s="1"/>
  <c r="GX62" i="30" s="1"/>
  <c r="FJ58" i="30"/>
  <c r="FJ60" i="30"/>
  <c r="FJ59" i="30"/>
  <c r="FJ61" i="30" s="1"/>
  <c r="FJ62" i="30" s="1"/>
  <c r="DL58" i="30"/>
  <c r="DL60" i="30"/>
  <c r="DL59" i="30"/>
  <c r="DL61" i="30" s="1"/>
  <c r="DL62" i="30" s="1"/>
  <c r="BX58" i="30"/>
  <c r="BX60" i="30"/>
  <c r="BX59" i="30"/>
  <c r="BX61" i="30" s="1"/>
  <c r="BX62" i="30" s="1"/>
  <c r="AR58" i="30"/>
  <c r="AR60" i="30"/>
  <c r="AR59" i="30"/>
  <c r="AR61" i="30" s="1"/>
  <c r="AR62" i="30" s="1"/>
  <c r="L58" i="30"/>
  <c r="L59" i="30"/>
  <c r="L61" i="30" s="1"/>
  <c r="L62" i="30" s="1"/>
  <c r="HE58" i="30"/>
  <c r="HE60" i="30"/>
  <c r="HE59" i="30"/>
  <c r="HE61" i="30" s="1"/>
  <c r="HE62" i="30" s="1"/>
  <c r="GG58" i="30"/>
  <c r="GG60" i="30"/>
  <c r="GG59" i="30"/>
  <c r="GG61" i="30" s="1"/>
  <c r="GG62" i="30" s="1"/>
  <c r="FA60" i="30"/>
  <c r="FA59" i="30"/>
  <c r="FA61" i="30" s="1"/>
  <c r="FA62" i="30" s="1"/>
  <c r="DC58" i="30"/>
  <c r="DC60" i="30"/>
  <c r="DC59" i="30"/>
  <c r="DC61" i="30" s="1"/>
  <c r="DC62" i="30" s="1"/>
  <c r="C58" i="30"/>
  <c r="C59" i="30"/>
  <c r="C61" i="30" s="1"/>
  <c r="C62" i="30" s="1"/>
  <c r="HJ58" i="30"/>
  <c r="HJ60" i="30"/>
  <c r="HJ59" i="30"/>
  <c r="HJ61" i="30" s="1"/>
  <c r="HJ62" i="30" s="1"/>
  <c r="HB58" i="30"/>
  <c r="HB60" i="30"/>
  <c r="HB59" i="30"/>
  <c r="HB61" i="30" s="1"/>
  <c r="HB62" i="30" s="1"/>
  <c r="GT58" i="30"/>
  <c r="GT60" i="30"/>
  <c r="GT59" i="30"/>
  <c r="GT61" i="30" s="1"/>
  <c r="GT62" i="30" s="1"/>
  <c r="GL58" i="30"/>
  <c r="GL60" i="30"/>
  <c r="GL59" i="30"/>
  <c r="GL61" i="30" s="1"/>
  <c r="GL62" i="30" s="1"/>
  <c r="GD58" i="30"/>
  <c r="GD60" i="30"/>
  <c r="GD59" i="30"/>
  <c r="GD61" i="30" s="1"/>
  <c r="GD62" i="30" s="1"/>
  <c r="FV58" i="30"/>
  <c r="FV60" i="30"/>
  <c r="FV59" i="30"/>
  <c r="FV61" i="30" s="1"/>
  <c r="FV62" i="30" s="1"/>
  <c r="FN58" i="30"/>
  <c r="FN60" i="30"/>
  <c r="FN59" i="30"/>
  <c r="FN61" i="30" s="1"/>
  <c r="FN62" i="30" s="1"/>
  <c r="FF58" i="30"/>
  <c r="FF60" i="30"/>
  <c r="FF59" i="30"/>
  <c r="FF61" i="30" s="1"/>
  <c r="FF62" i="30" s="1"/>
  <c r="EX58" i="30"/>
  <c r="EX60" i="30"/>
  <c r="EX59" i="30"/>
  <c r="EX61" i="30" s="1"/>
  <c r="EX62" i="30" s="1"/>
  <c r="EP58" i="30"/>
  <c r="EP60" i="30"/>
  <c r="EP59" i="30"/>
  <c r="EP61" i="30" s="1"/>
  <c r="EP62" i="30" s="1"/>
  <c r="EF58" i="30"/>
  <c r="EF60" i="30"/>
  <c r="EF59" i="30"/>
  <c r="EF61" i="30" s="1"/>
  <c r="EF62" i="30" s="1"/>
  <c r="DX58" i="30"/>
  <c r="DX60" i="30"/>
  <c r="DX59" i="30"/>
  <c r="DX61" i="30" s="1"/>
  <c r="DX62" i="30" s="1"/>
  <c r="DP58" i="30"/>
  <c r="DP60" i="30"/>
  <c r="DP59" i="30"/>
  <c r="DP61" i="30" s="1"/>
  <c r="DP62" i="30" s="1"/>
  <c r="DH58" i="30"/>
  <c r="DH60" i="30"/>
  <c r="DH59" i="30"/>
  <c r="DH61" i="30" s="1"/>
  <c r="DH62" i="30" s="1"/>
  <c r="CZ60" i="30"/>
  <c r="CZ59" i="30"/>
  <c r="CZ61" i="30" s="1"/>
  <c r="CZ62" i="30" s="1"/>
  <c r="CR58" i="30"/>
  <c r="CR60" i="30"/>
  <c r="CR59" i="30"/>
  <c r="CR61" i="30" s="1"/>
  <c r="CR62" i="30" s="1"/>
  <c r="CJ58" i="30"/>
  <c r="CJ60" i="30"/>
  <c r="CJ59" i="30"/>
  <c r="CJ61" i="30" s="1"/>
  <c r="CJ62" i="30" s="1"/>
  <c r="CB58" i="30"/>
  <c r="CB60" i="30"/>
  <c r="CB59" i="30"/>
  <c r="CB61" i="30" s="1"/>
  <c r="CB62" i="30" s="1"/>
  <c r="BT58" i="30"/>
  <c r="BT60" i="30"/>
  <c r="BT59" i="30"/>
  <c r="BT61" i="30" s="1"/>
  <c r="BT62" i="30" s="1"/>
  <c r="BL58" i="30"/>
  <c r="BL60" i="30"/>
  <c r="BL59" i="30"/>
  <c r="BL61" i="30" s="1"/>
  <c r="BL62" i="30" s="1"/>
  <c r="BD58" i="30"/>
  <c r="BD60" i="30"/>
  <c r="BD59" i="30"/>
  <c r="BD61" i="30" s="1"/>
  <c r="BD62" i="30" s="1"/>
  <c r="AV58" i="30"/>
  <c r="AV60" i="30"/>
  <c r="AV59" i="30"/>
  <c r="AV61" i="30" s="1"/>
  <c r="AV62" i="30" s="1"/>
  <c r="AN58" i="30"/>
  <c r="AN60" i="30"/>
  <c r="AN59" i="30"/>
  <c r="AN61" i="30" s="1"/>
  <c r="AN62" i="30" s="1"/>
  <c r="AF58" i="30"/>
  <c r="AF60" i="30"/>
  <c r="AF59" i="30"/>
  <c r="AF61" i="30" s="1"/>
  <c r="AF62" i="30" s="1"/>
  <c r="X58" i="30"/>
  <c r="X60" i="30"/>
  <c r="X59" i="30"/>
  <c r="X61" i="30" s="1"/>
  <c r="X62" i="30" s="1"/>
  <c r="P58" i="30"/>
  <c r="P59" i="30"/>
  <c r="P61" i="30" s="1"/>
  <c r="P62" i="30" s="1"/>
  <c r="H58" i="30"/>
  <c r="H59" i="30"/>
  <c r="H61" i="30" s="1"/>
  <c r="H62" i="30" s="1"/>
  <c r="FR68" i="30"/>
  <c r="FR58" i="30"/>
  <c r="EH58" i="30"/>
  <c r="EH68" i="30" s="1"/>
  <c r="DQ58" i="30"/>
  <c r="BA58" i="30"/>
  <c r="BA68" i="30" s="1"/>
  <c r="FA58" i="30"/>
  <c r="CZ58" i="30"/>
  <c r="GI58" i="30"/>
  <c r="HQ58" i="30"/>
  <c r="CI58" i="30"/>
  <c r="GZ58" i="30"/>
  <c r="BR58" i="30"/>
  <c r="AK18" i="31"/>
  <c r="CM18" i="31"/>
  <c r="DE18" i="31"/>
  <c r="AK17" i="31"/>
  <c r="CM17" i="31"/>
  <c r="DE17" i="31"/>
  <c r="AK20" i="31"/>
  <c r="CM20" i="31"/>
  <c r="DE20" i="31"/>
  <c r="S20" i="31"/>
  <c r="S17" i="31"/>
  <c r="CI68" i="30" l="1"/>
  <c r="CM23" i="31" s="1"/>
  <c r="EO23" i="31"/>
  <c r="DQ68" i="30"/>
  <c r="DW23" i="31" s="1"/>
  <c r="L64" i="30"/>
  <c r="R64" i="30"/>
  <c r="K64" i="30"/>
  <c r="M64" i="30"/>
  <c r="D64" i="30"/>
  <c r="C68" i="30"/>
  <c r="C64" i="30"/>
  <c r="S68" i="30"/>
  <c r="S23" i="31" s="1"/>
  <c r="S64" i="30"/>
  <c r="N64" i="30"/>
  <c r="F64" i="30"/>
  <c r="H64" i="30"/>
  <c r="Q64" i="30"/>
  <c r="I64" i="30"/>
  <c r="O64" i="30"/>
  <c r="E64" i="30"/>
  <c r="G64" i="30"/>
  <c r="P64" i="30"/>
  <c r="J64" i="30"/>
  <c r="GZ68" i="30"/>
  <c r="FA68" i="30"/>
  <c r="HQ68" i="30"/>
  <c r="CZ68" i="30"/>
  <c r="DE23" i="31" s="1"/>
  <c r="BR68" i="30"/>
  <c r="HN13" i="30"/>
  <c r="HF13" i="30"/>
  <c r="GX13" i="30"/>
  <c r="GP13" i="30"/>
  <c r="GH13" i="30"/>
  <c r="FZ13" i="30"/>
  <c r="FR13" i="30"/>
  <c r="FJ13" i="30"/>
  <c r="FB13" i="30"/>
  <c r="ET13" i="30"/>
  <c r="EL13" i="30"/>
  <c r="EB13" i="30"/>
  <c r="DT13" i="30"/>
  <c r="DL13" i="30"/>
  <c r="DD13" i="30"/>
  <c r="CV13" i="30"/>
  <c r="CN13" i="30"/>
  <c r="CF13" i="30"/>
  <c r="BX13" i="30"/>
  <c r="BP13" i="30"/>
  <c r="BH13" i="30"/>
  <c r="BU13" i="30"/>
  <c r="BM13" i="30"/>
  <c r="HK13" i="30"/>
  <c r="HC13" i="30"/>
  <c r="FW13" i="30"/>
  <c r="EY13" i="30"/>
  <c r="DI13" i="30"/>
  <c r="BE13" i="30"/>
  <c r="AG13" i="30"/>
  <c r="FT13" i="30"/>
  <c r="FL13" i="30"/>
  <c r="DF13" i="30"/>
  <c r="CX13" i="30"/>
  <c r="BB13" i="30"/>
  <c r="AT13" i="30"/>
  <c r="HO13" i="30"/>
  <c r="HG13" i="30"/>
  <c r="GY13" i="30"/>
  <c r="GQ13" i="30"/>
  <c r="GI13" i="30"/>
  <c r="GA13" i="30"/>
  <c r="FS13" i="30"/>
  <c r="FK13" i="30"/>
  <c r="FC13" i="30"/>
  <c r="EU13" i="30"/>
  <c r="EM13" i="30"/>
  <c r="EC13" i="30"/>
  <c r="DU13" i="30"/>
  <c r="DM13" i="30"/>
  <c r="DE13" i="30"/>
  <c r="CW13" i="30"/>
  <c r="CO13" i="30"/>
  <c r="CG13" i="30"/>
  <c r="BY13" i="30"/>
  <c r="BQ13" i="30"/>
  <c r="BI13" i="30"/>
  <c r="BA13" i="30"/>
  <c r="AS13" i="30"/>
  <c r="AK13" i="30"/>
  <c r="AC13" i="30"/>
  <c r="U13" i="30"/>
  <c r="HQ13" i="30"/>
  <c r="AZ13" i="30"/>
  <c r="AR13" i="30"/>
  <c r="AB13" i="30"/>
  <c r="T13" i="30"/>
  <c r="EQ13" i="30"/>
  <c r="HP13" i="30"/>
  <c r="GZ13" i="30"/>
  <c r="GR13" i="30"/>
  <c r="FD13" i="30"/>
  <c r="EN13" i="30"/>
  <c r="ED13" i="30"/>
  <c r="CP13" i="30"/>
  <c r="BJ13" i="30"/>
  <c r="AL13" i="30"/>
  <c r="HL13" i="30"/>
  <c r="HD13" i="30"/>
  <c r="GV13" i="30"/>
  <c r="GN13" i="30"/>
  <c r="GF13" i="30"/>
  <c r="FX13" i="30"/>
  <c r="FP13" i="30"/>
  <c r="FH13" i="30"/>
  <c r="EZ13" i="30"/>
  <c r="ER13" i="30"/>
  <c r="EH13" i="30"/>
  <c r="EO19" i="31" s="1"/>
  <c r="EO22" i="31" s="1"/>
  <c r="DZ13" i="30"/>
  <c r="DR13" i="30"/>
  <c r="DJ13" i="30"/>
  <c r="DB13" i="30"/>
  <c r="CT13" i="30"/>
  <c r="CL13" i="30"/>
  <c r="CD13" i="30"/>
  <c r="BV13" i="30"/>
  <c r="BN13" i="30"/>
  <c r="BF13" i="30"/>
  <c r="AX13" i="30"/>
  <c r="AP13" i="30"/>
  <c r="AH13" i="30"/>
  <c r="GU13" i="30"/>
  <c r="GM13" i="30"/>
  <c r="GE13" i="30"/>
  <c r="FO13" i="30"/>
  <c r="FG13" i="30"/>
  <c r="EG13" i="30"/>
  <c r="DY13" i="30"/>
  <c r="DQ13" i="30"/>
  <c r="DW19" i="31" s="1"/>
  <c r="DA13" i="30"/>
  <c r="CS13" i="30"/>
  <c r="CK13" i="30"/>
  <c r="CC13" i="30"/>
  <c r="AW13" i="30"/>
  <c r="AO13" i="30"/>
  <c r="Y13" i="30"/>
  <c r="AJ13" i="30"/>
  <c r="AK19" i="31" s="1"/>
  <c r="AK22" i="31" s="1"/>
  <c r="HJ13" i="30"/>
  <c r="HB13" i="30"/>
  <c r="GT13" i="30"/>
  <c r="GL13" i="30"/>
  <c r="GD13" i="30"/>
  <c r="FV13" i="30"/>
  <c r="FN13" i="30"/>
  <c r="FF13" i="30"/>
  <c r="EX13" i="30"/>
  <c r="EP13" i="30"/>
  <c r="EF13" i="30"/>
  <c r="DX13" i="30"/>
  <c r="DP13" i="30"/>
  <c r="DH13" i="30"/>
  <c r="CZ13" i="30"/>
  <c r="DE19" i="31" s="1"/>
  <c r="CR13" i="30"/>
  <c r="CJ13" i="30"/>
  <c r="CB13" i="30"/>
  <c r="BT13" i="30"/>
  <c r="BL13" i="30"/>
  <c r="BD13" i="30"/>
  <c r="AN13" i="30"/>
  <c r="AF13" i="30"/>
  <c r="X13" i="30"/>
  <c r="HH13" i="30"/>
  <c r="GJ13" i="30"/>
  <c r="GB13" i="30"/>
  <c r="EV13" i="30"/>
  <c r="DV13" i="30"/>
  <c r="DN13" i="30"/>
  <c r="CH13" i="30"/>
  <c r="BZ13" i="30"/>
  <c r="BR13" i="30"/>
  <c r="AD13" i="30"/>
  <c r="V13" i="30"/>
  <c r="HM13" i="30"/>
  <c r="HE13" i="30"/>
  <c r="GW13" i="30"/>
  <c r="GO13" i="30"/>
  <c r="GG13" i="30"/>
  <c r="FY13" i="30"/>
  <c r="FQ13" i="30"/>
  <c r="FI13" i="30"/>
  <c r="FA13" i="30"/>
  <c r="ES13" i="30"/>
  <c r="EK13" i="30"/>
  <c r="EA13" i="30"/>
  <c r="DS13" i="30"/>
  <c r="DK13" i="30"/>
  <c r="DC13" i="30"/>
  <c r="CU13" i="30"/>
  <c r="CM13" i="30"/>
  <c r="CE13" i="30"/>
  <c r="BW13" i="30"/>
  <c r="BO13" i="30"/>
  <c r="BG13" i="30"/>
  <c r="AY13" i="30"/>
  <c r="AQ13" i="30"/>
  <c r="AI13" i="30"/>
  <c r="AA13" i="30"/>
  <c r="Z13" i="30"/>
  <c r="AV13" i="30"/>
  <c r="HI13" i="30"/>
  <c r="HA13" i="30"/>
  <c r="GS13" i="30"/>
  <c r="GK13" i="30"/>
  <c r="GC13" i="30"/>
  <c r="FU13" i="30"/>
  <c r="FM13" i="30"/>
  <c r="FE13" i="30"/>
  <c r="EW13" i="30"/>
  <c r="EO13" i="30"/>
  <c r="EE13" i="30"/>
  <c r="DW13" i="30"/>
  <c r="DO13" i="30"/>
  <c r="DG13" i="30"/>
  <c r="CY13" i="30"/>
  <c r="CQ13" i="30"/>
  <c r="CI13" i="30"/>
  <c r="CM19" i="31" s="1"/>
  <c r="CA13" i="30"/>
  <c r="BS13" i="30"/>
  <c r="BK13" i="30"/>
  <c r="BC13" i="30"/>
  <c r="AU13" i="30"/>
  <c r="AM13" i="30"/>
  <c r="AE13" i="30"/>
  <c r="W13" i="30"/>
  <c r="B55" i="20" l="1"/>
  <c r="S46" i="31" l="1"/>
  <c r="S36" i="31"/>
  <c r="D197" i="34" l="1"/>
  <c r="C197" i="34"/>
  <c r="E197" i="34"/>
  <c r="BD36" i="31" l="1"/>
  <c r="FJ36" i="31"/>
  <c r="FJ37" i="31" s="1"/>
  <c r="FI37" i="31"/>
  <c r="H87" i="29" l="1"/>
  <c r="C17" i="31"/>
  <c r="D17" i="31"/>
  <c r="E17" i="31"/>
  <c r="F17" i="31"/>
  <c r="G17" i="31"/>
  <c r="H17" i="31"/>
  <c r="I17" i="31"/>
  <c r="J17" i="31"/>
  <c r="K17" i="31"/>
  <c r="L17" i="31"/>
  <c r="M17" i="31"/>
  <c r="N17" i="31"/>
  <c r="O17" i="31"/>
  <c r="P17" i="31"/>
  <c r="Q17" i="31"/>
  <c r="R17" i="31"/>
  <c r="U17" i="31"/>
  <c r="V17" i="31"/>
  <c r="W17" i="31"/>
  <c r="X17" i="31"/>
  <c r="Y17" i="31"/>
  <c r="Z17" i="31"/>
  <c r="AA17" i="31"/>
  <c r="AB17" i="31"/>
  <c r="AC17" i="31"/>
  <c r="AD17" i="31"/>
  <c r="AE17" i="31"/>
  <c r="AF17" i="31"/>
  <c r="AG17" i="31"/>
  <c r="AH17" i="31"/>
  <c r="AI17" i="31"/>
  <c r="AJ17" i="31"/>
  <c r="AM17" i="31"/>
  <c r="AN17" i="31"/>
  <c r="AO17" i="31"/>
  <c r="AP17" i="31"/>
  <c r="AQ17" i="31"/>
  <c r="AR17" i="31"/>
  <c r="AS17" i="31"/>
  <c r="AT17" i="31"/>
  <c r="AU17" i="31"/>
  <c r="AV17" i="31"/>
  <c r="AW17" i="31"/>
  <c r="AX17" i="31"/>
  <c r="AY17" i="31"/>
  <c r="AZ17" i="31"/>
  <c r="BA17" i="31"/>
  <c r="BB17" i="31"/>
  <c r="BE17" i="31"/>
  <c r="BF17" i="31"/>
  <c r="BG17" i="31"/>
  <c r="BH17" i="31"/>
  <c r="BI17" i="31"/>
  <c r="BJ17" i="31"/>
  <c r="BK17" i="31"/>
  <c r="BL17" i="31"/>
  <c r="BM17" i="31"/>
  <c r="BN17" i="31"/>
  <c r="BO17" i="31"/>
  <c r="BP17" i="31"/>
  <c r="BQ17" i="31"/>
  <c r="BR17" i="31"/>
  <c r="BS17" i="31"/>
  <c r="BT17" i="31"/>
  <c r="BW17" i="31"/>
  <c r="BX17" i="31"/>
  <c r="BY17" i="31"/>
  <c r="BZ17" i="31"/>
  <c r="CA17" i="31"/>
  <c r="CB17" i="31"/>
  <c r="CC17" i="31"/>
  <c r="CD17" i="31"/>
  <c r="CE17" i="31"/>
  <c r="CF17" i="31"/>
  <c r="CG17" i="31"/>
  <c r="CH17" i="31"/>
  <c r="CI17" i="31"/>
  <c r="CJ17" i="31"/>
  <c r="CK17" i="31"/>
  <c r="CL17" i="31"/>
  <c r="CO17" i="31"/>
  <c r="CP17" i="31"/>
  <c r="CQ17" i="31"/>
  <c r="CR17" i="31"/>
  <c r="CS17" i="31"/>
  <c r="CT17" i="31"/>
  <c r="CU17" i="31"/>
  <c r="CV17" i="31"/>
  <c r="CW17" i="31"/>
  <c r="CX17" i="31"/>
  <c r="CY17" i="31"/>
  <c r="CZ17" i="31"/>
  <c r="DA17" i="31"/>
  <c r="DB17" i="31"/>
  <c r="DC17" i="31"/>
  <c r="DD17" i="31"/>
  <c r="DG17" i="31"/>
  <c r="DH17" i="31"/>
  <c r="DI17" i="31"/>
  <c r="DJ17" i="31"/>
  <c r="DK17" i="31"/>
  <c r="DL17" i="31"/>
  <c r="DM17" i="31"/>
  <c r="DN17" i="31"/>
  <c r="DO17" i="31"/>
  <c r="DP17" i="31"/>
  <c r="DQ17" i="31"/>
  <c r="DR17" i="31"/>
  <c r="DS17" i="31"/>
  <c r="DT17" i="31"/>
  <c r="DU17" i="31"/>
  <c r="DV17" i="31"/>
  <c r="DY17" i="31"/>
  <c r="DZ17" i="31"/>
  <c r="EA17" i="31"/>
  <c r="EB17" i="31"/>
  <c r="EC17" i="31"/>
  <c r="ED17" i="31"/>
  <c r="EE17" i="31"/>
  <c r="EF17" i="31"/>
  <c r="EG17" i="31"/>
  <c r="EH17" i="31"/>
  <c r="EI17" i="31"/>
  <c r="EJ17" i="31"/>
  <c r="EK17" i="31"/>
  <c r="EL17" i="31"/>
  <c r="EM17" i="31"/>
  <c r="EN17" i="31"/>
  <c r="ES17" i="31"/>
  <c r="ET17" i="31"/>
  <c r="EU17" i="31"/>
  <c r="EV17" i="31"/>
  <c r="EW17" i="31"/>
  <c r="EX17" i="31"/>
  <c r="EY17" i="31"/>
  <c r="EZ17" i="31"/>
  <c r="FA17" i="31"/>
  <c r="FB17" i="31"/>
  <c r="FC17" i="31"/>
  <c r="FD17" i="31"/>
  <c r="FE17" i="31"/>
  <c r="FF17" i="31"/>
  <c r="FG17" i="31"/>
  <c r="FH17" i="31"/>
  <c r="FK17" i="31"/>
  <c r="FL17" i="31"/>
  <c r="FM17" i="31"/>
  <c r="FN17" i="31"/>
  <c r="FO17" i="31"/>
  <c r="FP17" i="31"/>
  <c r="FQ17" i="31"/>
  <c r="FR17" i="31"/>
  <c r="FS17" i="31"/>
  <c r="FT17" i="31"/>
  <c r="FU17" i="31"/>
  <c r="FV17" i="31"/>
  <c r="FW17" i="31"/>
  <c r="FX17" i="31"/>
  <c r="FY17" i="31"/>
  <c r="FZ17" i="31"/>
  <c r="GC17" i="31"/>
  <c r="GD17" i="31"/>
  <c r="GE17" i="31"/>
  <c r="GF17" i="31"/>
  <c r="GG17" i="31"/>
  <c r="GH17" i="31"/>
  <c r="GI17" i="31"/>
  <c r="GJ17" i="31"/>
  <c r="GK17" i="31"/>
  <c r="GL17" i="31"/>
  <c r="GM17" i="31"/>
  <c r="GN17" i="31"/>
  <c r="GO17" i="31"/>
  <c r="GP17" i="31"/>
  <c r="GQ17" i="31"/>
  <c r="GR17" i="31"/>
  <c r="GU17" i="31"/>
  <c r="GV17" i="31"/>
  <c r="GW17" i="31"/>
  <c r="GX17" i="31"/>
  <c r="GY17" i="31"/>
  <c r="GZ17" i="31"/>
  <c r="HA17" i="31"/>
  <c r="HB17" i="31"/>
  <c r="HC17" i="31"/>
  <c r="HD17" i="31"/>
  <c r="HE17" i="31"/>
  <c r="HF17" i="31"/>
  <c r="HG17" i="31"/>
  <c r="HH17" i="31"/>
  <c r="HI17" i="31"/>
  <c r="HJ17" i="31"/>
  <c r="HM17" i="31"/>
  <c r="HN17" i="31"/>
  <c r="HO17" i="31"/>
  <c r="HP17" i="31"/>
  <c r="HQ17" i="31"/>
  <c r="HR17" i="31"/>
  <c r="HS17" i="31"/>
  <c r="HT17" i="31"/>
  <c r="HU17" i="31"/>
  <c r="HV17" i="31"/>
  <c r="HW17" i="31"/>
  <c r="HX17" i="31"/>
  <c r="HY17" i="31"/>
  <c r="HZ17" i="31"/>
  <c r="IA17" i="31"/>
  <c r="IB17" i="31"/>
  <c r="O20" i="31"/>
  <c r="B9" i="20"/>
  <c r="B18" i="20" s="1"/>
  <c r="ID35" i="31"/>
  <c r="GT35" i="31"/>
  <c r="U18" i="31"/>
  <c r="V18" i="31"/>
  <c r="W18" i="31"/>
  <c r="X18" i="31"/>
  <c r="Y18" i="31"/>
  <c r="Z18" i="31"/>
  <c r="AA18" i="31"/>
  <c r="AB18" i="31"/>
  <c r="AC18" i="31"/>
  <c r="AD18" i="31"/>
  <c r="AE18" i="31"/>
  <c r="AF18" i="31"/>
  <c r="AG18" i="31"/>
  <c r="AH18" i="31"/>
  <c r="AI18" i="31"/>
  <c r="AJ18" i="31"/>
  <c r="AM18" i="31"/>
  <c r="AN18" i="31"/>
  <c r="AO18" i="31"/>
  <c r="AP18" i="31"/>
  <c r="AQ18" i="31"/>
  <c r="AR18" i="31"/>
  <c r="AS18" i="31"/>
  <c r="AT18" i="31"/>
  <c r="AU18" i="31"/>
  <c r="AV18" i="31"/>
  <c r="AW18" i="31"/>
  <c r="AX18" i="31"/>
  <c r="AY18" i="31"/>
  <c r="AZ18" i="31"/>
  <c r="BA18" i="31"/>
  <c r="BB18" i="31"/>
  <c r="BE18" i="31"/>
  <c r="BF18" i="31"/>
  <c r="BG18" i="31"/>
  <c r="BH18" i="31"/>
  <c r="BI18" i="31"/>
  <c r="BJ18" i="31"/>
  <c r="BK18" i="31"/>
  <c r="BL18" i="31"/>
  <c r="BM18" i="31"/>
  <c r="BN18" i="31"/>
  <c r="BO18" i="31"/>
  <c r="BP18" i="31"/>
  <c r="BQ18" i="31"/>
  <c r="BR18" i="31"/>
  <c r="BS18" i="31"/>
  <c r="BT18" i="31"/>
  <c r="BW18" i="31"/>
  <c r="BX18" i="31"/>
  <c r="BY18" i="31"/>
  <c r="BZ18" i="31"/>
  <c r="CA18" i="31"/>
  <c r="CB18" i="31"/>
  <c r="CC18" i="31"/>
  <c r="CD18" i="31"/>
  <c r="CE18" i="31"/>
  <c r="CF18" i="31"/>
  <c r="CG18" i="31"/>
  <c r="CH18" i="31"/>
  <c r="CI18" i="31"/>
  <c r="CJ18" i="31"/>
  <c r="CK18" i="31"/>
  <c r="CL18" i="31"/>
  <c r="CO18" i="31"/>
  <c r="CP18" i="31"/>
  <c r="CQ18" i="31"/>
  <c r="CR18" i="31"/>
  <c r="CS18" i="31"/>
  <c r="CT18" i="31"/>
  <c r="CU18" i="31"/>
  <c r="CV18" i="31"/>
  <c r="CW18" i="31"/>
  <c r="CX18" i="31"/>
  <c r="CY18" i="31"/>
  <c r="CZ18" i="31"/>
  <c r="DA18" i="31"/>
  <c r="DB18" i="31"/>
  <c r="DC18" i="31"/>
  <c r="DD18" i="31"/>
  <c r="DG18" i="31"/>
  <c r="DH18" i="31"/>
  <c r="DI18" i="31"/>
  <c r="DJ18" i="31"/>
  <c r="DK18" i="31"/>
  <c r="DL18" i="31"/>
  <c r="DM18" i="31"/>
  <c r="DN18" i="31"/>
  <c r="DO18" i="31"/>
  <c r="DP18" i="31"/>
  <c r="DQ18" i="31"/>
  <c r="DR18" i="31"/>
  <c r="DS18" i="31"/>
  <c r="DT18" i="31"/>
  <c r="DU18" i="31"/>
  <c r="DV18" i="31"/>
  <c r="DY18" i="31"/>
  <c r="DZ18" i="31"/>
  <c r="EA18" i="31"/>
  <c r="EB18" i="31"/>
  <c r="EC18" i="31"/>
  <c r="ED18" i="31"/>
  <c r="EE18" i="31"/>
  <c r="EF18" i="31"/>
  <c r="EG18" i="31"/>
  <c r="EH18" i="31"/>
  <c r="EI18" i="31"/>
  <c r="EJ18" i="31"/>
  <c r="EK18" i="31"/>
  <c r="EL18" i="31"/>
  <c r="EM18" i="31"/>
  <c r="EN18" i="31"/>
  <c r="ES18" i="31"/>
  <c r="ET18" i="31"/>
  <c r="EU18" i="31"/>
  <c r="EV18" i="31"/>
  <c r="EW18" i="31"/>
  <c r="EX18" i="31"/>
  <c r="EY18" i="31"/>
  <c r="EZ18" i="31"/>
  <c r="FA18" i="31"/>
  <c r="FB18" i="31"/>
  <c r="FC18" i="31"/>
  <c r="FD18" i="31"/>
  <c r="FE18" i="31"/>
  <c r="FF18" i="31"/>
  <c r="FG18" i="31"/>
  <c r="FH18" i="31"/>
  <c r="FK18" i="31"/>
  <c r="FL18" i="31"/>
  <c r="FM18" i="31"/>
  <c r="FN18" i="31"/>
  <c r="FO18" i="31"/>
  <c r="FP18" i="31"/>
  <c r="FQ18" i="31"/>
  <c r="FR18" i="31"/>
  <c r="FS18" i="31"/>
  <c r="FT18" i="31"/>
  <c r="FU18" i="31"/>
  <c r="FV18" i="31"/>
  <c r="FW18" i="31"/>
  <c r="FX18" i="31"/>
  <c r="FY18" i="31"/>
  <c r="FZ18" i="31"/>
  <c r="GC18" i="31"/>
  <c r="GD18" i="31"/>
  <c r="GE18" i="31"/>
  <c r="GF18" i="31"/>
  <c r="GG18" i="31"/>
  <c r="GH18" i="31"/>
  <c r="GI18" i="31"/>
  <c r="GJ18" i="31"/>
  <c r="GK18" i="31"/>
  <c r="GL18" i="31"/>
  <c r="GM18" i="31"/>
  <c r="GN18" i="31"/>
  <c r="GO18" i="31"/>
  <c r="GP18" i="31"/>
  <c r="GQ18" i="31"/>
  <c r="GR18" i="31"/>
  <c r="GU18" i="31"/>
  <c r="GV18" i="31"/>
  <c r="GW18" i="31"/>
  <c r="GX18" i="31"/>
  <c r="GY18" i="31"/>
  <c r="GZ18" i="31"/>
  <c r="HA18" i="31"/>
  <c r="HB18" i="31"/>
  <c r="HC18" i="31"/>
  <c r="HD18" i="31"/>
  <c r="HE18" i="31"/>
  <c r="HF18" i="31"/>
  <c r="HG18" i="31"/>
  <c r="HH18" i="31"/>
  <c r="HI18" i="31"/>
  <c r="HJ18" i="31"/>
  <c r="HM18" i="31"/>
  <c r="HN18" i="31"/>
  <c r="HO18" i="31"/>
  <c r="HP18" i="31"/>
  <c r="HQ18" i="31"/>
  <c r="HR18" i="31"/>
  <c r="HS18" i="31"/>
  <c r="HT18" i="31"/>
  <c r="HU18" i="31"/>
  <c r="HV18" i="31"/>
  <c r="HW18" i="31"/>
  <c r="HX18" i="31"/>
  <c r="HY18" i="31"/>
  <c r="HZ18" i="31"/>
  <c r="IA18" i="31"/>
  <c r="IB18" i="31"/>
  <c r="C20" i="31"/>
  <c r="C21" i="31" s="1"/>
  <c r="D20" i="31"/>
  <c r="E20" i="31"/>
  <c r="F20" i="31"/>
  <c r="G20" i="31"/>
  <c r="H20" i="31"/>
  <c r="I20" i="31"/>
  <c r="J20" i="31"/>
  <c r="K20" i="31"/>
  <c r="L20" i="31"/>
  <c r="M20" i="31"/>
  <c r="N20" i="31"/>
  <c r="P20" i="31"/>
  <c r="Q20" i="31"/>
  <c r="R20" i="31"/>
  <c r="U20" i="31"/>
  <c r="U21" i="31" s="1"/>
  <c r="V20" i="31"/>
  <c r="W20" i="31"/>
  <c r="X20" i="31"/>
  <c r="Y20" i="31"/>
  <c r="Z20" i="31"/>
  <c r="AA20" i="31"/>
  <c r="AB20" i="31"/>
  <c r="AC20" i="31"/>
  <c r="AD20" i="31"/>
  <c r="AE20" i="31"/>
  <c r="AF20" i="31"/>
  <c r="AG20" i="31"/>
  <c r="AH20" i="31"/>
  <c r="AI20" i="31"/>
  <c r="AJ20" i="31"/>
  <c r="AM20" i="31"/>
  <c r="AM21" i="31" s="1"/>
  <c r="AN20" i="31"/>
  <c r="AO20" i="31"/>
  <c r="AP20" i="31"/>
  <c r="AQ20" i="31"/>
  <c r="AR20" i="31"/>
  <c r="AS20" i="31"/>
  <c r="AT20" i="31"/>
  <c r="AU20" i="31"/>
  <c r="AV20" i="31"/>
  <c r="AW20" i="31"/>
  <c r="AX20" i="31"/>
  <c r="AY20" i="31"/>
  <c r="AZ20" i="31"/>
  <c r="BA20" i="31"/>
  <c r="BB20" i="31"/>
  <c r="BE20" i="31"/>
  <c r="BE21" i="31" s="1"/>
  <c r="BF20" i="31"/>
  <c r="BG20" i="31"/>
  <c r="BH20" i="31"/>
  <c r="BI20" i="31"/>
  <c r="BJ20" i="31"/>
  <c r="BK20" i="31"/>
  <c r="BL20" i="31"/>
  <c r="BM20" i="31"/>
  <c r="BN20" i="31"/>
  <c r="BO20" i="31"/>
  <c r="BP20" i="31"/>
  <c r="BQ20" i="31"/>
  <c r="BR20" i="31"/>
  <c r="BS20" i="31"/>
  <c r="BT20" i="31"/>
  <c r="BW20" i="31"/>
  <c r="BW21" i="31" s="1"/>
  <c r="BX20" i="31"/>
  <c r="BY20" i="31"/>
  <c r="BZ20" i="31"/>
  <c r="CA20" i="31"/>
  <c r="CB20" i="31"/>
  <c r="CC20" i="31"/>
  <c r="CD20" i="31"/>
  <c r="CE20" i="31"/>
  <c r="CF20" i="31"/>
  <c r="CG20" i="31"/>
  <c r="CH20" i="31"/>
  <c r="CI20" i="31"/>
  <c r="CJ20" i="31"/>
  <c r="CK20" i="31"/>
  <c r="CL20" i="31"/>
  <c r="CO20" i="31"/>
  <c r="CO21" i="31" s="1"/>
  <c r="CP20" i="31"/>
  <c r="CQ20" i="31"/>
  <c r="CR20" i="31"/>
  <c r="CS20" i="31"/>
  <c r="CT20" i="31"/>
  <c r="CU20" i="31"/>
  <c r="CV20" i="31"/>
  <c r="CW20" i="31"/>
  <c r="CX20" i="31"/>
  <c r="CY20" i="31"/>
  <c r="CZ20" i="31"/>
  <c r="DA20" i="31"/>
  <c r="DB20" i="31"/>
  <c r="DC20" i="31"/>
  <c r="DD20" i="31"/>
  <c r="DG20" i="31"/>
  <c r="DG21" i="31" s="1"/>
  <c r="DH20" i="31"/>
  <c r="DI20" i="31"/>
  <c r="DJ20" i="31"/>
  <c r="DK20" i="31"/>
  <c r="DL20" i="31"/>
  <c r="DM20" i="31"/>
  <c r="DN20" i="31"/>
  <c r="DO20" i="31"/>
  <c r="DP20" i="31"/>
  <c r="DQ20" i="31"/>
  <c r="DR20" i="31"/>
  <c r="DS20" i="31"/>
  <c r="DT20" i="31"/>
  <c r="DU20" i="31"/>
  <c r="DV20" i="31"/>
  <c r="DY20" i="31"/>
  <c r="DY21" i="31" s="1"/>
  <c r="DZ20" i="31"/>
  <c r="EA20" i="31"/>
  <c r="EB20" i="31"/>
  <c r="EC20" i="31"/>
  <c r="ED20" i="31"/>
  <c r="EE20" i="31"/>
  <c r="EF20" i="31"/>
  <c r="EG20" i="31"/>
  <c r="EH20" i="31"/>
  <c r="EI20" i="31"/>
  <c r="EJ20" i="31"/>
  <c r="EK20" i="31"/>
  <c r="EL20" i="31"/>
  <c r="EM20" i="31"/>
  <c r="EN20" i="31"/>
  <c r="ES20" i="31"/>
  <c r="ES21" i="31" s="1"/>
  <c r="ET20" i="31"/>
  <c r="EU20" i="31"/>
  <c r="EV20" i="31"/>
  <c r="EW20" i="31"/>
  <c r="EX20" i="31"/>
  <c r="EY20" i="31"/>
  <c r="EZ20" i="31"/>
  <c r="FA20" i="31"/>
  <c r="FB20" i="31"/>
  <c r="FC20" i="31"/>
  <c r="FD20" i="31"/>
  <c r="FE20" i="31"/>
  <c r="FF20" i="31"/>
  <c r="FG20" i="31"/>
  <c r="FH20" i="31"/>
  <c r="FK20" i="31"/>
  <c r="FK21" i="31" s="1"/>
  <c r="FL20" i="31"/>
  <c r="FM20" i="31"/>
  <c r="FN20" i="31"/>
  <c r="FO20" i="31"/>
  <c r="FP20" i="31"/>
  <c r="FQ20" i="31"/>
  <c r="FR20" i="31"/>
  <c r="FS20" i="31"/>
  <c r="FT20" i="31"/>
  <c r="FU20" i="31"/>
  <c r="FV20" i="31"/>
  <c r="FW20" i="31"/>
  <c r="FX20" i="31"/>
  <c r="FY20" i="31"/>
  <c r="FZ20" i="31"/>
  <c r="GC20" i="31"/>
  <c r="GC21" i="31" s="1"/>
  <c r="GD20" i="31"/>
  <c r="GE20" i="31"/>
  <c r="GF20" i="31"/>
  <c r="GG20" i="31"/>
  <c r="GH20" i="31"/>
  <c r="GI20" i="31"/>
  <c r="GJ20" i="31"/>
  <c r="GK20" i="31"/>
  <c r="GL20" i="31"/>
  <c r="GM20" i="31"/>
  <c r="GN20" i="31"/>
  <c r="GO20" i="31"/>
  <c r="GP20" i="31"/>
  <c r="GQ20" i="31"/>
  <c r="GR20" i="31"/>
  <c r="GU20" i="31"/>
  <c r="GU21" i="31" s="1"/>
  <c r="GV20" i="31"/>
  <c r="GW20" i="31"/>
  <c r="GX20" i="31"/>
  <c r="GY20" i="31"/>
  <c r="GZ20" i="31"/>
  <c r="HA20" i="31"/>
  <c r="HB20" i="31"/>
  <c r="HC20" i="31"/>
  <c r="HD20" i="31"/>
  <c r="HE20" i="31"/>
  <c r="HF20" i="31"/>
  <c r="HG20" i="31"/>
  <c r="HH20" i="31"/>
  <c r="HI20" i="31"/>
  <c r="HJ20" i="31"/>
  <c r="HM20" i="31"/>
  <c r="HM21" i="31" s="1"/>
  <c r="HN20" i="31"/>
  <c r="HO20" i="31"/>
  <c r="HP20" i="31"/>
  <c r="HQ20" i="31"/>
  <c r="HR20" i="31"/>
  <c r="HS20" i="31"/>
  <c r="HT20" i="31"/>
  <c r="HU20" i="31"/>
  <c r="HV20" i="31"/>
  <c r="HW20" i="31"/>
  <c r="HX20" i="31"/>
  <c r="HY20" i="31"/>
  <c r="HZ20" i="31"/>
  <c r="IA20" i="31"/>
  <c r="IB20" i="31"/>
  <c r="CM37" i="31"/>
  <c r="BC23" i="31"/>
  <c r="BC25" i="31" s="1"/>
  <c r="HC68" i="30"/>
  <c r="HO23" i="31" s="1"/>
  <c r="HO25" i="31" s="1"/>
  <c r="EL68" i="30"/>
  <c r="ET23" i="31" s="1"/>
  <c r="ET25" i="31" s="1"/>
  <c r="DS68" i="30"/>
  <c r="DZ23" i="31" s="1"/>
  <c r="DZ25" i="31" s="1"/>
  <c r="CJ68" i="30"/>
  <c r="CO23" i="31" s="1"/>
  <c r="CO25" i="31" s="1"/>
  <c r="BB68" i="30"/>
  <c r="BE23" i="31" s="1"/>
  <c r="BE25" i="31" s="1"/>
  <c r="U68" i="30"/>
  <c r="V23" i="31" s="1"/>
  <c r="V25" i="31" s="1"/>
  <c r="Z68" i="30"/>
  <c r="AA23" i="31" s="1"/>
  <c r="AA25" i="31" s="1"/>
  <c r="BT68" i="30"/>
  <c r="BX23" i="31" s="1"/>
  <c r="BX25" i="31" s="1"/>
  <c r="GB35" i="31"/>
  <c r="FT68" i="30"/>
  <c r="GD23" i="31" s="1"/>
  <c r="GD25" i="31" s="1"/>
  <c r="GL68" i="30"/>
  <c r="GW23" i="31" s="1"/>
  <c r="GW25" i="31" s="1"/>
  <c r="HA68" i="30"/>
  <c r="HM23" i="31" s="1"/>
  <c r="HM25" i="31" s="1"/>
  <c r="CQ68" i="30"/>
  <c r="CV23" i="31" s="1"/>
  <c r="CV25" i="31" s="1"/>
  <c r="F68" i="30"/>
  <c r="F23" i="31" s="1"/>
  <c r="F25" i="31" s="1"/>
  <c r="G68" i="30"/>
  <c r="G23" i="31" s="1"/>
  <c r="G25" i="31" s="1"/>
  <c r="N68" i="30"/>
  <c r="N23" i="31" s="1"/>
  <c r="N25" i="31" s="1"/>
  <c r="O68" i="30"/>
  <c r="O23" i="31" s="1"/>
  <c r="O25" i="31" s="1"/>
  <c r="AA68" i="30"/>
  <c r="AB23" i="31" s="1"/>
  <c r="AB25" i="31" s="1"/>
  <c r="AC68" i="30"/>
  <c r="AD23" i="31" s="1"/>
  <c r="AD25" i="31" s="1"/>
  <c r="AI68" i="30"/>
  <c r="AJ23" i="31" s="1"/>
  <c r="AJ25" i="31" s="1"/>
  <c r="AT68" i="30"/>
  <c r="AV23" i="31" s="1"/>
  <c r="AV25" i="31" s="1"/>
  <c r="BE68" i="30"/>
  <c r="BH23" i="31" s="1"/>
  <c r="BH25" i="31" s="1"/>
  <c r="BF68" i="30"/>
  <c r="BI23" i="31" s="1"/>
  <c r="BI25" i="31" s="1"/>
  <c r="BP68" i="30"/>
  <c r="BS23" i="31" s="1"/>
  <c r="BS25" i="31" s="1"/>
  <c r="BZ68" i="30"/>
  <c r="CC68" i="30"/>
  <c r="CG23" i="31" s="1"/>
  <c r="CG25" i="31" s="1"/>
  <c r="CH68" i="30"/>
  <c r="CL23" i="31" s="1"/>
  <c r="CL25" i="31" s="1"/>
  <c r="CM68" i="30"/>
  <c r="CR23" i="31" s="1"/>
  <c r="CR25" i="31" s="1"/>
  <c r="CT68" i="30"/>
  <c r="CY23" i="31" s="1"/>
  <c r="CY25" i="31" s="1"/>
  <c r="CW68" i="30"/>
  <c r="DB23" i="31" s="1"/>
  <c r="DB25" i="31" s="1"/>
  <c r="DJ68" i="30"/>
  <c r="DP23" i="31" s="1"/>
  <c r="DP25" i="31" s="1"/>
  <c r="EA68" i="30"/>
  <c r="EH23" i="31" s="1"/>
  <c r="EH25" i="31" s="1"/>
  <c r="EG68" i="30"/>
  <c r="EN23" i="31" s="1"/>
  <c r="EN25" i="31" s="1"/>
  <c r="EP68" i="30"/>
  <c r="EX23" i="31" s="1"/>
  <c r="EX25" i="31" s="1"/>
  <c r="ET68" i="30"/>
  <c r="FB23" i="31" s="1"/>
  <c r="FB25" i="31" s="1"/>
  <c r="EU68" i="30"/>
  <c r="FC23" i="31" s="1"/>
  <c r="FC25" i="31" s="1"/>
  <c r="EX68" i="30"/>
  <c r="FF23" i="31" s="1"/>
  <c r="FF25" i="31" s="1"/>
  <c r="FF68" i="30"/>
  <c r="FO23" i="31" s="1"/>
  <c r="FO25" i="31" s="1"/>
  <c r="FG68" i="30"/>
  <c r="FP23" i="31" s="1"/>
  <c r="FP25" i="31" s="1"/>
  <c r="FN68" i="30"/>
  <c r="FW23" i="31" s="1"/>
  <c r="FW25" i="31" s="1"/>
  <c r="FV68" i="30"/>
  <c r="GF23" i="31" s="1"/>
  <c r="GF25" i="31" s="1"/>
  <c r="FW68" i="30"/>
  <c r="GG23" i="31" s="1"/>
  <c r="GG25" i="31" s="1"/>
  <c r="FY68" i="30"/>
  <c r="GI23" i="31" s="1"/>
  <c r="GI25" i="31" s="1"/>
  <c r="FZ68" i="30"/>
  <c r="GJ23" i="31" s="1"/>
  <c r="GJ25" i="31" s="1"/>
  <c r="GE68" i="30"/>
  <c r="GO23" i="31" s="1"/>
  <c r="GO25" i="31" s="1"/>
  <c r="GH68" i="30"/>
  <c r="GR23" i="31" s="1"/>
  <c r="GR25" i="31" s="1"/>
  <c r="GM68" i="30"/>
  <c r="GX23" i="31" s="1"/>
  <c r="GX25" i="31" s="1"/>
  <c r="GS68" i="30"/>
  <c r="HD23" i="31" s="1"/>
  <c r="HD25" i="31" s="1"/>
  <c r="GT68" i="30"/>
  <c r="HE23" i="31" s="1"/>
  <c r="HE25" i="31" s="1"/>
  <c r="GU68" i="30"/>
  <c r="HF23" i="31" s="1"/>
  <c r="HF25" i="31" s="1"/>
  <c r="HE68" i="30"/>
  <c r="HQ23" i="31" s="1"/>
  <c r="HQ25" i="31" s="1"/>
  <c r="HK68" i="30"/>
  <c r="HW23" i="31" s="1"/>
  <c r="HW25" i="31" s="1"/>
  <c r="HL68" i="30"/>
  <c r="HX23" i="31" s="1"/>
  <c r="HX25" i="31" s="1"/>
  <c r="HM68" i="30"/>
  <c r="HY23" i="31" s="1"/>
  <c r="AY19" i="31"/>
  <c r="BN68" i="30"/>
  <c r="BQ23" i="31" s="1"/>
  <c r="BQ25" i="31" s="1"/>
  <c r="D277" i="34"/>
  <c r="D197" i="25"/>
  <c r="D277" i="25"/>
  <c r="C59" i="24"/>
  <c r="B59" i="24"/>
  <c r="B47" i="20"/>
  <c r="B86" i="29"/>
  <c r="B56" i="29"/>
  <c r="B12" i="20"/>
  <c r="FD68" i="30"/>
  <c r="FM23" i="31" s="1"/>
  <c r="FM25" i="31" s="1"/>
  <c r="DB68" i="30"/>
  <c r="DH23" i="31" s="1"/>
  <c r="DH25" i="31" s="1"/>
  <c r="CL68" i="30"/>
  <c r="CQ23" i="31" s="1"/>
  <c r="CQ25" i="31" s="1"/>
  <c r="BD68" i="30"/>
  <c r="BG23" i="31" s="1"/>
  <c r="BG25" i="31" s="1"/>
  <c r="AS68" i="30"/>
  <c r="AU23" i="31" s="1"/>
  <c r="AU25" i="31" s="1"/>
  <c r="AL68" i="30"/>
  <c r="AN23" i="31" s="1"/>
  <c r="AN25" i="31" s="1"/>
  <c r="W68" i="30"/>
  <c r="X23" i="31" s="1"/>
  <c r="X25" i="31" s="1"/>
  <c r="D68" i="30"/>
  <c r="D23" i="31" s="1"/>
  <c r="D25" i="31" s="1"/>
  <c r="IB19" i="31"/>
  <c r="HJ19" i="31"/>
  <c r="GR19" i="31"/>
  <c r="FZ19" i="31"/>
  <c r="FH19" i="31"/>
  <c r="EN19" i="31"/>
  <c r="DV19" i="31"/>
  <c r="DD19" i="31"/>
  <c r="CL19" i="31"/>
  <c r="BT19" i="31"/>
  <c r="BB19" i="31"/>
  <c r="AJ19" i="31"/>
  <c r="O7" i="23"/>
  <c r="O9" i="23" s="1"/>
  <c r="C7" i="23"/>
  <c r="C9" i="23" s="1"/>
  <c r="I7" i="23"/>
  <c r="Q7" i="23"/>
  <c r="Q9" i="23" s="1"/>
  <c r="J7" i="23"/>
  <c r="J11" i="23" s="1"/>
  <c r="K7" i="23"/>
  <c r="K11" i="23" s="1"/>
  <c r="L7" i="23"/>
  <c r="L11" i="23" s="1"/>
  <c r="M7" i="23"/>
  <c r="M9" i="23" s="1"/>
  <c r="N7" i="23"/>
  <c r="N9" i="23" s="1"/>
  <c r="P7" i="23"/>
  <c r="P17" i="23" s="1"/>
  <c r="T7" i="23"/>
  <c r="R7" i="23"/>
  <c r="R11" i="23" s="1"/>
  <c r="S7" i="23"/>
  <c r="D7" i="23"/>
  <c r="D11" i="23" s="1"/>
  <c r="E7" i="23"/>
  <c r="E17" i="23" s="1"/>
  <c r="F7" i="23"/>
  <c r="F11" i="23" s="1"/>
  <c r="G7" i="23"/>
  <c r="G9" i="23" s="1"/>
  <c r="H7" i="23"/>
  <c r="H17" i="23" s="1"/>
  <c r="B84" i="29"/>
  <c r="B81" i="29"/>
  <c r="B80" i="29"/>
  <c r="B50" i="29"/>
  <c r="C7" i="37"/>
  <c r="A25" i="27"/>
  <c r="A24" i="27"/>
  <c r="A23" i="27"/>
  <c r="A22" i="27"/>
  <c r="A21" i="27"/>
  <c r="U19" i="31"/>
  <c r="V19" i="31"/>
  <c r="W19" i="31"/>
  <c r="X19" i="31"/>
  <c r="Y19" i="31"/>
  <c r="Z19" i="31"/>
  <c r="AA19" i="31"/>
  <c r="AB19" i="31"/>
  <c r="AC19" i="31"/>
  <c r="AD19" i="31"/>
  <c r="AE19" i="31"/>
  <c r="AF19" i="31"/>
  <c r="AG19" i="31"/>
  <c r="AH19" i="31"/>
  <c r="AI19" i="31"/>
  <c r="IA19" i="31"/>
  <c r="HZ19" i="31"/>
  <c r="HY19" i="31"/>
  <c r="HX19" i="31"/>
  <c r="HW19" i="31"/>
  <c r="HV19" i="31"/>
  <c r="HU19" i="31"/>
  <c r="HT19" i="31"/>
  <c r="HS19" i="31"/>
  <c r="HR19" i="31"/>
  <c r="HQ19" i="31"/>
  <c r="HP19" i="31"/>
  <c r="HO19" i="31"/>
  <c r="HN19" i="31"/>
  <c r="HM19" i="31"/>
  <c r="HI19" i="31"/>
  <c r="HH19" i="31"/>
  <c r="HG19" i="31"/>
  <c r="HF19" i="31"/>
  <c r="HE19" i="31"/>
  <c r="HD19" i="31"/>
  <c r="HC19" i="31"/>
  <c r="HB19" i="31"/>
  <c r="HA19" i="31"/>
  <c r="GZ19" i="31"/>
  <c r="GY19" i="31"/>
  <c r="GX19" i="31"/>
  <c r="GW19" i="31"/>
  <c r="GV19" i="31"/>
  <c r="GU19" i="31"/>
  <c r="GQ19" i="31"/>
  <c r="GP19" i="31"/>
  <c r="GO19" i="31"/>
  <c r="GN19" i="31"/>
  <c r="GM19" i="31"/>
  <c r="GL19" i="31"/>
  <c r="GK19" i="31"/>
  <c r="GJ19" i="31"/>
  <c r="GI19" i="31"/>
  <c r="GH19" i="31"/>
  <c r="GG19" i="31"/>
  <c r="GF19" i="31"/>
  <c r="GE19" i="31"/>
  <c r="GD19" i="31"/>
  <c r="GC19" i="31"/>
  <c r="FY19" i="31"/>
  <c r="FX19" i="31"/>
  <c r="FW19" i="31"/>
  <c r="FV19" i="31"/>
  <c r="FU19" i="31"/>
  <c r="FT19" i="31"/>
  <c r="FS19" i="31"/>
  <c r="FR19" i="31"/>
  <c r="FQ19" i="31"/>
  <c r="FP19" i="31"/>
  <c r="FO19" i="31"/>
  <c r="FN19" i="31"/>
  <c r="FM19" i="31"/>
  <c r="FL19" i="31"/>
  <c r="FK19" i="31"/>
  <c r="FG19" i="31"/>
  <c r="FF19" i="31"/>
  <c r="FE19" i="31"/>
  <c r="FD19" i="31"/>
  <c r="FC19" i="31"/>
  <c r="FB19" i="31"/>
  <c r="FA19" i="31"/>
  <c r="EZ19" i="31"/>
  <c r="EY19" i="31"/>
  <c r="EX19" i="31"/>
  <c r="EW19" i="31"/>
  <c r="EV19" i="31"/>
  <c r="EU19" i="31"/>
  <c r="ET19" i="31"/>
  <c r="ES19" i="31"/>
  <c r="EM19" i="31"/>
  <c r="EL19" i="31"/>
  <c r="EK19" i="31"/>
  <c r="EJ19" i="31"/>
  <c r="EI19" i="31"/>
  <c r="EH19" i="31"/>
  <c r="EG19" i="31"/>
  <c r="EF19" i="31"/>
  <c r="EE19" i="31"/>
  <c r="ED19" i="31"/>
  <c r="EC19" i="31"/>
  <c r="EB19" i="31"/>
  <c r="EA19" i="31"/>
  <c r="DZ19" i="31"/>
  <c r="DY19" i="31"/>
  <c r="DU19" i="31"/>
  <c r="DT19" i="31"/>
  <c r="DS19" i="31"/>
  <c r="DR19" i="31"/>
  <c r="DQ19" i="31"/>
  <c r="DP19" i="31"/>
  <c r="DO19" i="31"/>
  <c r="DN19" i="31"/>
  <c r="DM19" i="31"/>
  <c r="DL19" i="31"/>
  <c r="DK19" i="31"/>
  <c r="DJ19" i="31"/>
  <c r="DI19" i="31"/>
  <c r="DH19" i="31"/>
  <c r="DG19" i="31"/>
  <c r="DC19" i="31"/>
  <c r="DB19" i="31"/>
  <c r="DA19" i="31"/>
  <c r="CZ19" i="31"/>
  <c r="CY19" i="31"/>
  <c r="CX19" i="31"/>
  <c r="CW19" i="31"/>
  <c r="CV19" i="31"/>
  <c r="CU19" i="31"/>
  <c r="CT19" i="31"/>
  <c r="CS19" i="31"/>
  <c r="CR19" i="31"/>
  <c r="CQ19" i="31"/>
  <c r="CP19" i="31"/>
  <c r="CO19" i="31"/>
  <c r="CK19" i="31"/>
  <c r="CJ19" i="31"/>
  <c r="CI19" i="31"/>
  <c r="CH19" i="31"/>
  <c r="CG19" i="31"/>
  <c r="CF19" i="31"/>
  <c r="CE19" i="31"/>
  <c r="CD19" i="31"/>
  <c r="CC19" i="31"/>
  <c r="CB19" i="31"/>
  <c r="CA19" i="31"/>
  <c r="BZ19" i="31"/>
  <c r="BY19" i="31"/>
  <c r="BX19" i="31"/>
  <c r="BW19" i="31"/>
  <c r="BS19" i="31"/>
  <c r="BR19" i="31"/>
  <c r="BQ19" i="31"/>
  <c r="BP19" i="31"/>
  <c r="BO19" i="31"/>
  <c r="BN19" i="31"/>
  <c r="BM19" i="31"/>
  <c r="BL19" i="31"/>
  <c r="BK19" i="31"/>
  <c r="BJ19" i="31"/>
  <c r="BI19" i="31"/>
  <c r="BH19" i="31"/>
  <c r="BG19" i="31"/>
  <c r="BF19" i="31"/>
  <c r="BE19" i="31"/>
  <c r="BA19" i="31"/>
  <c r="AZ19" i="31"/>
  <c r="AX19" i="31"/>
  <c r="AW19" i="31"/>
  <c r="AV19" i="31"/>
  <c r="AU19" i="31"/>
  <c r="AT19" i="31"/>
  <c r="AS19" i="31"/>
  <c r="AR19" i="31"/>
  <c r="AQ19" i="31"/>
  <c r="AP19" i="31"/>
  <c r="AO19" i="31"/>
  <c r="AN19" i="31"/>
  <c r="AM19" i="31"/>
  <c r="B51" i="29"/>
  <c r="B54" i="29"/>
  <c r="C7" i="28"/>
  <c r="A16" i="27"/>
  <c r="A15" i="27"/>
  <c r="A14" i="27"/>
  <c r="A13" i="27"/>
  <c r="A12" i="27"/>
  <c r="B11" i="20"/>
  <c r="C7" i="27"/>
  <c r="GW68" i="30"/>
  <c r="HH23" i="31" s="1"/>
  <c r="HH25" i="31" s="1"/>
  <c r="GO68" i="30"/>
  <c r="GZ23" i="31" s="1"/>
  <c r="GZ25" i="31" s="1"/>
  <c r="EE68" i="30"/>
  <c r="EL23" i="31" s="1"/>
  <c r="EL25" i="31" s="1"/>
  <c r="DW68" i="30"/>
  <c r="ED23" i="31" s="1"/>
  <c r="ED25" i="31" s="1"/>
  <c r="DN68" i="30"/>
  <c r="DT23" i="31" s="1"/>
  <c r="DT25" i="31" s="1"/>
  <c r="EQ68" i="30"/>
  <c r="EY23" i="31" s="1"/>
  <c r="EY25" i="31" s="1"/>
  <c r="GF68" i="30"/>
  <c r="GP23" i="31" s="1"/>
  <c r="GP25" i="31" s="1"/>
  <c r="FX68" i="30"/>
  <c r="GH23" i="31" s="1"/>
  <c r="GH25" i="31" s="1"/>
  <c r="FO68" i="30"/>
  <c r="FX23" i="31" s="1"/>
  <c r="FX25" i="31" s="1"/>
  <c r="P68" i="30"/>
  <c r="P23" i="31" s="1"/>
  <c r="P25" i="31" s="1"/>
  <c r="BY68" i="30"/>
  <c r="DF68" i="30"/>
  <c r="DL23" i="31" s="1"/>
  <c r="DL25" i="31" s="1"/>
  <c r="BH68" i="30"/>
  <c r="BK23" i="31" s="1"/>
  <c r="BK25" i="31" s="1"/>
  <c r="EY68" i="30"/>
  <c r="FG23" i="31" s="1"/>
  <c r="FG25" i="31" s="1"/>
  <c r="CX68" i="30"/>
  <c r="DC23" i="31" s="1"/>
  <c r="DC25" i="31" s="1"/>
  <c r="CP68" i="30"/>
  <c r="CU23" i="31" s="1"/>
  <c r="CU25" i="31" s="1"/>
  <c r="CG68" i="30"/>
  <c r="CK23" i="31" s="1"/>
  <c r="CK25" i="31" s="1"/>
  <c r="EF68" i="30"/>
  <c r="EM23" i="31" s="1"/>
  <c r="EM25" i="31" s="1"/>
  <c r="DX68" i="30"/>
  <c r="EE23" i="31" s="1"/>
  <c r="EE25" i="31" s="1"/>
  <c r="GP68" i="30"/>
  <c r="HA23" i="31" s="1"/>
  <c r="HA25" i="31" s="1"/>
  <c r="K68" i="30"/>
  <c r="K23" i="31" s="1"/>
  <c r="K25" i="31" s="1"/>
  <c r="S17" i="23" l="1"/>
  <c r="S15" i="23"/>
  <c r="T11" i="23"/>
  <c r="T13" i="23"/>
  <c r="T17" i="23"/>
  <c r="U18" i="23" s="1"/>
  <c r="T15" i="23"/>
  <c r="T9" i="23"/>
  <c r="T10" i="23"/>
  <c r="BK22" i="31"/>
  <c r="BS22" i="31"/>
  <c r="I131" i="37"/>
  <c r="J131" i="37"/>
  <c r="I38" i="37"/>
  <c r="I131" i="28"/>
  <c r="I69" i="28"/>
  <c r="J100" i="28"/>
  <c r="J38" i="28"/>
  <c r="J38" i="37"/>
  <c r="J131" i="28"/>
  <c r="J69" i="28"/>
  <c r="J69" i="37"/>
  <c r="I100" i="37"/>
  <c r="I38" i="28"/>
  <c r="J100" i="37"/>
  <c r="I69" i="37"/>
  <c r="I100" i="28"/>
  <c r="T18" i="31"/>
  <c r="T19" i="31"/>
  <c r="C11" i="30"/>
  <c r="D100" i="28"/>
  <c r="F11" i="30"/>
  <c r="N11" i="30"/>
  <c r="O11" i="30"/>
  <c r="H11" i="30"/>
  <c r="P11" i="30"/>
  <c r="I11" i="30"/>
  <c r="J11" i="30"/>
  <c r="S11" i="30"/>
  <c r="E11" i="30"/>
  <c r="G11" i="30"/>
  <c r="Q11" i="30"/>
  <c r="R11" i="30"/>
  <c r="D11" i="30"/>
  <c r="M11" i="30"/>
  <c r="K11" i="30"/>
  <c r="L11" i="30"/>
  <c r="G12" i="30"/>
  <c r="G18" i="31" s="1"/>
  <c r="H12" i="30"/>
  <c r="H18" i="31" s="1"/>
  <c r="O12" i="30"/>
  <c r="O18" i="31" s="1"/>
  <c r="P12" i="30"/>
  <c r="P18" i="31" s="1"/>
  <c r="Q12" i="30"/>
  <c r="Q18" i="31" s="1"/>
  <c r="C12" i="30"/>
  <c r="C18" i="31" s="1"/>
  <c r="K12" i="30"/>
  <c r="K18" i="31" s="1"/>
  <c r="I12" i="30"/>
  <c r="I18" i="31" s="1"/>
  <c r="D12" i="30"/>
  <c r="D18" i="31" s="1"/>
  <c r="J12" i="30"/>
  <c r="J18" i="31" s="1"/>
  <c r="E12" i="30"/>
  <c r="E18" i="31" s="1"/>
  <c r="S12" i="30"/>
  <c r="S18" i="31" s="1"/>
  <c r="L12" i="30"/>
  <c r="L18" i="31" s="1"/>
  <c r="M12" i="30"/>
  <c r="M18" i="31" s="1"/>
  <c r="F12" i="30"/>
  <c r="F18" i="31" s="1"/>
  <c r="N12" i="30"/>
  <c r="N18" i="31" s="1"/>
  <c r="R12" i="30"/>
  <c r="R18" i="31" s="1"/>
  <c r="HT22" i="31"/>
  <c r="AQ22" i="31"/>
  <c r="CO22" i="31"/>
  <c r="CW22" i="31"/>
  <c r="GH22" i="31"/>
  <c r="BA22" i="31"/>
  <c r="M11" i="23"/>
  <c r="M17" i="23"/>
  <c r="B83" i="29"/>
  <c r="R17" i="23"/>
  <c r="S18" i="23" s="1"/>
  <c r="Q17" i="23"/>
  <c r="R9" i="23"/>
  <c r="Q11" i="23"/>
  <c r="E9" i="23"/>
  <c r="L17" i="23"/>
  <c r="K9" i="23"/>
  <c r="B53" i="29"/>
  <c r="H57" i="29"/>
  <c r="L9" i="23"/>
  <c r="FN22" i="31"/>
  <c r="FV22" i="31"/>
  <c r="C21" i="37"/>
  <c r="EW22" i="31"/>
  <c r="BX22" i="31"/>
  <c r="CF22" i="31"/>
  <c r="ED22" i="31"/>
  <c r="EL22" i="31"/>
  <c r="GV22" i="31"/>
  <c r="HD22" i="31"/>
  <c r="BH22" i="31"/>
  <c r="BP22" i="31"/>
  <c r="DN22" i="31"/>
  <c r="BI22" i="31"/>
  <c r="BQ22" i="31"/>
  <c r="DC22" i="31"/>
  <c r="GF22" i="31"/>
  <c r="GN22" i="31"/>
  <c r="I11" i="23"/>
  <c r="J9" i="23"/>
  <c r="AI22" i="31"/>
  <c r="AA22" i="31"/>
  <c r="S11" i="23"/>
  <c r="S9" i="23"/>
  <c r="DU22" i="31"/>
  <c r="BJ22" i="31"/>
  <c r="BR22" i="31"/>
  <c r="CY22" i="31"/>
  <c r="BY22" i="31"/>
  <c r="CG22" i="31"/>
  <c r="CQ22" i="31"/>
  <c r="BZ22" i="31"/>
  <c r="CH22" i="31"/>
  <c r="AS22" i="31"/>
  <c r="EF22" i="31"/>
  <c r="DV22" i="31"/>
  <c r="GE22" i="31"/>
  <c r="GM22" i="31"/>
  <c r="IB22" i="31"/>
  <c r="HN22" i="31"/>
  <c r="HV22" i="31"/>
  <c r="GX22" i="31"/>
  <c r="HF22" i="31"/>
  <c r="CC22" i="31"/>
  <c r="CK22" i="31"/>
  <c r="DI22" i="31"/>
  <c r="DQ22" i="31"/>
  <c r="AT22" i="31"/>
  <c r="CR22" i="31"/>
  <c r="CZ22" i="31"/>
  <c r="BB22" i="31"/>
  <c r="CA22" i="31"/>
  <c r="CJ22" i="31"/>
  <c r="DZ22" i="31"/>
  <c r="EH22" i="31"/>
  <c r="GZ22" i="31"/>
  <c r="HH22" i="31"/>
  <c r="BL22" i="31"/>
  <c r="GI22" i="31"/>
  <c r="GQ22" i="31"/>
  <c r="DJ22" i="31"/>
  <c r="DR22" i="31"/>
  <c r="FZ22" i="31"/>
  <c r="FR22" i="31"/>
  <c r="AM22" i="31"/>
  <c r="AU22" i="31"/>
  <c r="CS22" i="31"/>
  <c r="HP22" i="31"/>
  <c r="HX22" i="31"/>
  <c r="BT22" i="31"/>
  <c r="ES22" i="31"/>
  <c r="FA22" i="31"/>
  <c r="AE22" i="31"/>
  <c r="W22" i="31"/>
  <c r="CB22" i="31"/>
  <c r="GG22" i="31"/>
  <c r="GO22" i="31"/>
  <c r="AC22" i="31"/>
  <c r="U22" i="31"/>
  <c r="DH22" i="31"/>
  <c r="DP22" i="31"/>
  <c r="EN22" i="31"/>
  <c r="FP22" i="31"/>
  <c r="FX22" i="31"/>
  <c r="EY22" i="31"/>
  <c r="FG22" i="31"/>
  <c r="GP22" i="31"/>
  <c r="EM22" i="31"/>
  <c r="GW22" i="31"/>
  <c r="DO22" i="31"/>
  <c r="DG22" i="31"/>
  <c r="AZ22" i="31"/>
  <c r="FO22" i="31"/>
  <c r="AB22" i="31"/>
  <c r="AR22" i="31"/>
  <c r="CP22" i="31"/>
  <c r="CX22" i="31"/>
  <c r="HM22" i="31"/>
  <c r="HU22" i="31"/>
  <c r="EX22" i="31"/>
  <c r="FF22" i="31"/>
  <c r="AJ22" i="31"/>
  <c r="EE22" i="31"/>
  <c r="HE22" i="31"/>
  <c r="AN22" i="31"/>
  <c r="AV22" i="31"/>
  <c r="CT22" i="31"/>
  <c r="DB22" i="31"/>
  <c r="HQ22" i="31"/>
  <c r="BE22" i="31"/>
  <c r="DK22" i="31"/>
  <c r="DS22" i="31"/>
  <c r="EU22" i="31"/>
  <c r="BF22" i="31"/>
  <c r="AG22" i="31"/>
  <c r="GR22" i="31"/>
  <c r="FK22" i="31"/>
  <c r="FS22" i="31"/>
  <c r="AF22" i="31"/>
  <c r="X22" i="31"/>
  <c r="FM22" i="31"/>
  <c r="FU22" i="31"/>
  <c r="DD22" i="31"/>
  <c r="AP22" i="31"/>
  <c r="AX22" i="31"/>
  <c r="HS22" i="31"/>
  <c r="EV22" i="31"/>
  <c r="CE22" i="31"/>
  <c r="EC22" i="31"/>
  <c r="EK22" i="31"/>
  <c r="AH22" i="31"/>
  <c r="Z22" i="31"/>
  <c r="BG22" i="31"/>
  <c r="BO22" i="31"/>
  <c r="GD22" i="31"/>
  <c r="GL22" i="31"/>
  <c r="GV21" i="31"/>
  <c r="GW21" i="31" s="1"/>
  <c r="GX21" i="31" s="1"/>
  <c r="GY21" i="31" s="1"/>
  <c r="GZ21" i="31" s="1"/>
  <c r="HA21" i="31" s="1"/>
  <c r="HB21" i="31" s="1"/>
  <c r="HC21" i="31" s="1"/>
  <c r="HD21" i="31" s="1"/>
  <c r="HE21" i="31" s="1"/>
  <c r="HF21" i="31" s="1"/>
  <c r="HG21" i="31" s="1"/>
  <c r="HH21" i="31" s="1"/>
  <c r="HI21" i="31" s="1"/>
  <c r="HJ21" i="31" s="1"/>
  <c r="HK21" i="31" s="1"/>
  <c r="HL21" i="31" s="1"/>
  <c r="DY22" i="31"/>
  <c r="EG22" i="31"/>
  <c r="GY22" i="31"/>
  <c r="HG22" i="31"/>
  <c r="AD22" i="31"/>
  <c r="V22" i="31"/>
  <c r="C114" i="28"/>
  <c r="HO22" i="31"/>
  <c r="FH22" i="31"/>
  <c r="ET21" i="31"/>
  <c r="EU21" i="31" s="1"/>
  <c r="EV21" i="31" s="1"/>
  <c r="EW21" i="31" s="1"/>
  <c r="EX21" i="31" s="1"/>
  <c r="EY21" i="31" s="1"/>
  <c r="EZ21" i="31" s="1"/>
  <c r="FA21" i="31" s="1"/>
  <c r="FB21" i="31" s="1"/>
  <c r="FC21" i="31" s="1"/>
  <c r="FD21" i="31" s="1"/>
  <c r="FE21" i="31" s="1"/>
  <c r="FF21" i="31" s="1"/>
  <c r="FG21" i="31" s="1"/>
  <c r="FH21" i="31" s="1"/>
  <c r="FI21" i="31" s="1"/>
  <c r="FJ21" i="31" s="1"/>
  <c r="FQ22" i="31"/>
  <c r="FY22" i="31"/>
  <c r="DH21" i="31"/>
  <c r="DI21" i="31" s="1"/>
  <c r="DJ21" i="31" s="1"/>
  <c r="DK21" i="31" s="1"/>
  <c r="DL21" i="31" s="1"/>
  <c r="DM21" i="31" s="1"/>
  <c r="DN21" i="31" s="1"/>
  <c r="DO21" i="31" s="1"/>
  <c r="DP21" i="31" s="1"/>
  <c r="DQ21" i="31" s="1"/>
  <c r="DR21" i="31" s="1"/>
  <c r="DS21" i="31" s="1"/>
  <c r="DT21" i="31" s="1"/>
  <c r="DU21" i="31" s="1"/>
  <c r="DV21" i="31" s="1"/>
  <c r="DW21" i="31" s="1"/>
  <c r="DX21" i="31" s="1"/>
  <c r="HW22" i="31"/>
  <c r="EZ22" i="31"/>
  <c r="C11" i="23"/>
  <c r="C12" i="23" s="1"/>
  <c r="D12" i="23" s="1"/>
  <c r="C17" i="23"/>
  <c r="H11" i="23"/>
  <c r="P11" i="23"/>
  <c r="P9" i="23"/>
  <c r="C87" i="28"/>
  <c r="C115" i="28"/>
  <c r="C84" i="28"/>
  <c r="C22" i="37"/>
  <c r="C23" i="28"/>
  <c r="C24" i="28"/>
  <c r="C52" i="28"/>
  <c r="C24" i="37"/>
  <c r="C85" i="28"/>
  <c r="C23" i="37"/>
  <c r="C55" i="37"/>
  <c r="C54" i="37"/>
  <c r="C114" i="37"/>
  <c r="C117" i="28"/>
  <c r="C86" i="28"/>
  <c r="C84" i="37"/>
  <c r="C87" i="37"/>
  <c r="C118" i="28"/>
  <c r="C85" i="37"/>
  <c r="C22" i="28"/>
  <c r="C52" i="37"/>
  <c r="C86" i="37"/>
  <c r="C83" i="37"/>
  <c r="C21" i="28"/>
  <c r="C117" i="37"/>
  <c r="C55" i="28"/>
  <c r="C115" i="37"/>
  <c r="C118" i="37"/>
  <c r="C53" i="28"/>
  <c r="S37" i="31"/>
  <c r="S25" i="31" s="1"/>
  <c r="GS36" i="31"/>
  <c r="GS37" i="31" s="1"/>
  <c r="GS23" i="31" s="1"/>
  <c r="GS25" i="31" s="1"/>
  <c r="AK25" i="31"/>
  <c r="HK36" i="31"/>
  <c r="HK37" i="31" s="1"/>
  <c r="HK23" i="31" s="1"/>
  <c r="HK25" i="31" s="1"/>
  <c r="BF21" i="31"/>
  <c r="BG21" i="31" s="1"/>
  <c r="BH21" i="31" s="1"/>
  <c r="BI21" i="31" s="1"/>
  <c r="BJ21" i="31" s="1"/>
  <c r="BK21" i="31" s="1"/>
  <c r="BL21" i="31" s="1"/>
  <c r="BM21" i="31" s="1"/>
  <c r="BN21" i="31" s="1"/>
  <c r="BO21" i="31" s="1"/>
  <c r="BP21" i="31" s="1"/>
  <c r="BQ21" i="31" s="1"/>
  <c r="BR21" i="31" s="1"/>
  <c r="BS21" i="31" s="1"/>
  <c r="BT21" i="31" s="1"/>
  <c r="BU21" i="31" s="1"/>
  <c r="BV21" i="31" s="1"/>
  <c r="IC36" i="31"/>
  <c r="IC37" i="31" s="1"/>
  <c r="IC23" i="31" s="1"/>
  <c r="IC25" i="31" s="1"/>
  <c r="DE37" i="31"/>
  <c r="DE25" i="31" s="1"/>
  <c r="DW25" i="31"/>
  <c r="GA36" i="31"/>
  <c r="GA37" i="31" s="1"/>
  <c r="GA23" i="31" s="1"/>
  <c r="GA25" i="31" s="1"/>
  <c r="DZ21" i="31"/>
  <c r="EA21" i="31" s="1"/>
  <c r="EB21" i="31" s="1"/>
  <c r="EC21" i="31" s="1"/>
  <c r="ED21" i="31" s="1"/>
  <c r="EE21" i="31" s="1"/>
  <c r="EF21" i="31" s="1"/>
  <c r="EG21" i="31" s="1"/>
  <c r="EH21" i="31" s="1"/>
  <c r="EI21" i="31" s="1"/>
  <c r="EJ21" i="31" s="1"/>
  <c r="EK21" i="31" s="1"/>
  <c r="EL21" i="31" s="1"/>
  <c r="EM21" i="31" s="1"/>
  <c r="EN21" i="31" s="1"/>
  <c r="EO21" i="31" s="1"/>
  <c r="EP21" i="31" s="1"/>
  <c r="EQ21" i="31" s="1"/>
  <c r="ER21" i="31" s="1"/>
  <c r="GT17" i="31"/>
  <c r="GB18" i="31"/>
  <c r="GT36" i="31"/>
  <c r="DF39" i="31"/>
  <c r="DF23" i="31" s="1"/>
  <c r="DF25" i="31" s="1"/>
  <c r="GB36" i="31"/>
  <c r="ID36" i="31"/>
  <c r="FJ17" i="31"/>
  <c r="HN21" i="31"/>
  <c r="HO21" i="31" s="1"/>
  <c r="HP21" i="31" s="1"/>
  <c r="HQ21" i="31" s="1"/>
  <c r="HR21" i="31" s="1"/>
  <c r="HS21" i="31" s="1"/>
  <c r="HT21" i="31" s="1"/>
  <c r="HU21" i="31" s="1"/>
  <c r="HV21" i="31" s="1"/>
  <c r="HW21" i="31" s="1"/>
  <c r="HX21" i="31" s="1"/>
  <c r="HY21" i="31" s="1"/>
  <c r="HZ21" i="31" s="1"/>
  <c r="IA21" i="31" s="1"/>
  <c r="IB21" i="31" s="1"/>
  <c r="IC21" i="31" s="1"/>
  <c r="ID21" i="31" s="1"/>
  <c r="BX21" i="31"/>
  <c r="BY21" i="31" s="1"/>
  <c r="BZ21" i="31" s="1"/>
  <c r="CA21" i="31" s="1"/>
  <c r="CB21" i="31" s="1"/>
  <c r="CC21" i="31" s="1"/>
  <c r="CD21" i="31" s="1"/>
  <c r="CE21" i="31" s="1"/>
  <c r="CF21" i="31" s="1"/>
  <c r="CG21" i="31" s="1"/>
  <c r="CH21" i="31" s="1"/>
  <c r="CI21" i="31" s="1"/>
  <c r="CJ21" i="31" s="1"/>
  <c r="CK21" i="31" s="1"/>
  <c r="CL21" i="31" s="1"/>
  <c r="CM21" i="31" s="1"/>
  <c r="CN21" i="31" s="1"/>
  <c r="X68" i="30"/>
  <c r="Y23" i="31" s="1"/>
  <c r="Y25" i="31" s="1"/>
  <c r="L68" i="30"/>
  <c r="L23" i="31" s="1"/>
  <c r="L25" i="31" s="1"/>
  <c r="DY68" i="30"/>
  <c r="EF23" i="31" s="1"/>
  <c r="EF25" i="31" s="1"/>
  <c r="DM68" i="30"/>
  <c r="DS23" i="31" s="1"/>
  <c r="DS25" i="31" s="1"/>
  <c r="DE68" i="30"/>
  <c r="DK23" i="31" s="1"/>
  <c r="DK25" i="31" s="1"/>
  <c r="CS68" i="30"/>
  <c r="CX23" i="31" s="1"/>
  <c r="CX25" i="31" s="1"/>
  <c r="AZ68" i="30"/>
  <c r="BB23" i="31" s="1"/>
  <c r="BB25" i="31" s="1"/>
  <c r="AR68" i="30"/>
  <c r="AT23" i="31" s="1"/>
  <c r="AT25" i="31" s="1"/>
  <c r="AF68" i="30"/>
  <c r="AG23" i="31" s="1"/>
  <c r="AG25" i="31" s="1"/>
  <c r="HK22" i="31"/>
  <c r="CM22" i="31"/>
  <c r="DL68" i="30"/>
  <c r="DR23" i="31" s="1"/>
  <c r="DR25" i="31" s="1"/>
  <c r="AE68" i="30"/>
  <c r="AF23" i="31" s="1"/>
  <c r="AF25" i="31" s="1"/>
  <c r="DK68" i="30"/>
  <c r="DQ23" i="31" s="1"/>
  <c r="DQ25" i="31" s="1"/>
  <c r="BL68" i="30"/>
  <c r="BO23" i="31" s="1"/>
  <c r="BO25" i="31" s="1"/>
  <c r="BG68" i="30"/>
  <c r="BJ23" i="31" s="1"/>
  <c r="BJ25" i="31" s="1"/>
  <c r="BU68" i="30"/>
  <c r="BY23" i="31" s="1"/>
  <c r="BY25" i="31" s="1"/>
  <c r="AV68" i="30"/>
  <c r="AX23" i="31" s="1"/>
  <c r="AX25" i="31" s="1"/>
  <c r="AN68" i="30"/>
  <c r="AP23" i="31" s="1"/>
  <c r="AP25" i="31" s="1"/>
  <c r="BU22" i="31"/>
  <c r="GD68" i="30"/>
  <c r="GN23" i="31" s="1"/>
  <c r="GN25" i="31" s="1"/>
  <c r="AK68" i="30"/>
  <c r="AM23" i="31" s="1"/>
  <c r="AM25" i="31" s="1"/>
  <c r="C83" i="28"/>
  <c r="C116" i="28"/>
  <c r="C25" i="28"/>
  <c r="C54" i="28"/>
  <c r="C56" i="28"/>
  <c r="C23" i="31"/>
  <c r="C25" i="31" s="1"/>
  <c r="CK68" i="30"/>
  <c r="CP23" i="31" s="1"/>
  <c r="CP25" i="31" s="1"/>
  <c r="DT68" i="30"/>
  <c r="EA23" i="31" s="1"/>
  <c r="EA25" i="31" s="1"/>
  <c r="HI68" i="30"/>
  <c r="HU23" i="31" s="1"/>
  <c r="HU25" i="31" s="1"/>
  <c r="FJ68" i="30"/>
  <c r="FS23" i="31" s="1"/>
  <c r="FS25" i="31" s="1"/>
  <c r="DZ68" i="30"/>
  <c r="EG23" i="31" s="1"/>
  <c r="EG25" i="31" s="1"/>
  <c r="DI68" i="30"/>
  <c r="DO23" i="31" s="1"/>
  <c r="DO25" i="31" s="1"/>
  <c r="AQ68" i="30"/>
  <c r="AS23" i="31" s="1"/>
  <c r="AS25" i="31" s="1"/>
  <c r="AH68" i="30"/>
  <c r="AI23" i="31" s="1"/>
  <c r="AI25" i="31" s="1"/>
  <c r="EW68" i="30"/>
  <c r="FE23" i="31" s="1"/>
  <c r="FE25" i="31" s="1"/>
  <c r="CO68" i="30"/>
  <c r="CT23" i="31" s="1"/>
  <c r="CT25" i="31" s="1"/>
  <c r="BO68" i="30"/>
  <c r="BR23" i="31" s="1"/>
  <c r="BR25" i="31" s="1"/>
  <c r="AG68" i="30"/>
  <c r="AH23" i="31" s="1"/>
  <c r="AH25" i="31" s="1"/>
  <c r="B72" i="24"/>
  <c r="B70" i="24"/>
  <c r="C74" i="24"/>
  <c r="B75" i="24"/>
  <c r="C71" i="24"/>
  <c r="B62" i="24"/>
  <c r="C66" i="24"/>
  <c r="B67" i="24"/>
  <c r="C63" i="24"/>
  <c r="B77" i="24"/>
  <c r="B65" i="24"/>
  <c r="C65" i="24"/>
  <c r="C75" i="24"/>
  <c r="C67" i="24"/>
  <c r="B61" i="24"/>
  <c r="C72" i="24"/>
  <c r="C78" i="24"/>
  <c r="C61" i="24"/>
  <c r="B63" i="24"/>
  <c r="B68" i="24"/>
  <c r="C64" i="24"/>
  <c r="C70" i="24"/>
  <c r="B69" i="24"/>
  <c r="B78" i="24"/>
  <c r="B74" i="24"/>
  <c r="B66" i="24"/>
  <c r="B76" i="24"/>
  <c r="C73" i="24"/>
  <c r="C76" i="24"/>
  <c r="Q68" i="30"/>
  <c r="Q23" i="31" s="1"/>
  <c r="Q25" i="31" s="1"/>
  <c r="J17" i="23"/>
  <c r="ET22" i="31"/>
  <c r="FB22" i="31"/>
  <c r="DD68" i="30"/>
  <c r="DJ23" i="31" s="1"/>
  <c r="DJ25" i="31" s="1"/>
  <c r="CN68" i="30"/>
  <c r="CS23" i="31" s="1"/>
  <c r="CS25" i="31" s="1"/>
  <c r="AX68" i="30"/>
  <c r="AZ23" i="31" s="1"/>
  <c r="AZ25" i="31" s="1"/>
  <c r="AP68" i="30"/>
  <c r="AR23" i="31" s="1"/>
  <c r="AR25" i="31" s="1"/>
  <c r="Y68" i="30"/>
  <c r="Z23" i="31" s="1"/>
  <c r="Z25" i="31" s="1"/>
  <c r="C277" i="25"/>
  <c r="CF68" i="30"/>
  <c r="CJ23" i="31" s="1"/>
  <c r="CJ25" i="31" s="1"/>
  <c r="I68" i="30"/>
  <c r="I23" i="31" s="1"/>
  <c r="I25" i="31" s="1"/>
  <c r="D9" i="23"/>
  <c r="FU68" i="30"/>
  <c r="GE23" i="31" s="1"/>
  <c r="GE25" i="31" s="1"/>
  <c r="EM68" i="30"/>
  <c r="EU23" i="31" s="1"/>
  <c r="EU25" i="31" s="1"/>
  <c r="DC68" i="30"/>
  <c r="DI23" i="31" s="1"/>
  <c r="DI25" i="31" s="1"/>
  <c r="BV68" i="30"/>
  <c r="BZ23" i="31" s="1"/>
  <c r="BZ25" i="31" s="1"/>
  <c r="BX68" i="30"/>
  <c r="CB23" i="31" s="1"/>
  <c r="CB25" i="31" s="1"/>
  <c r="K17" i="23"/>
  <c r="EA22" i="31"/>
  <c r="EI22" i="31"/>
  <c r="HA22" i="31"/>
  <c r="HI22" i="31"/>
  <c r="GK68" i="30"/>
  <c r="GV23" i="31" s="1"/>
  <c r="GV25" i="31" s="1"/>
  <c r="GR68" i="30"/>
  <c r="HC23" i="31" s="1"/>
  <c r="HC25" i="31" s="1"/>
  <c r="GA68" i="30"/>
  <c r="GK23" i="31" s="1"/>
  <c r="GK25" i="31" s="1"/>
  <c r="FB68" i="30"/>
  <c r="FK23" i="31" s="1"/>
  <c r="FK25" i="31" s="1"/>
  <c r="ES68" i="30"/>
  <c r="FA23" i="31" s="1"/>
  <c r="FA25" i="31" s="1"/>
  <c r="AD68" i="30"/>
  <c r="AE23" i="31" s="1"/>
  <c r="AE25" i="31" s="1"/>
  <c r="ID18" i="31"/>
  <c r="E277" i="34"/>
  <c r="E11" i="23"/>
  <c r="BM22" i="31"/>
  <c r="GJ22" i="31"/>
  <c r="HP68" i="30"/>
  <c r="IB23" i="31" s="1"/>
  <c r="IB25" i="31" s="1"/>
  <c r="CR68" i="30"/>
  <c r="CW23" i="31" s="1"/>
  <c r="CW25" i="31" s="1"/>
  <c r="BJ68" i="30"/>
  <c r="BM23" i="31" s="1"/>
  <c r="BM25" i="31" s="1"/>
  <c r="C277" i="34"/>
  <c r="C197" i="25"/>
  <c r="E277" i="25"/>
  <c r="D17" i="23"/>
  <c r="HG68" i="30"/>
  <c r="HS23" i="31" s="1"/>
  <c r="HS25" i="31" s="1"/>
  <c r="GX68" i="30"/>
  <c r="HI23" i="31" s="1"/>
  <c r="HI25" i="31" s="1"/>
  <c r="GG68" i="30"/>
  <c r="GQ23" i="31" s="1"/>
  <c r="GQ25" i="31" s="1"/>
  <c r="DO68" i="30"/>
  <c r="DU23" i="31" s="1"/>
  <c r="DU25" i="31" s="1"/>
  <c r="AB68" i="30"/>
  <c r="AC23" i="31" s="1"/>
  <c r="AC25" i="31" s="1"/>
  <c r="T68" i="30"/>
  <c r="U23" i="31" s="1"/>
  <c r="U25" i="31" s="1"/>
  <c r="C53" i="37"/>
  <c r="C25" i="37"/>
  <c r="C56" i="37"/>
  <c r="C42" i="29" a="1"/>
  <c r="C42" i="29" s="1"/>
  <c r="B42" i="29" s="1"/>
  <c r="E68" i="30"/>
  <c r="E23" i="31" s="1"/>
  <c r="E25" i="31" s="1"/>
  <c r="AM68" i="30"/>
  <c r="AO23" i="31" s="1"/>
  <c r="AO25" i="31" s="1"/>
  <c r="DP68" i="30"/>
  <c r="DV23" i="31" s="1"/>
  <c r="DV25" i="31" s="1"/>
  <c r="DH68" i="30"/>
  <c r="DN23" i="31" s="1"/>
  <c r="DN25" i="31" s="1"/>
  <c r="BQ68" i="30"/>
  <c r="BT23" i="31" s="1"/>
  <c r="BT25" i="31" s="1"/>
  <c r="BI68" i="30"/>
  <c r="BL23" i="31" s="1"/>
  <c r="BL25" i="31" s="1"/>
  <c r="AU68" i="30"/>
  <c r="AW23" i="31" s="1"/>
  <c r="AW25" i="31" s="1"/>
  <c r="HO68" i="30"/>
  <c r="IA23" i="31" s="1"/>
  <c r="IA25" i="31" s="1"/>
  <c r="GV68" i="30"/>
  <c r="HG23" i="31" s="1"/>
  <c r="HG25" i="31" s="1"/>
  <c r="GN68" i="30"/>
  <c r="GY23" i="31" s="1"/>
  <c r="GY25" i="31" s="1"/>
  <c r="FQ68" i="30"/>
  <c r="FZ23" i="31" s="1"/>
  <c r="FZ25" i="31" s="1"/>
  <c r="FI68" i="30"/>
  <c r="FR23" i="31" s="1"/>
  <c r="FR25" i="31" s="1"/>
  <c r="DG68" i="30"/>
  <c r="DM23" i="31" s="1"/>
  <c r="DM25" i="31" s="1"/>
  <c r="CB68" i="30"/>
  <c r="CF23" i="31" s="1"/>
  <c r="CF25" i="31" s="1"/>
  <c r="HN68" i="30"/>
  <c r="HZ23" i="31" s="1"/>
  <c r="HZ25" i="31" s="1"/>
  <c r="HF68" i="30"/>
  <c r="HR23" i="31" s="1"/>
  <c r="HR25" i="31" s="1"/>
  <c r="FP68" i="30"/>
  <c r="FY23" i="31" s="1"/>
  <c r="FY25" i="31" s="1"/>
  <c r="FH68" i="30"/>
  <c r="FQ23" i="31" s="1"/>
  <c r="FQ25" i="31" s="1"/>
  <c r="CA68" i="30"/>
  <c r="CE23" i="31" s="1"/>
  <c r="CE25" i="31" s="1"/>
  <c r="M68" i="30"/>
  <c r="M23" i="31" s="1"/>
  <c r="M25" i="31" s="1"/>
  <c r="DW22" i="31"/>
  <c r="HD68" i="30"/>
  <c r="HP23" i="31" s="1"/>
  <c r="HP25" i="31" s="1"/>
  <c r="CY68" i="30"/>
  <c r="DD23" i="31" s="1"/>
  <c r="DD25" i="31" s="1"/>
  <c r="GY68" i="30"/>
  <c r="HJ23" i="31" s="1"/>
  <c r="HJ25" i="31" s="1"/>
  <c r="GQ68" i="30"/>
  <c r="HB23" i="31" s="1"/>
  <c r="HB25" i="31" s="1"/>
  <c r="EZ68" i="30"/>
  <c r="FH23" i="31" s="1"/>
  <c r="FH25" i="31" s="1"/>
  <c r="ER68" i="30"/>
  <c r="EZ23" i="31" s="1"/>
  <c r="EZ25" i="31" s="1"/>
  <c r="BK68" i="30"/>
  <c r="BN23" i="31" s="1"/>
  <c r="BN25" i="31" s="1"/>
  <c r="V68" i="30"/>
  <c r="W23" i="31" s="1"/>
  <c r="W25" i="31" s="1"/>
  <c r="BS68" i="30"/>
  <c r="BW23" i="31" s="1"/>
  <c r="BW25" i="31" s="1"/>
  <c r="DA68" i="30"/>
  <c r="DG23" i="31" s="1"/>
  <c r="DG25" i="31" s="1"/>
  <c r="HB68" i="30"/>
  <c r="HN23" i="31" s="1"/>
  <c r="HN25" i="31" s="1"/>
  <c r="HJ68" i="30"/>
  <c r="HV23" i="31" s="1"/>
  <c r="HV25" i="31" s="1"/>
  <c r="FL68" i="30"/>
  <c r="FU23" i="31" s="1"/>
  <c r="FU25" i="31" s="1"/>
  <c r="ED68" i="30"/>
  <c r="EK23" i="31" s="1"/>
  <c r="EK25" i="31" s="1"/>
  <c r="DV68" i="30"/>
  <c r="EC23" i="31" s="1"/>
  <c r="EC25" i="31" s="1"/>
  <c r="BM68" i="30"/>
  <c r="BP23" i="31" s="1"/>
  <c r="BP25" i="31" s="1"/>
  <c r="AY68" i="30"/>
  <c r="BA23" i="31" s="1"/>
  <c r="BA25" i="31" s="1"/>
  <c r="FS68" i="30"/>
  <c r="GC23" i="31" s="1"/>
  <c r="GC25" i="31" s="1"/>
  <c r="HL22" i="31"/>
  <c r="FE68" i="30"/>
  <c r="FN23" i="31" s="1"/>
  <c r="FN25" i="31" s="1"/>
  <c r="FK68" i="30"/>
  <c r="FT23" i="31" s="1"/>
  <c r="FT25" i="31" s="1"/>
  <c r="EC68" i="30"/>
  <c r="EJ23" i="31" s="1"/>
  <c r="EJ25" i="31" s="1"/>
  <c r="DU68" i="30"/>
  <c r="EB23" i="31" s="1"/>
  <c r="EB25" i="31" s="1"/>
  <c r="CE68" i="30"/>
  <c r="CI23" i="31" s="1"/>
  <c r="CI25" i="31" s="1"/>
  <c r="BW68" i="30"/>
  <c r="CA23" i="31" s="1"/>
  <c r="CA25" i="31" s="1"/>
  <c r="R68" i="30"/>
  <c r="J68" i="30"/>
  <c r="J23" i="31" s="1"/>
  <c r="J25" i="31" s="1"/>
  <c r="BC68" i="30"/>
  <c r="BF23" i="31" s="1"/>
  <c r="BF25" i="31" s="1"/>
  <c r="DR68" i="30"/>
  <c r="DY23" i="31" s="1"/>
  <c r="DY25" i="31" s="1"/>
  <c r="FC68" i="30"/>
  <c r="FL23" i="31" s="1"/>
  <c r="FL25" i="31" s="1"/>
  <c r="GJ68" i="30"/>
  <c r="GU23" i="31" s="1"/>
  <c r="GU25" i="31" s="1"/>
  <c r="FI23" i="31"/>
  <c r="FI25" i="31" s="1"/>
  <c r="FM68" i="30"/>
  <c r="FV23" i="31" s="1"/>
  <c r="FV25" i="31" s="1"/>
  <c r="HH68" i="30"/>
  <c r="HT23" i="31" s="1"/>
  <c r="HT25" i="31" s="1"/>
  <c r="EB68" i="30"/>
  <c r="EI23" i="31" s="1"/>
  <c r="EI25" i="31" s="1"/>
  <c r="CV68" i="30"/>
  <c r="DA23" i="31" s="1"/>
  <c r="DA25" i="31" s="1"/>
  <c r="CD68" i="30"/>
  <c r="CH23" i="31" s="1"/>
  <c r="CH25" i="31" s="1"/>
  <c r="AW68" i="30"/>
  <c r="AY23" i="31" s="1"/>
  <c r="AY25" i="31" s="1"/>
  <c r="AO68" i="30"/>
  <c r="AQ23" i="31" s="1"/>
  <c r="AQ25" i="31" s="1"/>
  <c r="EK68" i="30"/>
  <c r="ES23" i="31" s="1"/>
  <c r="ES25" i="31" s="1"/>
  <c r="GC68" i="30"/>
  <c r="GM23" i="31" s="1"/>
  <c r="GM25" i="31" s="1"/>
  <c r="EO68" i="30"/>
  <c r="EW23" i="31" s="1"/>
  <c r="EW25" i="31" s="1"/>
  <c r="CU68" i="30"/>
  <c r="CZ23" i="31" s="1"/>
  <c r="CZ25" i="31" s="1"/>
  <c r="H68" i="30"/>
  <c r="H23" i="31" s="1"/>
  <c r="H25" i="31" s="1"/>
  <c r="AL22" i="31"/>
  <c r="BD35" i="31"/>
  <c r="EO25" i="31"/>
  <c r="EO36" i="31" s="1"/>
  <c r="EO37" i="31" s="1"/>
  <c r="GB68" i="30"/>
  <c r="GL23" i="31" s="1"/>
  <c r="GL25" i="31" s="1"/>
  <c r="EV68" i="30"/>
  <c r="FD23" i="31" s="1"/>
  <c r="FD25" i="31" s="1"/>
  <c r="EN68" i="30"/>
  <c r="EV23" i="31" s="1"/>
  <c r="EV25" i="31" s="1"/>
  <c r="DX22" i="31"/>
  <c r="C116" i="37"/>
  <c r="C43" i="29" a="1"/>
  <c r="C43" i="29" s="1"/>
  <c r="B43" i="29" s="1"/>
  <c r="C35" i="29" a="1"/>
  <c r="C35" i="29" s="1"/>
  <c r="B35" i="29" s="1"/>
  <c r="E197" i="25"/>
  <c r="C34" i="29" s="1" a="1"/>
  <c r="C34" i="29" s="1"/>
  <c r="B34" i="29" s="1"/>
  <c r="O17" i="23"/>
  <c r="P18" i="23" s="1"/>
  <c r="I9" i="23"/>
  <c r="G11" i="23"/>
  <c r="O11" i="23"/>
  <c r="G17" i="23"/>
  <c r="H18" i="23" s="1"/>
  <c r="I17" i="23"/>
  <c r="H9" i="23"/>
  <c r="N11" i="23"/>
  <c r="F17" i="23"/>
  <c r="F18" i="23" s="1"/>
  <c r="F9" i="23"/>
  <c r="N17" i="23"/>
  <c r="D15" i="23"/>
  <c r="FL21" i="31"/>
  <c r="FM21" i="31" s="1"/>
  <c r="FN21" i="31" s="1"/>
  <c r="FO21" i="31" s="1"/>
  <c r="FP21" i="31" s="1"/>
  <c r="FQ21" i="31" s="1"/>
  <c r="FR21" i="31" s="1"/>
  <c r="FS21" i="31" s="1"/>
  <c r="FT21" i="31" s="1"/>
  <c r="FU21" i="31" s="1"/>
  <c r="FV21" i="31" s="1"/>
  <c r="FW21" i="31" s="1"/>
  <c r="FX21" i="31" s="1"/>
  <c r="FY21" i="31" s="1"/>
  <c r="FZ21" i="31" s="1"/>
  <c r="GA21" i="31" s="1"/>
  <c r="GB21" i="31" s="1"/>
  <c r="AN21" i="31"/>
  <c r="AO21" i="31" s="1"/>
  <c r="AP21" i="31" s="1"/>
  <c r="AQ21" i="31" s="1"/>
  <c r="AR21" i="31" s="1"/>
  <c r="AS21" i="31" s="1"/>
  <c r="AT21" i="31" s="1"/>
  <c r="AU21" i="31" s="1"/>
  <c r="AV21" i="31" s="1"/>
  <c r="AW21" i="31" s="1"/>
  <c r="AX21" i="31" s="1"/>
  <c r="AY21" i="31" s="1"/>
  <c r="AZ21" i="31" s="1"/>
  <c r="BA21" i="31" s="1"/>
  <c r="BB21" i="31" s="1"/>
  <c r="BC21" i="31" s="1"/>
  <c r="BD21" i="31" s="1"/>
  <c r="GD21" i="31"/>
  <c r="GE21" i="31" s="1"/>
  <c r="GF21" i="31" s="1"/>
  <c r="GG21" i="31" s="1"/>
  <c r="GH21" i="31" s="1"/>
  <c r="GI21" i="31" s="1"/>
  <c r="GJ21" i="31" s="1"/>
  <c r="GK21" i="31" s="1"/>
  <c r="GL21" i="31" s="1"/>
  <c r="GM21" i="31" s="1"/>
  <c r="GN21" i="31" s="1"/>
  <c r="GO21" i="31" s="1"/>
  <c r="GP21" i="31" s="1"/>
  <c r="GQ21" i="31" s="1"/>
  <c r="GR21" i="31" s="1"/>
  <c r="GS21" i="31" s="1"/>
  <c r="GT21" i="31" s="1"/>
  <c r="GB17" i="31"/>
  <c r="V21" i="31"/>
  <c r="W21" i="31" s="1"/>
  <c r="X21" i="31" s="1"/>
  <c r="Y21" i="31" s="1"/>
  <c r="Z21" i="31" s="1"/>
  <c r="AA21" i="31" s="1"/>
  <c r="AB21" i="31" s="1"/>
  <c r="AC21" i="31" s="1"/>
  <c r="AD21" i="31" s="1"/>
  <c r="AE21" i="31" s="1"/>
  <c r="AF21" i="31" s="1"/>
  <c r="AG21" i="31" s="1"/>
  <c r="AH21" i="31" s="1"/>
  <c r="AI21" i="31" s="1"/>
  <c r="AJ21" i="31" s="1"/>
  <c r="D21" i="31"/>
  <c r="E21" i="31" s="1"/>
  <c r="F21" i="31" s="1"/>
  <c r="G21" i="31" s="1"/>
  <c r="H21" i="31" s="1"/>
  <c r="I21" i="31" s="1"/>
  <c r="J21" i="31" s="1"/>
  <c r="K21" i="31" s="1"/>
  <c r="L21" i="31" s="1"/>
  <c r="BV22" i="31"/>
  <c r="FI22" i="31"/>
  <c r="BC22" i="31"/>
  <c r="DE22" i="31"/>
  <c r="BD17" i="31"/>
  <c r="BD37" i="31"/>
  <c r="BD18" i="31"/>
  <c r="FJ18" i="31"/>
  <c r="IC22" i="31"/>
  <c r="CD23" i="31"/>
  <c r="CD25" i="31" s="1"/>
  <c r="GA22" i="31"/>
  <c r="P15" i="23"/>
  <c r="CM25" i="31"/>
  <c r="FJ35" i="31"/>
  <c r="FJ23" i="31" s="1"/>
  <c r="FJ25" i="31" s="1"/>
  <c r="HY25" i="31"/>
  <c r="DA22" i="31"/>
  <c r="CI22" i="31"/>
  <c r="ID19" i="31"/>
  <c r="HY22" i="31"/>
  <c r="CC23" i="31"/>
  <c r="CC25" i="31" s="1"/>
  <c r="C62" i="24"/>
  <c r="FW22" i="31"/>
  <c r="GB19" i="31"/>
  <c r="T38" i="31"/>
  <c r="B73" i="24"/>
  <c r="C68" i="24"/>
  <c r="C77" i="24"/>
  <c r="B71" i="24"/>
  <c r="FE22" i="31"/>
  <c r="FJ19" i="31"/>
  <c r="B64" i="24"/>
  <c r="C69" i="24"/>
  <c r="AY22" i="31"/>
  <c r="BD19" i="31"/>
  <c r="HR22" i="31"/>
  <c r="HJ22" i="31"/>
  <c r="EJ22" i="31"/>
  <c r="GU22" i="31"/>
  <c r="FD22" i="31"/>
  <c r="GT19" i="31"/>
  <c r="HZ22" i="31"/>
  <c r="HB22" i="31"/>
  <c r="GS22" i="31"/>
  <c r="GT18" i="31"/>
  <c r="GK22" i="31"/>
  <c r="GC22" i="31"/>
  <c r="FT22" i="31"/>
  <c r="FL22" i="31"/>
  <c r="FC22" i="31"/>
  <c r="EB22" i="31"/>
  <c r="DT22" i="31"/>
  <c r="DL22" i="31"/>
  <c r="CU22" i="31"/>
  <c r="CL22" i="31"/>
  <c r="CD22" i="31"/>
  <c r="BN22" i="31"/>
  <c r="AW22" i="31"/>
  <c r="AO22" i="31"/>
  <c r="Y22" i="31"/>
  <c r="ID17" i="31"/>
  <c r="CP21" i="31"/>
  <c r="CQ21" i="31" s="1"/>
  <c r="CR21" i="31" s="1"/>
  <c r="CS21" i="31" s="1"/>
  <c r="CT21" i="31" s="1"/>
  <c r="CU21" i="31" s="1"/>
  <c r="CV21" i="31" s="1"/>
  <c r="CW21" i="31" s="1"/>
  <c r="CX21" i="31" s="1"/>
  <c r="CY21" i="31" s="1"/>
  <c r="CZ21" i="31" s="1"/>
  <c r="DA21" i="31" s="1"/>
  <c r="DB21" i="31" s="1"/>
  <c r="DC21" i="31" s="1"/>
  <c r="DD21" i="31" s="1"/>
  <c r="DE21" i="31" s="1"/>
  <c r="DF21" i="31" s="1"/>
  <c r="IA22" i="31"/>
  <c r="HC22" i="31"/>
  <c r="DM22" i="31"/>
  <c r="CV22" i="31"/>
  <c r="BW22" i="31"/>
  <c r="T18" i="23" l="1"/>
  <c r="E98" i="29"/>
  <c r="E68" i="29"/>
  <c r="E71" i="29" s="1"/>
  <c r="U19" i="23"/>
  <c r="D98" i="29"/>
  <c r="D101" i="29" s="1"/>
  <c r="D68" i="29"/>
  <c r="D71" i="29" s="1"/>
  <c r="S19" i="23"/>
  <c r="EQ22" i="31"/>
  <c r="E101" i="29"/>
  <c r="D21" i="37"/>
  <c r="F15" i="23"/>
  <c r="F19" i="23" s="1"/>
  <c r="G15" i="23"/>
  <c r="G19" i="23" s="1"/>
  <c r="C13" i="23"/>
  <c r="K13" i="23"/>
  <c r="T22" i="31"/>
  <c r="T14" i="23"/>
  <c r="S13" i="23"/>
  <c r="P13" i="23"/>
  <c r="F13" i="23"/>
  <c r="N13" i="23"/>
  <c r="M13" i="23"/>
  <c r="G13" i="23"/>
  <c r="R13" i="23"/>
  <c r="J13" i="23"/>
  <c r="N18" i="23"/>
  <c r="I13" i="23"/>
  <c r="H13" i="23"/>
  <c r="D13" i="23"/>
  <c r="Q13" i="30"/>
  <c r="Q19" i="31" s="1"/>
  <c r="Q22" i="31" s="1"/>
  <c r="D13" i="30"/>
  <c r="P13" i="30"/>
  <c r="L13" i="23"/>
  <c r="R13" i="30"/>
  <c r="H13" i="30"/>
  <c r="O13" i="30"/>
  <c r="G13" i="30"/>
  <c r="N13" i="30"/>
  <c r="E13" i="30"/>
  <c r="F13" i="30"/>
  <c r="O13" i="23"/>
  <c r="L13" i="30"/>
  <c r="S13" i="30"/>
  <c r="E13" i="23"/>
  <c r="Q13" i="23"/>
  <c r="K13" i="30"/>
  <c r="J13" i="30"/>
  <c r="C13" i="30"/>
  <c r="M13" i="30"/>
  <c r="I13" i="30"/>
  <c r="R18" i="23"/>
  <c r="BU23" i="31"/>
  <c r="BU25" i="31" s="1"/>
  <c r="M18" i="23"/>
  <c r="Q18" i="23"/>
  <c r="K15" i="23"/>
  <c r="K19" i="23" s="1"/>
  <c r="N15" i="23"/>
  <c r="N19" i="23" s="1"/>
  <c r="O15" i="23"/>
  <c r="F100" i="37"/>
  <c r="H131" i="28"/>
  <c r="H69" i="28"/>
  <c r="F38" i="28"/>
  <c r="H38" i="28"/>
  <c r="F69" i="37"/>
  <c r="C131" i="37"/>
  <c r="D69" i="28"/>
  <c r="D100" i="37"/>
  <c r="D131" i="37"/>
  <c r="H100" i="37"/>
  <c r="E100" i="28"/>
  <c r="G100" i="37"/>
  <c r="G131" i="28"/>
  <c r="G69" i="28"/>
  <c r="C69" i="37"/>
  <c r="C100" i="28"/>
  <c r="C38" i="28"/>
  <c r="B82" i="29"/>
  <c r="E38" i="28"/>
  <c r="E100" i="37"/>
  <c r="F100" i="28"/>
  <c r="B52" i="29"/>
  <c r="F69" i="28"/>
  <c r="H69" i="37"/>
  <c r="F131" i="28"/>
  <c r="G131" i="37"/>
  <c r="F131" i="37"/>
  <c r="H38" i="37"/>
  <c r="G69" i="37"/>
  <c r="E131" i="28"/>
  <c r="H100" i="28"/>
  <c r="D69" i="37"/>
  <c r="C100" i="37"/>
  <c r="C34" i="23"/>
  <c r="C38" i="37"/>
  <c r="G100" i="28"/>
  <c r="E131" i="37"/>
  <c r="F38" i="37"/>
  <c r="E38" i="37"/>
  <c r="C9" i="28"/>
  <c r="C8" i="37"/>
  <c r="C69" i="28"/>
  <c r="D38" i="37"/>
  <c r="D38" i="28"/>
  <c r="D131" i="28"/>
  <c r="B10" i="28"/>
  <c r="B10" i="37"/>
  <c r="G38" i="28"/>
  <c r="C9" i="37"/>
  <c r="H131" i="37"/>
  <c r="E69" i="37"/>
  <c r="G38" i="37"/>
  <c r="E69" i="28"/>
  <c r="C8" i="28"/>
  <c r="C131" i="28"/>
  <c r="C24" i="23"/>
  <c r="AK21" i="31"/>
  <c r="AL21" i="31" s="1"/>
  <c r="DF22" i="31"/>
  <c r="ID22" i="31"/>
  <c r="M15" i="23"/>
  <c r="M19" i="23" s="1"/>
  <c r="M21" i="31"/>
  <c r="HL36" i="31"/>
  <c r="HL37" i="31" s="1"/>
  <c r="HL23" i="31" s="1"/>
  <c r="HL25" i="31" s="1"/>
  <c r="BV36" i="31"/>
  <c r="J18" i="23"/>
  <c r="D116" i="28"/>
  <c r="D23" i="28"/>
  <c r="D23" i="37"/>
  <c r="D21" i="28"/>
  <c r="D116" i="37"/>
  <c r="D22" i="28"/>
  <c r="D53" i="37"/>
  <c r="D83" i="28"/>
  <c r="D22" i="37"/>
  <c r="D84" i="37"/>
  <c r="GB22" i="31"/>
  <c r="Q15" i="23"/>
  <c r="D85" i="37"/>
  <c r="D83" i="37"/>
  <c r="D54" i="28"/>
  <c r="L15" i="23"/>
  <c r="L19" i="23" s="1"/>
  <c r="AL36" i="31"/>
  <c r="DX36" i="31"/>
  <c r="DX37" i="31" s="1"/>
  <c r="D115" i="28"/>
  <c r="D114" i="28"/>
  <c r="D85" i="28"/>
  <c r="D84" i="28"/>
  <c r="D53" i="28"/>
  <c r="D52" i="28"/>
  <c r="D115" i="37"/>
  <c r="D52" i="37"/>
  <c r="D54" i="37"/>
  <c r="C15" i="23"/>
  <c r="C19" i="23" s="1"/>
  <c r="BD22" i="31"/>
  <c r="FJ22" i="31"/>
  <c r="H15" i="23"/>
  <c r="H19" i="23" s="1"/>
  <c r="E15" i="23"/>
  <c r="E19" i="23" s="1"/>
  <c r="I15" i="23"/>
  <c r="I19" i="23" s="1"/>
  <c r="E18" i="23"/>
  <c r="D18" i="23"/>
  <c r="D114" i="37"/>
  <c r="L18" i="23"/>
  <c r="K18" i="23"/>
  <c r="R23" i="31"/>
  <c r="R25" i="31" s="1"/>
  <c r="R15" i="23"/>
  <c r="EP25" i="31"/>
  <c r="EP36" i="31" s="1"/>
  <c r="EP37" i="31" s="1"/>
  <c r="BD23" i="31"/>
  <c r="BD25" i="31" s="1"/>
  <c r="J15" i="23"/>
  <c r="J19" i="23" s="1"/>
  <c r="CN23" i="31"/>
  <c r="CN25" i="31" s="1"/>
  <c r="O18" i="23"/>
  <c r="G18" i="23"/>
  <c r="I18" i="23"/>
  <c r="ID37" i="31"/>
  <c r="ID23" i="31" s="1"/>
  <c r="ID25" i="31" s="1"/>
  <c r="GT22" i="31"/>
  <c r="CN22" i="31"/>
  <c r="GB37" i="31"/>
  <c r="GB23" i="31" s="1"/>
  <c r="GB25" i="31" s="1"/>
  <c r="GT37" i="31"/>
  <c r="GT23" i="31" s="1"/>
  <c r="GT25" i="31" s="1"/>
  <c r="E12" i="23"/>
  <c r="F12" i="23" s="1"/>
  <c r="G12" i="23" s="1"/>
  <c r="H12" i="23" s="1"/>
  <c r="I12" i="23" s="1"/>
  <c r="V19" i="23" l="1"/>
  <c r="V18" i="23"/>
  <c r="T19" i="23"/>
  <c r="D19" i="23"/>
  <c r="P19" i="23"/>
  <c r="C92" i="29" s="1"/>
  <c r="V13" i="23"/>
  <c r="V14" i="23" s="1"/>
  <c r="C98" i="29"/>
  <c r="C101" i="29" s="1"/>
  <c r="C68" i="29"/>
  <c r="C71" i="29" s="1"/>
  <c r="R19" i="23"/>
  <c r="O19" i="23"/>
  <c r="B62" i="29" s="1"/>
  <c r="B98" i="29"/>
  <c r="B101" i="29" s="1"/>
  <c r="B68" i="29"/>
  <c r="B71" i="29" s="1"/>
  <c r="Q19" i="23"/>
  <c r="C25" i="23"/>
  <c r="H25" i="23" s="1"/>
  <c r="G13" i="28" s="1"/>
  <c r="C35" i="23"/>
  <c r="F35" i="23" s="1"/>
  <c r="E13" i="37" s="1"/>
  <c r="E67" i="28"/>
  <c r="E68" i="28" s="1"/>
  <c r="E70" i="28" s="1"/>
  <c r="I67" i="28"/>
  <c r="I68" i="28" s="1"/>
  <c r="I70" i="28" s="1"/>
  <c r="I36" i="28"/>
  <c r="I37" i="28" s="1"/>
  <c r="I39" i="28" s="1"/>
  <c r="I98" i="28"/>
  <c r="I99" i="28" s="1"/>
  <c r="I101" i="28" s="1"/>
  <c r="J36" i="28"/>
  <c r="J37" i="28" s="1"/>
  <c r="J39" i="28" s="1"/>
  <c r="I129" i="28"/>
  <c r="I130" i="28" s="1"/>
  <c r="I132" i="28" s="1"/>
  <c r="J67" i="28"/>
  <c r="J68" i="28" s="1"/>
  <c r="J70" i="28" s="1"/>
  <c r="J129" i="28"/>
  <c r="J130" i="28" s="1"/>
  <c r="J132" i="28" s="1"/>
  <c r="J98" i="28"/>
  <c r="J99" i="28" s="1"/>
  <c r="J101" i="28" s="1"/>
  <c r="I67" i="37"/>
  <c r="I68" i="37" s="1"/>
  <c r="I70" i="37" s="1"/>
  <c r="I36" i="37"/>
  <c r="I37" i="37" s="1"/>
  <c r="I39" i="37" s="1"/>
  <c r="J67" i="37"/>
  <c r="J68" i="37" s="1"/>
  <c r="J70" i="37" s="1"/>
  <c r="I129" i="37"/>
  <c r="I130" i="37" s="1"/>
  <c r="I132" i="37" s="1"/>
  <c r="I98" i="37"/>
  <c r="I99" i="37" s="1"/>
  <c r="I101" i="37" s="1"/>
  <c r="J36" i="37"/>
  <c r="J37" i="37" s="1"/>
  <c r="J39" i="37" s="1"/>
  <c r="J129" i="37"/>
  <c r="J130" i="37" s="1"/>
  <c r="J132" i="37" s="1"/>
  <c r="J98" i="37"/>
  <c r="J99" i="37" s="1"/>
  <c r="J101" i="37" s="1"/>
  <c r="Q10" i="23"/>
  <c r="Q14" i="23" s="1"/>
  <c r="P19" i="31"/>
  <c r="P22" i="31" s="1"/>
  <c r="P10" i="23"/>
  <c r="P14" i="23" s="1"/>
  <c r="D19" i="31"/>
  <c r="D22" i="31" s="1"/>
  <c r="D10" i="23"/>
  <c r="D14" i="23" s="1"/>
  <c r="M19" i="31"/>
  <c r="M22" i="31" s="1"/>
  <c r="M10" i="23"/>
  <c r="M14" i="23" s="1"/>
  <c r="S19" i="31"/>
  <c r="S22" i="31" s="1"/>
  <c r="S10" i="23"/>
  <c r="S14" i="23" s="1"/>
  <c r="L19" i="31"/>
  <c r="L22" i="31" s="1"/>
  <c r="L10" i="23"/>
  <c r="L14" i="23" s="1"/>
  <c r="H19" i="31"/>
  <c r="H22" i="31" s="1"/>
  <c r="H10" i="23"/>
  <c r="H14" i="23" s="1"/>
  <c r="C19" i="31"/>
  <c r="C22" i="31" s="1"/>
  <c r="C10" i="23"/>
  <c r="R19" i="31"/>
  <c r="R22" i="31" s="1"/>
  <c r="R10" i="23"/>
  <c r="R14" i="23" s="1"/>
  <c r="I19" i="31"/>
  <c r="I22" i="31" s="1"/>
  <c r="I10" i="23"/>
  <c r="O19" i="31"/>
  <c r="O22" i="31" s="1"/>
  <c r="O10" i="23"/>
  <c r="O14" i="23" s="1"/>
  <c r="J19" i="31"/>
  <c r="J22" i="31" s="1"/>
  <c r="J10" i="23"/>
  <c r="J14" i="23" s="1"/>
  <c r="F19" i="31"/>
  <c r="F22" i="31" s="1"/>
  <c r="F10" i="23"/>
  <c r="F14" i="23" s="1"/>
  <c r="K19" i="31"/>
  <c r="K22" i="31" s="1"/>
  <c r="K10" i="23"/>
  <c r="K14" i="23" s="1"/>
  <c r="E19" i="31"/>
  <c r="E22" i="31" s="1"/>
  <c r="E10" i="23"/>
  <c r="E14" i="23" s="1"/>
  <c r="N19" i="31"/>
  <c r="N22" i="31" s="1"/>
  <c r="N10" i="23"/>
  <c r="N14" i="23" s="1"/>
  <c r="G19" i="31"/>
  <c r="G22" i="31" s="1"/>
  <c r="G10" i="23"/>
  <c r="G14" i="23" s="1"/>
  <c r="BV37" i="31"/>
  <c r="BV23" i="31" s="1"/>
  <c r="BV25" i="31" s="1"/>
  <c r="DX23" i="31"/>
  <c r="DX25" i="31" s="1"/>
  <c r="AL37" i="31"/>
  <c r="AL39" i="31"/>
  <c r="AL40" i="31" s="1"/>
  <c r="AL41" i="31" s="1"/>
  <c r="AL42" i="31" s="1"/>
  <c r="T37" i="31"/>
  <c r="T39" i="31"/>
  <c r="H129" i="28"/>
  <c r="H130" i="28" s="1"/>
  <c r="H132" i="28" s="1"/>
  <c r="E98" i="28"/>
  <c r="E99" i="28" s="1"/>
  <c r="E101" i="28" s="1"/>
  <c r="C36" i="28"/>
  <c r="C37" i="28" s="1"/>
  <c r="C39" i="28" s="1"/>
  <c r="E36" i="28"/>
  <c r="E37" i="28" s="1"/>
  <c r="E39" i="28" s="1"/>
  <c r="E36" i="37"/>
  <c r="E37" i="37" s="1"/>
  <c r="E39" i="37" s="1"/>
  <c r="F129" i="37"/>
  <c r="F130" i="37" s="1"/>
  <c r="F132" i="37" s="1"/>
  <c r="E67" i="37"/>
  <c r="E68" i="37" s="1"/>
  <c r="E70" i="37" s="1"/>
  <c r="D129" i="37"/>
  <c r="D130" i="37" s="1"/>
  <c r="D132" i="37" s="1"/>
  <c r="H67" i="37"/>
  <c r="H68" i="37" s="1"/>
  <c r="H70" i="37" s="1"/>
  <c r="G98" i="37"/>
  <c r="G99" i="37" s="1"/>
  <c r="G101" i="37" s="1"/>
  <c r="F67" i="37"/>
  <c r="F68" i="37" s="1"/>
  <c r="F70" i="37" s="1"/>
  <c r="D36" i="37"/>
  <c r="D37" i="37" s="1"/>
  <c r="D39" i="37" s="1"/>
  <c r="C98" i="37"/>
  <c r="C99" i="37" s="1"/>
  <c r="C101" i="37" s="1"/>
  <c r="D67" i="37"/>
  <c r="D68" i="37" s="1"/>
  <c r="D70" i="37" s="1"/>
  <c r="C129" i="37"/>
  <c r="C130" i="37" s="1"/>
  <c r="C132" i="37" s="1"/>
  <c r="E129" i="37"/>
  <c r="E130" i="37" s="1"/>
  <c r="E132" i="37" s="1"/>
  <c r="D98" i="37"/>
  <c r="D99" i="37" s="1"/>
  <c r="D101" i="37" s="1"/>
  <c r="G129" i="37"/>
  <c r="G130" i="37" s="1"/>
  <c r="G132" i="37" s="1"/>
  <c r="C36" i="37"/>
  <c r="C37" i="37" s="1"/>
  <c r="C39" i="37" s="1"/>
  <c r="C67" i="37"/>
  <c r="C68" i="37" s="1"/>
  <c r="C70" i="37" s="1"/>
  <c r="E98" i="37"/>
  <c r="E99" i="37" s="1"/>
  <c r="E101" i="37" s="1"/>
  <c r="G67" i="37"/>
  <c r="G68" i="37" s="1"/>
  <c r="G70" i="37" s="1"/>
  <c r="F36" i="37"/>
  <c r="F37" i="37" s="1"/>
  <c r="F39" i="37" s="1"/>
  <c r="H129" i="37"/>
  <c r="H130" i="37" s="1"/>
  <c r="H132" i="37" s="1"/>
  <c r="G36" i="37"/>
  <c r="G37" i="37" s="1"/>
  <c r="G39" i="37" s="1"/>
  <c r="F98" i="37"/>
  <c r="F99" i="37" s="1"/>
  <c r="F101" i="37" s="1"/>
  <c r="H36" i="37"/>
  <c r="H37" i="37" s="1"/>
  <c r="H39" i="37" s="1"/>
  <c r="H98" i="37"/>
  <c r="H99" i="37" s="1"/>
  <c r="H101" i="37" s="1"/>
  <c r="C129" i="28"/>
  <c r="C130" i="28" s="1"/>
  <c r="C132" i="28" s="1"/>
  <c r="E129" i="28"/>
  <c r="E130" i="28" s="1"/>
  <c r="E132" i="28" s="1"/>
  <c r="G36" i="28"/>
  <c r="G37" i="28" s="1"/>
  <c r="G39" i="28" s="1"/>
  <c r="F67" i="28"/>
  <c r="F68" i="28" s="1"/>
  <c r="F70" i="28" s="1"/>
  <c r="G129" i="28"/>
  <c r="G130" i="28" s="1"/>
  <c r="G132" i="28" s="1"/>
  <c r="D129" i="28"/>
  <c r="D130" i="28" s="1"/>
  <c r="D132" i="28" s="1"/>
  <c r="D67" i="28"/>
  <c r="D68" i="28" s="1"/>
  <c r="D70" i="28" s="1"/>
  <c r="H98" i="28"/>
  <c r="H99" i="28" s="1"/>
  <c r="H101" i="28" s="1"/>
  <c r="H36" i="28"/>
  <c r="H37" i="28" s="1"/>
  <c r="H39" i="28" s="1"/>
  <c r="F98" i="28"/>
  <c r="F99" i="28" s="1"/>
  <c r="F101" i="28" s="1"/>
  <c r="D98" i="28"/>
  <c r="D99" i="28" s="1"/>
  <c r="D101" i="28" s="1"/>
  <c r="F36" i="28"/>
  <c r="F37" i="28" s="1"/>
  <c r="F39" i="28" s="1"/>
  <c r="G67" i="28"/>
  <c r="G68" i="28" s="1"/>
  <c r="G70" i="28" s="1"/>
  <c r="D36" i="28"/>
  <c r="D37" i="28" s="1"/>
  <c r="D39" i="28" s="1"/>
  <c r="H67" i="28"/>
  <c r="H68" i="28" s="1"/>
  <c r="H70" i="28" s="1"/>
  <c r="F129" i="28"/>
  <c r="F130" i="28" s="1"/>
  <c r="F132" i="28" s="1"/>
  <c r="G98" i="28"/>
  <c r="G99" i="28" s="1"/>
  <c r="G101" i="28" s="1"/>
  <c r="C98" i="28"/>
  <c r="C99" i="28" s="1"/>
  <c r="C101" i="28" s="1"/>
  <c r="C67" i="28"/>
  <c r="C68" i="28" s="1"/>
  <c r="C70" i="28" s="1"/>
  <c r="N21" i="31"/>
  <c r="F92" i="29"/>
  <c r="J12" i="23"/>
  <c r="B92" i="29" l="1"/>
  <c r="C62" i="29"/>
  <c r="G62" i="29"/>
  <c r="G92" i="29"/>
  <c r="E25" i="23"/>
  <c r="D13" i="28" s="1"/>
  <c r="I35" i="23"/>
  <c r="H13" i="37" s="1"/>
  <c r="G35" i="23"/>
  <c r="F13" i="37" s="1"/>
  <c r="H35" i="23"/>
  <c r="G13" i="37" s="1"/>
  <c r="D35" i="23"/>
  <c r="C13" i="37" s="1"/>
  <c r="G25" i="23"/>
  <c r="F13" i="28" s="1"/>
  <c r="E35" i="23"/>
  <c r="D13" i="37" s="1"/>
  <c r="D25" i="23"/>
  <c r="C13" i="28" s="1"/>
  <c r="I25" i="23"/>
  <c r="H13" i="28" s="1"/>
  <c r="F25" i="23"/>
  <c r="E13" i="28" s="1"/>
  <c r="K35" i="23"/>
  <c r="J13" i="37" s="1"/>
  <c r="J35" i="23"/>
  <c r="I13" i="37" s="1"/>
  <c r="K25" i="23"/>
  <c r="J13" i="28" s="1"/>
  <c r="J25" i="23"/>
  <c r="I13" i="28" s="1"/>
  <c r="AL23" i="31"/>
  <c r="AL25" i="31" s="1"/>
  <c r="I14" i="23"/>
  <c r="C38" i="23" s="1"/>
  <c r="C36" i="23"/>
  <c r="C26" i="23"/>
  <c r="C14" i="23"/>
  <c r="T23" i="31"/>
  <c r="T25" i="31" s="1"/>
  <c r="D62" i="29"/>
  <c r="C29" i="23"/>
  <c r="O21" i="31"/>
  <c r="D92" i="29"/>
  <c r="F62" i="29"/>
  <c r="E62" i="29"/>
  <c r="E92" i="29"/>
  <c r="C39" i="23"/>
  <c r="K12" i="23"/>
  <c r="L12" i="23" s="1"/>
  <c r="M12" i="23" s="1"/>
  <c r="N12" i="23" s="1"/>
  <c r="O12" i="23" s="1"/>
  <c r="D38" i="23" l="1"/>
  <c r="C16" i="37" s="1"/>
  <c r="C42" i="37" s="1"/>
  <c r="J38" i="23"/>
  <c r="I16" i="37" s="1"/>
  <c r="K38" i="23"/>
  <c r="J16" i="37" s="1"/>
  <c r="J26" i="23"/>
  <c r="I14" i="28" s="1"/>
  <c r="K26" i="23"/>
  <c r="J14" i="28" s="1"/>
  <c r="J36" i="23"/>
  <c r="I14" i="37" s="1"/>
  <c r="K36" i="23"/>
  <c r="J14" i="37" s="1"/>
  <c r="K29" i="23"/>
  <c r="J29" i="23"/>
  <c r="J39" i="23"/>
  <c r="K39" i="23"/>
  <c r="C28" i="23"/>
  <c r="G38" i="23"/>
  <c r="F16" i="37" s="1"/>
  <c r="F73" i="37" s="1"/>
  <c r="H38" i="23"/>
  <c r="G16" i="37" s="1"/>
  <c r="G42" i="37" s="1"/>
  <c r="E38" i="23"/>
  <c r="D16" i="37" s="1"/>
  <c r="D42" i="37" s="1"/>
  <c r="F36" i="23"/>
  <c r="E14" i="37" s="1"/>
  <c r="H36" i="23"/>
  <c r="G14" i="37" s="1"/>
  <c r="I36" i="23"/>
  <c r="H14" i="37" s="1"/>
  <c r="E36" i="23"/>
  <c r="D14" i="37" s="1"/>
  <c r="D36" i="23"/>
  <c r="C14" i="37" s="1"/>
  <c r="G36" i="23"/>
  <c r="F14" i="37" s="1"/>
  <c r="F38" i="23"/>
  <c r="E16" i="37" s="1"/>
  <c r="E104" i="37" s="1"/>
  <c r="F26" i="23"/>
  <c r="E14" i="28" s="1"/>
  <c r="I26" i="23"/>
  <c r="H14" i="28" s="1"/>
  <c r="G26" i="23"/>
  <c r="F14" i="28" s="1"/>
  <c r="D26" i="23"/>
  <c r="C14" i="28" s="1"/>
  <c r="E26" i="23"/>
  <c r="D14" i="28" s="1"/>
  <c r="H26" i="23"/>
  <c r="G14" i="28" s="1"/>
  <c r="H92" i="29"/>
  <c r="I92" i="29" s="1"/>
  <c r="I39" i="23"/>
  <c r="I29" i="23"/>
  <c r="H62" i="29"/>
  <c r="I62" i="29" s="1"/>
  <c r="C10" i="28"/>
  <c r="H29" i="23"/>
  <c r="D39" i="23"/>
  <c r="H39" i="23"/>
  <c r="D29" i="23"/>
  <c r="G29" i="23"/>
  <c r="F29" i="23"/>
  <c r="E29" i="23"/>
  <c r="P21" i="31"/>
  <c r="G39" i="23"/>
  <c r="C10" i="37"/>
  <c r="E39" i="23"/>
  <c r="F39" i="23"/>
  <c r="P12" i="23"/>
  <c r="C135" i="37" l="1"/>
  <c r="C104" i="37"/>
  <c r="C73" i="37"/>
  <c r="D28" i="23"/>
  <c r="C16" i="28" s="1"/>
  <c r="C73" i="28" s="1"/>
  <c r="J28" i="23"/>
  <c r="I16" i="28" s="1"/>
  <c r="K28" i="23"/>
  <c r="J16" i="28" s="1"/>
  <c r="J42" i="37"/>
  <c r="J135" i="37"/>
  <c r="J104" i="37"/>
  <c r="J73" i="37"/>
  <c r="I42" i="37"/>
  <c r="I104" i="37"/>
  <c r="I73" i="37"/>
  <c r="I135" i="37"/>
  <c r="H101" i="29"/>
  <c r="G104" i="37"/>
  <c r="G135" i="37"/>
  <c r="E28" i="23"/>
  <c r="D16" i="28" s="1"/>
  <c r="D42" i="28" s="1"/>
  <c r="G28" i="23"/>
  <c r="F16" i="28" s="1"/>
  <c r="F104" i="28" s="1"/>
  <c r="F28" i="23"/>
  <c r="E16" i="28" s="1"/>
  <c r="H28" i="23"/>
  <c r="G16" i="28" s="1"/>
  <c r="G73" i="37"/>
  <c r="F42" i="37"/>
  <c r="E42" i="37"/>
  <c r="E73" i="37"/>
  <c r="E135" i="37"/>
  <c r="D73" i="37"/>
  <c r="D104" i="37"/>
  <c r="H98" i="29"/>
  <c r="D135" i="37"/>
  <c r="F104" i="37"/>
  <c r="F135" i="37"/>
  <c r="H68" i="29"/>
  <c r="Q21" i="31"/>
  <c r="Q12" i="23"/>
  <c r="C104" i="28" l="1"/>
  <c r="J135" i="28"/>
  <c r="J42" i="28"/>
  <c r="J104" i="28"/>
  <c r="J73" i="28"/>
  <c r="I135" i="28"/>
  <c r="I42" i="28"/>
  <c r="I73" i="28"/>
  <c r="I104" i="28"/>
  <c r="C42" i="28"/>
  <c r="C135" i="28"/>
  <c r="F42" i="28"/>
  <c r="D73" i="28"/>
  <c r="G73" i="28"/>
  <c r="G135" i="28"/>
  <c r="G42" i="28"/>
  <c r="G104" i="28"/>
  <c r="E135" i="28"/>
  <c r="E42" i="28"/>
  <c r="E73" i="28"/>
  <c r="E104" i="28"/>
  <c r="F135" i="28"/>
  <c r="F73" i="28"/>
  <c r="D135" i="28"/>
  <c r="D104" i="28"/>
  <c r="H71" i="29"/>
  <c r="R21" i="31"/>
  <c r="S21" i="31" s="1"/>
  <c r="T21" i="31" s="1"/>
  <c r="R12" i="23"/>
  <c r="S12" i="23" s="1"/>
  <c r="T12" i="23" s="1"/>
  <c r="U12" i="23" l="1"/>
  <c r="V12" i="23" s="1"/>
  <c r="C37" i="23"/>
  <c r="C27" i="23" l="1"/>
  <c r="D27" i="23" s="1"/>
  <c r="C15" i="28" s="1"/>
  <c r="C64" i="28" s="1"/>
  <c r="G37" i="23"/>
  <c r="F15" i="37" s="1"/>
  <c r="F126" i="37" s="1"/>
  <c r="K37" i="23"/>
  <c r="J15" i="37" s="1"/>
  <c r="J37" i="23"/>
  <c r="I15" i="37" s="1"/>
  <c r="D37" i="23"/>
  <c r="C15" i="37" s="1"/>
  <c r="E37" i="23"/>
  <c r="D15" i="37" s="1"/>
  <c r="F37" i="23"/>
  <c r="E15" i="37" s="1"/>
  <c r="H37" i="23"/>
  <c r="G15" i="37" s="1"/>
  <c r="E27" i="23" l="1"/>
  <c r="D15" i="28" s="1"/>
  <c r="D126" i="28" s="1"/>
  <c r="D134" i="28" s="1"/>
  <c r="D137" i="28" s="1"/>
  <c r="D139" i="28" s="1"/>
  <c r="F27" i="23"/>
  <c r="E15" i="28" s="1"/>
  <c r="E126" i="28" s="1"/>
  <c r="E134" i="28" s="1"/>
  <c r="E137" i="28" s="1"/>
  <c r="E139" i="28" s="1"/>
  <c r="G27" i="23"/>
  <c r="F15" i="28" s="1"/>
  <c r="F33" i="28" s="1"/>
  <c r="F41" i="28" s="1"/>
  <c r="F44" i="28" s="1"/>
  <c r="F46" i="28" s="1"/>
  <c r="H27" i="23"/>
  <c r="G15" i="28" s="1"/>
  <c r="G33" i="28" s="1"/>
  <c r="K27" i="23"/>
  <c r="J15" i="28" s="1"/>
  <c r="J64" i="28" s="1"/>
  <c r="J72" i="28" s="1"/>
  <c r="J75" i="28" s="1"/>
  <c r="J77" i="28" s="1"/>
  <c r="J27" i="23"/>
  <c r="I15" i="28" s="1"/>
  <c r="I64" i="28" s="1"/>
  <c r="I72" i="28" s="1"/>
  <c r="I75" i="28" s="1"/>
  <c r="I77" i="28" s="1"/>
  <c r="F64" i="37"/>
  <c r="F72" i="37" s="1"/>
  <c r="F75" i="37" s="1"/>
  <c r="F77" i="37" s="1"/>
  <c r="F33" i="37"/>
  <c r="F41" i="37" s="1"/>
  <c r="F44" i="37" s="1"/>
  <c r="F46" i="37" s="1"/>
  <c r="F95" i="37"/>
  <c r="F103" i="37" s="1"/>
  <c r="F106" i="37" s="1"/>
  <c r="F108" i="37" s="1"/>
  <c r="C126" i="28"/>
  <c r="C134" i="28" s="1"/>
  <c r="C137" i="28" s="1"/>
  <c r="C139" i="28" s="1"/>
  <c r="I64" i="37"/>
  <c r="I72" i="37" s="1"/>
  <c r="I75" i="37" s="1"/>
  <c r="I77" i="37" s="1"/>
  <c r="I95" i="37"/>
  <c r="I103" i="37" s="1"/>
  <c r="I106" i="37" s="1"/>
  <c r="I108" i="37" s="1"/>
  <c r="I126" i="37"/>
  <c r="I134" i="37" s="1"/>
  <c r="I137" i="37" s="1"/>
  <c r="I139" i="37" s="1"/>
  <c r="I33" i="37"/>
  <c r="I41" i="37" s="1"/>
  <c r="I44" i="37" s="1"/>
  <c r="I46" i="37" s="1"/>
  <c r="C95" i="28"/>
  <c r="C103" i="28" s="1"/>
  <c r="C106" i="28" s="1"/>
  <c r="C108" i="28" s="1"/>
  <c r="C33" i="28"/>
  <c r="C41" i="28" s="1"/>
  <c r="C44" i="28" s="1"/>
  <c r="C46" i="28" s="1"/>
  <c r="J33" i="37"/>
  <c r="J41" i="37" s="1"/>
  <c r="J44" i="37" s="1"/>
  <c r="J46" i="37" s="1"/>
  <c r="J64" i="37"/>
  <c r="J72" i="37" s="1"/>
  <c r="J75" i="37" s="1"/>
  <c r="J77" i="37" s="1"/>
  <c r="J95" i="37"/>
  <c r="J103" i="37" s="1"/>
  <c r="J106" i="37" s="1"/>
  <c r="J108" i="37" s="1"/>
  <c r="J126" i="37"/>
  <c r="J134" i="37" s="1"/>
  <c r="J137" i="37" s="1"/>
  <c r="J139" i="37" s="1"/>
  <c r="C72" i="28"/>
  <c r="C75" i="28" s="1"/>
  <c r="C77" i="28" s="1"/>
  <c r="G33" i="37"/>
  <c r="G126" i="37"/>
  <c r="G95" i="37"/>
  <c r="G64" i="37"/>
  <c r="I37" i="23"/>
  <c r="H15" i="37" s="1"/>
  <c r="I27" i="23"/>
  <c r="H15" i="28" s="1"/>
  <c r="E95" i="37"/>
  <c r="E33" i="37"/>
  <c r="E64" i="37"/>
  <c r="E126" i="37"/>
  <c r="D95" i="37"/>
  <c r="D33" i="37"/>
  <c r="D126" i="37"/>
  <c r="D64" i="37"/>
  <c r="C126" i="37"/>
  <c r="C64" i="37"/>
  <c r="C95" i="37"/>
  <c r="C33" i="37"/>
  <c r="F134" i="37"/>
  <c r="F137" i="37" s="1"/>
  <c r="F139" i="37" s="1"/>
  <c r="J126" i="28" l="1"/>
  <c r="J134" i="28" s="1"/>
  <c r="J137" i="28" s="1"/>
  <c r="J139" i="28" s="1"/>
  <c r="I95" i="28"/>
  <c r="I103" i="28" s="1"/>
  <c r="I106" i="28" s="1"/>
  <c r="I108" i="28" s="1"/>
  <c r="I33" i="28"/>
  <c r="I41" i="28" s="1"/>
  <c r="I44" i="28" s="1"/>
  <c r="I46" i="28" s="1"/>
  <c r="I126" i="28"/>
  <c r="I134" i="28" s="1"/>
  <c r="I137" i="28" s="1"/>
  <c r="I139" i="28" s="1"/>
  <c r="F126" i="28"/>
  <c r="F134" i="28" s="1"/>
  <c r="F137" i="28" s="1"/>
  <c r="F139" i="28" s="1"/>
  <c r="J33" i="28"/>
  <c r="J41" i="28" s="1"/>
  <c r="J44" i="28" s="1"/>
  <c r="J46" i="28" s="1"/>
  <c r="F64" i="28"/>
  <c r="F72" i="28" s="1"/>
  <c r="F75" i="28" s="1"/>
  <c r="F77" i="28" s="1"/>
  <c r="F95" i="28"/>
  <c r="F103" i="28" s="1"/>
  <c r="F106" i="28" s="1"/>
  <c r="F108" i="28" s="1"/>
  <c r="J95" i="28"/>
  <c r="J103" i="28" s="1"/>
  <c r="J106" i="28" s="1"/>
  <c r="J108" i="28" s="1"/>
  <c r="G95" i="28"/>
  <c r="G103" i="28" s="1"/>
  <c r="G106" i="28" s="1"/>
  <c r="G108" i="28" s="1"/>
  <c r="G126" i="28"/>
  <c r="G134" i="28" s="1"/>
  <c r="G137" i="28" s="1"/>
  <c r="G139" i="28" s="1"/>
  <c r="G64" i="28"/>
  <c r="G72" i="28" s="1"/>
  <c r="G75" i="28" s="1"/>
  <c r="G77" i="28" s="1"/>
  <c r="D33" i="28"/>
  <c r="D41" i="28" s="1"/>
  <c r="D44" i="28" s="1"/>
  <c r="D46" i="28" s="1"/>
  <c r="D64" i="28"/>
  <c r="D72" i="28" s="1"/>
  <c r="D75" i="28" s="1"/>
  <c r="D77" i="28" s="1"/>
  <c r="E95" i="28"/>
  <c r="E103" i="28" s="1"/>
  <c r="E106" i="28" s="1"/>
  <c r="E108" i="28" s="1"/>
  <c r="D95" i="28"/>
  <c r="D103" i="28" s="1"/>
  <c r="D106" i="28" s="1"/>
  <c r="D108" i="28" s="1"/>
  <c r="E64" i="28"/>
  <c r="E72" i="28" s="1"/>
  <c r="E75" i="28" s="1"/>
  <c r="E77" i="28" s="1"/>
  <c r="E33" i="28"/>
  <c r="E41" i="28" s="1"/>
  <c r="E44" i="28" s="1"/>
  <c r="E46" i="28" s="1"/>
  <c r="D41" i="37"/>
  <c r="D44" i="37" s="1"/>
  <c r="D46" i="37" s="1"/>
  <c r="E134" i="37"/>
  <c r="E137" i="37" s="1"/>
  <c r="E139" i="37" s="1"/>
  <c r="H64" i="28"/>
  <c r="H33" i="28"/>
  <c r="H126" i="28"/>
  <c r="H95" i="28"/>
  <c r="G134" i="37"/>
  <c r="G137" i="37" s="1"/>
  <c r="G139" i="37" s="1"/>
  <c r="D103" i="37"/>
  <c r="D106" i="37" s="1"/>
  <c r="D108" i="37" s="1"/>
  <c r="E72" i="37"/>
  <c r="E75" i="37" s="1"/>
  <c r="E77" i="37" s="1"/>
  <c r="H33" i="37"/>
  <c r="H64" i="37"/>
  <c r="H95" i="37"/>
  <c r="H126" i="37"/>
  <c r="G41" i="28"/>
  <c r="G44" i="28" s="1"/>
  <c r="G46" i="28" s="1"/>
  <c r="G41" i="37"/>
  <c r="G44" i="37" s="1"/>
  <c r="G46" i="37" s="1"/>
  <c r="C103" i="37"/>
  <c r="C106" i="37" s="1"/>
  <c r="C108" i="37" s="1"/>
  <c r="E41" i="37"/>
  <c r="E44" i="37" s="1"/>
  <c r="E46" i="37" s="1"/>
  <c r="E103" i="37"/>
  <c r="E106" i="37" s="1"/>
  <c r="E108" i="37" s="1"/>
  <c r="C41" i="37"/>
  <c r="C44" i="37" s="1"/>
  <c r="C46" i="37" s="1"/>
  <c r="C72" i="37"/>
  <c r="C75" i="37" s="1"/>
  <c r="C77" i="37" s="1"/>
  <c r="D72" i="37"/>
  <c r="D75" i="37" s="1"/>
  <c r="D77" i="37" s="1"/>
  <c r="G72" i="37"/>
  <c r="G75" i="37" s="1"/>
  <c r="G77" i="37" s="1"/>
  <c r="C134" i="37"/>
  <c r="C137" i="37" s="1"/>
  <c r="C139" i="37" s="1"/>
  <c r="D134" i="37"/>
  <c r="D137" i="37" s="1"/>
  <c r="D139" i="37" s="1"/>
  <c r="G103" i="37"/>
  <c r="G106" i="37" s="1"/>
  <c r="G108" i="37" s="1"/>
  <c r="H41" i="28" l="1"/>
  <c r="H134" i="37"/>
  <c r="H72" i="28"/>
  <c r="H103" i="37"/>
  <c r="H72" i="37"/>
  <c r="H41" i="37"/>
  <c r="H103" i="28"/>
  <c r="H134" i="28"/>
  <c r="H91" i="29" l="1"/>
  <c r="I91" i="29" s="1"/>
  <c r="I38" i="23"/>
  <c r="H16" i="37" s="1"/>
  <c r="H73" i="37" s="1"/>
  <c r="H75" i="37" s="1"/>
  <c r="H77" i="37" s="1"/>
  <c r="I28" i="23"/>
  <c r="H16" i="28" s="1"/>
  <c r="H42" i="37" l="1"/>
  <c r="H44" i="37" s="1"/>
  <c r="H46" i="37" s="1"/>
  <c r="H135" i="37"/>
  <c r="H137" i="37" s="1"/>
  <c r="H139" i="37" s="1"/>
  <c r="H135" i="28"/>
  <c r="H137" i="28" s="1"/>
  <c r="H139" i="28" s="1"/>
  <c r="H42" i="28"/>
  <c r="H44" i="28" s="1"/>
  <c r="H46" i="28" s="1"/>
  <c r="H104" i="28"/>
  <c r="H106" i="28" s="1"/>
  <c r="H108" i="28" s="1"/>
  <c r="H73" i="28"/>
  <c r="H75" i="28" s="1"/>
  <c r="H77" i="28" s="1"/>
  <c r="H104" i="37"/>
  <c r="H106" i="37" s="1"/>
  <c r="H108" i="37" s="1"/>
  <c r="H90" i="29" l="1"/>
  <c r="I90" i="29" s="1"/>
  <c r="B49" i="20" l="1"/>
  <c r="B37" i="20"/>
  <c r="B48" i="20" l="1"/>
  <c r="C22" i="27" l="1"/>
  <c r="D23" i="27"/>
  <c r="E23" i="27" s="1"/>
  <c r="C91" i="37" s="1"/>
  <c r="C92" i="37" s="1"/>
  <c r="D22" i="27"/>
  <c r="E22" i="27" s="1"/>
  <c r="C60" i="37" s="1"/>
  <c r="C61" i="37" s="1"/>
  <c r="D21" i="27"/>
  <c r="C23" i="27"/>
  <c r="C21" i="27"/>
  <c r="D24" i="27"/>
  <c r="E24" i="27" s="1"/>
  <c r="C122" i="37" s="1"/>
  <c r="C123" i="37" s="1"/>
  <c r="C24" i="27"/>
  <c r="I78" i="37" l="1"/>
  <c r="F89" i="29" s="1"/>
  <c r="J78" i="37"/>
  <c r="G89" i="29" s="1"/>
  <c r="J140" i="37"/>
  <c r="G91" i="29" s="1"/>
  <c r="I140" i="37"/>
  <c r="F91" i="29" s="1"/>
  <c r="I109" i="37"/>
  <c r="F90" i="29" s="1"/>
  <c r="J109" i="37"/>
  <c r="G90" i="29" s="1"/>
  <c r="E140" i="37"/>
  <c r="B91" i="29" s="1"/>
  <c r="H140" i="37"/>
  <c r="E91" i="29" s="1"/>
  <c r="C140" i="37"/>
  <c r="D140" i="37"/>
  <c r="G140" i="37"/>
  <c r="D91" i="29" s="1"/>
  <c r="F140" i="37"/>
  <c r="C91" i="29" s="1"/>
  <c r="C25" i="27"/>
  <c r="D25" i="27"/>
  <c r="E21" i="27"/>
  <c r="E78" i="37"/>
  <c r="B89" i="29" s="1"/>
  <c r="C78" i="37"/>
  <c r="G78" i="37"/>
  <c r="D89" i="29" s="1"/>
  <c r="D78" i="37"/>
  <c r="H78" i="37"/>
  <c r="E89" i="29" s="1"/>
  <c r="F78" i="37"/>
  <c r="C89" i="29" s="1"/>
  <c r="D109" i="37"/>
  <c r="G109" i="37"/>
  <c r="D90" i="29" s="1"/>
  <c r="C109" i="37"/>
  <c r="F109" i="37"/>
  <c r="C90" i="29" s="1"/>
  <c r="E109" i="37"/>
  <c r="B90" i="29" s="1"/>
  <c r="H109" i="37"/>
  <c r="E90" i="29" s="1"/>
  <c r="H89" i="29" l="1"/>
  <c r="I89" i="29" s="1"/>
  <c r="C29" i="37"/>
  <c r="C30" i="37" s="1"/>
  <c r="E25" i="27"/>
  <c r="J47" i="37" l="1"/>
  <c r="G88" i="29" s="1"/>
  <c r="I47" i="37"/>
  <c r="F88" i="29" s="1"/>
  <c r="E47" i="37"/>
  <c r="H47" i="37"/>
  <c r="E88" i="29" s="1"/>
  <c r="G47" i="37"/>
  <c r="C47" i="37"/>
  <c r="D47" i="37"/>
  <c r="F47" i="37"/>
  <c r="B88" i="29" l="1"/>
  <c r="B94" i="29" s="1"/>
  <c r="B95" i="29" s="1"/>
  <c r="B96" i="29" s="1"/>
  <c r="B99" i="29" s="1"/>
  <c r="B102" i="29" s="1"/>
  <c r="F94" i="29"/>
  <c r="F95" i="29" s="1"/>
  <c r="F96" i="29" s="1"/>
  <c r="F99" i="29" s="1"/>
  <c r="F102" i="29" s="1"/>
  <c r="D88" i="29"/>
  <c r="D94" i="29" s="1"/>
  <c r="D95" i="29" s="1"/>
  <c r="D96" i="29" s="1"/>
  <c r="D99" i="29" s="1"/>
  <c r="D102" i="29" s="1"/>
  <c r="E94" i="29"/>
  <c r="E95" i="29" s="1"/>
  <c r="E96" i="29" s="1"/>
  <c r="E99" i="29" s="1"/>
  <c r="E102" i="29" s="1"/>
  <c r="C88" i="29"/>
  <c r="C94" i="29" s="1"/>
  <c r="C95" i="29" s="1"/>
  <c r="C96" i="29" s="1"/>
  <c r="C99" i="29" s="1"/>
  <c r="C102" i="29" s="1"/>
  <c r="G94" i="29"/>
  <c r="G95" i="29" s="1"/>
  <c r="G96" i="29" s="1"/>
  <c r="G99" i="29" s="1"/>
  <c r="G102" i="29" s="1"/>
  <c r="H88" i="29"/>
  <c r="H94" i="29" l="1"/>
  <c r="I94" i="29" s="1"/>
  <c r="I88" i="29"/>
  <c r="H99" i="29"/>
  <c r="H100" i="29" s="1"/>
  <c r="B36" i="20"/>
  <c r="J79" i="29" l="1"/>
  <c r="H95" i="29"/>
  <c r="H96" i="29" s="1"/>
  <c r="J80" i="29"/>
  <c r="J76" i="29"/>
  <c r="J77" i="29"/>
  <c r="J78" i="29"/>
  <c r="I95" i="29"/>
  <c r="I96" i="29" s="1"/>
  <c r="AN76" i="29"/>
  <c r="H102" i="29"/>
  <c r="H103" i="29" s="1"/>
  <c r="C13" i="27"/>
  <c r="C14" i="27"/>
  <c r="D14" i="27"/>
  <c r="E14" i="27" s="1"/>
  <c r="C91" i="28" s="1"/>
  <c r="C92" i="28" s="1"/>
  <c r="D12" i="27"/>
  <c r="C12" i="27"/>
  <c r="D15" i="27"/>
  <c r="E15" i="27" s="1"/>
  <c r="C122" i="28" s="1"/>
  <c r="C123" i="28" s="1"/>
  <c r="D13" i="27"/>
  <c r="E13" i="27" s="1"/>
  <c r="C60" i="28" s="1"/>
  <c r="C61" i="28" s="1"/>
  <c r="C15" i="27"/>
  <c r="J140" i="28" l="1"/>
  <c r="G61" i="29" s="1"/>
  <c r="I140" i="28"/>
  <c r="F61" i="29" s="1"/>
  <c r="I109" i="28"/>
  <c r="F60" i="29" s="1"/>
  <c r="J109" i="28"/>
  <c r="G60" i="29" s="1"/>
  <c r="J78" i="28"/>
  <c r="G59" i="29" s="1"/>
  <c r="I78" i="28"/>
  <c r="F59" i="29" s="1"/>
  <c r="C16" i="27"/>
  <c r="E12" i="27"/>
  <c r="D16" i="27"/>
  <c r="H140" i="28"/>
  <c r="E61" i="29" s="1"/>
  <c r="C140" i="28"/>
  <c r="E140" i="28"/>
  <c r="B61" i="29" s="1"/>
  <c r="F140" i="28"/>
  <c r="C61" i="29" s="1"/>
  <c r="D140" i="28"/>
  <c r="G140" i="28"/>
  <c r="D61" i="29" s="1"/>
  <c r="C78" i="28"/>
  <c r="F78" i="28"/>
  <c r="C59" i="29" s="1"/>
  <c r="D78" i="28"/>
  <c r="G78" i="28"/>
  <c r="D59" i="29" s="1"/>
  <c r="H78" i="28"/>
  <c r="E59" i="29" s="1"/>
  <c r="E78" i="28"/>
  <c r="B59" i="29" s="1"/>
  <c r="C109" i="28"/>
  <c r="D109" i="28"/>
  <c r="H109" i="28"/>
  <c r="E60" i="29" s="1"/>
  <c r="G109" i="28"/>
  <c r="D60" i="29" s="1"/>
  <c r="F109" i="28"/>
  <c r="C60" i="29" s="1"/>
  <c r="E109" i="28"/>
  <c r="B60" i="29" s="1"/>
  <c r="H59" i="29" l="1"/>
  <c r="I59" i="29" s="1"/>
  <c r="H61" i="29"/>
  <c r="I61" i="29" s="1"/>
  <c r="H60" i="29"/>
  <c r="I60" i="29" s="1"/>
  <c r="E16" i="27"/>
  <c r="C29" i="28"/>
  <c r="C30" i="28" s="1"/>
  <c r="J47" i="28" l="1"/>
  <c r="G58" i="29" s="1"/>
  <c r="G64" i="29" s="1"/>
  <c r="I47" i="28"/>
  <c r="F58" i="29" s="1"/>
  <c r="G47" i="28"/>
  <c r="D47" i="28"/>
  <c r="F47" i="28"/>
  <c r="H47" i="28"/>
  <c r="E58" i="29" s="1"/>
  <c r="E47" i="28"/>
  <c r="C47" i="28"/>
  <c r="B58" i="29" l="1"/>
  <c r="B64" i="29" s="1"/>
  <c r="B65" i="29" s="1"/>
  <c r="B66" i="29" s="1"/>
  <c r="B69" i="29" s="1"/>
  <c r="B72" i="29" s="1"/>
  <c r="E64" i="29"/>
  <c r="E65" i="29" s="1"/>
  <c r="E66" i="29" s="1"/>
  <c r="E69" i="29" s="1"/>
  <c r="E72" i="29" s="1"/>
  <c r="C58" i="29"/>
  <c r="C64" i="29" s="1"/>
  <c r="C65" i="29" s="1"/>
  <c r="C66" i="29" s="1"/>
  <c r="C69" i="29" s="1"/>
  <c r="C72" i="29" s="1"/>
  <c r="F64" i="29"/>
  <c r="F65" i="29" s="1"/>
  <c r="F66" i="29" s="1"/>
  <c r="F69" i="29" s="1"/>
  <c r="F72" i="29" s="1"/>
  <c r="D58" i="29"/>
  <c r="D64" i="29" s="1"/>
  <c r="D65" i="29" s="1"/>
  <c r="D66" i="29" s="1"/>
  <c r="D69" i="29" s="1"/>
  <c r="D72" i="29" s="1"/>
  <c r="AN78" i="29"/>
  <c r="AN79" i="29"/>
  <c r="AN77" i="29"/>
  <c r="AN80" i="29"/>
  <c r="G65" i="29"/>
  <c r="G66" i="29" s="1"/>
  <c r="H58" i="29"/>
  <c r="H64" i="29" l="1"/>
  <c r="J47" i="29" s="1"/>
  <c r="I58" i="29"/>
  <c r="G69" i="29"/>
  <c r="G72" i="29" s="1"/>
  <c r="H69" i="29"/>
  <c r="H70" i="29" s="1"/>
  <c r="H65" i="29" l="1"/>
  <c r="H66" i="29" s="1"/>
  <c r="I64" i="29"/>
  <c r="J46" i="29"/>
  <c r="J49" i="29"/>
  <c r="J48" i="29"/>
  <c r="J50" i="29"/>
  <c r="H72" i="29"/>
  <c r="H73" i="29" s="1"/>
  <c r="I65" i="29" l="1"/>
  <c r="I66" i="29" s="1"/>
  <c r="AN46" i="29"/>
  <c r="AN47" i="29" s="1"/>
  <c r="AN48" i="29" l="1"/>
  <c r="AN49" i="29"/>
  <c r="AN50"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9" authorId="0" shapeId="0" xr:uid="{00000000-0006-0000-0100-000001000000}">
      <text>
        <r>
          <rPr>
            <sz val="8"/>
            <color indexed="81"/>
            <rFont val="Arial"/>
            <family val="2"/>
          </rPr>
          <t>From 2021 onwards, Victorian DNSPs began reporting on a financial year basis. This means the inflators for Victorian DNSPs represent:
     -   $JunYYYY to $&lt;Parameter_Results_dollar_basis&gt; for 2006 to 2020; and,
     -   $Dec(YYYY - 1) to $&lt;Parameter_Results_dollar_basis&gt; for 2021 onwards.
The inflators for non-Victorian and Victorian DNSPs are identical from 2021 onwards.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8" authorId="0" shapeId="0" xr:uid="{00000000-0006-0000-0700-000001000000}">
      <text>
        <r>
          <rPr>
            <sz val="9"/>
            <color indexed="81"/>
            <rFont val="Tahoma"/>
            <family val="2"/>
          </rPr>
          <t xml:space="preserve">NB. Options 15 and 16 represent the lower and upper bounds for Energex's and Ergon's capitalised corporate overheads. As explained in the draft decision, these were still being finalised at the time of the decision.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<sst xmlns="http://schemas.openxmlformats.org/spreadsheetml/2006/main" count="3103" uniqueCount="1084">
  <si>
    <t>AER benchmarking roll-forward model</t>
  </si>
  <si>
    <t>Key:</t>
  </si>
  <si>
    <t>Input cell</t>
  </si>
  <si>
    <t>Calculated cell</t>
  </si>
  <si>
    <t>External link cell</t>
  </si>
  <si>
    <t>Index</t>
  </si>
  <si>
    <t>Summary</t>
  </si>
  <si>
    <t xml:space="preserve">This spreadsheet contains modelling for opex base year adjustments. </t>
  </si>
  <si>
    <t>The modelling rolls forward an estimate of efficient opex (i.e., actual opex adjusted for efficiency scores and OEFs, taking into account of the chosen efficient target) from period-average basis to the base year</t>
  </si>
  <si>
    <t xml:space="preserve">For rolling forward, the opex rate of change formula used for forecasting opex is adopted.   </t>
  </si>
  <si>
    <t>NB. This version has been made with a focus on the DNSPs in the 2024-29 NSW/ACT/TAS resets. In relation to the other DNSPs, the data in the model are only placeholders at this stage. The results for these DNSPs should therefore be interpreted accordingly.</t>
  </si>
  <si>
    <t>Sheets</t>
  </si>
  <si>
    <t>Sheet name</t>
  </si>
  <si>
    <t>Sheet description</t>
  </si>
  <si>
    <t>Lookup tables</t>
  </si>
  <si>
    <t>Contains lookup tables and lists used in calculations throughout the benchmarking roll-forward model</t>
  </si>
  <si>
    <t>Data | EBRIN</t>
  </si>
  <si>
    <t>Data sourced from Economic Benchmarking Regulatory Information Notices</t>
  </si>
  <si>
    <t>Data | OEFs - Short</t>
  </si>
  <si>
    <t>Displays Operating Environment Factors for the short period</t>
  </si>
  <si>
    <t>Data | OEFs - Long</t>
  </si>
  <si>
    <t>Displays Operating Environment Factors for the long period</t>
  </si>
  <si>
    <t>Data | CPI</t>
  </si>
  <si>
    <t>Consumer Price Index data series sourced from the Australian Bureau of Statistics. Forecast sourced from Reserve Bank of Australia's quarterly (February, May, August and November) Statement on Monetary Policy. Biannual forecasts are interpolated to get quarterly values.</t>
  </si>
  <si>
    <t>Data | Forecasts</t>
  </si>
  <si>
    <t>Contains forecast data for each distribution network service provider</t>
  </si>
  <si>
    <t>Input | Parameters</t>
  </si>
  <si>
    <t xml:space="preserve">Allows the user to select key parameters used to model a range of different scenarios. For the purposes...lower bound EQ... </t>
  </si>
  <si>
    <t>Input | Econometrics - Short</t>
  </si>
  <si>
    <t>Data sourced from econometric modelling for the short period done as part of the annual benchmarking reports</t>
  </si>
  <si>
    <t>Input | Econometrics - Long</t>
  </si>
  <si>
    <t>Data sourced from econometric modelling for the long period done as part of the annual benchmarking reports</t>
  </si>
  <si>
    <t>Calc | Cost drivers</t>
  </si>
  <si>
    <t>Historical and forecast data on opex and cost drivers</t>
  </si>
  <si>
    <t>Calc | Efficiency target</t>
  </si>
  <si>
    <t>Sets out the efficiency target for the selected distribution network service provider</t>
  </si>
  <si>
    <t>Calc | Opex forecasts - Short</t>
  </si>
  <si>
    <t>Modelling efficient base year opex for the selected distribution network service provider for the short period</t>
  </si>
  <si>
    <t>Calc | Opex forecasts - Long</t>
  </si>
  <si>
    <t>Modelling efficient base year opex for the selected distribution network service provider for the long period</t>
  </si>
  <si>
    <t>Output | Summary</t>
  </si>
  <si>
    <t>Displays the efficient opex estimate for each model alongside actual / forecast opex for the selected distribution network service provider</t>
  </si>
  <si>
    <t>Named Ranges</t>
  </si>
  <si>
    <t>Variable type</t>
  </si>
  <si>
    <t>Named Range</t>
  </si>
  <si>
    <t>Sheet defined</t>
  </si>
  <si>
    <t>Description</t>
  </si>
  <si>
    <t>Header</t>
  </si>
  <si>
    <t>Header_Table_Data_EBRIN</t>
  </si>
  <si>
    <t>Used to return the index of a desired column via the MATCH function when performing a VLOOKUP on Table_Data_EBRIN</t>
  </si>
  <si>
    <t>Header_Table_Econometrics</t>
  </si>
  <si>
    <t>Used to return the index of a desired column via the MATCH function when performing a VLOOKUP on any of the econometrics tables</t>
  </si>
  <si>
    <t>Header_Table_Inflators_December_to_December</t>
  </si>
  <si>
    <t>Used to return the index of a desired column via the MATCH function when performing a VLOOKUP on Table_Inflators_December_to_December</t>
  </si>
  <si>
    <t>Header_Table_Inflators_June_to_June</t>
  </si>
  <si>
    <t>Used to return the index of a desired column via the MATCH function when performing a VLOOKUP on Table_Inflators_June_to_June</t>
  </si>
  <si>
    <t>Header_Table_Inflators_per_base_year</t>
  </si>
  <si>
    <t>Used to return the index of a desired column via the MATCH function when performing a VLOOKUP on Table_Inflators_per_base_year</t>
  </si>
  <si>
    <t>Header_Table_OEF_capitalisation_long</t>
  </si>
  <si>
    <t>Used to return the index of a desired column via the MATCH function when performing a VLOOKUP on Table_OEF_capitalisation_long</t>
  </si>
  <si>
    <t>Header_Table_OEF_capitalisation_short</t>
  </si>
  <si>
    <t>Used to return the index of a desired column via the MATCH function when performing a VLOOKUP on Table_OEF_capitalisation_short</t>
  </si>
  <si>
    <t>Header_Table_Summary_long</t>
  </si>
  <si>
    <t>Used to return the index of a desired column via the MATCH function when performing a VLOOKUP on Table_Summary_long</t>
  </si>
  <si>
    <t>Header_Table_Summary_short</t>
  </si>
  <si>
    <t>Used to return the index of a desired column via the MATCH function when performing a VLOOKUP on Table_Summary_short</t>
  </si>
  <si>
    <t>List</t>
  </si>
  <si>
    <t>List_Apply_fixed_growth_rate</t>
  </si>
  <si>
    <t>Used to define options in drop-down list for Parameter_Apply_fixed_growth_rate in Input | Parameters</t>
  </si>
  <si>
    <t>List_DNSP</t>
  </si>
  <si>
    <t>Used to define options in drop-down list for Parameter_DNSP in Input | Parameters</t>
  </si>
  <si>
    <t>List_Include_OEFs</t>
  </si>
  <si>
    <t>Used to define options in drop-down list for OEF inclusion parameter in Input | Parameters</t>
  </si>
  <si>
    <t>List_Inflation_method</t>
  </si>
  <si>
    <t>Used to define options in drop-down list for Parameter_Inflation_method in Input | Parameters</t>
  </si>
  <si>
    <t>List_Number_of_violations_Long_LSETLG</t>
  </si>
  <si>
    <t>List containing counts of monotonicity violations in the Least Squares Econometrics Translog (LSETLG) model in each scenario over the long period</t>
  </si>
  <si>
    <t>List_Number_of_violations_Long_SFATLG</t>
  </si>
  <si>
    <t>List containing counts of monotonicity violations in the Stochastic Frontier Analysis Translog (SFATLG) model in each scenario over the long period</t>
  </si>
  <si>
    <t>List_Number_of_violations_Short_LSETLG</t>
  </si>
  <si>
    <t>List containing counts of monotonicity violations in the Least Squares Econometrics Translog (LSETLG) model in each scenario over the short period</t>
  </si>
  <si>
    <t>List_Number_of_violations_Short_SFATLG</t>
  </si>
  <si>
    <t>List containing counts of monotonicity violations in the Stochastic Frontier Analysis Translog (SFATLG) model in each scenario over the short period</t>
  </si>
  <si>
    <t>List_OEF_capitalisation_basis</t>
  </si>
  <si>
    <t>Used to define options in drop-down list for Parameter_OEF_capitalisation_basis_long and Parameter_OEF_capitalisation_basis_short in Input | Parameters</t>
  </si>
  <si>
    <t>List_Scenario</t>
  </si>
  <si>
    <t>Used to define options in drop-down list for Parameter_Scenario in Input | Parameters</t>
  </si>
  <si>
    <t>Parameter</t>
  </si>
  <si>
    <t>Parameter_Apply_fixed_growth rate</t>
  </si>
  <si>
    <t xml:space="preserve">Text indicating whether to apply a fixed technology growth rate (specified in Parameter_Technology_growth_rate) outside the benchmarking period, or to extend the modelled technology growth rate beyond the benchmarking period </t>
  </si>
  <si>
    <t>Parameter_Base_year</t>
  </si>
  <si>
    <t>Number representing the year in which to assess efficiency of actual / proposed opex against rolled-forward model efficient opex. Default value determined by Parameter_DNSP and Table_Base_year_default.</t>
  </si>
  <si>
    <t>Parameter_Base_year_manual_override</t>
  </si>
  <si>
    <t>Number representing the year in which to assess efficiency of actual / proposed opex against rolled-forward model efficient opex. Allows user to manually override default value for Parameter_Base_year.</t>
  </si>
  <si>
    <t>Parameter_DNSP</t>
  </si>
  <si>
    <t>Text representing the distribution network service provider (DNSP) selected by the user for assessment</t>
  </si>
  <si>
    <t>Parameter_Efficiency_target</t>
  </si>
  <si>
    <t>Number representing the efficiency target each distribution network service provider needs to meet (before operating environment factor adjustments) in order to be considered not materially inefficient</t>
  </si>
  <si>
    <t>Parameter_Include_OEFs</t>
  </si>
  <si>
    <t>Text indicating whether operating environment factors (OEFs) should be applied in the calculation of the average rolled-forward model efficient opex over both the long and short periods</t>
  </si>
  <si>
    <t>Parameter_Inflator</t>
  </si>
  <si>
    <t>Number representing the inflator to apply to convert a value from middle-of-RY2020 terms to end-of-RY2021 terms. This currently assumes that non-Victorian distribution network service providers report on a financial year basis and Victorian distribution network service providers report on a calendar year basis. This will need to be updated to reflect the transition to financial year reporting by Victorian distribution network service providers from the 2021 regulatory year onwards.</t>
  </si>
  <si>
    <t>Parameter_OEF_capitalisation_basis_long</t>
  </si>
  <si>
    <t>Text indicating which averaging methodology should be applied when calculating capitalisation operating environment factor for each distribution network service provider over the long period</t>
  </si>
  <si>
    <t>Parameter_OEF_capitalisation_basis_short</t>
  </si>
  <si>
    <t>Text indicating which averaging methodology should be applied when calculating capitalisation operating environment factor for each distribution network service provider over the short period</t>
  </si>
  <si>
    <t>Parameter_OEF_capitalisation_long</t>
  </si>
  <si>
    <t>Percentage representing the capitalisation operating environment factor for the selected distribution network service provider over the long period</t>
  </si>
  <si>
    <t>Parameter_OEF_capitalisation_long_manual_override</t>
  </si>
  <si>
    <t>Percentage representing the capitalisation operating environment factor for the selected distribution network service provider over the long period. Allows user to manually override value for Parameter_OEF_capitalisation_long.</t>
  </si>
  <si>
    <t>Parameter_OEF_capitalisation_short</t>
  </si>
  <si>
    <t>Percentage representing the capitalisation operating environment factor for the selected distribution network service provider over the short period</t>
  </si>
  <si>
    <t>Parameter_OEF_capitalisation_short_manual_override</t>
  </si>
  <si>
    <t>Percentage representing the capitalisation operating environment factor for the selected distribution network service provider over the short period. Allows user to manually override value for Parameter_OEF_capitalisation_short.</t>
  </si>
  <si>
    <t>Parameter_OEF_Sapere_Merz_long</t>
  </si>
  <si>
    <t>Percentage representing the total Sapere Merz operating environment factor for the selected distribution network service provider over the long period</t>
  </si>
  <si>
    <t>Parameter_OEF_Sapere_Merz_short</t>
  </si>
  <si>
    <t>Percentage representing the total Sapere Merz operating environment factor for the selected distribution network service provider over the short period</t>
  </si>
  <si>
    <t>Parameter_OEF_total_long</t>
  </si>
  <si>
    <t>Percentage representing the total operating environment factor adjustment for the selected distribution network service provider over the long period</t>
  </si>
  <si>
    <t>Parameter_OEF_total_short</t>
  </si>
  <si>
    <t>Percentage representing the total operating environment factor adjustment for the selected distribution network service provider over the short period</t>
  </si>
  <si>
    <t>Parameter_OEF_vegetation_management_long</t>
  </si>
  <si>
    <t>Percentage representing the total vegetation management operating environment factor for the selected distribution network service provider over the long period</t>
  </si>
  <si>
    <t>Parameter_OEF_vegetation_management_short</t>
  </si>
  <si>
    <t>Percentage representing the total vegetation management operating environment factor for the selected distribution network service provider over the short period</t>
  </si>
  <si>
    <t>Parameter_Opex_forecast_error</t>
  </si>
  <si>
    <t>Percentage representing the potential error in the proposed opex inputted in Data | Opex proposed. Allows the user to conduct sensitivity testing on proposed opex.</t>
  </si>
  <si>
    <t>Parameter_Period_end</t>
  </si>
  <si>
    <t>Number representing the end year of the benchmarking period</t>
  </si>
  <si>
    <t>Parameter_Period_start_long</t>
  </si>
  <si>
    <t>Number representing the start year of the benchmarking long period</t>
  </si>
  <si>
    <t>Parameter_Period_start_short</t>
  </si>
  <si>
    <t>Number representing the start year of the benchmarking short period</t>
  </si>
  <si>
    <t>Parameter_Results_dollar_basis</t>
  </si>
  <si>
    <t>Text representing the dollar basis to which opex quantities (calculated in Calc | Opex forecasts - Short and Calc | Opex forecasts - Long) and actual / proposed opex (entered as input in Data | Opex proposed) will be converted for the purpose of assessing efficiency of actual / proposed opex</t>
  </si>
  <si>
    <t>Parameter_Scenario</t>
  </si>
  <si>
    <t>Text representing the scenario selected by the user. This informs which opex series is used from Data | EBRIN, and which model parameters are used from Input | Econometrics - Short and Input | Econometrics - Long.</t>
  </si>
  <si>
    <t>Parameter_Scenario_number</t>
  </si>
  <si>
    <t>Number representing the scenario selected by the user.</t>
  </si>
  <si>
    <t>Parameter_Technology_growth_rate</t>
  </si>
  <si>
    <t>Percentage representing the fixed technology growth rate to be applied outside the benchmarking period. Only applicable when Parameter_Apply_fixed_growth_rate is set to '1 - Yes'.</t>
  </si>
  <si>
    <t>Parameter_Victorian_or_non_Victorian</t>
  </si>
  <si>
    <t>Text indicating whether the selected distribution network service provider is a Victorian or non-Victorian distribution network service provider.</t>
  </si>
  <si>
    <t>Table</t>
  </si>
  <si>
    <t>Table_Base_year_default</t>
  </si>
  <si>
    <t>Table containing the default base year for each distribution network service provider used to assess efficiency of actual / proposed opex against rolled-forward model efficient opex</t>
  </si>
  <si>
    <t>Table_Coefficients_long_LSECD</t>
  </si>
  <si>
    <t>Table containing the coefficients of the Least Squares Econometrics Cobb-Douglas (LSECD) model in each scenario over the long period</t>
  </si>
  <si>
    <t>Table_Coefficients_long_LSETLG</t>
  </si>
  <si>
    <t>Table containing the coefficients of the Least Squares Econometrics Translog (LSETLG) model in each scenario over the long period</t>
  </si>
  <si>
    <t>Table_Coefficients_long_SFACD</t>
  </si>
  <si>
    <t>Table containing the coefficients of the Stochastic Frontier Analysis Cobb-Douglas (SFACD) model in each scenario over the long period</t>
  </si>
  <si>
    <t>Table_Coefficients_long_SFATLG</t>
  </si>
  <si>
    <t>Table containing the coefficients of the Stochastic Frontier Analysis Translog (SFATLG) model in each scenario over the long period</t>
  </si>
  <si>
    <t>Table_Coefficients_short_LSECD</t>
  </si>
  <si>
    <t>Table containing the coefficients of the Least Squares Econometrics Cobb-Douglas (LSECD) model in each scenario over the short period</t>
  </si>
  <si>
    <t>Table_Coefficients_short_LSETLG</t>
  </si>
  <si>
    <t>Table containing the coefficients of the Least Squares Econometrics Translog (LSETLG) model in each scenario over the short period</t>
  </si>
  <si>
    <t>Table_Coefficients_short_SFACD</t>
  </si>
  <si>
    <t>Table containing the coefficients of the Stochastic Frontier Analysis Cobb-Douglas (SFACD) model in each scenario over the short period</t>
  </si>
  <si>
    <t>Table_Coefficients_short_SFATLG</t>
  </si>
  <si>
    <t>Table containing the coefficients of the Stochastic Frontier Analysis Translog (SFATLG) model in each scenario over the short period</t>
  </si>
  <si>
    <t>Table_Data_All_groups_CPI_Australia</t>
  </si>
  <si>
    <t>Table containing Consumer Price Index data sourced from the Australian Bureau of Statistics, with a forecast based on the Reserve Bank of Australia's quarterly Statement on Monetary Policy.</t>
  </si>
  <si>
    <t>Table_Data_EBRIN</t>
  </si>
  <si>
    <t>Table containing data sourced from Economic Benchmarking Regulatory Information Notices</t>
  </si>
  <si>
    <t>Table_Data_forecast</t>
  </si>
  <si>
    <t xml:space="preserve">Table containing the actual / forecast data for each distribution network service provider that the roll-forward model is compared against. </t>
  </si>
  <si>
    <t>Table_Data_opex_alternative</t>
  </si>
  <si>
    <t>Table containing alternative opex for network services data used in different scenarios</t>
  </si>
  <si>
    <t>Table_Data_opex_selected</t>
  </si>
  <si>
    <t>Table containing the opex for network services data that will be used for the selected scenario</t>
  </si>
  <si>
    <t>Table_DNSP</t>
  </si>
  <si>
    <t>Table used to return the full business name of a distribution network service provider based on its three-letter abbreviation</t>
  </si>
  <si>
    <t>Table_Efficiency_scores_long_LSECD</t>
  </si>
  <si>
    <t>Table containing the efficiency score results of the Least Squares Econometrics Cobb-Douglas (LSECD) model in each scenario over the long period</t>
  </si>
  <si>
    <t>Table_Efficiency_scores_long_LSETLG</t>
  </si>
  <si>
    <t>Table containing the efficiency score results of the Least Squares Econometrics Translog (LSETLG) model in each scenario over the long period</t>
  </si>
  <si>
    <t>Table_Efficiency_scores_long_SFACD</t>
  </si>
  <si>
    <t>Table containing the efficiency score results of the Stochastic Frontier Analysis Cobb-Douglas (SFACD) model in each scenario over the long period</t>
  </si>
  <si>
    <t>Table_Efficiency_scores_long_SFATLG</t>
  </si>
  <si>
    <t>Table containing the efficiency score results of the Stochastic Frontier Analysis Translog (SFATLG) model in each scenario over the long period</t>
  </si>
  <si>
    <t>Table_Efficiency_scores_short_LSECD</t>
  </si>
  <si>
    <t>Table containing the efficiency score results of the Least Squares Econometrics Cobb-Douglas (LSECD) model in each scenario over the short period</t>
  </si>
  <si>
    <t>Table_Efficiency_scores_short_LSETLG</t>
  </si>
  <si>
    <t>Table containing the efficiency score results of the Least Squares Econometrics Translog (LSETLG) model in each scenario over the short period</t>
  </si>
  <si>
    <t>Table_Efficiency_scores_short_SFACD</t>
  </si>
  <si>
    <t>Table containing the efficiency score results of the Stochastic Frontier Analysis Cobb-Douglas (SFACD) model in each scenario over the short period</t>
  </si>
  <si>
    <t>Table_Efficiency_scores_short_SFATLG</t>
  </si>
  <si>
    <t>Table containing the efficiency score results of the Stochastic Frontier Analysis Translog (SFATLG) model in each scenario over the short period</t>
  </si>
  <si>
    <t>Table_Inflators_December_to_December</t>
  </si>
  <si>
    <t>Table containing inflators used to convert dollar basis from December of one year to December of another year. This table is derived from Table_Data_All_groups_CPI_Australia.</t>
  </si>
  <si>
    <t>Table_Inflators_June_to_June</t>
  </si>
  <si>
    <t>Table containing inflators used to convert dollar basis from June of one year to June of another year. This table is derived from Table_Data_All_groups_CPI_Australia.</t>
  </si>
  <si>
    <t>Table_Inflators_per_base_year</t>
  </si>
  <si>
    <t>Table containing inflators used to convert values from any base year into a fixed dollar basis. This table will contain either values derived from Table_Data_All_groups_CPI_Australia if Parameter_Inflation_method is set to '1. Simple', or values from Table_Inflators_per_base_year_AER_Opex_Model if Parameter_Inflation_method is set to '2. AER Opex Model'.</t>
  </si>
  <si>
    <t>Table_Inflators_per_base_year_AER_Opex_Model</t>
  </si>
  <si>
    <t>Table containing inflators used to convert values from any base year into a fixed dollar basis using the inflation method from the AER Opex Model</t>
  </si>
  <si>
    <t>Table_Monotonicity_violations_long_LSETLG</t>
  </si>
  <si>
    <t>Table containing flags (0 - No, 1 - Yes) to indicate the presence of monotonicity violations in the Least Squares Econometrics Translog (LSETLG) model in each scenario over the long period</t>
  </si>
  <si>
    <t>Table_Monotonicity_violations_long_SFATLG</t>
  </si>
  <si>
    <t>Table containing flags (0 - No, 1 - Yes) to indicate the presence of monotonicity violations in the Stochastic Frontier Analysis Translog (SFATLG) model in each scenario over the long period</t>
  </si>
  <si>
    <t>Table_Monotonicity_violations_short_LSETLG</t>
  </si>
  <si>
    <t>Table containing flags (0 - No, 1 - Yes) to indicate the presence of monotonicity violations in the Least Squares Econometrics Translog (LSETLG) model in each scenario over the short period</t>
  </si>
  <si>
    <t>Table_Monotonicity_violations_short_SFATLG</t>
  </si>
  <si>
    <t>Table containing flags (0 - No, 1 - Yes) to indicate the presence of monotonicity violations in the Stochastic Frontier Analysis Translog (SFATLG) model in each scenario over the short period</t>
  </si>
  <si>
    <t>Table_OEF_capitalisation_long</t>
  </si>
  <si>
    <t>Table containing the capitalisation operating environment factor for each distribution network service provider over the long period</t>
  </si>
  <si>
    <t>Table_OEF_capitalisation_short</t>
  </si>
  <si>
    <t>Table containing the capitalisation operating environment factor for each distribution network service provider over the short period</t>
  </si>
  <si>
    <t>Table_OEF_Sapere_Merz_long</t>
  </si>
  <si>
    <t>Table containing the total Sapere Merz operating environment factor for each distribution network service provider over the long period</t>
  </si>
  <si>
    <t>Table_OEF_Sapere_Merz_short</t>
  </si>
  <si>
    <t>Table containing the total Sapere Merz operating environment factor for each distribution network service provider over the short period</t>
  </si>
  <si>
    <t>Table_OEF_vegetation_management_long</t>
  </si>
  <si>
    <t>Table containing the total vegetation management operating environment factor for each distribution network service provider over the long period</t>
  </si>
  <si>
    <t>Table_OEF_vegetation_management_short</t>
  </si>
  <si>
    <t>Table containing the total vegetation management operating environment factor for each distribution network service provider over the short period</t>
  </si>
  <si>
    <t>Table_Regulatory_year_basis</t>
  </si>
  <si>
    <t>Table used to determine whether a particular distribution network service provider historically reported on a calendar or financial year basis. Prior to the 2021 regulatory year, Victorian distribution network service providers reported on a calendar year basis.</t>
  </si>
  <si>
    <t>Table_Scenario_number</t>
  </si>
  <si>
    <t xml:space="preserve">Table used to return the scenario number for a given scenario. </t>
  </si>
  <si>
    <t>Table_Summary_long</t>
  </si>
  <si>
    <t>Table summarising results and comparison of proposed opex with rolled-forward period-average efficient opex over the long period</t>
  </si>
  <si>
    <t>Table_Summary_short</t>
  </si>
  <si>
    <t>Table summarising results and comparison of proposed opex with rolled-forward period-average efficient opex over the short period</t>
  </si>
  <si>
    <t>End</t>
  </si>
  <si>
    <t>Apply fixed growth rate</t>
  </si>
  <si>
    <t>Yes / No</t>
  </si>
  <si>
    <t>0 - No</t>
  </si>
  <si>
    <t>1 - Yes</t>
  </si>
  <si>
    <t>DNSP description</t>
  </si>
  <si>
    <t>DNSP</t>
  </si>
  <si>
    <t>ACT</t>
  </si>
  <si>
    <t>Evoenergy</t>
  </si>
  <si>
    <t>AGD</t>
  </si>
  <si>
    <t>Ausgrid</t>
  </si>
  <si>
    <t>CIT</t>
  </si>
  <si>
    <t>Citipower</t>
  </si>
  <si>
    <t>END</t>
  </si>
  <si>
    <t>Endeavour Energy</t>
  </si>
  <si>
    <t>ENX</t>
  </si>
  <si>
    <t>Energex</t>
  </si>
  <si>
    <t>ERG</t>
  </si>
  <si>
    <t>Ergon Energy</t>
  </si>
  <si>
    <t>ESS</t>
  </si>
  <si>
    <t>Essential Energy</t>
  </si>
  <si>
    <t>JEN</t>
  </si>
  <si>
    <t>Jemena</t>
  </si>
  <si>
    <t>PCR</t>
  </si>
  <si>
    <t>Powercor</t>
  </si>
  <si>
    <t>SAP</t>
  </si>
  <si>
    <t>SA Power Networks</t>
  </si>
  <si>
    <t>AND</t>
  </si>
  <si>
    <t>AusNet Services</t>
  </si>
  <si>
    <t>TND</t>
  </si>
  <si>
    <t>TasNetworks</t>
  </si>
  <si>
    <t>UED</t>
  </si>
  <si>
    <t>United Energy</t>
  </si>
  <si>
    <t>Default base year</t>
  </si>
  <si>
    <t>Include OEFs</t>
  </si>
  <si>
    <t>Inflation method</t>
  </si>
  <si>
    <t>1. Simple</t>
  </si>
  <si>
    <t>2. AER Opex Model</t>
  </si>
  <si>
    <t>Inflators per base year</t>
  </si>
  <si>
    <t>Base year (YYYY)</t>
  </si>
  <si>
    <t>Victorian</t>
  </si>
  <si>
    <t>Non-Victorian</t>
  </si>
  <si>
    <t>Victorian or non-Victorian</t>
  </si>
  <si>
    <t>Scenario number</t>
  </si>
  <si>
    <t>Scenario</t>
  </si>
  <si>
    <t>12. 2022 ABR</t>
  </si>
  <si>
    <t>15. Current CAM + capitalised corporate OHs - lower bound</t>
  </si>
  <si>
    <t>15_lb</t>
  </si>
  <si>
    <t>15. Current CAM + capitalised corporate OHs - upper bound</t>
  </si>
  <si>
    <t>15_ub</t>
  </si>
  <si>
    <t>16. 2023 ABR - standard model</t>
  </si>
  <si>
    <t>17. 2023 ABR - option 5 model</t>
  </si>
  <si>
    <t>18. 2023 ABR - updated CL and undergrounding</t>
  </si>
  <si>
    <t>19. 2023 ABR - updated DFA CCOs</t>
  </si>
  <si>
    <t>20. 2023 ABR - updated CL, undergrounding and DFA CCOs</t>
  </si>
  <si>
    <t>21. 2024 ABR</t>
  </si>
  <si>
    <t>EBRIN data</t>
  </si>
  <si>
    <t>Source:</t>
  </si>
  <si>
    <t>Australian Energy Regulator (AER), November 2023</t>
  </si>
  <si>
    <t>Measure</t>
  </si>
  <si>
    <t>Units</t>
  </si>
  <si>
    <t>2006ACT</t>
  </si>
  <si>
    <t>2007ACT</t>
  </si>
  <si>
    <t>2008ACT</t>
  </si>
  <si>
    <t>2009ACT</t>
  </si>
  <si>
    <t>2010ACT</t>
  </si>
  <si>
    <t>2011ACT</t>
  </si>
  <si>
    <t>2012ACT</t>
  </si>
  <si>
    <t>2013ACT</t>
  </si>
  <si>
    <t>2014ACT</t>
  </si>
  <si>
    <t>2015ACT</t>
  </si>
  <si>
    <t>2016ACT</t>
  </si>
  <si>
    <t>2017ACT</t>
  </si>
  <si>
    <t>2018ACT</t>
  </si>
  <si>
    <t>2019ACT</t>
  </si>
  <si>
    <t>2020ACT</t>
  </si>
  <si>
    <t>2021ACT</t>
  </si>
  <si>
    <t>2022ACT</t>
  </si>
  <si>
    <t>2006AGD</t>
  </si>
  <si>
    <t>2007AGD</t>
  </si>
  <si>
    <t>2008AGD</t>
  </si>
  <si>
    <t>2009AGD</t>
  </si>
  <si>
    <t>2010AGD</t>
  </si>
  <si>
    <t>2011AGD</t>
  </si>
  <si>
    <t>2012AGD</t>
  </si>
  <si>
    <t>2013AGD</t>
  </si>
  <si>
    <t>2014AGD</t>
  </si>
  <si>
    <t>2015AGD</t>
  </si>
  <si>
    <t>2016AGD</t>
  </si>
  <si>
    <t>2017AGD</t>
  </si>
  <si>
    <t>2018AGD</t>
  </si>
  <si>
    <t>2019AGD</t>
  </si>
  <si>
    <t>2020AGD</t>
  </si>
  <si>
    <t>2021AGD</t>
  </si>
  <si>
    <t>2022AGD</t>
  </si>
  <si>
    <t>2006CIT</t>
  </si>
  <si>
    <t>2007CIT</t>
  </si>
  <si>
    <t>2008CIT</t>
  </si>
  <si>
    <t>2009CIT</t>
  </si>
  <si>
    <t>2010CIT</t>
  </si>
  <si>
    <t>2011CIT</t>
  </si>
  <si>
    <t>2012CIT</t>
  </si>
  <si>
    <t>2013CIT</t>
  </si>
  <si>
    <t>2014CIT</t>
  </si>
  <si>
    <t>2015CIT</t>
  </si>
  <si>
    <t>2016CIT</t>
  </si>
  <si>
    <t>2017CIT</t>
  </si>
  <si>
    <t>2018CIT</t>
  </si>
  <si>
    <t>2019CIT</t>
  </si>
  <si>
    <t>2020CIT</t>
  </si>
  <si>
    <t>2021CIT</t>
  </si>
  <si>
    <t>2022CIT</t>
  </si>
  <si>
    <t>2006END</t>
  </si>
  <si>
    <t>2007END</t>
  </si>
  <si>
    <t>2008END</t>
  </si>
  <si>
    <t>2009END</t>
  </si>
  <si>
    <t>2010END</t>
  </si>
  <si>
    <t>2011END</t>
  </si>
  <si>
    <t>2012END</t>
  </si>
  <si>
    <t>2013END</t>
  </si>
  <si>
    <t>2014END</t>
  </si>
  <si>
    <t>2015END</t>
  </si>
  <si>
    <t>2016END</t>
  </si>
  <si>
    <t>2017END</t>
  </si>
  <si>
    <t>2018END</t>
  </si>
  <si>
    <t>2019END</t>
  </si>
  <si>
    <t>2020END</t>
  </si>
  <si>
    <t>2021END</t>
  </si>
  <si>
    <t>2022END</t>
  </si>
  <si>
    <t>2006ENX</t>
  </si>
  <si>
    <t>2007ENX</t>
  </si>
  <si>
    <t>2008ENX</t>
  </si>
  <si>
    <t>2009ENX</t>
  </si>
  <si>
    <t>2010ENX</t>
  </si>
  <si>
    <t>2011ENX</t>
  </si>
  <si>
    <t>2012ENX</t>
  </si>
  <si>
    <t>2013ENX</t>
  </si>
  <si>
    <t>2014ENX</t>
  </si>
  <si>
    <t>2015ENX</t>
  </si>
  <si>
    <t>2016ENX</t>
  </si>
  <si>
    <t>2017ENX</t>
  </si>
  <si>
    <t>2018ENX</t>
  </si>
  <si>
    <t>2019ENX</t>
  </si>
  <si>
    <t>2020ENX</t>
  </si>
  <si>
    <t>2021ENX</t>
  </si>
  <si>
    <t>2022ENX</t>
  </si>
  <si>
    <t>2006ERG</t>
  </si>
  <si>
    <t>2007ERG</t>
  </si>
  <si>
    <t>2008ERG</t>
  </si>
  <si>
    <t>2009ERG</t>
  </si>
  <si>
    <t>2010ERG</t>
  </si>
  <si>
    <t>2011ERG</t>
  </si>
  <si>
    <t>2012ERG</t>
  </si>
  <si>
    <t>2013ERG</t>
  </si>
  <si>
    <t>2014ERG</t>
  </si>
  <si>
    <t>2015ERG</t>
  </si>
  <si>
    <t>2016ERG</t>
  </si>
  <si>
    <t>2017ERG</t>
  </si>
  <si>
    <t>2018ERG</t>
  </si>
  <si>
    <t>2019ERG</t>
  </si>
  <si>
    <t>2020ERG</t>
  </si>
  <si>
    <t>2021ERG</t>
  </si>
  <si>
    <t>2022ERG</t>
  </si>
  <si>
    <t>2006ESS</t>
  </si>
  <si>
    <t>2007ESS</t>
  </si>
  <si>
    <t>2008ESS</t>
  </si>
  <si>
    <t>2009ESS</t>
  </si>
  <si>
    <t>2010ESS</t>
  </si>
  <si>
    <t>2011ESS</t>
  </si>
  <si>
    <t>2012ESS</t>
  </si>
  <si>
    <t>2013ESS</t>
  </si>
  <si>
    <t>2014ESS</t>
  </si>
  <si>
    <t>2015ESS</t>
  </si>
  <si>
    <t>2016ESS</t>
  </si>
  <si>
    <t>2017ESS</t>
  </si>
  <si>
    <t>2018ESS</t>
  </si>
  <si>
    <t>2019ESS</t>
  </si>
  <si>
    <t>2020ESS</t>
  </si>
  <si>
    <t>2021ESS</t>
  </si>
  <si>
    <t>2022ESS</t>
  </si>
  <si>
    <t>2006JEN</t>
  </si>
  <si>
    <t>2007JEN</t>
  </si>
  <si>
    <t>2008JEN</t>
  </si>
  <si>
    <t>2009JEN</t>
  </si>
  <si>
    <t>2010JEN</t>
  </si>
  <si>
    <t>2011JEN</t>
  </si>
  <si>
    <t>2012JEN</t>
  </si>
  <si>
    <t>2013JEN</t>
  </si>
  <si>
    <t>2014JEN</t>
  </si>
  <si>
    <t>2015JEN</t>
  </si>
  <si>
    <t>2016JEN</t>
  </si>
  <si>
    <t>2017JEN</t>
  </si>
  <si>
    <t>2018JEN</t>
  </si>
  <si>
    <t>2019JEN</t>
  </si>
  <si>
    <t>2020JEN</t>
  </si>
  <si>
    <t>2021JEN</t>
  </si>
  <si>
    <t>2022JEN</t>
  </si>
  <si>
    <t>2023JEN</t>
  </si>
  <si>
    <t>2024JEN</t>
  </si>
  <si>
    <t>2006PCR</t>
  </si>
  <si>
    <t>2007PCR</t>
  </si>
  <si>
    <t>2008PCR</t>
  </si>
  <si>
    <t>2009PCR</t>
  </si>
  <si>
    <t>2010PCR</t>
  </si>
  <si>
    <t>2011PCR</t>
  </si>
  <si>
    <t>2012PCR</t>
  </si>
  <si>
    <t>2013PCR</t>
  </si>
  <si>
    <t>2014PCR</t>
  </si>
  <si>
    <t>2015PCR</t>
  </si>
  <si>
    <t>2016PCR</t>
  </si>
  <si>
    <t>2017PCR</t>
  </si>
  <si>
    <t>2018PCR</t>
  </si>
  <si>
    <t>2019PCR</t>
  </si>
  <si>
    <t>2020PCR</t>
  </si>
  <si>
    <t>2021PCR</t>
  </si>
  <si>
    <t>2022PCR</t>
  </si>
  <si>
    <t>2006SAP</t>
  </si>
  <si>
    <t>2007SAP</t>
  </si>
  <si>
    <t>2008SAP</t>
  </si>
  <si>
    <t>2009SAP</t>
  </si>
  <si>
    <t>2010SAP</t>
  </si>
  <si>
    <t>2011SAP</t>
  </si>
  <si>
    <t>2012SAP</t>
  </si>
  <si>
    <t>2013SAP</t>
  </si>
  <si>
    <t>2014SAP</t>
  </si>
  <si>
    <t>2015SAP</t>
  </si>
  <si>
    <t>2016SAP</t>
  </si>
  <si>
    <t>2017SAP</t>
  </si>
  <si>
    <t>2018SAP</t>
  </si>
  <si>
    <t>2019SAP</t>
  </si>
  <si>
    <t>2020SAP</t>
  </si>
  <si>
    <t>2021SAP</t>
  </si>
  <si>
    <t>2022SAP</t>
  </si>
  <si>
    <t>2006AND</t>
  </si>
  <si>
    <t>2007AND</t>
  </si>
  <si>
    <t>2008AND</t>
  </si>
  <si>
    <t>2009AND</t>
  </si>
  <si>
    <t>2010AND</t>
  </si>
  <si>
    <t>2011AND</t>
  </si>
  <si>
    <t>2012AND</t>
  </si>
  <si>
    <t>2013AND</t>
  </si>
  <si>
    <t>2014AND</t>
  </si>
  <si>
    <t>2015AND</t>
  </si>
  <si>
    <t>2016AND</t>
  </si>
  <si>
    <t>2017AND</t>
  </si>
  <si>
    <t>2018AND</t>
  </si>
  <si>
    <t>2019AND</t>
  </si>
  <si>
    <t>2020AND</t>
  </si>
  <si>
    <t>2021AND</t>
  </si>
  <si>
    <t>2022AND</t>
  </si>
  <si>
    <t>2006TND</t>
  </si>
  <si>
    <t>2007TND</t>
  </si>
  <si>
    <t>2008TND</t>
  </si>
  <si>
    <t>2009TND</t>
  </si>
  <si>
    <t>2010TND</t>
  </si>
  <si>
    <t>2011TND</t>
  </si>
  <si>
    <t>2012TND</t>
  </si>
  <si>
    <t>2013TND</t>
  </si>
  <si>
    <t>2014TND</t>
  </si>
  <si>
    <t>2015TND</t>
  </si>
  <si>
    <t>2016TND</t>
  </si>
  <si>
    <t>2017TND</t>
  </si>
  <si>
    <t>2018TND</t>
  </si>
  <si>
    <t>2019TND</t>
  </si>
  <si>
    <t>2020TND</t>
  </si>
  <si>
    <t>2021TND</t>
  </si>
  <si>
    <t>2022TND</t>
  </si>
  <si>
    <t>2006UED</t>
  </si>
  <si>
    <t>2007UED</t>
  </si>
  <si>
    <t>2008UED</t>
  </si>
  <si>
    <t>2009UED</t>
  </si>
  <si>
    <t>2010UED</t>
  </si>
  <si>
    <t>2011UED</t>
  </si>
  <si>
    <t>2012UED</t>
  </si>
  <si>
    <t>2013UED</t>
  </si>
  <si>
    <t>2014UED</t>
  </si>
  <si>
    <t>2015UED</t>
  </si>
  <si>
    <t>2016UED</t>
  </si>
  <si>
    <t>2017UED</t>
  </si>
  <si>
    <t>2018UED</t>
  </si>
  <si>
    <t>2019UED</t>
  </si>
  <si>
    <t>2020UED</t>
  </si>
  <si>
    <t>2021UED</t>
  </si>
  <si>
    <t>2022UED</t>
  </si>
  <si>
    <t>Total overhead circuit km</t>
  </si>
  <si>
    <t>km</t>
  </si>
  <si>
    <t>Total underground circuit km</t>
  </si>
  <si>
    <t>Total circuit</t>
  </si>
  <si>
    <t>Total customer numbers</t>
  </si>
  <si>
    <t>number</t>
  </si>
  <si>
    <t>Non-coincident Summated Raw System Annual Maximum Demand</t>
  </si>
  <si>
    <t xml:space="preserve">MW </t>
  </si>
  <si>
    <t>Opex for network services</t>
  </si>
  <si>
    <t>$'000</t>
  </si>
  <si>
    <t>Price opex</t>
  </si>
  <si>
    <t>EVO original overhead CL</t>
  </si>
  <si>
    <t>EVO original underground CL</t>
  </si>
  <si>
    <t>EVO original total CL</t>
  </si>
  <si>
    <t>EVO updated overhead CL</t>
  </si>
  <si>
    <t>EVO updated underground CL</t>
  </si>
  <si>
    <t>EVO updated total CL</t>
  </si>
  <si>
    <t>Alternative opex for network services series</t>
  </si>
  <si>
    <t>13. 2022 ABR - Opex plus capitalised corporate OHs</t>
  </si>
  <si>
    <t>14. Current CAM</t>
  </si>
  <si>
    <t>15. Current CAM plus capitalised corporate Ohs</t>
  </si>
  <si>
    <t>16. CAM-of-the-day + capitalised corporate overheads</t>
  </si>
  <si>
    <t>DFA CCOs</t>
  </si>
  <si>
    <t>Selected opex for network services series</t>
  </si>
  <si>
    <t>Sapere / Merz</t>
  </si>
  <si>
    <t>Australian Energy Regulator (AER)</t>
  </si>
  <si>
    <t>OEF adjustment</t>
  </si>
  <si>
    <t>Vegetation management</t>
  </si>
  <si>
    <t>Index Numbers, All groups CPI, Australia, Series ID: A2325846C</t>
  </si>
  <si>
    <t>Sources:</t>
  </si>
  <si>
    <t>Series</t>
  </si>
  <si>
    <t>Australian Bureau of Statistics</t>
  </si>
  <si>
    <t>TABLES 1 and 2. CPI: All Groups, Index Numbers and Percentage Changes</t>
  </si>
  <si>
    <t>Forecast</t>
  </si>
  <si>
    <t>Reserve Bank of Australia</t>
  </si>
  <si>
    <t>Consumer price index</t>
  </si>
  <si>
    <t>Index Numbers ;  All groups CPI ;  Australia ;</t>
  </si>
  <si>
    <t>Consumer price index ;  Percentage change to quarter shown</t>
  </si>
  <si>
    <t>Unit</t>
  </si>
  <si>
    <t>Index Numbers</t>
  </si>
  <si>
    <t>Series Type</t>
  </si>
  <si>
    <t>Original</t>
  </si>
  <si>
    <t>Data Type</t>
  </si>
  <si>
    <t>INDEX</t>
  </si>
  <si>
    <t>Frequency</t>
  </si>
  <si>
    <t>Quarter</t>
  </si>
  <si>
    <t>Collection Month</t>
  </si>
  <si>
    <t>Series Start</t>
  </si>
  <si>
    <t>Sep-1948</t>
  </si>
  <si>
    <t>Series End</t>
  </si>
  <si>
    <t>Sep-2022</t>
  </si>
  <si>
    <t>No. Obs</t>
  </si>
  <si>
    <t>Series ID</t>
  </si>
  <si>
    <t>A2325846C</t>
  </si>
  <si>
    <t>Dec-1948</t>
  </si>
  <si>
    <t>Mar-1949</t>
  </si>
  <si>
    <t>Jun-1949</t>
  </si>
  <si>
    <t>Sep-1949</t>
  </si>
  <si>
    <t>Dec-1949</t>
  </si>
  <si>
    <t>Mar-1950</t>
  </si>
  <si>
    <t>Jun-1950</t>
  </si>
  <si>
    <t>Sep-1950</t>
  </si>
  <si>
    <t>Dec-1950</t>
  </si>
  <si>
    <t>Mar-1951</t>
  </si>
  <si>
    <t>Jun-1951</t>
  </si>
  <si>
    <t>Sep-1951</t>
  </si>
  <si>
    <t>Dec-1951</t>
  </si>
  <si>
    <t>Mar-1952</t>
  </si>
  <si>
    <t>Jun-1952</t>
  </si>
  <si>
    <t>Sep-1952</t>
  </si>
  <si>
    <t>Dec-1952</t>
  </si>
  <si>
    <t>Mar-1953</t>
  </si>
  <si>
    <t>Jun-1953</t>
  </si>
  <si>
    <t>Sep-1953</t>
  </si>
  <si>
    <t>Dec-1953</t>
  </si>
  <si>
    <t>Mar-1954</t>
  </si>
  <si>
    <t>Jun-1954</t>
  </si>
  <si>
    <t>Sep-1954</t>
  </si>
  <si>
    <t>Dec-1954</t>
  </si>
  <si>
    <t>Mar-1955</t>
  </si>
  <si>
    <t>Jun-1955</t>
  </si>
  <si>
    <t>Sep-1955</t>
  </si>
  <si>
    <t>Dec-1955</t>
  </si>
  <si>
    <t>Mar-1956</t>
  </si>
  <si>
    <t>Jun-1956</t>
  </si>
  <si>
    <t>Sep-1956</t>
  </si>
  <si>
    <t>Dec-1956</t>
  </si>
  <si>
    <t>Mar-1957</t>
  </si>
  <si>
    <t>Jun-1957</t>
  </si>
  <si>
    <t>Sep-1957</t>
  </si>
  <si>
    <t>Dec-1957</t>
  </si>
  <si>
    <t>Mar-1958</t>
  </si>
  <si>
    <t>Jun-1958</t>
  </si>
  <si>
    <t>Sep-1958</t>
  </si>
  <si>
    <t>Dec-1958</t>
  </si>
  <si>
    <t>Mar-1959</t>
  </si>
  <si>
    <t>Jun-1959</t>
  </si>
  <si>
    <t>Sep-1959</t>
  </si>
  <si>
    <t>Dec-1959</t>
  </si>
  <si>
    <t>Mar-1960</t>
  </si>
  <si>
    <t>Jun-1960</t>
  </si>
  <si>
    <t>Sep-1960</t>
  </si>
  <si>
    <t>Dec-1960</t>
  </si>
  <si>
    <t>Mar-1961</t>
  </si>
  <si>
    <t>Jun-1961</t>
  </si>
  <si>
    <t>Sep-1961</t>
  </si>
  <si>
    <t>Dec-1961</t>
  </si>
  <si>
    <t>Mar-1962</t>
  </si>
  <si>
    <t>Jun-1962</t>
  </si>
  <si>
    <t>Sep-1962</t>
  </si>
  <si>
    <t>Dec-1962</t>
  </si>
  <si>
    <t>Mar-1963</t>
  </si>
  <si>
    <t>Jun-1963</t>
  </si>
  <si>
    <t>Sep-1963</t>
  </si>
  <si>
    <t>Dec-1963</t>
  </si>
  <si>
    <t>Mar-1964</t>
  </si>
  <si>
    <t>Jun-1964</t>
  </si>
  <si>
    <t>Sep-1964</t>
  </si>
  <si>
    <t>Dec-1964</t>
  </si>
  <si>
    <t>Mar-1965</t>
  </si>
  <si>
    <t>Jun-1965</t>
  </si>
  <si>
    <t>Sep-1965</t>
  </si>
  <si>
    <t>Dec-1965</t>
  </si>
  <si>
    <t>Mar-1966</t>
  </si>
  <si>
    <t>Jun-1966</t>
  </si>
  <si>
    <t>Sep-1966</t>
  </si>
  <si>
    <t>Dec-1966</t>
  </si>
  <si>
    <t>Mar-1967</t>
  </si>
  <si>
    <t>Jun-1967</t>
  </si>
  <si>
    <t>Sep-1967</t>
  </si>
  <si>
    <t>Dec-1967</t>
  </si>
  <si>
    <t>Mar-1968</t>
  </si>
  <si>
    <t>Jun-1968</t>
  </si>
  <si>
    <t>Sep-1968</t>
  </si>
  <si>
    <t>Dec-1968</t>
  </si>
  <si>
    <t>Mar-1969</t>
  </si>
  <si>
    <t>Jun-1969</t>
  </si>
  <si>
    <t>Sep-1969</t>
  </si>
  <si>
    <t>Dec-1969</t>
  </si>
  <si>
    <t>Mar-1970</t>
  </si>
  <si>
    <t>Jun-1970</t>
  </si>
  <si>
    <t>Sep-1970</t>
  </si>
  <si>
    <t>Dec-1970</t>
  </si>
  <si>
    <t>Mar-1971</t>
  </si>
  <si>
    <t>Jun-1971</t>
  </si>
  <si>
    <t>Sep-1971</t>
  </si>
  <si>
    <t>Dec-1971</t>
  </si>
  <si>
    <t>Mar-1972</t>
  </si>
  <si>
    <t>Jun-1972</t>
  </si>
  <si>
    <t>Sep-1972</t>
  </si>
  <si>
    <t>Dec-1972</t>
  </si>
  <si>
    <t>Mar-1973</t>
  </si>
  <si>
    <t>Jun-1973</t>
  </si>
  <si>
    <t>Sep-1973</t>
  </si>
  <si>
    <t>Dec-1973</t>
  </si>
  <si>
    <t>Mar-1974</t>
  </si>
  <si>
    <t>Jun-1974</t>
  </si>
  <si>
    <t>Sep-1974</t>
  </si>
  <si>
    <t>Dec-1974</t>
  </si>
  <si>
    <t>Mar-1975</t>
  </si>
  <si>
    <t>Jun-1975</t>
  </si>
  <si>
    <t>Sep-1975</t>
  </si>
  <si>
    <t>Dec-1975</t>
  </si>
  <si>
    <t>Mar-1976</t>
  </si>
  <si>
    <t>Jun-1976</t>
  </si>
  <si>
    <t>Sep-1976</t>
  </si>
  <si>
    <t>Dec-1976</t>
  </si>
  <si>
    <t>Mar-1977</t>
  </si>
  <si>
    <t>Jun-1977</t>
  </si>
  <si>
    <t>Sep-1977</t>
  </si>
  <si>
    <t>Dec-1977</t>
  </si>
  <si>
    <t>Mar-1978</t>
  </si>
  <si>
    <t>Jun-1978</t>
  </si>
  <si>
    <t>Sep-1978</t>
  </si>
  <si>
    <t>Dec-1978</t>
  </si>
  <si>
    <t>Mar-1979</t>
  </si>
  <si>
    <t>Jun-1979</t>
  </si>
  <si>
    <t>Sep-1979</t>
  </si>
  <si>
    <t>Dec-1979</t>
  </si>
  <si>
    <t>Mar-1980</t>
  </si>
  <si>
    <t>Jun-1980</t>
  </si>
  <si>
    <t>Sep-1980</t>
  </si>
  <si>
    <t>Dec-1980</t>
  </si>
  <si>
    <t>Mar-1981</t>
  </si>
  <si>
    <t>Jun-1981</t>
  </si>
  <si>
    <t>Sep-1981</t>
  </si>
  <si>
    <t>Dec-1981</t>
  </si>
  <si>
    <t>Mar-1982</t>
  </si>
  <si>
    <t>Jun-1982</t>
  </si>
  <si>
    <t>Sep-1982</t>
  </si>
  <si>
    <t>Dec-1982</t>
  </si>
  <si>
    <t>Mar-1983</t>
  </si>
  <si>
    <t>Jun-1983</t>
  </si>
  <si>
    <t>Sep-1983</t>
  </si>
  <si>
    <t>Dec-1983</t>
  </si>
  <si>
    <t>Mar-1984</t>
  </si>
  <si>
    <t>Jun-1984</t>
  </si>
  <si>
    <t>Sep-1984</t>
  </si>
  <si>
    <t>Dec-1984</t>
  </si>
  <si>
    <t>Mar-1985</t>
  </si>
  <si>
    <t>Jun-1985</t>
  </si>
  <si>
    <t>Sep-1985</t>
  </si>
  <si>
    <t>Dec-1985</t>
  </si>
  <si>
    <t>Mar-1986</t>
  </si>
  <si>
    <t>Jun-1986</t>
  </si>
  <si>
    <t>Sep-1986</t>
  </si>
  <si>
    <t>Dec-1986</t>
  </si>
  <si>
    <t>Mar-1987</t>
  </si>
  <si>
    <t>Jun-1987</t>
  </si>
  <si>
    <t>Sep-1987</t>
  </si>
  <si>
    <t>Dec-1987</t>
  </si>
  <si>
    <t>Mar-1988</t>
  </si>
  <si>
    <t>Jun-1988</t>
  </si>
  <si>
    <t>Sep-1988</t>
  </si>
  <si>
    <t>Dec-1988</t>
  </si>
  <si>
    <t>Mar-1989</t>
  </si>
  <si>
    <t>Jun-1989</t>
  </si>
  <si>
    <t>Sep-1989</t>
  </si>
  <si>
    <t>Dec-1989</t>
  </si>
  <si>
    <t>Mar-1990</t>
  </si>
  <si>
    <t>Jun-1990</t>
  </si>
  <si>
    <t>Sep-1990</t>
  </si>
  <si>
    <t>Dec-1990</t>
  </si>
  <si>
    <t>Mar-1991</t>
  </si>
  <si>
    <t>Jun-1991</t>
  </si>
  <si>
    <t>Sep-1991</t>
  </si>
  <si>
    <t>Dec-1991</t>
  </si>
  <si>
    <t>Mar-1992</t>
  </si>
  <si>
    <t>Jun-1992</t>
  </si>
  <si>
    <t>Sep-1992</t>
  </si>
  <si>
    <t>Dec-1992</t>
  </si>
  <si>
    <t>Mar-1993</t>
  </si>
  <si>
    <t>Jun-1993</t>
  </si>
  <si>
    <t>Sep-1993</t>
  </si>
  <si>
    <t>Dec-1993</t>
  </si>
  <si>
    <t>Mar-1994</t>
  </si>
  <si>
    <t>Jun-1994</t>
  </si>
  <si>
    <t>Sep-1994</t>
  </si>
  <si>
    <t>Dec-1994</t>
  </si>
  <si>
    <t>Mar-1995</t>
  </si>
  <si>
    <t>Jun-1995</t>
  </si>
  <si>
    <t>Sep-1995</t>
  </si>
  <si>
    <t>Dec-1995</t>
  </si>
  <si>
    <t>Mar-1996</t>
  </si>
  <si>
    <t>Jun-1996</t>
  </si>
  <si>
    <t>Sep-1996</t>
  </si>
  <si>
    <t>Dec-1996</t>
  </si>
  <si>
    <t>Mar-1997</t>
  </si>
  <si>
    <t>Jun-1997</t>
  </si>
  <si>
    <t>Sep-1997</t>
  </si>
  <si>
    <t>Dec-1997</t>
  </si>
  <si>
    <t>Mar-1998</t>
  </si>
  <si>
    <t>Jun-1998</t>
  </si>
  <si>
    <t>Sep-1998</t>
  </si>
  <si>
    <t>Dec-1998</t>
  </si>
  <si>
    <t>Mar-1999</t>
  </si>
  <si>
    <t>Jun-1999</t>
  </si>
  <si>
    <t>Sep-1999</t>
  </si>
  <si>
    <t>Dec-1999</t>
  </si>
  <si>
    <t>Mar-2000</t>
  </si>
  <si>
    <t>Jun-2000</t>
  </si>
  <si>
    <t>Sep-2000</t>
  </si>
  <si>
    <t>Dec-2000</t>
  </si>
  <si>
    <t>Mar-2001</t>
  </si>
  <si>
    <t>Jun-2001</t>
  </si>
  <si>
    <t>Sep-2001</t>
  </si>
  <si>
    <t>Dec-2001</t>
  </si>
  <si>
    <t>Mar-2002</t>
  </si>
  <si>
    <t>Jun-2002</t>
  </si>
  <si>
    <t>Sep-2002</t>
  </si>
  <si>
    <t>Dec-2002</t>
  </si>
  <si>
    <t>Mar-2003</t>
  </si>
  <si>
    <t>Jun-2003</t>
  </si>
  <si>
    <t>Sep-2003</t>
  </si>
  <si>
    <t>Dec-2003</t>
  </si>
  <si>
    <t>Mar-2004</t>
  </si>
  <si>
    <t>Jun-2004</t>
  </si>
  <si>
    <t>Sep-2004</t>
  </si>
  <si>
    <t>Dec-2004</t>
  </si>
  <si>
    <t>Mar-2005</t>
  </si>
  <si>
    <t>Jun-2005</t>
  </si>
  <si>
    <t>Sep-2005</t>
  </si>
  <si>
    <t>Dec-2005</t>
  </si>
  <si>
    <t>Mar-2006</t>
  </si>
  <si>
    <t>Jun-2006</t>
  </si>
  <si>
    <t>Sep-2006</t>
  </si>
  <si>
    <t>Dec-2006</t>
  </si>
  <si>
    <t>Mar-2007</t>
  </si>
  <si>
    <t>Jun-2007</t>
  </si>
  <si>
    <t>Sep-2007</t>
  </si>
  <si>
    <t>Dec-2007</t>
  </si>
  <si>
    <t>Mar-2008</t>
  </si>
  <si>
    <t>Jun-2008</t>
  </si>
  <si>
    <t>Sep-2008</t>
  </si>
  <si>
    <t>Dec-2008</t>
  </si>
  <si>
    <t>Mar-2009</t>
  </si>
  <si>
    <t>Jun-2009</t>
  </si>
  <si>
    <t>Sep-2009</t>
  </si>
  <si>
    <t>Dec-2009</t>
  </si>
  <si>
    <t>Mar-2010</t>
  </si>
  <si>
    <t>Jun-2010</t>
  </si>
  <si>
    <t>Sep-2010</t>
  </si>
  <si>
    <t>Dec-2010</t>
  </si>
  <si>
    <t>Mar-2011</t>
  </si>
  <si>
    <t>Jun-2011</t>
  </si>
  <si>
    <t>Sep-2011</t>
  </si>
  <si>
    <t>Dec-2011</t>
  </si>
  <si>
    <t>Mar-2012</t>
  </si>
  <si>
    <t>Jun-2012</t>
  </si>
  <si>
    <t>Sep-2012</t>
  </si>
  <si>
    <t>Dec-2012</t>
  </si>
  <si>
    <t>Mar-2013</t>
  </si>
  <si>
    <t>Jun-2013</t>
  </si>
  <si>
    <t>Sep-2013</t>
  </si>
  <si>
    <t>Dec-2013</t>
  </si>
  <si>
    <t>Mar-2014</t>
  </si>
  <si>
    <t>Jun-2014</t>
  </si>
  <si>
    <t>Sep-2014</t>
  </si>
  <si>
    <t>Dec-2014</t>
  </si>
  <si>
    <t>Mar-2015</t>
  </si>
  <si>
    <t>Jun-2015</t>
  </si>
  <si>
    <t>Sep-2015</t>
  </si>
  <si>
    <t>Dec-2015</t>
  </si>
  <si>
    <t>Mar-2016</t>
  </si>
  <si>
    <t>Jun-2016</t>
  </si>
  <si>
    <t>Sep-2016</t>
  </si>
  <si>
    <t>Dec-2016</t>
  </si>
  <si>
    <t>Mar-2017</t>
  </si>
  <si>
    <t>Jun-2017</t>
  </si>
  <si>
    <t>Sep-2017</t>
  </si>
  <si>
    <t>Dec-2017</t>
  </si>
  <si>
    <t>Mar-2018</t>
  </si>
  <si>
    <t>Jun-2018</t>
  </si>
  <si>
    <t>Sep-2018</t>
  </si>
  <si>
    <t>Dec-2018</t>
  </si>
  <si>
    <t>Mar-2019</t>
  </si>
  <si>
    <t>Jun-2019</t>
  </si>
  <si>
    <t>Sep-2019</t>
  </si>
  <si>
    <t>Dec-2019</t>
  </si>
  <si>
    <t>Mar-2020</t>
  </si>
  <si>
    <t>Jun-2020</t>
  </si>
  <si>
    <t>Sep-2020</t>
  </si>
  <si>
    <t>Dec-2020</t>
  </si>
  <si>
    <t>Mar-2021</t>
  </si>
  <si>
    <t>Jun-2021</t>
  </si>
  <si>
    <t>Sep-2021</t>
  </si>
  <si>
    <t>Dec-2021</t>
  </si>
  <si>
    <t>Mar-2022</t>
  </si>
  <si>
    <t>Jun-2022</t>
  </si>
  <si>
    <t>Dec-2022</t>
  </si>
  <si>
    <t>Mar-2023</t>
  </si>
  <si>
    <t>Jun-2023</t>
  </si>
  <si>
    <t>Sep-2023</t>
  </si>
  <si>
    <t>Dec-2023</t>
  </si>
  <si>
    <t>Mar-2024</t>
  </si>
  <si>
    <t>Jun-2024</t>
  </si>
  <si>
    <t>Sep-2024</t>
  </si>
  <si>
    <t>Dec-2024</t>
  </si>
  <si>
    <t>Mar-2025</t>
  </si>
  <si>
    <t>Jun-2025</t>
  </si>
  <si>
    <t>Sep-2025</t>
  </si>
  <si>
    <t>Dec-2025</t>
  </si>
  <si>
    <t>Mar-2026</t>
  </si>
  <si>
    <t>Jun-2026</t>
  </si>
  <si>
    <t>Sep-2026</t>
  </si>
  <si>
    <t>Dec-2026</t>
  </si>
  <si>
    <t>Forecast data</t>
  </si>
  <si>
    <r>
      <t xml:space="preserve">Source: </t>
    </r>
    <r>
      <rPr>
        <sz val="8"/>
        <color theme="1"/>
        <rFont val="Arial"/>
        <family val="2"/>
      </rPr>
      <t>Economic Benchmarking Regulatory Information Notices (EBRINs), CA RINs, 2009 - 2023</t>
    </r>
  </si>
  <si>
    <t>average CN growth (FY23 - FY29):</t>
  </si>
  <si>
    <t>CN growth rate FY22 - FY23:</t>
  </si>
  <si>
    <t xml:space="preserve">CN growth rate FY22 - FY23: </t>
  </si>
  <si>
    <t>Opex forecast error (%)</t>
  </si>
  <si>
    <t>2023ACT</t>
  </si>
  <si>
    <t>2023AGD</t>
  </si>
  <si>
    <t>2023CIT</t>
  </si>
  <si>
    <t>2023END</t>
  </si>
  <si>
    <t>2023ENX</t>
  </si>
  <si>
    <t>2023ERG</t>
  </si>
  <si>
    <t>2023ESS</t>
  </si>
  <si>
    <t>2025JEN</t>
  </si>
  <si>
    <t>2023PCR</t>
  </si>
  <si>
    <t>2023SAP</t>
  </si>
  <si>
    <t>2023AND</t>
  </si>
  <si>
    <t>2023TND</t>
  </si>
  <si>
    <t>2023UED</t>
  </si>
  <si>
    <t>Ratcheted Maximum Demand</t>
  </si>
  <si>
    <t>Share Underground</t>
  </si>
  <si>
    <t>fraction</t>
  </si>
  <si>
    <t>$'000, nominal</t>
  </si>
  <si>
    <t>Opex forecast error</t>
  </si>
  <si>
    <t>Opex for network services * (1 + Opex forecast error) + Opex forecast error ($m, nominal)</t>
  </si>
  <si>
    <t>Cap. Corp. Overheads</t>
  </si>
  <si>
    <t>DFA CCO</t>
  </si>
  <si>
    <t>Checks</t>
  </si>
  <si>
    <t>Base year adjustments</t>
  </si>
  <si>
    <t xml:space="preserve">Administration of L-FiT </t>
  </si>
  <si>
    <t>Movement in provisions</t>
  </si>
  <si>
    <t>DMIA</t>
  </si>
  <si>
    <t>Circuit Lengths</t>
  </si>
  <si>
    <t>Circuit Length</t>
  </si>
  <si>
    <t>EVO Total Underground CL - Old method</t>
  </si>
  <si>
    <t>Old underground</t>
  </si>
  <si>
    <t>EVO Total Underground CL - New method</t>
  </si>
  <si>
    <t>New underground</t>
  </si>
  <si>
    <t>EVO Total CL - Old method</t>
  </si>
  <si>
    <t>Old Total</t>
  </si>
  <si>
    <t>EVO Total CL - New method</t>
  </si>
  <si>
    <t>New total</t>
  </si>
  <si>
    <t>General</t>
  </si>
  <si>
    <t>Input</t>
  </si>
  <si>
    <t>Value</t>
  </si>
  <si>
    <t>Actuals to FY21, then forecasts to FY24</t>
  </si>
  <si>
    <t>Dollar basis for results</t>
  </si>
  <si>
    <t>Base year - default</t>
  </si>
  <si>
    <t>Base year - manual override</t>
  </si>
  <si>
    <t>Start of long period</t>
  </si>
  <si>
    <t>Start of short period</t>
  </si>
  <si>
    <t>End of period</t>
  </si>
  <si>
    <t>Technology growth rate</t>
  </si>
  <si>
    <t>Technology growth rate outside benchmarking period</t>
  </si>
  <si>
    <t>Apply this growth rate outside benchmarking period?</t>
  </si>
  <si>
    <t>Efficiency target</t>
  </si>
  <si>
    <t>Operating environment factors - long period</t>
  </si>
  <si>
    <t>Include OEFs?</t>
  </si>
  <si>
    <t>OEF - Total</t>
  </si>
  <si>
    <t>OEF - Sapere / Merz</t>
  </si>
  <si>
    <t>OEF - Network overheads</t>
  </si>
  <si>
    <t>OEF - Vegetation management</t>
  </si>
  <si>
    <t>Scenario chosen in OEF model</t>
  </si>
  <si>
    <t>2023 ABR - Option 5</t>
  </si>
  <si>
    <t>Operating environment factors - short period</t>
  </si>
  <si>
    <t>Least Squares Econometrics Cobb-Douglas (LSECD) coefficients</t>
  </si>
  <si>
    <t>Coefficient</t>
  </si>
  <si>
    <t>ly2</t>
  </si>
  <si>
    <t>ln(Custnum)</t>
  </si>
  <si>
    <t>ly3</t>
  </si>
  <si>
    <t>ln(CircLen)</t>
  </si>
  <si>
    <t>ly4</t>
  </si>
  <si>
    <t>ln(RMDemand)</t>
  </si>
  <si>
    <t>lz1</t>
  </si>
  <si>
    <t>ln(ShareUGC)</t>
  </si>
  <si>
    <t>yr</t>
  </si>
  <si>
    <t>Year</t>
  </si>
  <si>
    <t>cd2</t>
  </si>
  <si>
    <t>New Zealand</t>
  </si>
  <si>
    <t>cd3</t>
  </si>
  <si>
    <t>Ontario</t>
  </si>
  <si>
    <t>d2</t>
  </si>
  <si>
    <t>d3</t>
  </si>
  <si>
    <t>d4</t>
  </si>
  <si>
    <t>d5</t>
  </si>
  <si>
    <t>d6</t>
  </si>
  <si>
    <t>d7</t>
  </si>
  <si>
    <t>d8</t>
  </si>
  <si>
    <t>d9</t>
  </si>
  <si>
    <t>d10</t>
  </si>
  <si>
    <t>d11</t>
  </si>
  <si>
    <t>d12</t>
  </si>
  <si>
    <t>d13</t>
  </si>
  <si>
    <t>_cons</t>
  </si>
  <si>
    <t>Constant</t>
  </si>
  <si>
    <t>Least Squares Econometrics Cobb-Douglas (LSECD) efficiency score results</t>
  </si>
  <si>
    <t>Stochastic Frontier Analysis Cobb-Douglas (SFACD) coefficients</t>
  </si>
  <si>
    <t>Stochastic Frontier Analysis Cobb-Douglas (SFACD) efficiency score results</t>
  </si>
  <si>
    <t>Least Squares Econometrics Translog (LSETLG) coefficients</t>
  </si>
  <si>
    <r>
      <t>ln(Custnum)=x</t>
    </r>
    <r>
      <rPr>
        <vertAlign val="subscript"/>
        <sz val="8"/>
        <color theme="1"/>
        <rFont val="Arial"/>
        <family val="2"/>
      </rPr>
      <t>1</t>
    </r>
  </si>
  <si>
    <r>
      <t>ln(CircLen)=x</t>
    </r>
    <r>
      <rPr>
        <vertAlign val="subscript"/>
        <sz val="8"/>
        <color theme="1"/>
        <rFont val="Arial"/>
        <family val="2"/>
      </rPr>
      <t>2</t>
    </r>
  </si>
  <si>
    <r>
      <t>ln(RMDemand)=x</t>
    </r>
    <r>
      <rPr>
        <vertAlign val="subscript"/>
        <sz val="8"/>
        <color theme="1"/>
        <rFont val="Arial"/>
        <family val="2"/>
      </rPr>
      <t>3</t>
    </r>
  </si>
  <si>
    <t>ly22</t>
  </si>
  <si>
    <r>
      <t>x</t>
    </r>
    <r>
      <rPr>
        <vertAlign val="subscript"/>
        <sz val="8"/>
        <color theme="1"/>
        <rFont val="Arial"/>
        <family val="2"/>
      </rPr>
      <t>1</t>
    </r>
    <r>
      <rPr>
        <sz val="8"/>
        <color theme="1"/>
        <rFont val="Arial"/>
        <family val="2"/>
      </rPr>
      <t>*x</t>
    </r>
    <r>
      <rPr>
        <vertAlign val="subscript"/>
        <sz val="8"/>
        <color theme="1"/>
        <rFont val="Arial"/>
        <family val="2"/>
      </rPr>
      <t>1</t>
    </r>
    <r>
      <rPr>
        <sz val="8"/>
        <color theme="1"/>
        <rFont val="Arial"/>
        <family val="2"/>
      </rPr>
      <t>/2</t>
    </r>
  </si>
  <si>
    <t>ly23</t>
  </si>
  <si>
    <r>
      <t>x</t>
    </r>
    <r>
      <rPr>
        <vertAlign val="subscript"/>
        <sz val="8"/>
        <color theme="1"/>
        <rFont val="Arial"/>
        <family val="2"/>
      </rPr>
      <t>1</t>
    </r>
    <r>
      <rPr>
        <sz val="8"/>
        <color theme="1"/>
        <rFont val="Arial"/>
        <family val="2"/>
      </rPr>
      <t>*x</t>
    </r>
    <r>
      <rPr>
        <vertAlign val="subscript"/>
        <sz val="8"/>
        <color theme="1"/>
        <rFont val="Arial"/>
        <family val="2"/>
      </rPr>
      <t>2</t>
    </r>
  </si>
  <si>
    <t>ly24</t>
  </si>
  <si>
    <r>
      <t>x</t>
    </r>
    <r>
      <rPr>
        <vertAlign val="subscript"/>
        <sz val="8"/>
        <color theme="1"/>
        <rFont val="Arial"/>
        <family val="2"/>
      </rPr>
      <t>1</t>
    </r>
    <r>
      <rPr>
        <sz val="8"/>
        <color theme="1"/>
        <rFont val="Arial"/>
        <family val="2"/>
      </rPr>
      <t>*x</t>
    </r>
    <r>
      <rPr>
        <vertAlign val="subscript"/>
        <sz val="8"/>
        <color theme="1"/>
        <rFont val="Arial"/>
        <family val="2"/>
      </rPr>
      <t>3</t>
    </r>
  </si>
  <si>
    <t>ly33</t>
  </si>
  <si>
    <r>
      <t>x</t>
    </r>
    <r>
      <rPr>
        <vertAlign val="subscript"/>
        <sz val="8"/>
        <color theme="1"/>
        <rFont val="Arial"/>
        <family val="2"/>
      </rPr>
      <t>2</t>
    </r>
    <r>
      <rPr>
        <sz val="8"/>
        <color theme="1"/>
        <rFont val="Arial"/>
        <family val="2"/>
      </rPr>
      <t>*x</t>
    </r>
    <r>
      <rPr>
        <vertAlign val="subscript"/>
        <sz val="8"/>
        <color theme="1"/>
        <rFont val="Arial"/>
        <family val="2"/>
      </rPr>
      <t>2</t>
    </r>
    <r>
      <rPr>
        <sz val="8"/>
        <color theme="1"/>
        <rFont val="Arial"/>
        <family val="2"/>
      </rPr>
      <t>/2</t>
    </r>
  </si>
  <si>
    <t>ly34</t>
  </si>
  <si>
    <r>
      <t>x</t>
    </r>
    <r>
      <rPr>
        <vertAlign val="subscript"/>
        <sz val="8"/>
        <color theme="1"/>
        <rFont val="Arial"/>
        <family val="2"/>
      </rPr>
      <t>2</t>
    </r>
    <r>
      <rPr>
        <sz val="8"/>
        <color theme="1"/>
        <rFont val="Arial"/>
        <family val="2"/>
      </rPr>
      <t>*x</t>
    </r>
    <r>
      <rPr>
        <vertAlign val="subscript"/>
        <sz val="8"/>
        <color theme="1"/>
        <rFont val="Arial"/>
        <family val="2"/>
      </rPr>
      <t>3</t>
    </r>
  </si>
  <si>
    <t>ly44</t>
  </si>
  <si>
    <r>
      <t>x</t>
    </r>
    <r>
      <rPr>
        <vertAlign val="subscript"/>
        <sz val="8"/>
        <color theme="1"/>
        <rFont val="Arial"/>
        <family val="2"/>
      </rPr>
      <t>3</t>
    </r>
    <r>
      <rPr>
        <sz val="8"/>
        <color theme="1"/>
        <rFont val="Arial"/>
        <family val="2"/>
      </rPr>
      <t>*x</t>
    </r>
    <r>
      <rPr>
        <vertAlign val="subscript"/>
        <sz val="8"/>
        <color theme="1"/>
        <rFont val="Arial"/>
        <family val="2"/>
      </rPr>
      <t>3</t>
    </r>
    <r>
      <rPr>
        <sz val="8"/>
        <color theme="1"/>
        <rFont val="Arial"/>
        <family val="2"/>
      </rPr>
      <t>/2</t>
    </r>
  </si>
  <si>
    <t>Least Squares Econometrics Translog (LSETLG) efficiency score results</t>
  </si>
  <si>
    <t>Least Squares Econometrics Translog (LSETLG) monotonicity violations</t>
  </si>
  <si>
    <t>Number of violations</t>
  </si>
  <si>
    <t>Stochastic Frontier Analysis Translog (SFATLG) coefficients</t>
  </si>
  <si>
    <t>Stochastic Frontier Analysis Translog (SFATLG) efficiency score results</t>
  </si>
  <si>
    <t>Stochastic Frontier Analysis Translog (SFATLG) monotonicity violations</t>
  </si>
  <si>
    <t>TFP data and forecasts</t>
  </si>
  <si>
    <t>MW</t>
  </si>
  <si>
    <t>Opex price escalation (nominal)</t>
  </si>
  <si>
    <t>%</t>
  </si>
  <si>
    <t>Opex quantity</t>
  </si>
  <si>
    <t>$'000RY2025</t>
  </si>
  <si>
    <t>Rates of change - long period</t>
  </si>
  <si>
    <t>Revised CL</t>
  </si>
  <si>
    <t>Average to</t>
  </si>
  <si>
    <t>Rates of change - short period</t>
  </si>
  <si>
    <t>Efficiency target to set - long period</t>
  </si>
  <si>
    <t>Model</t>
  </si>
  <si>
    <t>Margin allowance</t>
  </si>
  <si>
    <t>Implied opex reduction to reach efficiency target</t>
  </si>
  <si>
    <t>LSECD</t>
  </si>
  <si>
    <t>SFACD</t>
  </si>
  <si>
    <t>LSETLG</t>
  </si>
  <si>
    <t>SFATLG</t>
  </si>
  <si>
    <t>Average</t>
  </si>
  <si>
    <t>Efficiency target to set - short period</t>
  </si>
  <si>
    <t>Forecast cost driver growth rates</t>
  </si>
  <si>
    <t>Start year</t>
  </si>
  <si>
    <t>End year</t>
  </si>
  <si>
    <t>Midpoint</t>
  </si>
  <si>
    <t>Customer Numbers</t>
  </si>
  <si>
    <t>Least Squares Econometrics Cobb-Douglas (LSECD) estimated cost elasticities</t>
  </si>
  <si>
    <t>Output weights</t>
  </si>
  <si>
    <t>Technology</t>
  </si>
  <si>
    <t>Least Squares Econometrics Cobb-Douglas (LSECD) forecast driver growth rates / PP opex growth rates forecast</t>
  </si>
  <si>
    <t>Target opex reduction after ex post OEF adjustment</t>
  </si>
  <si>
    <t>Weighted Average Output Growth (1)</t>
  </si>
  <si>
    <t>Cumulative fixed technology growth rate</t>
  </si>
  <si>
    <t>Adjusted Technology (A)</t>
  </si>
  <si>
    <t>Returns to Scale (B)</t>
  </si>
  <si>
    <t>Business Conditions (C)</t>
  </si>
  <si>
    <t>PP opex growth rates (2 = A + B - C)</t>
  </si>
  <si>
    <t>Real input cost escalation (3)</t>
  </si>
  <si>
    <t>Opex rate of change (= (1 &amp; 3) / 2)</t>
  </si>
  <si>
    <t>Stochastic Frontier Analysis Cobb-Douglas (SFACD) estimated cost elasticities</t>
  </si>
  <si>
    <t>Stochastic Frontier Analysis Cobb-Douglas (SFACD) forecast driver growth rates / PP opex growth rates forecast</t>
  </si>
  <si>
    <t>Least Squares Econometrics Translog (LSETLG) estimated cost elasticities</t>
  </si>
  <si>
    <t>Least Squares Econometrics Translog (LSETLG) forecast driver growth rates / PP opex growth rates forecast</t>
  </si>
  <si>
    <t>Stochastic Frontier Analysis Translog (SFATLG) estimated cost elasticities</t>
  </si>
  <si>
    <t>Stochastic Frontier Analysis Translog (SFATLG) forecast driver growth rates / PP opex growth rates forecast</t>
  </si>
  <si>
    <t>Output | Charts (JEN)</t>
  </si>
  <si>
    <t>Monotonicity - long period</t>
  </si>
  <si>
    <t>Included (0 - No, 1 - Yes)</t>
  </si>
  <si>
    <t>Cobb-Douglas LSE</t>
  </si>
  <si>
    <t>n/a</t>
  </si>
  <si>
    <t>Cobb-Douglas SFA</t>
  </si>
  <si>
    <t>Translog LSE</t>
  </si>
  <si>
    <t>Translog SFA</t>
  </si>
  <si>
    <t>Monotonicity - short period</t>
  </si>
  <si>
    <t>Assessment of actual / proposed opex - long period</t>
  </si>
  <si>
    <t>Assessment made by comparing to rolled-forward average target opex from four models</t>
  </si>
  <si>
    <t>Start of period</t>
  </si>
  <si>
    <t>Base year</t>
  </si>
  <si>
    <t>($m, $RY2025)</t>
  </si>
  <si>
    <t>Base year (in Real June $2026)</t>
  </si>
  <si>
    <t>Cobb-Douglas
LSE</t>
  </si>
  <si>
    <t>Cobb-Douglas
SFA</t>
  </si>
  <si>
    <t>Translog
LSE</t>
  </si>
  <si>
    <t>Translog
SFA</t>
  </si>
  <si>
    <t>Proposed FY25 network services opex</t>
  </si>
  <si>
    <t>Model average</t>
  </si>
  <si>
    <t>Difference</t>
  </si>
  <si>
    <t>Difference (%)</t>
  </si>
  <si>
    <t>Actual / proposed opex ($m, nominal)</t>
  </si>
  <si>
    <t xml:space="preserve">Model average ($m, nominal) </t>
  </si>
  <si>
    <t>Assessment of actual / proposed opex - short period</t>
  </si>
  <si>
    <t>22. 2025 ABR Draft Report</t>
  </si>
  <si>
    <t>Index Numbers, All groups CPI, Australia, Series ID: A2325846C, released on 29 October 2025</t>
  </si>
  <si>
    <t>Statement on Monetary Policy: Forecast Table - Nov 2025</t>
  </si>
  <si>
    <r>
      <rPr>
        <sz val="11"/>
        <color theme="1"/>
        <rFont val="Wingdings 3"/>
        <family val="1"/>
        <charset val="2"/>
      </rPr>
      <t>t</t>
    </r>
    <r>
      <rPr>
        <sz val="9.35"/>
        <color theme="1"/>
        <rFont val="Arial"/>
        <family val="2"/>
      </rPr>
      <t xml:space="preserve"> RBA MPS Aug 2025</t>
    </r>
  </si>
  <si>
    <t>Data|EBRIN</t>
  </si>
  <si>
    <t>Data|OEFs - Short</t>
  </si>
  <si>
    <t>Data|OEFs - Long</t>
  </si>
  <si>
    <t>Data|CPI</t>
  </si>
  <si>
    <t>Data|Forecasts</t>
  </si>
  <si>
    <t>Input|Parameters</t>
  </si>
  <si>
    <t>Input|Econometrics - Short</t>
  </si>
  <si>
    <t>Input|Econometrics - Long</t>
  </si>
  <si>
    <t>Calc|Cost drivers</t>
  </si>
  <si>
    <t>Calc|Efficiency target</t>
  </si>
  <si>
    <t>Calc|Opex forecasts - Short</t>
  </si>
  <si>
    <t>Calc|Opex forecasts - Long</t>
  </si>
  <si>
    <t>Output|Summary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</si>
</sst>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
    <numFmt numFmtId="167" formatCode="0.0%"/>
    <numFmt numFmtId="168" formatCode="_-* #,##0_-;\-* #,##0_-;_-* &quot;-&quot;??_-;_-@_-"/>
    <numFmt numFmtId="169" formatCode="_(#,##0_);\(#,##0\);_(&quot;-&quot;_)"/>
    <numFmt numFmtId="170" formatCode="0.0000"/>
    <numFmt numFmtId="171" formatCode="0.000"/>
    <numFmt numFmtId="172" formatCode="_(* #,##0.0_);_(* \(#,##0.0\);_(* &quot;-&quot;??_);_(@_)"/>
    <numFmt numFmtId="173" formatCode="_(* #,##0_);_(* \(#,##0\);_(* &quot;-&quot;??_);_(@_)"/>
    <numFmt numFmtId="174" formatCode="[$-C09]mmm\-yyyy;@"/>
    <numFmt numFmtId="175" formatCode="dd\-mmm"/>
    <numFmt numFmtId="176" formatCode="_(* #,##0.00000_);_(* \(#,##0.00000\);_(* &quot;-&quot;??_);_(@_)"/>
    <numFmt numFmtId="177" formatCode="_(* #,##0.0000_);_(* \(#,##0.0000\);_(* &quot;-&quot;??_);_(@_)"/>
    <numFmt numFmtId="178" formatCode="#,##0.0_ ;\-#,##0.0\ "/>
    <numFmt numFmtId="179" formatCode="_(* #,##0.000_);_(* \(#,##0.000\);_(* &quot;-&quot;??_);_(@_)"/>
    <numFmt numFmtId="180" formatCode="0.000%"/>
    <numFmt numFmtId="181" formatCode="dd/mmm"/>
    <numFmt numFmtId="182" formatCode="_-* #,##0.00_-;[Red]\(#,##0.00\)_-;_-* &quot;-&quot;??_-;_-@_-"/>
    <numFmt numFmtId="183" formatCode="mm/dd/yy"/>
    <numFmt numFmtId="184" formatCode="_([$€-2]* #,##0.00_);_([$€-2]* \(#,##0.00\);_([$€-2]* &quot;-&quot;??_)"/>
    <numFmt numFmtId="185" formatCode="0_);[Red]\(0\)"/>
    <numFmt numFmtId="186" formatCode="_(* #,##0_);_(* \(#,##0\);_(* &quot;-&quot;?_);_(@_)"/>
    <numFmt numFmtId="187" formatCode="#,##0.0_);\(#,##0.0\)"/>
    <numFmt numFmtId="188" formatCode="#,##0_ ;\-#,##0\ "/>
    <numFmt numFmtId="189" formatCode="#,##0;[Red]\(#,##0.0\)"/>
    <numFmt numFmtId="190" formatCode="#,##0_ ;[Red]\(#,##0\)\ "/>
    <numFmt numFmtId="191" formatCode="#,##0.00;\(#,##0.00\)"/>
    <numFmt numFmtId="192" formatCode="_)d\-mmm\-yy_)"/>
    <numFmt numFmtId="193" formatCode="_(#,##0.0_);\(#,##0.0\);_(&quot;-&quot;_)"/>
    <numFmt numFmtId="194" formatCode="_(###0_);\(###0\);_(###0_)"/>
    <numFmt numFmtId="195" formatCode="#,##0.0000_);[Red]\(#,##0.0000\)"/>
    <numFmt numFmtId="196" formatCode="&quot;Warning&quot;;&quot;Warning&quot;;&quot;OK&quot;"/>
    <numFmt numFmtId="197" formatCode="#,##0_);\(#,##0\);\-\-_)"/>
    <numFmt numFmtId="198" formatCode="0.00000"/>
    <numFmt numFmtId="199" formatCode="0.000000"/>
    <numFmt numFmtId="200" formatCode="_-* #,##0.000_-;\-* #,##0.000_-;_-* &quot;-&quot;???_-;_-@_-"/>
  </numFmts>
  <fonts count="110">
    <font>
      <sz val="11"/>
      <color theme="1"/>
      <name val="Calibri"/>
      <family val="2"/>
      <scheme val="minor"/>
    </font>
    <font>
      <sz val="8"/>
      <color theme="1"/>
      <name val="Arial"/>
      <family val="2"/>
    </font>
    <font>
      <sz val="10"/>
      <color theme="1"/>
      <name val="Arial"/>
      <family val="2"/>
    </font>
    <font>
      <sz val="11"/>
      <color theme="1"/>
      <name val="Calibri"/>
      <family val="2"/>
      <scheme val="minor"/>
    </font>
    <font>
      <sz val="10"/>
      <name val="Arial"/>
      <family val="2"/>
    </font>
    <font>
      <sz val="11"/>
      <color indexed="8"/>
      <name val="Calibri"/>
      <family val="2"/>
    </font>
    <font>
      <sz val="8"/>
      <name val="Arial"/>
      <family val="2"/>
    </font>
    <font>
      <sz val="10"/>
      <name val="Arial"/>
      <family val="2"/>
    </font>
    <font>
      <sz val="12"/>
      <color theme="1"/>
      <name val="Calibri"/>
      <family val="2"/>
      <scheme val="minor"/>
    </font>
    <font>
      <sz val="8"/>
      <color theme="1"/>
      <name val="Arial"/>
      <family val="2"/>
    </font>
    <font>
      <b/>
      <sz val="12"/>
      <color theme="1"/>
      <name val="Arial"/>
      <family val="2"/>
    </font>
    <font>
      <sz val="8"/>
      <color indexed="8"/>
      <name val="Arial"/>
      <family val="2"/>
    </font>
    <font>
      <b/>
      <sz val="8"/>
      <color theme="1"/>
      <name val="Arial"/>
      <family val="2"/>
    </font>
    <font>
      <u/>
      <sz val="8"/>
      <color theme="10"/>
      <name val="Arial"/>
      <family val="2"/>
    </font>
    <font>
      <i/>
      <sz val="10"/>
      <color theme="1"/>
      <name val="Arial"/>
      <family val="2"/>
    </font>
    <font>
      <b/>
      <sz val="8"/>
      <color indexed="8"/>
      <name val="Arial"/>
      <family val="2"/>
    </font>
    <font>
      <b/>
      <sz val="8"/>
      <name val="Arial"/>
      <family val="2"/>
    </font>
    <font>
      <b/>
      <sz val="8"/>
      <color rgb="FFFF0000"/>
      <name val="Arial"/>
      <family val="2"/>
    </font>
    <font>
      <sz val="10"/>
      <color indexed="8"/>
      <name val="Arial"/>
      <family val="2"/>
    </font>
    <font>
      <u/>
      <sz val="8"/>
      <color indexed="12"/>
      <name val="Arial"/>
      <family val="2"/>
    </font>
    <font>
      <sz val="12"/>
      <name val="Arial"/>
      <family val="2"/>
    </font>
    <font>
      <b/>
      <sz val="8"/>
      <color theme="0" tint="-0.249977111117893"/>
      <name val="Arial"/>
      <family val="2"/>
    </font>
    <font>
      <sz val="11"/>
      <color theme="1"/>
      <name val="Arial"/>
      <family val="2"/>
    </font>
    <font>
      <vertAlign val="subscript"/>
      <sz val="8"/>
      <color theme="1"/>
      <name val="Arial"/>
      <family val="2"/>
    </font>
    <font>
      <sz val="8"/>
      <color indexed="81"/>
      <name val="Arial"/>
      <family val="2"/>
    </font>
    <font>
      <sz val="8"/>
      <color theme="0"/>
      <name val="Arial"/>
      <family val="2"/>
    </font>
    <font>
      <b/>
      <sz val="10"/>
      <color theme="1"/>
      <name val="Arial"/>
      <family val="2"/>
    </font>
    <font>
      <u/>
      <sz val="11"/>
      <color theme="10"/>
      <name val="Calibri"/>
      <family val="2"/>
      <scheme val="minor"/>
    </font>
    <font>
      <i/>
      <u/>
      <sz val="10"/>
      <color theme="10"/>
      <name val="Arial"/>
      <family val="2"/>
    </font>
    <font>
      <i/>
      <sz val="10"/>
      <name val="Arial"/>
      <family val="2"/>
    </font>
    <font>
      <sz val="8"/>
      <color theme="10"/>
      <name val="Arial"/>
      <family val="2"/>
    </font>
    <font>
      <b/>
      <sz val="11"/>
      <color theme="1"/>
      <name val="Arial"/>
      <family val="2"/>
    </font>
    <font>
      <sz val="11"/>
      <color indexed="8"/>
      <name val="Arial"/>
      <family val="2"/>
    </font>
    <font>
      <b/>
      <sz val="10"/>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b/>
      <sz val="12"/>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3"/>
      <color indexed="9"/>
      <name val="Arial"/>
      <family val="2"/>
    </font>
    <font>
      <sz val="10"/>
      <color indexed="55"/>
      <name val="Arial"/>
      <family val="2"/>
    </font>
    <font>
      <b/>
      <sz val="13"/>
      <color theme="4" tint="-0.24994659260841701"/>
      <name val="Arial"/>
      <family val="2"/>
    </font>
    <font>
      <b/>
      <sz val="12"/>
      <color indexed="8"/>
      <name val="Arial"/>
      <family val="2"/>
    </font>
    <font>
      <u/>
      <sz val="11"/>
      <name val="Arial"/>
      <family val="2"/>
    </font>
    <font>
      <i/>
      <sz val="11"/>
      <name val="Arial"/>
      <family val="2"/>
    </font>
    <font>
      <i/>
      <sz val="10"/>
      <color theme="1" tint="0.24994659260841701"/>
      <name val="Arial"/>
      <family val="2"/>
    </font>
    <font>
      <sz val="10"/>
      <color indexed="16"/>
      <name val="Arial"/>
      <family val="2"/>
    </font>
    <font>
      <b/>
      <sz val="16"/>
      <color indexed="9"/>
      <name val="Arial"/>
      <family val="2"/>
    </font>
    <font>
      <b/>
      <sz val="12"/>
      <color indexed="9"/>
      <name val="Arial"/>
      <family val="2"/>
    </font>
    <font>
      <sz val="11"/>
      <color indexed="9"/>
      <name val="Arial"/>
      <family val="2"/>
    </font>
    <font>
      <b/>
      <sz val="11"/>
      <color indexed="9"/>
      <name val="Arial"/>
      <family val="2"/>
    </font>
    <font>
      <sz val="10"/>
      <color theme="5" tint="-0.499984740745262"/>
      <name val="Arial"/>
      <family val="2"/>
    </font>
    <font>
      <b/>
      <sz val="12"/>
      <color theme="0"/>
      <name val="Arial"/>
      <family val="2"/>
    </font>
    <font>
      <sz val="10"/>
      <color theme="1"/>
      <name val="Verdana"/>
      <family val="2"/>
    </font>
    <font>
      <sz val="11"/>
      <color rgb="FF000000"/>
      <name val="Calibri"/>
      <family val="2"/>
    </font>
    <font>
      <sz val="11"/>
      <color rgb="FF000000"/>
      <name val="Calibri"/>
      <family val="2"/>
    </font>
    <font>
      <u/>
      <sz val="11"/>
      <color theme="10"/>
      <name val="Calibri"/>
      <family val="2"/>
    </font>
    <font>
      <sz val="8"/>
      <color rgb="FF000000"/>
      <name val="Arial"/>
      <family val="2"/>
    </font>
    <font>
      <b/>
      <sz val="8"/>
      <color rgb="FF000000"/>
      <name val="Arial"/>
      <family val="2"/>
    </font>
    <font>
      <u/>
      <sz val="8"/>
      <color theme="10"/>
      <name val="Calibri"/>
      <family val="2"/>
      <scheme val="minor"/>
    </font>
    <font>
      <sz val="9"/>
      <color indexed="81"/>
      <name val="Tahoma"/>
      <family val="2"/>
    </font>
    <font>
      <u/>
      <sz val="8"/>
      <color theme="10"/>
      <name val="Calibri"/>
      <family val="2"/>
    </font>
    <font>
      <sz val="8"/>
      <name val="Calibri"/>
      <family val="2"/>
      <scheme val="minor"/>
    </font>
    <font>
      <b/>
      <sz val="9"/>
      <color rgb="FFFFFFFF"/>
      <name val="Open Sans"/>
      <family val="2"/>
    </font>
    <font>
      <sz val="11"/>
      <color theme="1"/>
      <name val="Open Sans"/>
      <family val="2"/>
    </font>
    <font>
      <sz val="10"/>
      <color theme="1"/>
      <name val="Calibri"/>
      <family val="2"/>
      <scheme val="minor"/>
    </font>
    <font>
      <sz val="11"/>
      <name val="Open Sans"/>
      <family val="2"/>
    </font>
    <font>
      <sz val="11"/>
      <color theme="1"/>
      <name val="Wingdings 3"/>
      <family val="1"/>
      <charset val="2"/>
    </font>
    <font>
      <sz val="9.35"/>
      <color theme="1"/>
      <name val="Arial"/>
      <family val="2"/>
    </font>
    <font>
      <sz val="11"/>
      <color theme="1"/>
      <name val="Arial"/>
      <family val="1"/>
      <charset val="2"/>
    </font>
  </fonts>
  <fills count="56">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theme="0" tint="-0.14996795556505021"/>
        <bgColor indexed="64"/>
      </patternFill>
    </fill>
    <fill>
      <patternFill patternType="solid">
        <fgColor indexed="8"/>
        <bgColor indexed="64"/>
      </patternFill>
    </fill>
    <fill>
      <patternFill patternType="solid">
        <fgColor indexed="26"/>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27"/>
        <bgColor indexed="64"/>
      </patternFill>
    </fill>
    <fill>
      <patternFill patternType="mediumGray">
        <fgColor indexed="22"/>
      </patternFill>
    </fill>
    <fill>
      <patternFill patternType="solid">
        <fgColor theme="1" tint="0.499984740745262"/>
        <bgColor indexed="64"/>
      </patternFill>
    </fill>
    <fill>
      <patternFill patternType="solid">
        <fgColor theme="6" tint="0.39994506668294322"/>
        <bgColor indexed="64"/>
      </patternFill>
    </fill>
    <fill>
      <patternFill patternType="lightUp">
        <fgColor indexed="23"/>
        <bgColor auto="1"/>
      </patternFill>
    </fill>
    <fill>
      <patternFill patternType="solid">
        <fgColor theme="4" tint="-0.24994659260841701"/>
        <bgColor indexed="64"/>
      </patternFill>
    </fill>
    <fill>
      <patternFill patternType="solid">
        <fgColor theme="4" tint="-0.499984740745262"/>
        <bgColor indexed="64"/>
      </patternFill>
    </fill>
    <fill>
      <patternFill patternType="solid">
        <fgColor theme="6" tint="-0.499984740745262"/>
        <bgColor indexed="64"/>
      </patternFill>
    </fill>
    <fill>
      <patternFill patternType="gray0625">
        <fgColor indexed="22"/>
      </patternFill>
    </fill>
    <fill>
      <patternFill patternType="solid">
        <fgColor theme="9" tint="0.79998168889431442"/>
        <bgColor indexed="64"/>
      </patternFill>
    </fill>
    <fill>
      <patternFill patternType="solid">
        <fgColor theme="1"/>
        <bgColor indexed="64"/>
      </patternFill>
    </fill>
    <fill>
      <patternFill patternType="solid">
        <fgColor rgb="FFFFFFFF"/>
        <bgColor rgb="FF000000"/>
      </patternFill>
    </fill>
    <fill>
      <patternFill patternType="solid">
        <fgColor rgb="FFCCFFCC"/>
        <bgColor rgb="FF000000"/>
      </patternFill>
    </fill>
    <fill>
      <patternFill patternType="solid">
        <fgColor rgb="FFDAEEF3"/>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FFFF99"/>
        <bgColor indexed="64"/>
      </patternFill>
    </fill>
    <fill>
      <patternFill patternType="solid">
        <fgColor rgb="FF66CCFF"/>
        <bgColor indexed="64"/>
      </patternFill>
    </fill>
  </fills>
  <borders count="30">
    <border>
      <left/>
      <right/>
      <top/>
      <bottom/>
      <diagonal/>
    </border>
    <border>
      <left/>
      <right/>
      <top/>
      <bottom style="thin">
        <color indexed="64"/>
      </bottom>
      <diagonal/>
    </border>
    <border>
      <left style="medium">
        <color indexed="18"/>
      </left>
      <right style="medium">
        <color indexed="18"/>
      </right>
      <top style="medium">
        <color indexed="18"/>
      </top>
      <bottom style="medium">
        <color indexed="18"/>
      </bottom>
      <diagonal/>
    </border>
    <border>
      <left/>
      <right/>
      <top style="thin">
        <color indexed="64"/>
      </top>
      <bottom style="thin">
        <color indexed="64"/>
      </bottom>
      <diagonal/>
    </border>
    <border>
      <left/>
      <right/>
      <top/>
      <bottom style="medium">
        <color indexed="9"/>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medium">
        <color indexed="64"/>
      </top>
      <bottom style="medium">
        <color indexed="64"/>
      </bottom>
      <diagonal/>
    </border>
    <border>
      <left style="hair">
        <color auto="1"/>
      </left>
      <right style="hair">
        <color auto="1"/>
      </right>
      <top style="hair">
        <color auto="1"/>
      </top>
      <bottom/>
      <diagonal/>
    </border>
    <border>
      <left/>
      <right/>
      <top style="thin">
        <color indexed="64"/>
      </top>
      <bottom/>
      <diagonal/>
    </border>
    <border>
      <left style="thin">
        <color auto="1"/>
      </left>
      <right style="hair">
        <color auto="1"/>
      </right>
      <top style="hair">
        <color auto="1"/>
      </top>
      <bottom style="hair">
        <color auto="1"/>
      </bottom>
      <diagonal/>
    </border>
  </borders>
  <cellStyleXfs count="329">
    <xf numFmtId="0" fontId="0" fillId="0" borderId="0"/>
    <xf numFmtId="0" fontId="4" fillId="0" borderId="0"/>
    <xf numFmtId="0" fontId="3" fillId="0" borderId="0"/>
    <xf numFmtId="9"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9" fontId="6" fillId="0" borderId="2">
      <alignment horizontal="right" vertical="center"/>
      <protection locked="0"/>
    </xf>
    <xf numFmtId="0" fontId="3" fillId="0" borderId="0"/>
    <xf numFmtId="0" fontId="7" fillId="0" borderId="0"/>
    <xf numFmtId="165" fontId="5" fillId="0" borderId="0" applyFont="0" applyFill="0" applyBorder="0" applyAlignment="0" applyProtection="0"/>
    <xf numFmtId="9" fontId="3" fillId="0" borderId="0" applyFon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8" fillId="0" borderId="0"/>
    <xf numFmtId="9" fontId="8" fillId="0" borderId="0" applyFont="0" applyFill="0" applyBorder="0" applyAlignment="0" applyProtection="0"/>
    <xf numFmtId="0" fontId="9" fillId="0" borderId="0"/>
    <xf numFmtId="0" fontId="13" fillId="0" borderId="0" applyNumberFormat="0" applyFill="0" applyBorder="0" applyAlignment="0" applyProtection="0"/>
    <xf numFmtId="9" fontId="9" fillId="0" borderId="0" applyFont="0" applyFill="0" applyBorder="0" applyAlignment="0" applyProtection="0"/>
    <xf numFmtId="0" fontId="27" fillId="0" borderId="0" applyNumberFormat="0" applyFill="0" applyBorder="0" applyAlignment="0" applyProtection="0"/>
    <xf numFmtId="43" fontId="3" fillId="0" borderId="0" applyFont="0" applyFill="0" applyBorder="0" applyAlignment="0" applyProtection="0"/>
    <xf numFmtId="181" fontId="11" fillId="10" borderId="0" applyProtection="0"/>
    <xf numFmtId="9" fontId="32" fillId="0" borderId="0" applyFont="0" applyFill="0" applyBorder="0" applyAlignment="0" applyProtection="0"/>
    <xf numFmtId="43" fontId="9"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6" fillId="0" borderId="0"/>
    <xf numFmtId="182" fontId="6" fillId="0" borderId="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34" fillId="23" borderId="0" applyNumberFormat="0" applyBorder="0" applyAlignment="0" applyProtection="0"/>
    <xf numFmtId="0" fontId="34" fillId="28" borderId="0" applyNumberFormat="0" applyBorder="0" applyAlignment="0" applyProtection="0"/>
    <xf numFmtId="0" fontId="5" fillId="29"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30"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5" fillId="0" borderId="0"/>
    <xf numFmtId="42" fontId="36" fillId="0" borderId="0" applyFont="0" applyFill="0" applyBorder="0" applyAlignment="0" applyProtection="0"/>
    <xf numFmtId="0" fontId="37" fillId="32" borderId="0" applyNumberFormat="0" applyBorder="0" applyAlignment="0" applyProtection="0"/>
    <xf numFmtId="0" fontId="38" fillId="0" borderId="0" applyNumberFormat="0" applyFill="0" applyBorder="0" applyAlignment="0"/>
    <xf numFmtId="41" fontId="4" fillId="8" borderId="0" applyNumberFormat="0" applyFont="0" applyBorder="0" applyAlignment="0">
      <alignment horizontal="right"/>
    </xf>
    <xf numFmtId="41" fontId="4" fillId="8" borderId="0" applyNumberFormat="0" applyFont="0" applyBorder="0" applyAlignment="0">
      <alignment horizontal="right"/>
    </xf>
    <xf numFmtId="0" fontId="39" fillId="0" borderId="0" applyNumberFormat="0" applyFill="0" applyBorder="0" applyAlignment="0">
      <protection locked="0"/>
    </xf>
    <xf numFmtId="0" fontId="40" fillId="16" borderId="12" applyNumberFormat="0" applyAlignment="0" applyProtection="0"/>
    <xf numFmtId="0" fontId="41" fillId="33" borderId="13" applyNumberFormat="0" applyAlignment="0" applyProtection="0"/>
    <xf numFmtId="41" fontId="4" fillId="0" borderId="0" applyFont="0" applyFill="0" applyBorder="0" applyAlignment="0" applyProtection="0"/>
    <xf numFmtId="0" fontId="42"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43" fontId="4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184" fontId="5" fillId="0" borderId="0" applyFont="0" applyFill="0" applyBorder="0" applyAlignment="0" applyProtection="0"/>
    <xf numFmtId="0" fontId="46" fillId="0" borderId="0" applyNumberForma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0" fontId="47" fillId="0" borderId="0"/>
    <xf numFmtId="0" fontId="48" fillId="0" borderId="0"/>
    <xf numFmtId="0" fontId="49" fillId="37" borderId="0" applyNumberFormat="0" applyBorder="0" applyAlignment="0" applyProtection="0"/>
    <xf numFmtId="0" fontId="33" fillId="0" borderId="0" applyFill="0" applyBorder="0">
      <alignment vertical="center"/>
    </xf>
    <xf numFmtId="0" fontId="50" fillId="0" borderId="14" applyNumberFormat="0" applyFill="0" applyAlignment="0" applyProtection="0"/>
    <xf numFmtId="0" fontId="33" fillId="0" borderId="0" applyFill="0" applyBorder="0">
      <alignment vertical="center"/>
    </xf>
    <xf numFmtId="0" fontId="51" fillId="0" borderId="0" applyFill="0" applyBorder="0">
      <alignment vertical="center"/>
    </xf>
    <xf numFmtId="0" fontId="52" fillId="0" borderId="15" applyNumberFormat="0" applyFill="0" applyAlignment="0" applyProtection="0"/>
    <xf numFmtId="0" fontId="51" fillId="0" borderId="0" applyFill="0" applyBorder="0">
      <alignment vertical="center"/>
    </xf>
    <xf numFmtId="0" fontId="16" fillId="0" borderId="0" applyFill="0" applyBorder="0">
      <alignment vertical="center"/>
    </xf>
    <xf numFmtId="0" fontId="53" fillId="0" borderId="16" applyNumberFormat="0" applyFill="0" applyAlignment="0" applyProtection="0"/>
    <xf numFmtId="0" fontId="16" fillId="0" borderId="0" applyFill="0" applyBorder="0">
      <alignment vertical="center"/>
    </xf>
    <xf numFmtId="0" fontId="6" fillId="0" borderId="0" applyFill="0" applyBorder="0">
      <alignment vertical="center"/>
    </xf>
    <xf numFmtId="0" fontId="53" fillId="0" borderId="0" applyNumberFormat="0" applyFill="0" applyBorder="0" applyAlignment="0" applyProtection="0"/>
    <xf numFmtId="0" fontId="6" fillId="0" borderId="0" applyFill="0" applyBorder="0">
      <alignment vertical="center"/>
    </xf>
    <xf numFmtId="167" fontId="54" fillId="0" borderId="0"/>
    <xf numFmtId="0" fontId="55" fillId="0" borderId="0" applyNumberFormat="0" applyFill="0" applyBorder="0" applyAlignment="0" applyProtection="0">
      <alignment vertical="top"/>
      <protection locked="0"/>
    </xf>
    <xf numFmtId="0" fontId="56" fillId="0" borderId="0" applyFill="0" applyBorder="0">
      <alignment horizontal="center" vertical="center"/>
      <protection locked="0"/>
    </xf>
    <xf numFmtId="0" fontId="57" fillId="0" borderId="0" applyFill="0" applyBorder="0">
      <alignment horizontal="left" vertical="center"/>
      <protection locked="0"/>
    </xf>
    <xf numFmtId="0" fontId="58" fillId="14" borderId="12" applyNumberFormat="0" applyAlignment="0" applyProtection="0"/>
    <xf numFmtId="41" fontId="4" fillId="38" borderId="0" applyFont="0" applyBorder="0" applyAlignment="0">
      <alignment horizontal="right"/>
      <protection locked="0"/>
    </xf>
    <xf numFmtId="41" fontId="4" fillId="38" borderId="0" applyFont="0" applyBorder="0" applyAlignment="0">
      <alignment horizontal="right"/>
      <protection locked="0"/>
    </xf>
    <xf numFmtId="186" fontId="4" fillId="9" borderId="0" applyFont="0" applyBorder="0">
      <alignment horizontal="right"/>
      <protection locked="0"/>
    </xf>
    <xf numFmtId="186" fontId="4" fillId="9" borderId="0" applyFont="0" applyBorder="0">
      <alignment horizontal="right"/>
      <protection locked="0"/>
    </xf>
    <xf numFmtId="41" fontId="4" fillId="12" borderId="0" applyFont="0" applyBorder="0">
      <alignment horizontal="right"/>
      <protection locked="0"/>
    </xf>
    <xf numFmtId="41" fontId="4" fillId="12" borderId="0" applyFont="0" applyBorder="0">
      <alignment horizontal="right"/>
      <protection locked="0"/>
    </xf>
    <xf numFmtId="0" fontId="6" fillId="8" borderId="0"/>
    <xf numFmtId="0" fontId="59" fillId="0" borderId="17" applyNumberFormat="0" applyFill="0" applyAlignment="0" applyProtection="0"/>
    <xf numFmtId="187" fontId="60" fillId="0" borderId="0"/>
    <xf numFmtId="0" fontId="61" fillId="0" borderId="0" applyFill="0" applyBorder="0">
      <alignment horizontal="left" vertical="center"/>
    </xf>
    <xf numFmtId="0" fontId="62" fillId="17" borderId="0" applyNumberFormat="0" applyBorder="0" applyAlignment="0" applyProtection="0"/>
    <xf numFmtId="188" fontId="63"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7"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5" fillId="0" borderId="0"/>
    <xf numFmtId="0" fontId="4" fillId="0" borderId="0"/>
    <xf numFmtId="0" fontId="36" fillId="0" borderId="0"/>
    <xf numFmtId="0" fontId="4" fillId="7" borderId="0"/>
    <xf numFmtId="0" fontId="3" fillId="0" borderId="0"/>
    <xf numFmtId="0" fontId="4" fillId="0" borderId="0"/>
    <xf numFmtId="0" fontId="4" fillId="0" borderId="0"/>
    <xf numFmtId="0" fontId="4" fillId="15" borderId="18" applyNumberFormat="0" applyFont="0" applyAlignment="0" applyProtection="0"/>
    <xf numFmtId="0" fontId="64" fillId="16" borderId="19" applyNumberFormat="0" applyAlignment="0" applyProtection="0"/>
    <xf numFmtId="189" fontId="4" fillId="0" borderId="0" applyFill="0" applyBorder="0"/>
    <xf numFmtId="189" fontId="4" fillId="0" borderId="0" applyFill="0" applyBorder="0"/>
    <xf numFmtId="189" fontId="4" fillId="0" borderId="0" applyFill="0" applyBorder="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7" fontId="65" fillId="0" borderId="0"/>
    <xf numFmtId="0" fontId="16" fillId="0" borderId="0" applyFill="0" applyBorder="0">
      <alignment vertical="center"/>
    </xf>
    <xf numFmtId="0" fontId="42" fillId="0" borderId="0" applyNumberFormat="0" applyFont="0" applyFill="0" applyBorder="0" applyAlignment="0" applyProtection="0">
      <alignment horizontal="left"/>
    </xf>
    <xf numFmtId="15" fontId="42" fillId="0" borderId="0" applyFont="0" applyFill="0" applyBorder="0" applyAlignment="0" applyProtection="0"/>
    <xf numFmtId="4" fontId="42" fillId="0" borderId="0" applyFont="0" applyFill="0" applyBorder="0" applyAlignment="0" applyProtection="0"/>
    <xf numFmtId="190" fontId="66" fillId="0" borderId="20"/>
    <xf numFmtId="0" fontId="67" fillId="0" borderId="21">
      <alignment horizontal="center"/>
    </xf>
    <xf numFmtId="3" fontId="42" fillId="0" borderId="0" applyFont="0" applyFill="0" applyBorder="0" applyAlignment="0" applyProtection="0"/>
    <xf numFmtId="0" fontId="42" fillId="39" borderId="0" applyNumberFormat="0" applyFont="0" applyBorder="0" applyAlignment="0" applyProtection="0"/>
    <xf numFmtId="191" fontId="4" fillId="0" borderId="0"/>
    <xf numFmtId="191" fontId="4" fillId="0" borderId="0"/>
    <xf numFmtId="191" fontId="4" fillId="0" borderId="0"/>
    <xf numFmtId="192" fontId="6" fillId="0" borderId="0" applyFill="0" applyBorder="0">
      <alignment horizontal="right" vertical="center"/>
    </xf>
    <xf numFmtId="193" fontId="6" fillId="0" borderId="0" applyFill="0" applyBorder="0">
      <alignment horizontal="right" vertical="center"/>
    </xf>
    <xf numFmtId="194" fontId="6" fillId="0" borderId="0" applyFill="0" applyBorder="0">
      <alignment horizontal="right" vertical="center"/>
    </xf>
    <xf numFmtId="0" fontId="4" fillId="15" borderId="0" applyNumberFormat="0" applyFont="0" applyBorder="0" applyAlignment="0" applyProtection="0"/>
    <xf numFmtId="0" fontId="4" fillId="15"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68" fillId="0" borderId="0" applyNumberFormat="0" applyFill="0" applyBorder="0" applyAlignment="0" applyProtection="0"/>
    <xf numFmtId="0" fontId="4" fillId="0" borderId="0"/>
    <xf numFmtId="0" fontId="4" fillId="0" borderId="0"/>
    <xf numFmtId="0" fontId="4" fillId="0" borderId="0"/>
    <xf numFmtId="0" fontId="61" fillId="0" borderId="0"/>
    <xf numFmtId="0" fontId="69" fillId="0" borderId="0"/>
    <xf numFmtId="15" fontId="4" fillId="0" borderId="0"/>
    <xf numFmtId="15" fontId="4" fillId="0" borderId="0"/>
    <xf numFmtId="15" fontId="4" fillId="0" borderId="0"/>
    <xf numFmtId="10" fontId="4" fillId="0" borderId="0"/>
    <xf numFmtId="10" fontId="4" fillId="0" borderId="0"/>
    <xf numFmtId="10" fontId="4" fillId="0" borderId="0"/>
    <xf numFmtId="0" fontId="70" fillId="11" borderId="1" applyBorder="0" applyProtection="0">
      <alignment horizontal="centerContinuous" vertical="center"/>
    </xf>
    <xf numFmtId="0" fontId="71" fillId="0" borderId="0" applyBorder="0" applyProtection="0">
      <alignment vertical="center"/>
    </xf>
    <xf numFmtId="0" fontId="72" fillId="0" borderId="0">
      <alignment horizontal="left"/>
    </xf>
    <xf numFmtId="0" fontId="72" fillId="0" borderId="11" applyFill="0" applyBorder="0" applyProtection="0">
      <alignment horizontal="left" vertical="top"/>
    </xf>
    <xf numFmtId="49" fontId="4" fillId="0" borderId="0" applyFont="0" applyFill="0" applyBorder="0" applyAlignment="0" applyProtection="0"/>
    <xf numFmtId="0" fontId="73" fillId="0" borderId="0"/>
    <xf numFmtId="49" fontId="4" fillId="0" borderId="0" applyFont="0" applyFill="0" applyBorder="0" applyAlignment="0" applyProtection="0"/>
    <xf numFmtId="0" fontId="74" fillId="0" borderId="0"/>
    <xf numFmtId="0" fontId="74" fillId="0" borderId="0"/>
    <xf numFmtId="0" fontId="73" fillId="0" borderId="0"/>
    <xf numFmtId="187" fontId="75" fillId="0" borderId="0"/>
    <xf numFmtId="0" fontId="68" fillId="0" borderId="0" applyNumberFormat="0" applyFill="0" applyBorder="0" applyAlignment="0" applyProtection="0"/>
    <xf numFmtId="0" fontId="76" fillId="0" borderId="0" applyFill="0" applyBorder="0">
      <alignment horizontal="left" vertical="center"/>
      <protection locked="0"/>
    </xf>
    <xf numFmtId="0" fontId="73" fillId="0" borderId="0"/>
    <xf numFmtId="0" fontId="77" fillId="0" borderId="0" applyFill="0" applyBorder="0">
      <alignment horizontal="left" vertical="center"/>
      <protection locked="0"/>
    </xf>
    <xf numFmtId="0" fontId="45" fillId="0" borderId="22" applyNumberFormat="0" applyFill="0" applyAlignment="0" applyProtection="0"/>
    <xf numFmtId="0" fontId="78" fillId="0" borderId="0" applyNumberFormat="0" applyFill="0" applyBorder="0" applyAlignment="0" applyProtection="0"/>
    <xf numFmtId="195" fontId="4" fillId="0" borderId="1" applyBorder="0" applyProtection="0">
      <alignment horizontal="right"/>
    </xf>
    <xf numFmtId="195" fontId="4" fillId="0" borderId="1" applyBorder="0" applyProtection="0">
      <alignment horizontal="right"/>
    </xf>
    <xf numFmtId="195" fontId="4" fillId="0" borderId="1" applyBorder="0" applyProtection="0">
      <alignment horizontal="right"/>
    </xf>
    <xf numFmtId="0" fontId="3" fillId="0" borderId="0"/>
    <xf numFmtId="9" fontId="3" fillId="0" borderId="0" applyFont="0" applyFill="0" applyBorder="0" applyAlignment="0" applyProtection="0"/>
    <xf numFmtId="44" fontId="3" fillId="0" borderId="0" applyFont="0" applyFill="0" applyBorder="0" applyAlignment="0" applyProtection="0"/>
    <xf numFmtId="0" fontId="79" fillId="40" borderId="0"/>
    <xf numFmtId="196" fontId="80" fillId="0" borderId="23">
      <alignment horizontal="center"/>
    </xf>
    <xf numFmtId="0" fontId="26" fillId="41" borderId="10">
      <alignment horizontal="center" vertical="center"/>
    </xf>
    <xf numFmtId="0" fontId="4" fillId="42" borderId="12"/>
    <xf numFmtId="0" fontId="81" fillId="0" borderId="0" applyFill="0" applyBorder="0"/>
    <xf numFmtId="0" fontId="82" fillId="0" borderId="0" applyNumberFormat="0" applyFill="0"/>
    <xf numFmtId="0" fontId="83" fillId="0" borderId="0" applyFill="0"/>
    <xf numFmtId="0" fontId="84" fillId="0" borderId="0" applyFill="0"/>
    <xf numFmtId="0" fontId="85" fillId="0" borderId="0" applyFill="0"/>
    <xf numFmtId="0" fontId="79" fillId="43" borderId="0"/>
    <xf numFmtId="0" fontId="4" fillId="2" borderId="24" applyNumberFormat="0" applyFont="0" applyAlignment="0"/>
    <xf numFmtId="0" fontId="86" fillId="10" borderId="25" applyNumberFormat="0"/>
    <xf numFmtId="0" fontId="87" fillId="44" borderId="0"/>
    <xf numFmtId="0" fontId="88" fillId="44" borderId="0" applyNumberFormat="0"/>
    <xf numFmtId="0" fontId="89" fillId="44" borderId="0"/>
    <xf numFmtId="0" fontId="90" fillId="45" borderId="10" applyNumberFormat="0">
      <alignment horizontal="center" vertical="center"/>
    </xf>
    <xf numFmtId="0" fontId="2" fillId="46" borderId="12" applyNumberFormat="0" applyAlignment="0">
      <alignment horizontal="right"/>
    </xf>
    <xf numFmtId="0" fontId="33" fillId="2" borderId="24" applyNumberFormat="0" applyAlignment="0"/>
    <xf numFmtId="0" fontId="80" fillId="0" borderId="0" applyNumberFormat="0" applyFill="0" applyBorder="0"/>
    <xf numFmtId="0" fontId="91" fillId="47" borderId="24" applyNumberFormat="0">
      <protection locked="0"/>
    </xf>
    <xf numFmtId="0" fontId="3" fillId="0" borderId="0"/>
    <xf numFmtId="0" fontId="92" fillId="48" borderId="26">
      <alignment vertical="center"/>
    </xf>
    <xf numFmtId="43" fontId="9" fillId="0" borderId="0" applyFont="0" applyFill="0" applyBorder="0" applyAlignment="0" applyProtection="0"/>
    <xf numFmtId="43" fontId="4" fillId="0" borderId="0" applyFont="0" applyFill="0" applyBorder="0" applyAlignment="0" applyProtection="0"/>
    <xf numFmtId="41" fontId="4" fillId="8" borderId="0" applyNumberFormat="0" applyFont="0" applyBorder="0" applyAlignment="0">
      <alignment horizontal="right"/>
    </xf>
    <xf numFmtId="41" fontId="4" fillId="8" borderId="0" applyNumberFormat="0" applyFont="0" applyBorder="0" applyAlignment="0">
      <alignment horizontal="right"/>
    </xf>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4" fillId="38" borderId="0" applyFont="0" applyBorder="0" applyAlignment="0">
      <alignment horizontal="right"/>
      <protection locked="0"/>
    </xf>
    <xf numFmtId="41" fontId="4" fillId="38" borderId="0" applyFont="0" applyBorder="0" applyAlignment="0">
      <alignment horizontal="right"/>
      <protection locked="0"/>
    </xf>
    <xf numFmtId="41" fontId="4" fillId="12" borderId="0" applyFont="0" applyBorder="0">
      <alignment horizontal="right"/>
      <protection locked="0"/>
    </xf>
    <xf numFmtId="41" fontId="4" fillId="12" borderId="0" applyFont="0" applyBorder="0">
      <alignment horizontal="right"/>
      <protection locked="0"/>
    </xf>
    <xf numFmtId="0" fontId="3" fillId="0" borderId="0"/>
    <xf numFmtId="0" fontId="3"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0" fontId="93" fillId="0" borderId="0"/>
    <xf numFmtId="9" fontId="93" fillId="0" borderId="0" applyFont="0" applyFill="0" applyBorder="0" applyAlignment="0" applyProtection="0"/>
    <xf numFmtId="44" fontId="93" fillId="0" borderId="0" applyFont="0" applyFill="0" applyBorder="0" applyAlignment="0" applyProtection="0"/>
    <xf numFmtId="0" fontId="3" fillId="0" borderId="0"/>
    <xf numFmtId="43" fontId="93" fillId="0" borderId="0" applyFont="0" applyFill="0" applyBorder="0" applyAlignment="0" applyProtection="0"/>
    <xf numFmtId="0" fontId="93" fillId="0" borderId="0"/>
    <xf numFmtId="197" fontId="4" fillId="0" borderId="0" applyFill="0" applyBorder="0">
      <alignment vertical="center"/>
    </xf>
    <xf numFmtId="0" fontId="3" fillId="0" borderId="0"/>
    <xf numFmtId="0" fontId="94" fillId="0" borderId="0"/>
    <xf numFmtId="0" fontId="95" fillId="0" borderId="0"/>
    <xf numFmtId="0" fontId="94" fillId="0" borderId="0"/>
    <xf numFmtId="0" fontId="96" fillId="0" borderId="0" applyNumberFormat="0" applyFill="0" applyBorder="0" applyAlignment="0" applyProtection="0"/>
    <xf numFmtId="0" fontId="94" fillId="0" borderId="0"/>
    <xf numFmtId="0" fontId="106" fillId="52" borderId="0"/>
  </cellStyleXfs>
  <cellXfs count="337">
    <xf numFmtId="0" fontId="0" fillId="0" borderId="0" xfId="0"/>
    <xf numFmtId="49" fontId="10" fillId="2" borderId="0" xfId="0" applyNumberFormat="1" applyFont="1" applyFill="1" applyAlignment="1">
      <alignment horizontal="left" vertical="center"/>
    </xf>
    <xf numFmtId="49" fontId="12" fillId="3" borderId="3" xfId="0" applyNumberFormat="1" applyFont="1" applyFill="1" applyBorder="1" applyAlignment="1">
      <alignment vertical="center"/>
    </xf>
    <xf numFmtId="49" fontId="16" fillId="3" borderId="3" xfId="0" applyNumberFormat="1" applyFont="1" applyFill="1" applyBorder="1" applyAlignment="1">
      <alignment vertical="center"/>
    </xf>
    <xf numFmtId="49" fontId="9" fillId="3" borderId="3" xfId="0" applyNumberFormat="1" applyFont="1" applyFill="1" applyBorder="1" applyAlignment="1">
      <alignment vertical="center"/>
    </xf>
    <xf numFmtId="49" fontId="9" fillId="3" borderId="3" xfId="0" applyNumberFormat="1" applyFont="1" applyFill="1" applyBorder="1" applyAlignment="1">
      <alignment vertical="center" wrapText="1"/>
    </xf>
    <xf numFmtId="49" fontId="16" fillId="3" borderId="3" xfId="0" applyNumberFormat="1" applyFont="1" applyFill="1" applyBorder="1" applyAlignment="1">
      <alignment horizontal="center" vertical="center" wrapText="1"/>
    </xf>
    <xf numFmtId="0" fontId="20" fillId="2" borderId="0" xfId="1" applyFont="1" applyFill="1" applyAlignment="1">
      <alignment vertical="center"/>
    </xf>
    <xf numFmtId="49" fontId="14" fillId="2" borderId="4" xfId="0" applyNumberFormat="1" applyFont="1" applyFill="1" applyBorder="1" applyAlignment="1">
      <alignment horizontal="left" vertical="center"/>
    </xf>
    <xf numFmtId="0" fontId="4" fillId="2" borderId="0" xfId="1" applyFill="1" applyAlignment="1">
      <alignment vertical="center"/>
    </xf>
    <xf numFmtId="0" fontId="6" fillId="2" borderId="0" xfId="1" applyFont="1" applyFill="1" applyAlignment="1">
      <alignment vertical="center"/>
    </xf>
    <xf numFmtId="0" fontId="16" fillId="2" borderId="0" xfId="1" applyFont="1" applyFill="1" applyAlignment="1">
      <alignment vertical="center"/>
    </xf>
    <xf numFmtId="0" fontId="17" fillId="2" borderId="0" xfId="1" applyFont="1" applyFill="1" applyAlignment="1">
      <alignment vertical="center"/>
    </xf>
    <xf numFmtId="174" fontId="17" fillId="2" borderId="0" xfId="17" applyNumberFormat="1" applyFont="1" applyFill="1" applyAlignment="1">
      <alignment horizontal="left" vertical="center"/>
    </xf>
    <xf numFmtId="0" fontId="21" fillId="2" borderId="0" xfId="1" applyFont="1" applyFill="1" applyAlignment="1">
      <alignment vertical="center"/>
    </xf>
    <xf numFmtId="49" fontId="2" fillId="2" borderId="0" xfId="0" applyNumberFormat="1" applyFont="1" applyFill="1" applyAlignment="1">
      <alignment vertical="center"/>
    </xf>
    <xf numFmtId="0" fontId="0" fillId="2" borderId="0" xfId="0" applyFill="1" applyAlignment="1">
      <alignment vertical="center"/>
    </xf>
    <xf numFmtId="49" fontId="18" fillId="2" borderId="0" xfId="0" applyNumberFormat="1" applyFont="1" applyFill="1" applyAlignment="1">
      <alignment vertical="center"/>
    </xf>
    <xf numFmtId="0" fontId="0" fillId="3" borderId="3" xfId="0" applyFill="1" applyBorder="1" applyAlignment="1">
      <alignment vertical="center"/>
    </xf>
    <xf numFmtId="49" fontId="11" fillId="2" borderId="0" xfId="0" applyNumberFormat="1" applyFont="1" applyFill="1" applyAlignment="1">
      <alignment vertical="center"/>
    </xf>
    <xf numFmtId="49" fontId="19" fillId="2" borderId="0" xfId="0" applyNumberFormat="1" applyFont="1" applyFill="1" applyAlignment="1">
      <alignment vertical="center"/>
    </xf>
    <xf numFmtId="0" fontId="22" fillId="2" borderId="0" xfId="0" applyFont="1" applyFill="1" applyAlignment="1">
      <alignment vertical="center"/>
    </xf>
    <xf numFmtId="0" fontId="22" fillId="3" borderId="3" xfId="0" applyFont="1" applyFill="1" applyBorder="1" applyAlignment="1">
      <alignment vertical="center"/>
    </xf>
    <xf numFmtId="0" fontId="9" fillId="2" borderId="0" xfId="0" applyFont="1" applyFill="1" applyAlignment="1">
      <alignment vertical="center"/>
    </xf>
    <xf numFmtId="0" fontId="12" fillId="2" borderId="0" xfId="0" applyFont="1" applyFill="1" applyAlignment="1">
      <alignment vertical="center"/>
    </xf>
    <xf numFmtId="0" fontId="9" fillId="2" borderId="0" xfId="0" applyFont="1" applyFill="1" applyAlignment="1">
      <alignment horizontal="left" vertical="center"/>
    </xf>
    <xf numFmtId="0" fontId="16" fillId="2" borderId="0" xfId="1" applyFont="1" applyFill="1" applyAlignment="1">
      <alignment horizontal="left" vertical="center"/>
    </xf>
    <xf numFmtId="0" fontId="17" fillId="2" borderId="0" xfId="1" applyFont="1" applyFill="1" applyAlignment="1">
      <alignment horizontal="left" vertical="center"/>
    </xf>
    <xf numFmtId="0" fontId="21" fillId="2" borderId="0" xfId="1" applyFont="1" applyFill="1" applyAlignment="1">
      <alignment horizontal="left" vertical="center"/>
    </xf>
    <xf numFmtId="49" fontId="15"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0" fontId="0" fillId="2" borderId="0" xfId="0" applyFill="1" applyAlignment="1">
      <alignment horizontal="left" vertical="center"/>
    </xf>
    <xf numFmtId="0" fontId="12" fillId="2" borderId="0" xfId="0" applyFont="1" applyFill="1" applyAlignment="1">
      <alignment horizontal="left" vertical="center"/>
    </xf>
    <xf numFmtId="0" fontId="20" fillId="2" borderId="0" xfId="1" applyFont="1" applyFill="1" applyAlignment="1">
      <alignment horizontal="left" vertical="center"/>
    </xf>
    <xf numFmtId="0" fontId="4" fillId="2" borderId="0" xfId="1" applyFill="1" applyAlignment="1">
      <alignment horizontal="left" vertical="center"/>
    </xf>
    <xf numFmtId="49" fontId="9" fillId="3" borderId="3" xfId="0" applyNumberFormat="1" applyFont="1" applyFill="1" applyBorder="1" applyAlignment="1">
      <alignment horizontal="left" vertical="center"/>
    </xf>
    <xf numFmtId="0" fontId="6" fillId="2" borderId="0" xfId="1" applyFont="1" applyFill="1" applyAlignment="1">
      <alignment horizontal="left" vertical="center"/>
    </xf>
    <xf numFmtId="175" fontId="11" fillId="4" borderId="5" xfId="0" applyNumberFormat="1" applyFont="1" applyFill="1" applyBorder="1" applyAlignment="1" applyProtection="1">
      <alignment horizontal="left" vertical="center"/>
      <protection locked="0"/>
    </xf>
    <xf numFmtId="175" fontId="11" fillId="2" borderId="0" xfId="0" applyNumberFormat="1" applyFont="1" applyFill="1" applyAlignment="1" applyProtection="1">
      <alignment horizontal="left" vertical="center"/>
      <protection locked="0"/>
    </xf>
    <xf numFmtId="2" fontId="11" fillId="5" borderId="5" xfId="0" applyNumberFormat="1" applyFont="1" applyFill="1" applyBorder="1" applyAlignment="1" applyProtection="1">
      <alignment horizontal="center" vertical="center"/>
      <protection locked="0"/>
    </xf>
    <xf numFmtId="166" fontId="11" fillId="5" borderId="5" xfId="0" applyNumberFormat="1" applyFont="1" applyFill="1" applyBorder="1" applyAlignment="1" applyProtection="1">
      <alignment horizontal="center" vertical="center"/>
      <protection locked="0"/>
    </xf>
    <xf numFmtId="1" fontId="11" fillId="5" borderId="5" xfId="0" applyNumberFormat="1" applyFont="1" applyFill="1" applyBorder="1" applyAlignment="1" applyProtection="1">
      <alignment horizontal="center" vertical="center"/>
      <protection locked="0"/>
    </xf>
    <xf numFmtId="173" fontId="11" fillId="4" borderId="5" xfId="12" applyNumberFormat="1" applyFont="1" applyFill="1" applyBorder="1" applyAlignment="1" applyProtection="1">
      <alignment horizontal="center" vertical="center"/>
      <protection locked="0"/>
    </xf>
    <xf numFmtId="173" fontId="11" fillId="5" borderId="5" xfId="12" applyNumberFormat="1" applyFont="1" applyFill="1" applyBorder="1" applyAlignment="1" applyProtection="1">
      <alignment horizontal="center" vertical="center"/>
      <protection locked="0"/>
    </xf>
    <xf numFmtId="165" fontId="11" fillId="4" borderId="5" xfId="12" applyFont="1" applyFill="1" applyBorder="1" applyAlignment="1" applyProtection="1">
      <alignment horizontal="left" vertical="center"/>
      <protection locked="0"/>
    </xf>
    <xf numFmtId="2" fontId="11" fillId="5" borderId="5" xfId="0" applyNumberFormat="1" applyFont="1" applyFill="1" applyBorder="1" applyAlignment="1" applyProtection="1">
      <alignment horizontal="left" vertical="center"/>
      <protection locked="0"/>
    </xf>
    <xf numFmtId="10" fontId="11" fillId="5" borderId="5" xfId="10" applyNumberFormat="1" applyFont="1" applyFill="1" applyBorder="1" applyAlignment="1" applyProtection="1">
      <alignment horizontal="right" vertical="center"/>
      <protection locked="0"/>
    </xf>
    <xf numFmtId="9" fontId="11" fillId="5" borderId="5" xfId="10" applyFont="1" applyFill="1" applyBorder="1" applyAlignment="1" applyProtection="1">
      <alignment horizontal="center" vertical="center"/>
      <protection locked="0"/>
    </xf>
    <xf numFmtId="167" fontId="11" fillId="5" borderId="5" xfId="10" applyNumberFormat="1" applyFont="1" applyFill="1" applyBorder="1" applyAlignment="1" applyProtection="1">
      <alignment horizontal="center" vertical="center"/>
      <protection locked="0"/>
    </xf>
    <xf numFmtId="10" fontId="11" fillId="5" borderId="5" xfId="10" applyNumberFormat="1" applyFont="1" applyFill="1" applyBorder="1" applyAlignment="1" applyProtection="1">
      <alignment horizontal="center" vertical="center"/>
      <protection locked="0"/>
    </xf>
    <xf numFmtId="0" fontId="9" fillId="2" borderId="1" xfId="0" applyFont="1" applyFill="1" applyBorder="1" applyAlignment="1">
      <alignment vertical="center"/>
    </xf>
    <xf numFmtId="167" fontId="11" fillId="5" borderId="7" xfId="10" applyNumberFormat="1" applyFont="1" applyFill="1" applyBorder="1" applyAlignment="1" applyProtection="1">
      <alignment horizontal="center" vertical="center"/>
      <protection locked="0"/>
    </xf>
    <xf numFmtId="167" fontId="15" fillId="5" borderId="6" xfId="10" applyNumberFormat="1" applyFont="1" applyFill="1" applyBorder="1" applyAlignment="1" applyProtection="1">
      <alignment horizontal="center" vertical="center"/>
      <protection locked="0"/>
    </xf>
    <xf numFmtId="170" fontId="11" fillId="5" borderId="5" xfId="0" applyNumberFormat="1" applyFont="1" applyFill="1" applyBorder="1" applyAlignment="1" applyProtection="1">
      <alignment horizontal="center" vertical="center"/>
      <protection locked="0"/>
    </xf>
    <xf numFmtId="10" fontId="15" fillId="5" borderId="5" xfId="10" applyNumberFormat="1" applyFont="1" applyFill="1" applyBorder="1" applyAlignment="1" applyProtection="1">
      <alignment horizontal="center" vertical="center"/>
      <protection locked="0"/>
    </xf>
    <xf numFmtId="166" fontId="12" fillId="2" borderId="0" xfId="0" applyNumberFormat="1" applyFont="1" applyFill="1" applyAlignment="1">
      <alignment vertical="center"/>
    </xf>
    <xf numFmtId="172" fontId="9" fillId="2" borderId="0" xfId="12" applyNumberFormat="1" applyFont="1" applyFill="1" applyAlignment="1">
      <alignment vertical="center"/>
    </xf>
    <xf numFmtId="1" fontId="11" fillId="5" borderId="5" xfId="0" applyNumberFormat="1" applyFont="1" applyFill="1" applyBorder="1" applyAlignment="1" applyProtection="1">
      <alignment horizontal="left" vertical="center"/>
      <protection locked="0"/>
    </xf>
    <xf numFmtId="172" fontId="11" fillId="5" borderId="5" xfId="12" applyNumberFormat="1" applyFont="1" applyFill="1" applyBorder="1" applyAlignment="1" applyProtection="1">
      <alignment horizontal="left" vertical="center"/>
      <protection locked="0"/>
    </xf>
    <xf numFmtId="167" fontId="11" fillId="5" borderId="5" xfId="10" applyNumberFormat="1" applyFont="1" applyFill="1" applyBorder="1" applyAlignment="1" applyProtection="1">
      <alignment horizontal="right" vertical="center"/>
      <protection locked="0"/>
    </xf>
    <xf numFmtId="1" fontId="11" fillId="5" borderId="5" xfId="0" applyNumberFormat="1" applyFont="1" applyFill="1" applyBorder="1" applyAlignment="1" applyProtection="1">
      <alignment horizontal="right" vertical="center"/>
      <protection locked="0"/>
    </xf>
    <xf numFmtId="1" fontId="11" fillId="4" borderId="5" xfId="0" applyNumberFormat="1" applyFont="1" applyFill="1" applyBorder="1" applyAlignment="1" applyProtection="1">
      <alignment horizontal="right" vertical="center"/>
      <protection locked="0"/>
    </xf>
    <xf numFmtId="0" fontId="15" fillId="2" borderId="0" xfId="0" applyFont="1" applyFill="1" applyAlignment="1">
      <alignment vertical="center"/>
    </xf>
    <xf numFmtId="168" fontId="9" fillId="2" borderId="0" xfId="9" applyNumberFormat="1" applyFont="1" applyFill="1" applyAlignment="1">
      <alignment vertical="center"/>
    </xf>
    <xf numFmtId="168" fontId="9" fillId="2" borderId="0" xfId="9" applyNumberFormat="1" applyFont="1" applyFill="1" applyBorder="1" applyAlignment="1" applyProtection="1">
      <alignment vertical="center"/>
    </xf>
    <xf numFmtId="165" fontId="9" fillId="2" borderId="0" xfId="0" applyNumberFormat="1" applyFont="1" applyFill="1" applyAlignment="1">
      <alignment vertical="center"/>
    </xf>
    <xf numFmtId="173" fontId="9" fillId="2" borderId="0" xfId="12" applyNumberFormat="1" applyFont="1" applyFill="1" applyAlignment="1">
      <alignment vertical="center"/>
    </xf>
    <xf numFmtId="173" fontId="9" fillId="2" borderId="0" xfId="12" applyNumberFormat="1" applyFont="1" applyFill="1" applyBorder="1" applyAlignment="1">
      <alignment vertical="center"/>
    </xf>
    <xf numFmtId="165" fontId="9" fillId="2" borderId="0" xfId="12" applyFont="1" applyFill="1" applyAlignment="1">
      <alignment vertical="center"/>
    </xf>
    <xf numFmtId="173" fontId="9" fillId="4" borderId="5" xfId="12" applyNumberFormat="1" applyFont="1" applyFill="1" applyBorder="1" applyAlignment="1">
      <alignment vertical="center"/>
    </xf>
    <xf numFmtId="173" fontId="9" fillId="5" borderId="5" xfId="12" applyNumberFormat="1" applyFont="1" applyFill="1" applyBorder="1" applyAlignment="1">
      <alignment vertical="center"/>
    </xf>
    <xf numFmtId="0" fontId="9" fillId="2" borderId="0" xfId="0" applyFont="1" applyFill="1" applyAlignment="1">
      <alignment horizontal="right" vertical="center"/>
    </xf>
    <xf numFmtId="173" fontId="11" fillId="5" borderId="5" xfId="12" applyNumberFormat="1" applyFont="1" applyFill="1" applyBorder="1" applyAlignment="1" applyProtection="1">
      <alignment horizontal="left" vertical="center"/>
      <protection locked="0"/>
    </xf>
    <xf numFmtId="0" fontId="12" fillId="2" borderId="0" xfId="0" applyFont="1" applyFill="1" applyAlignment="1">
      <alignment horizontal="right" vertical="center"/>
    </xf>
    <xf numFmtId="177" fontId="9" fillId="2" borderId="0" xfId="12" applyNumberFormat="1" applyFont="1" applyFill="1" applyAlignment="1">
      <alignment vertical="center"/>
    </xf>
    <xf numFmtId="177" fontId="9" fillId="5" borderId="5" xfId="12" applyNumberFormat="1" applyFont="1" applyFill="1" applyBorder="1" applyAlignment="1">
      <alignment vertical="center"/>
    </xf>
    <xf numFmtId="10" fontId="9" fillId="5" borderId="5" xfId="10" applyNumberFormat="1" applyFont="1" applyFill="1" applyBorder="1" applyAlignment="1">
      <alignment vertical="center"/>
    </xf>
    <xf numFmtId="10" fontId="9" fillId="2" borderId="0" xfId="10" applyNumberFormat="1" applyFont="1" applyFill="1" applyAlignment="1">
      <alignment vertical="center"/>
    </xf>
    <xf numFmtId="10" fontId="11" fillId="5" borderId="8" xfId="10" applyNumberFormat="1" applyFont="1" applyFill="1" applyBorder="1" applyAlignment="1" applyProtection="1">
      <alignment horizontal="center" vertical="center"/>
      <protection locked="0"/>
    </xf>
    <xf numFmtId="178" fontId="11" fillId="5" borderId="5" xfId="12" applyNumberFormat="1" applyFont="1" applyFill="1" applyBorder="1" applyAlignment="1" applyProtection="1">
      <alignment horizontal="right" vertical="center"/>
      <protection locked="0"/>
    </xf>
    <xf numFmtId="175" fontId="11" fillId="5" borderId="5" xfId="0" applyNumberFormat="1" applyFont="1" applyFill="1" applyBorder="1" applyAlignment="1" applyProtection="1">
      <alignment horizontal="left" vertical="center"/>
      <protection locked="0"/>
    </xf>
    <xf numFmtId="49" fontId="26" fillId="2" borderId="0" xfId="0" applyNumberFormat="1" applyFont="1" applyFill="1" applyAlignment="1">
      <alignment horizontal="center" vertical="center"/>
    </xf>
    <xf numFmtId="49" fontId="13" fillId="2" borderId="0" xfId="20" applyNumberFormat="1" applyFont="1" applyFill="1" applyAlignment="1">
      <alignment horizontal="left" vertical="center"/>
    </xf>
    <xf numFmtId="49" fontId="13" fillId="2" borderId="0" xfId="20" applyNumberFormat="1" applyFont="1" applyFill="1" applyAlignment="1" applyProtection="1">
      <alignment horizontal="left" vertical="center"/>
    </xf>
    <xf numFmtId="0" fontId="13" fillId="2" borderId="0" xfId="20" applyFont="1" applyFill="1" applyAlignment="1">
      <alignment horizontal="left" vertical="center"/>
    </xf>
    <xf numFmtId="0" fontId="28" fillId="2" borderId="0" xfId="20" applyFont="1" applyFill="1" applyAlignment="1">
      <alignment horizontal="left" vertical="center"/>
    </xf>
    <xf numFmtId="0" fontId="29" fillId="2" borderId="0" xfId="20" applyFont="1" applyFill="1" applyAlignment="1">
      <alignment horizontal="left" vertical="center"/>
    </xf>
    <xf numFmtId="0" fontId="9" fillId="4" borderId="5" xfId="0" applyFont="1" applyFill="1" applyBorder="1" applyAlignment="1">
      <alignment horizontal="center" vertical="center"/>
    </xf>
    <xf numFmtId="0" fontId="9" fillId="5" borderId="5" xfId="0" applyFont="1" applyFill="1" applyBorder="1" applyAlignment="1">
      <alignment horizontal="center" vertical="center"/>
    </xf>
    <xf numFmtId="0" fontId="9" fillId="2" borderId="0" xfId="0" applyFont="1" applyFill="1"/>
    <xf numFmtId="49" fontId="28" fillId="2" borderId="0" xfId="20" applyNumberFormat="1" applyFont="1" applyFill="1" applyAlignment="1">
      <alignment horizontal="left" vertical="center"/>
    </xf>
    <xf numFmtId="49" fontId="4" fillId="2" borderId="0" xfId="1" applyNumberFormat="1" applyFill="1" applyAlignment="1">
      <alignment vertical="center"/>
    </xf>
    <xf numFmtId="49" fontId="12" fillId="2" borderId="0" xfId="0" applyNumberFormat="1" applyFont="1" applyFill="1" applyAlignment="1">
      <alignment vertical="center"/>
    </xf>
    <xf numFmtId="49" fontId="11" fillId="4" borderId="5" xfId="17" applyNumberFormat="1" applyFont="1" applyFill="1" applyBorder="1" applyAlignment="1">
      <alignment horizontal="left" vertical="center"/>
    </xf>
    <xf numFmtId="49" fontId="22" fillId="2" borderId="0" xfId="0" applyNumberFormat="1" applyFont="1" applyFill="1" applyAlignment="1">
      <alignment vertical="center"/>
    </xf>
    <xf numFmtId="49" fontId="11" fillId="5" borderId="5" xfId="17" applyNumberFormat="1" applyFont="1" applyFill="1" applyBorder="1" applyAlignment="1">
      <alignment horizontal="left" vertical="center"/>
    </xf>
    <xf numFmtId="166" fontId="20" fillId="2" borderId="0" xfId="1" applyNumberFormat="1" applyFont="1" applyFill="1" applyAlignment="1">
      <alignment vertical="center"/>
    </xf>
    <xf numFmtId="166" fontId="0" fillId="2" borderId="0" xfId="0" applyNumberFormat="1" applyFill="1" applyAlignment="1">
      <alignment vertical="center"/>
    </xf>
    <xf numFmtId="166" fontId="4" fillId="2" borderId="0" xfId="1" applyNumberFormat="1" applyFill="1" applyAlignment="1">
      <alignment vertical="center"/>
    </xf>
    <xf numFmtId="166" fontId="9" fillId="3" borderId="3" xfId="0" applyNumberFormat="1" applyFont="1" applyFill="1" applyBorder="1" applyAlignment="1">
      <alignment vertical="center"/>
    </xf>
    <xf numFmtId="166" fontId="13" fillId="2" borderId="0" xfId="20" applyNumberFormat="1" applyFont="1" applyFill="1" applyAlignment="1">
      <alignment vertical="center"/>
    </xf>
    <xf numFmtId="166" fontId="6" fillId="2" borderId="0" xfId="20" applyNumberFormat="1" applyFont="1" applyFill="1" applyAlignment="1">
      <alignment vertical="center"/>
    </xf>
    <xf numFmtId="166" fontId="9" fillId="4" borderId="5" xfId="0" applyNumberFormat="1" applyFont="1" applyFill="1" applyBorder="1" applyAlignment="1">
      <alignment vertical="center"/>
    </xf>
    <xf numFmtId="166" fontId="22" fillId="2" borderId="0" xfId="0" applyNumberFormat="1" applyFont="1" applyFill="1" applyAlignment="1">
      <alignment vertical="center"/>
    </xf>
    <xf numFmtId="173" fontId="9" fillId="2" borderId="0" xfId="0" applyNumberFormat="1" applyFont="1" applyFill="1" applyAlignment="1">
      <alignment vertical="center"/>
    </xf>
    <xf numFmtId="173" fontId="11" fillId="5" borderId="5" xfId="10" applyNumberFormat="1" applyFont="1" applyFill="1" applyBorder="1" applyAlignment="1" applyProtection="1">
      <alignment horizontal="center" vertical="center"/>
      <protection locked="0"/>
    </xf>
    <xf numFmtId="177" fontId="11" fillId="5" borderId="5" xfId="10" applyNumberFormat="1" applyFont="1" applyFill="1" applyBorder="1" applyAlignment="1" applyProtection="1">
      <alignment horizontal="center" vertical="center"/>
      <protection locked="0"/>
    </xf>
    <xf numFmtId="2" fontId="11" fillId="2" borderId="0" xfId="0" applyNumberFormat="1" applyFont="1" applyFill="1" applyAlignment="1" applyProtection="1">
      <alignment horizontal="left" vertical="center"/>
      <protection locked="0"/>
    </xf>
    <xf numFmtId="1" fontId="11" fillId="2" borderId="0" xfId="0" applyNumberFormat="1" applyFont="1" applyFill="1" applyAlignment="1" applyProtection="1">
      <alignment horizontal="left" vertical="center"/>
      <protection locked="0"/>
    </xf>
    <xf numFmtId="172" fontId="11" fillId="2" borderId="0" xfId="12" applyNumberFormat="1" applyFont="1" applyFill="1" applyBorder="1" applyAlignment="1" applyProtection="1">
      <alignment horizontal="left" vertical="center"/>
      <protection locked="0"/>
    </xf>
    <xf numFmtId="167" fontId="11" fillId="2" borderId="0" xfId="10" applyNumberFormat="1" applyFont="1" applyFill="1" applyBorder="1" applyAlignment="1" applyProtection="1">
      <alignment horizontal="right" vertical="center"/>
      <protection locked="0"/>
    </xf>
    <xf numFmtId="166" fontId="16" fillId="2" borderId="0" xfId="20" applyNumberFormat="1" applyFont="1" applyFill="1" applyAlignment="1">
      <alignment vertical="center"/>
    </xf>
    <xf numFmtId="10" fontId="9" fillId="4" borderId="5" xfId="10" applyNumberFormat="1" applyFont="1" applyFill="1" applyBorder="1" applyAlignment="1">
      <alignment vertical="center"/>
    </xf>
    <xf numFmtId="10" fontId="20" fillId="2" borderId="0" xfId="10" applyNumberFormat="1" applyFont="1" applyFill="1" applyAlignment="1">
      <alignment vertical="center"/>
    </xf>
    <xf numFmtId="10" fontId="2" fillId="2" borderId="0" xfId="10" applyNumberFormat="1" applyFont="1" applyFill="1" applyBorder="1" applyAlignment="1">
      <alignment vertical="center"/>
    </xf>
    <xf numFmtId="10" fontId="4" fillId="2" borderId="0" xfId="10" applyNumberFormat="1" applyFont="1" applyFill="1" applyAlignment="1">
      <alignment vertical="center"/>
    </xf>
    <xf numFmtId="10" fontId="16" fillId="3" borderId="3" xfId="10" applyNumberFormat="1" applyFont="1" applyFill="1" applyBorder="1" applyAlignment="1">
      <alignment vertical="center"/>
    </xf>
    <xf numFmtId="10" fontId="22" fillId="2" borderId="0" xfId="10" applyNumberFormat="1" applyFont="1" applyFill="1" applyAlignment="1">
      <alignment vertical="center"/>
    </xf>
    <xf numFmtId="10" fontId="12" fillId="2" borderId="0" xfId="10" applyNumberFormat="1" applyFont="1" applyFill="1" applyAlignment="1">
      <alignment vertical="center"/>
    </xf>
    <xf numFmtId="10" fontId="9" fillId="3" borderId="3" xfId="10" applyNumberFormat="1" applyFont="1" applyFill="1" applyBorder="1" applyAlignment="1">
      <alignment vertical="center"/>
    </xf>
    <xf numFmtId="9" fontId="11" fillId="4" borderId="5" xfId="10" applyFont="1" applyFill="1" applyBorder="1" applyAlignment="1" applyProtection="1">
      <alignment horizontal="right" vertical="center"/>
      <protection locked="0"/>
    </xf>
    <xf numFmtId="167" fontId="11" fillId="4" borderId="5" xfId="10" applyNumberFormat="1" applyFont="1" applyFill="1" applyBorder="1" applyAlignment="1" applyProtection="1">
      <alignment horizontal="right" vertical="center"/>
      <protection locked="0"/>
    </xf>
    <xf numFmtId="0" fontId="9" fillId="3" borderId="3" xfId="0" applyFont="1" applyFill="1" applyBorder="1" applyAlignment="1">
      <alignment vertical="center"/>
    </xf>
    <xf numFmtId="0" fontId="30" fillId="2" borderId="0" xfId="20" applyFont="1" applyFill="1" applyAlignment="1">
      <alignment vertical="center"/>
    </xf>
    <xf numFmtId="168" fontId="12" fillId="2" borderId="0" xfId="9" applyNumberFormat="1" applyFont="1" applyFill="1" applyBorder="1" applyAlignment="1" applyProtection="1">
      <alignment vertical="center"/>
    </xf>
    <xf numFmtId="10" fontId="9" fillId="6" borderId="5" xfId="0" applyNumberFormat="1" applyFont="1" applyFill="1" applyBorder="1" applyAlignment="1">
      <alignment vertical="center"/>
    </xf>
    <xf numFmtId="0" fontId="9" fillId="6" borderId="5" xfId="0" applyFont="1" applyFill="1" applyBorder="1" applyAlignment="1">
      <alignment horizontal="center" vertical="center"/>
    </xf>
    <xf numFmtId="173" fontId="9" fillId="5" borderId="6" xfId="12" applyNumberFormat="1" applyFont="1" applyFill="1" applyBorder="1" applyAlignment="1">
      <alignment vertical="center"/>
    </xf>
    <xf numFmtId="49" fontId="6" fillId="4" borderId="5" xfId="1" applyNumberFormat="1" applyFont="1" applyFill="1" applyBorder="1" applyAlignment="1">
      <alignment vertical="center"/>
    </xf>
    <xf numFmtId="173" fontId="11" fillId="5" borderId="9" xfId="12" applyNumberFormat="1" applyFont="1" applyFill="1" applyBorder="1" applyAlignment="1" applyProtection="1">
      <alignment horizontal="left" vertical="center"/>
      <protection locked="0"/>
    </xf>
    <xf numFmtId="177" fontId="9" fillId="5" borderId="9" xfId="12" applyNumberFormat="1" applyFont="1" applyFill="1" applyBorder="1" applyAlignment="1">
      <alignment vertical="center"/>
    </xf>
    <xf numFmtId="173" fontId="9" fillId="5" borderId="9" xfId="12" applyNumberFormat="1" applyFont="1" applyFill="1" applyBorder="1" applyAlignment="1">
      <alignment vertical="center"/>
    </xf>
    <xf numFmtId="10" fontId="9" fillId="5" borderId="9" xfId="10" applyNumberFormat="1" applyFont="1" applyFill="1" applyBorder="1" applyAlignment="1">
      <alignment vertical="center"/>
    </xf>
    <xf numFmtId="179" fontId="9" fillId="2" borderId="0" xfId="12" applyNumberFormat="1" applyFont="1" applyFill="1" applyAlignment="1">
      <alignment vertical="center"/>
    </xf>
    <xf numFmtId="179" fontId="9" fillId="5" borderId="5" xfId="12" applyNumberFormat="1" applyFont="1" applyFill="1" applyBorder="1" applyAlignment="1">
      <alignment vertical="center"/>
    </xf>
    <xf numFmtId="179" fontId="9" fillId="5" borderId="9" xfId="12" applyNumberFormat="1" applyFont="1" applyFill="1" applyBorder="1" applyAlignment="1">
      <alignment vertical="center"/>
    </xf>
    <xf numFmtId="167" fontId="15" fillId="5" borderId="5" xfId="10" applyNumberFormat="1" applyFont="1" applyFill="1" applyBorder="1" applyAlignment="1" applyProtection="1">
      <alignment horizontal="right" vertical="center"/>
      <protection locked="0"/>
    </xf>
    <xf numFmtId="180" fontId="9" fillId="2" borderId="0" xfId="10" applyNumberFormat="1" applyFont="1" applyFill="1" applyAlignment="1">
      <alignment vertical="center"/>
    </xf>
    <xf numFmtId="0" fontId="12" fillId="0" borderId="0" xfId="0" applyFont="1" applyAlignment="1">
      <alignment vertical="center"/>
    </xf>
    <xf numFmtId="171" fontId="9" fillId="5" borderId="5" xfId="0" applyNumberFormat="1" applyFont="1" applyFill="1" applyBorder="1" applyAlignment="1">
      <alignment vertical="center"/>
    </xf>
    <xf numFmtId="173" fontId="6" fillId="5" borderId="5" xfId="12" applyNumberFormat="1" applyFont="1" applyFill="1" applyBorder="1" applyAlignment="1" applyProtection="1">
      <alignment horizontal="center" vertical="center"/>
      <protection locked="0"/>
    </xf>
    <xf numFmtId="172" fontId="15" fillId="5" borderId="5" xfId="12" applyNumberFormat="1" applyFont="1" applyFill="1" applyBorder="1" applyAlignment="1" applyProtection="1">
      <alignment horizontal="left" vertical="center"/>
      <protection locked="0"/>
    </xf>
    <xf numFmtId="173" fontId="6" fillId="4" borderId="5" xfId="12" applyNumberFormat="1" applyFont="1" applyFill="1" applyBorder="1" applyAlignment="1" applyProtection="1">
      <alignment horizontal="left" vertical="center"/>
      <protection locked="0"/>
    </xf>
    <xf numFmtId="173" fontId="6" fillId="2" borderId="0" xfId="12" applyNumberFormat="1" applyFont="1" applyFill="1" applyAlignment="1">
      <alignment vertical="center"/>
    </xf>
    <xf numFmtId="173" fontId="6" fillId="5" borderId="5" xfId="12" applyNumberFormat="1" applyFont="1" applyFill="1" applyBorder="1" applyAlignment="1" applyProtection="1">
      <alignment horizontal="left" vertical="center"/>
      <protection locked="0"/>
    </xf>
    <xf numFmtId="173" fontId="6" fillId="4" borderId="8" xfId="12" applyNumberFormat="1" applyFont="1" applyFill="1" applyBorder="1" applyAlignment="1" applyProtection="1">
      <alignment horizontal="left" vertical="center"/>
      <protection locked="0"/>
    </xf>
    <xf numFmtId="0" fontId="6" fillId="2" borderId="0" xfId="0" applyFont="1" applyFill="1" applyAlignment="1">
      <alignment vertical="center"/>
    </xf>
    <xf numFmtId="177" fontId="6" fillId="2" borderId="0" xfId="12" applyNumberFormat="1" applyFont="1" applyFill="1" applyAlignment="1">
      <alignment vertical="center"/>
    </xf>
    <xf numFmtId="177" fontId="6" fillId="5" borderId="5" xfId="12" applyNumberFormat="1" applyFont="1" applyFill="1" applyBorder="1" applyAlignment="1" applyProtection="1">
      <alignment horizontal="left" vertical="center"/>
      <protection locked="0"/>
    </xf>
    <xf numFmtId="168" fontId="6" fillId="5" borderId="5" xfId="12" applyNumberFormat="1" applyFont="1" applyFill="1" applyBorder="1" applyAlignment="1" applyProtection="1">
      <alignment horizontal="left" vertical="center"/>
      <protection locked="0"/>
    </xf>
    <xf numFmtId="173" fontId="6" fillId="4" borderId="5" xfId="12" applyNumberFormat="1" applyFont="1" applyFill="1" applyBorder="1" applyAlignment="1" applyProtection="1">
      <alignment horizontal="center" vertical="center"/>
      <protection locked="0"/>
    </xf>
    <xf numFmtId="173" fontId="22" fillId="2" borderId="0" xfId="0" applyNumberFormat="1" applyFont="1" applyFill="1" applyAlignment="1">
      <alignment vertical="center"/>
    </xf>
    <xf numFmtId="0" fontId="31" fillId="2" borderId="0" xfId="0" applyFont="1" applyFill="1" applyAlignment="1">
      <alignment vertical="center"/>
    </xf>
    <xf numFmtId="173" fontId="16" fillId="5" borderId="5" xfId="12" applyNumberFormat="1" applyFont="1" applyFill="1" applyBorder="1" applyAlignment="1" applyProtection="1">
      <alignment horizontal="center" vertical="center"/>
      <protection locked="0"/>
    </xf>
    <xf numFmtId="173" fontId="16" fillId="2" borderId="0" xfId="12" applyNumberFormat="1" applyFont="1" applyFill="1" applyBorder="1" applyAlignment="1" applyProtection="1">
      <alignment horizontal="center" vertical="center"/>
      <protection locked="0"/>
    </xf>
    <xf numFmtId="0" fontId="16" fillId="2" borderId="0" xfId="1" applyFont="1" applyFill="1" applyAlignment="1">
      <alignment horizontal="center" vertical="center"/>
    </xf>
    <xf numFmtId="172" fontId="6" fillId="5" borderId="5" xfId="12" applyNumberFormat="1" applyFont="1" applyFill="1" applyBorder="1" applyAlignment="1" applyProtection="1">
      <alignment horizontal="left" vertical="center"/>
      <protection locked="0"/>
    </xf>
    <xf numFmtId="0" fontId="13" fillId="2" borderId="0" xfId="20" applyFont="1" applyFill="1" applyAlignment="1">
      <alignment vertical="center"/>
    </xf>
    <xf numFmtId="49" fontId="9" fillId="2" borderId="0" xfId="0" applyNumberFormat="1" applyFont="1" applyFill="1" applyAlignment="1">
      <alignment vertical="center"/>
    </xf>
    <xf numFmtId="0" fontId="6" fillId="2" borderId="0" xfId="20" applyFont="1" applyFill="1" applyAlignment="1">
      <alignment vertical="center"/>
    </xf>
    <xf numFmtId="0" fontId="22" fillId="2" borderId="0" xfId="0" applyFont="1" applyFill="1" applyAlignment="1">
      <alignment horizontal="center" vertical="center"/>
    </xf>
    <xf numFmtId="173" fontId="16" fillId="5" borderId="5" xfId="12" applyNumberFormat="1" applyFont="1" applyFill="1" applyBorder="1" applyAlignment="1" applyProtection="1">
      <alignment horizontal="right" vertical="center"/>
      <protection locked="0"/>
    </xf>
    <xf numFmtId="171" fontId="9" fillId="4" borderId="5" xfId="0" applyNumberFormat="1" applyFont="1" applyFill="1" applyBorder="1" applyAlignment="1">
      <alignment horizontal="center" vertical="center"/>
    </xf>
    <xf numFmtId="49" fontId="16" fillId="2" borderId="0" xfId="0" applyNumberFormat="1" applyFont="1" applyFill="1" applyAlignment="1">
      <alignment vertical="center"/>
    </xf>
    <xf numFmtId="49" fontId="9" fillId="2" borderId="0" xfId="0" applyNumberFormat="1" applyFont="1" applyFill="1" applyAlignment="1">
      <alignment vertical="center" wrapText="1"/>
    </xf>
    <xf numFmtId="49" fontId="16" fillId="2" borderId="0" xfId="0" applyNumberFormat="1" applyFont="1" applyFill="1" applyAlignment="1">
      <alignment horizontal="center" vertical="center" wrapText="1"/>
    </xf>
    <xf numFmtId="179" fontId="9" fillId="2" borderId="0" xfId="0" applyNumberFormat="1" applyFont="1" applyFill="1" applyAlignment="1">
      <alignment vertical="center"/>
    </xf>
    <xf numFmtId="173" fontId="9" fillId="6" borderId="5" xfId="12" applyNumberFormat="1" applyFont="1" applyFill="1" applyBorder="1" applyAlignment="1">
      <alignment vertical="center"/>
    </xf>
    <xf numFmtId="49" fontId="27" fillId="2" borderId="0" xfId="20" applyNumberFormat="1" applyFill="1" applyAlignment="1">
      <alignment vertical="center"/>
    </xf>
    <xf numFmtId="0" fontId="97" fillId="2" borderId="0" xfId="0" applyFont="1" applyFill="1" applyAlignment="1">
      <alignment vertical="center"/>
    </xf>
    <xf numFmtId="0" fontId="98" fillId="2" borderId="0" xfId="0" applyFont="1" applyFill="1" applyAlignment="1">
      <alignment vertical="center"/>
    </xf>
    <xf numFmtId="0" fontId="98" fillId="49" borderId="0" xfId="0" applyFont="1" applyFill="1" applyAlignment="1">
      <alignment vertical="center"/>
    </xf>
    <xf numFmtId="168" fontId="98" fillId="49" borderId="0" xfId="9" applyNumberFormat="1" applyFont="1" applyFill="1" applyBorder="1" applyAlignment="1" applyProtection="1">
      <alignment vertical="center"/>
    </xf>
    <xf numFmtId="171" fontId="11" fillId="6" borderId="5" xfId="0" applyNumberFormat="1" applyFont="1" applyFill="1" applyBorder="1" applyAlignment="1" applyProtection="1">
      <alignment horizontal="center" vertical="center"/>
      <protection locked="0"/>
    </xf>
    <xf numFmtId="173" fontId="11" fillId="6" borderId="5" xfId="12" applyNumberFormat="1" applyFont="1" applyFill="1" applyBorder="1" applyAlignment="1" applyProtection="1">
      <alignment horizontal="center" vertical="center"/>
      <protection locked="0"/>
    </xf>
    <xf numFmtId="173" fontId="6" fillId="6" borderId="5" xfId="12" applyNumberFormat="1" applyFont="1" applyFill="1" applyBorder="1" applyAlignment="1" applyProtection="1">
      <alignment horizontal="left" vertical="center"/>
      <protection locked="0"/>
    </xf>
    <xf numFmtId="173" fontId="6" fillId="6" borderId="8" xfId="12" applyNumberFormat="1" applyFont="1" applyFill="1" applyBorder="1" applyAlignment="1" applyProtection="1">
      <alignment horizontal="left" vertical="center"/>
      <protection locked="0"/>
    </xf>
    <xf numFmtId="0" fontId="97" fillId="49" borderId="0" xfId="0" applyFont="1" applyFill="1" applyAlignment="1">
      <alignment vertical="center"/>
    </xf>
    <xf numFmtId="180" fontId="97" fillId="50" borderId="5" xfId="10" applyNumberFormat="1" applyFont="1" applyFill="1" applyBorder="1" applyAlignment="1">
      <alignment vertical="center"/>
    </xf>
    <xf numFmtId="1" fontId="9" fillId="2" borderId="0" xfId="10" applyNumberFormat="1" applyFont="1" applyFill="1" applyAlignment="1">
      <alignment vertical="center"/>
    </xf>
    <xf numFmtId="0" fontId="99" fillId="0" borderId="0" xfId="20" applyFont="1" applyFill="1"/>
    <xf numFmtId="9" fontId="11" fillId="4" borderId="5" xfId="10" applyFont="1" applyFill="1" applyBorder="1" applyAlignment="1" applyProtection="1">
      <alignment vertical="center"/>
      <protection locked="0"/>
    </xf>
    <xf numFmtId="198" fontId="11" fillId="5" borderId="5" xfId="0" applyNumberFormat="1" applyFont="1" applyFill="1" applyBorder="1" applyAlignment="1" applyProtection="1">
      <alignment horizontal="center" vertical="center"/>
      <protection locked="0"/>
    </xf>
    <xf numFmtId="199" fontId="11" fillId="5" borderId="5" xfId="0" applyNumberFormat="1" applyFont="1" applyFill="1" applyBorder="1" applyAlignment="1" applyProtection="1">
      <alignment horizontal="center" vertical="center"/>
      <protection locked="0"/>
    </xf>
    <xf numFmtId="10" fontId="22" fillId="2" borderId="0" xfId="0" applyNumberFormat="1" applyFont="1" applyFill="1" applyAlignment="1">
      <alignment vertical="center"/>
    </xf>
    <xf numFmtId="200" fontId="9" fillId="2" borderId="0" xfId="0" applyNumberFormat="1" applyFont="1" applyFill="1" applyAlignment="1">
      <alignment vertical="center"/>
    </xf>
    <xf numFmtId="173" fontId="6" fillId="2" borderId="0" xfId="12" applyNumberFormat="1" applyFont="1" applyFill="1" applyBorder="1" applyAlignment="1" applyProtection="1">
      <alignment horizontal="left" vertical="center"/>
      <protection locked="0"/>
    </xf>
    <xf numFmtId="9" fontId="9" fillId="2" borderId="0" xfId="10" applyFont="1" applyFill="1" applyBorder="1" applyAlignment="1">
      <alignment vertical="center"/>
    </xf>
    <xf numFmtId="165" fontId="9" fillId="6" borderId="5" xfId="12" applyFont="1" applyFill="1" applyBorder="1" applyAlignment="1">
      <alignment vertical="center"/>
    </xf>
    <xf numFmtId="165" fontId="9" fillId="6" borderId="27" xfId="12" applyFont="1" applyFill="1" applyBorder="1" applyAlignment="1">
      <alignment vertical="center"/>
    </xf>
    <xf numFmtId="49" fontId="11" fillId="2" borderId="0" xfId="0" applyNumberFormat="1" applyFont="1" applyFill="1" applyAlignment="1" applyProtection="1">
      <alignment horizontal="left" indent="1"/>
      <protection locked="0"/>
    </xf>
    <xf numFmtId="165" fontId="9" fillId="2" borderId="0" xfId="12" applyFont="1" applyFill="1" applyBorder="1" applyAlignment="1">
      <alignment vertical="center"/>
    </xf>
    <xf numFmtId="176" fontId="11" fillId="2" borderId="0" xfId="12" applyNumberFormat="1" applyFont="1" applyFill="1" applyBorder="1" applyAlignment="1" applyProtection="1">
      <alignment horizontal="left" vertical="center"/>
      <protection locked="0"/>
    </xf>
    <xf numFmtId="49" fontId="15" fillId="2" borderId="0" xfId="0" applyNumberFormat="1" applyFont="1" applyFill="1" applyAlignment="1">
      <alignment vertical="center"/>
    </xf>
    <xf numFmtId="9" fontId="9" fillId="2" borderId="0" xfId="10" applyFont="1" applyFill="1" applyAlignment="1">
      <alignment vertical="center"/>
    </xf>
    <xf numFmtId="9" fontId="9" fillId="2" borderId="0" xfId="0" applyNumberFormat="1" applyFont="1" applyFill="1" applyAlignment="1">
      <alignment vertical="center"/>
    </xf>
    <xf numFmtId="165" fontId="9" fillId="4" borderId="5" xfId="12" applyFont="1" applyFill="1" applyBorder="1" applyAlignment="1">
      <alignment vertical="center"/>
    </xf>
    <xf numFmtId="0" fontId="101" fillId="2" borderId="0" xfId="20" applyFont="1" applyFill="1" applyAlignment="1">
      <alignment vertical="center"/>
    </xf>
    <xf numFmtId="171" fontId="22" fillId="2" borderId="0" xfId="0" applyNumberFormat="1" applyFont="1" applyFill="1" applyAlignment="1">
      <alignment vertical="center"/>
    </xf>
    <xf numFmtId="173" fontId="9" fillId="0" borderId="5" xfId="12" applyNumberFormat="1" applyFont="1" applyFill="1" applyBorder="1" applyAlignment="1">
      <alignment vertical="center"/>
    </xf>
    <xf numFmtId="170" fontId="9" fillId="2" borderId="0" xfId="0" applyNumberFormat="1" applyFont="1" applyFill="1" applyAlignment="1">
      <alignment vertical="center"/>
    </xf>
    <xf numFmtId="10" fontId="9" fillId="2" borderId="0" xfId="0" applyNumberFormat="1" applyFont="1" applyFill="1" applyAlignment="1">
      <alignment vertical="center"/>
    </xf>
    <xf numFmtId="173" fontId="9" fillId="0" borderId="0" xfId="12" applyNumberFormat="1" applyFont="1" applyFill="1" applyAlignment="1">
      <alignment vertical="center"/>
    </xf>
    <xf numFmtId="3" fontId="9" fillId="2" borderId="0" xfId="0" applyNumberFormat="1" applyFont="1" applyFill="1" applyAlignment="1">
      <alignment vertical="center"/>
    </xf>
    <xf numFmtId="167" fontId="9" fillId="2" borderId="0" xfId="10" applyNumberFormat="1" applyFont="1" applyFill="1" applyAlignment="1">
      <alignment vertical="center"/>
    </xf>
    <xf numFmtId="167" fontId="97" fillId="0" borderId="0" xfId="195" applyNumberFormat="1" applyFont="1" applyFill="1" applyBorder="1" applyAlignment="1" applyProtection="1">
      <alignment horizontal="center"/>
      <protection locked="0"/>
    </xf>
    <xf numFmtId="2" fontId="20" fillId="2" borderId="0" xfId="1" applyNumberFormat="1" applyFont="1" applyFill="1" applyAlignment="1">
      <alignment vertical="center"/>
    </xf>
    <xf numFmtId="2" fontId="0" fillId="2" borderId="0" xfId="0" applyNumberFormat="1" applyFill="1" applyAlignment="1">
      <alignment vertical="center"/>
    </xf>
    <xf numFmtId="2" fontId="4" fillId="2" borderId="0" xfId="1" applyNumberFormat="1" applyFill="1" applyAlignment="1">
      <alignment vertical="center"/>
    </xf>
    <xf numFmtId="2" fontId="16" fillId="3" borderId="3" xfId="0" applyNumberFormat="1" applyFont="1" applyFill="1" applyBorder="1" applyAlignment="1">
      <alignment vertical="center"/>
    </xf>
    <xf numFmtId="2" fontId="22" fillId="2" borderId="0" xfId="0" applyNumberFormat="1" applyFont="1" applyFill="1" applyAlignment="1">
      <alignment vertical="center"/>
    </xf>
    <xf numFmtId="2" fontId="22" fillId="3" borderId="3" xfId="0" applyNumberFormat="1" applyFont="1" applyFill="1" applyBorder="1" applyAlignment="1">
      <alignment vertical="center"/>
    </xf>
    <xf numFmtId="172" fontId="15" fillId="2" borderId="0" xfId="12" applyNumberFormat="1" applyFont="1" applyFill="1" applyBorder="1" applyAlignment="1" applyProtection="1">
      <alignment horizontal="left" vertical="center"/>
      <protection locked="0"/>
    </xf>
    <xf numFmtId="166" fontId="11" fillId="2" borderId="0" xfId="12" applyNumberFormat="1" applyFont="1" applyFill="1" applyBorder="1" applyAlignment="1" applyProtection="1">
      <alignment horizontal="right" vertical="center"/>
      <protection locked="0"/>
    </xf>
    <xf numFmtId="172" fontId="9" fillId="2" borderId="0" xfId="12" applyNumberFormat="1" applyFont="1" applyFill="1" applyBorder="1" applyAlignment="1" applyProtection="1">
      <alignment horizontal="left" vertical="center"/>
      <protection locked="0"/>
    </xf>
    <xf numFmtId="171" fontId="9" fillId="2" borderId="0" xfId="0" applyNumberFormat="1" applyFont="1" applyFill="1" applyAlignment="1">
      <alignment vertical="center"/>
    </xf>
    <xf numFmtId="0" fontId="9" fillId="0" borderId="0" xfId="0" applyFont="1" applyAlignment="1">
      <alignment horizontal="left" vertical="center"/>
    </xf>
    <xf numFmtId="0" fontId="9" fillId="0" borderId="0" xfId="0" applyFont="1" applyAlignment="1">
      <alignment vertical="center"/>
    </xf>
    <xf numFmtId="173" fontId="9" fillId="0" borderId="5" xfId="0" applyNumberFormat="1" applyFont="1" applyBorder="1" applyAlignment="1">
      <alignment vertical="center"/>
    </xf>
    <xf numFmtId="172" fontId="9" fillId="6" borderId="5" xfId="12" applyNumberFormat="1" applyFont="1" applyFill="1" applyBorder="1" applyAlignment="1">
      <alignment vertical="center"/>
    </xf>
    <xf numFmtId="0" fontId="12" fillId="0" borderId="0" xfId="0" applyFont="1" applyAlignment="1">
      <alignment horizontal="left" vertical="center"/>
    </xf>
    <xf numFmtId="168" fontId="9" fillId="2" borderId="0" xfId="12" applyNumberFormat="1" applyFont="1" applyFill="1" applyBorder="1" applyAlignment="1">
      <alignment vertical="center"/>
    </xf>
    <xf numFmtId="49" fontId="12" fillId="3" borderId="28" xfId="0" applyNumberFormat="1" applyFont="1" applyFill="1" applyBorder="1" applyAlignment="1">
      <alignment vertical="center"/>
    </xf>
    <xf numFmtId="49" fontId="9" fillId="3" borderId="28" xfId="0" applyNumberFormat="1" applyFont="1" applyFill="1" applyBorder="1" applyAlignment="1">
      <alignment vertical="center"/>
    </xf>
    <xf numFmtId="49" fontId="16" fillId="3" borderId="28" xfId="0" applyNumberFormat="1" applyFont="1" applyFill="1" applyBorder="1" applyAlignment="1">
      <alignment vertical="center"/>
    </xf>
    <xf numFmtId="49" fontId="9" fillId="3" borderId="28" xfId="0" applyNumberFormat="1" applyFont="1" applyFill="1" applyBorder="1" applyAlignment="1">
      <alignment vertical="center" wrapText="1"/>
    </xf>
    <xf numFmtId="49" fontId="16" fillId="3" borderId="28" xfId="0" applyNumberFormat="1" applyFont="1" applyFill="1" applyBorder="1" applyAlignment="1">
      <alignment horizontal="center" vertical="center" wrapText="1"/>
    </xf>
    <xf numFmtId="49" fontId="12" fillId="3" borderId="1" xfId="0" applyNumberFormat="1" applyFont="1" applyFill="1" applyBorder="1" applyAlignment="1">
      <alignment vertical="center"/>
    </xf>
    <xf numFmtId="49" fontId="9" fillId="3" borderId="1" xfId="0" applyNumberFormat="1" applyFont="1" applyFill="1" applyBorder="1" applyAlignment="1">
      <alignment vertical="center"/>
    </xf>
    <xf numFmtId="49" fontId="16" fillId="3" borderId="1" xfId="0" applyNumberFormat="1" applyFont="1" applyFill="1" applyBorder="1" applyAlignment="1">
      <alignment vertical="center"/>
    </xf>
    <xf numFmtId="49" fontId="9" fillId="3" borderId="1" xfId="0" applyNumberFormat="1" applyFont="1" applyFill="1" applyBorder="1" applyAlignment="1">
      <alignment vertical="center" wrapText="1"/>
    </xf>
    <xf numFmtId="49" fontId="16" fillId="3" borderId="1" xfId="0" applyNumberFormat="1" applyFont="1" applyFill="1" applyBorder="1" applyAlignment="1">
      <alignment horizontal="center" vertical="center" wrapText="1"/>
    </xf>
    <xf numFmtId="10" fontId="22" fillId="2" borderId="0" xfId="10" applyNumberFormat="1" applyFont="1" applyFill="1" applyBorder="1" applyAlignment="1">
      <alignment vertical="center"/>
    </xf>
    <xf numFmtId="0" fontId="13" fillId="2" borderId="0" xfId="20" applyFont="1" applyFill="1" applyBorder="1" applyAlignment="1">
      <alignment vertical="center"/>
    </xf>
    <xf numFmtId="176" fontId="11" fillId="5" borderId="6" xfId="12" applyNumberFormat="1" applyFont="1" applyFill="1" applyBorder="1" applyAlignment="1" applyProtection="1">
      <alignment horizontal="left" vertical="center"/>
      <protection locked="0"/>
    </xf>
    <xf numFmtId="10" fontId="11" fillId="2" borderId="0" xfId="10" applyNumberFormat="1" applyFont="1" applyFill="1" applyBorder="1" applyAlignment="1" applyProtection="1">
      <alignment horizontal="right" vertical="center"/>
      <protection locked="0"/>
    </xf>
    <xf numFmtId="165" fontId="22" fillId="2" borderId="0" xfId="12" applyFont="1" applyFill="1" applyAlignment="1">
      <alignment vertical="center"/>
    </xf>
    <xf numFmtId="173" fontId="97" fillId="50" borderId="5" xfId="12" applyNumberFormat="1" applyFont="1" applyFill="1" applyBorder="1" applyAlignment="1">
      <alignment vertical="center"/>
    </xf>
    <xf numFmtId="173" fontId="9" fillId="2" borderId="0" xfId="12" applyNumberFormat="1" applyFont="1" applyFill="1" applyAlignment="1">
      <alignment horizontal="right" vertical="center"/>
    </xf>
    <xf numFmtId="166" fontId="27" fillId="2" borderId="0" xfId="20" applyNumberFormat="1" applyFill="1" applyAlignment="1">
      <alignment vertical="center"/>
    </xf>
    <xf numFmtId="180" fontId="16" fillId="0" borderId="0" xfId="1" applyNumberFormat="1" applyFont="1" applyAlignment="1">
      <alignment vertical="center"/>
    </xf>
    <xf numFmtId="10" fontId="11" fillId="5" borderId="9" xfId="10" applyNumberFormat="1" applyFont="1" applyFill="1" applyBorder="1" applyAlignment="1" applyProtection="1">
      <alignment horizontal="right" vertical="center"/>
      <protection locked="0"/>
    </xf>
    <xf numFmtId="177" fontId="11" fillId="2" borderId="0" xfId="12" applyNumberFormat="1" applyFont="1" applyFill="1" applyBorder="1" applyAlignment="1" applyProtection="1">
      <alignment horizontal="left" vertical="center"/>
      <protection locked="0"/>
    </xf>
    <xf numFmtId="9" fontId="11" fillId="4" borderId="5" xfId="10" applyFont="1" applyFill="1" applyBorder="1" applyAlignment="1" applyProtection="1">
      <alignment horizontal="left" vertical="center"/>
      <protection locked="0"/>
    </xf>
    <xf numFmtId="165" fontId="11" fillId="2" borderId="0" xfId="12" applyFont="1" applyFill="1" applyBorder="1" applyAlignment="1" applyProtection="1">
      <alignment horizontal="right" vertical="center"/>
      <protection locked="0"/>
    </xf>
    <xf numFmtId="0" fontId="105" fillId="2" borderId="0" xfId="0" applyFont="1" applyFill="1"/>
    <xf numFmtId="0" fontId="4" fillId="2" borderId="0" xfId="1" applyFill="1" applyAlignment="1">
      <alignment horizontal="left" vertical="center" indent="3"/>
    </xf>
    <xf numFmtId="43" fontId="22" fillId="2" borderId="0" xfId="0" applyNumberFormat="1" applyFont="1" applyFill="1" applyAlignment="1">
      <alignment vertical="center"/>
    </xf>
    <xf numFmtId="173" fontId="9" fillId="53" borderId="0" xfId="12" applyNumberFormat="1" applyFont="1" applyFill="1" applyAlignment="1">
      <alignment vertical="center"/>
    </xf>
    <xf numFmtId="0" fontId="12" fillId="53" borderId="0" xfId="0" applyFont="1" applyFill="1" applyAlignment="1">
      <alignment vertical="center"/>
    </xf>
    <xf numFmtId="0" fontId="12" fillId="53" borderId="0" xfId="0" applyFont="1" applyFill="1" applyAlignment="1">
      <alignment horizontal="right" vertical="center"/>
    </xf>
    <xf numFmtId="173" fontId="9" fillId="53" borderId="0" xfId="12" applyNumberFormat="1" applyFont="1" applyFill="1" applyBorder="1" applyAlignment="1">
      <alignment vertical="center"/>
    </xf>
    <xf numFmtId="0" fontId="9" fillId="53" borderId="0" xfId="0" applyFont="1" applyFill="1" applyAlignment="1">
      <alignment vertical="center"/>
    </xf>
    <xf numFmtId="0" fontId="12" fillId="53" borderId="0" xfId="0" applyFont="1" applyFill="1" applyAlignment="1">
      <alignment horizontal="center" vertical="center"/>
    </xf>
    <xf numFmtId="0" fontId="22" fillId="53" borderId="0" xfId="0" applyFont="1" applyFill="1" applyAlignment="1">
      <alignment vertical="center"/>
    </xf>
    <xf numFmtId="172" fontId="11" fillId="53" borderId="0" xfId="12" applyNumberFormat="1" applyFont="1" applyFill="1" applyBorder="1" applyAlignment="1" applyProtection="1">
      <alignment horizontal="left" vertical="center"/>
      <protection locked="0"/>
    </xf>
    <xf numFmtId="166" fontId="9" fillId="53" borderId="0" xfId="12" applyNumberFormat="1" applyFont="1" applyFill="1" applyAlignment="1">
      <alignment vertical="center"/>
    </xf>
    <xf numFmtId="172" fontId="22" fillId="53" borderId="0" xfId="12" applyNumberFormat="1" applyFont="1" applyFill="1" applyAlignment="1">
      <alignment vertical="center"/>
    </xf>
    <xf numFmtId="172" fontId="9" fillId="53" borderId="0" xfId="12" applyNumberFormat="1" applyFont="1" applyFill="1" applyBorder="1" applyAlignment="1">
      <alignment vertical="center"/>
    </xf>
    <xf numFmtId="172" fontId="22" fillId="53" borderId="0" xfId="12" applyNumberFormat="1" applyFont="1" applyFill="1" applyBorder="1" applyAlignment="1">
      <alignment vertical="center"/>
    </xf>
    <xf numFmtId="166" fontId="9" fillId="53" borderId="0" xfId="12" applyNumberFormat="1" applyFont="1" applyFill="1" applyBorder="1" applyAlignment="1">
      <alignment vertical="center"/>
    </xf>
    <xf numFmtId="43" fontId="9" fillId="53" borderId="0" xfId="0" applyNumberFormat="1" applyFont="1" applyFill="1" applyAlignment="1">
      <alignment vertical="center"/>
    </xf>
    <xf numFmtId="178" fontId="11" fillId="53" borderId="0" xfId="12" applyNumberFormat="1" applyFont="1" applyFill="1" applyBorder="1" applyAlignment="1" applyProtection="1">
      <alignment horizontal="right" vertical="center"/>
      <protection locked="0"/>
    </xf>
    <xf numFmtId="167" fontId="11" fillId="53" borderId="0" xfId="10" applyNumberFormat="1" applyFont="1" applyFill="1" applyBorder="1" applyAlignment="1" applyProtection="1">
      <alignment horizontal="right" vertical="center"/>
      <protection locked="0"/>
    </xf>
    <xf numFmtId="167" fontId="15" fillId="53" borderId="0" xfId="10" applyNumberFormat="1" applyFont="1" applyFill="1" applyBorder="1" applyAlignment="1" applyProtection="1">
      <alignment horizontal="right" vertical="center"/>
      <protection locked="0"/>
    </xf>
    <xf numFmtId="172" fontId="9" fillId="53" borderId="0" xfId="12" applyNumberFormat="1" applyFont="1" applyFill="1" applyAlignment="1">
      <alignment vertical="center"/>
    </xf>
    <xf numFmtId="172" fontId="15" fillId="53" borderId="0" xfId="12" applyNumberFormat="1" applyFont="1" applyFill="1" applyBorder="1" applyAlignment="1" applyProtection="1">
      <alignment horizontal="left" vertical="center"/>
      <protection locked="0"/>
    </xf>
    <xf numFmtId="166" fontId="11" fillId="53" borderId="0" xfId="12" applyNumberFormat="1" applyFont="1" applyFill="1" applyBorder="1" applyAlignment="1" applyProtection="1">
      <alignment horizontal="right" vertical="center"/>
      <protection locked="0"/>
    </xf>
    <xf numFmtId="172" fontId="9" fillId="53" borderId="0" xfId="12" applyNumberFormat="1" applyFont="1" applyFill="1" applyBorder="1" applyAlignment="1" applyProtection="1">
      <alignment horizontal="left" vertical="center"/>
      <protection locked="0"/>
    </xf>
    <xf numFmtId="0" fontId="9" fillId="53" borderId="0" xfId="0" applyFont="1" applyFill="1" applyAlignment="1">
      <alignment horizontal="left" vertical="center"/>
    </xf>
    <xf numFmtId="49" fontId="9" fillId="53" borderId="0" xfId="0" applyNumberFormat="1" applyFont="1" applyFill="1"/>
    <xf numFmtId="166" fontId="9" fillId="53" borderId="0" xfId="0" applyNumberFormat="1" applyFont="1" applyFill="1" applyAlignment="1">
      <alignment horizontal="right" vertical="center" wrapText="1"/>
    </xf>
    <xf numFmtId="10" fontId="9" fillId="53" borderId="0" xfId="10" applyNumberFormat="1" applyFont="1" applyFill="1" applyAlignment="1">
      <alignment horizontal="right" vertical="center" wrapText="1"/>
    </xf>
    <xf numFmtId="2" fontId="9" fillId="53" borderId="0" xfId="0" applyNumberFormat="1" applyFont="1" applyFill="1"/>
    <xf numFmtId="0" fontId="9" fillId="53" borderId="0" xfId="0" applyFont="1" applyFill="1"/>
    <xf numFmtId="49" fontId="12" fillId="53" borderId="0" xfId="0" applyNumberFormat="1" applyFont="1" applyFill="1" applyAlignment="1">
      <alignment vertical="center"/>
    </xf>
    <xf numFmtId="166" fontId="9" fillId="53" borderId="0" xfId="0" applyNumberFormat="1" applyFont="1" applyFill="1" applyAlignment="1">
      <alignment horizontal="right" vertical="center"/>
    </xf>
    <xf numFmtId="10" fontId="9" fillId="53" borderId="0" xfId="10" applyNumberFormat="1" applyFont="1" applyFill="1" applyAlignment="1">
      <alignment vertical="center"/>
    </xf>
    <xf numFmtId="2" fontId="9" fillId="53" borderId="0" xfId="0" applyNumberFormat="1" applyFont="1" applyFill="1" applyAlignment="1">
      <alignment vertical="center"/>
    </xf>
    <xf numFmtId="1" fontId="9" fillId="53" borderId="0" xfId="0" applyNumberFormat="1" applyFont="1" applyFill="1" applyAlignment="1">
      <alignment vertical="center"/>
    </xf>
    <xf numFmtId="49" fontId="9" fillId="53" borderId="0" xfId="0" applyNumberFormat="1" applyFont="1" applyFill="1" applyAlignment="1">
      <alignment horizontal="right" vertical="center"/>
    </xf>
    <xf numFmtId="49" fontId="9" fillId="0" borderId="0" xfId="0" applyNumberFormat="1" applyFont="1" applyAlignment="1">
      <alignment horizontal="right" vertical="center"/>
    </xf>
    <xf numFmtId="2" fontId="12" fillId="53" borderId="0" xfId="0" applyNumberFormat="1" applyFont="1" applyFill="1" applyAlignment="1">
      <alignment vertical="center"/>
    </xf>
    <xf numFmtId="174" fontId="11" fillId="53" borderId="0" xfId="17" applyNumberFormat="1" applyFont="1" applyFill="1" applyAlignment="1">
      <alignment horizontal="left" vertical="center"/>
    </xf>
    <xf numFmtId="2" fontId="11" fillId="53" borderId="0" xfId="17" applyNumberFormat="1" applyFont="1" applyFill="1" applyAlignment="1">
      <alignment horizontal="left" vertical="center"/>
    </xf>
    <xf numFmtId="2" fontId="22" fillId="53" borderId="0" xfId="0" applyNumberFormat="1" applyFont="1" applyFill="1" applyAlignment="1">
      <alignment vertical="center"/>
    </xf>
    <xf numFmtId="165" fontId="22" fillId="53" borderId="0" xfId="12" applyFont="1" applyFill="1" applyAlignment="1">
      <alignment vertical="center"/>
    </xf>
    <xf numFmtId="2" fontId="22" fillId="53" borderId="0" xfId="10" applyNumberFormat="1" applyFont="1" applyFill="1" applyAlignment="1">
      <alignment vertical="center"/>
    </xf>
    <xf numFmtId="49" fontId="22" fillId="53" borderId="0" xfId="0" applyNumberFormat="1" applyFont="1" applyFill="1" applyAlignment="1">
      <alignment vertical="center"/>
    </xf>
    <xf numFmtId="166" fontId="22" fillId="53" borderId="0" xfId="0" applyNumberFormat="1" applyFont="1" applyFill="1" applyAlignment="1">
      <alignment vertical="center"/>
    </xf>
    <xf numFmtId="10" fontId="22" fillId="53" borderId="0" xfId="10" applyNumberFormat="1" applyFont="1" applyFill="1" applyAlignment="1">
      <alignment vertical="center"/>
    </xf>
    <xf numFmtId="0" fontId="6" fillId="53" borderId="0" xfId="1" applyFont="1" applyFill="1" applyAlignment="1">
      <alignment horizontal="left" vertical="center"/>
    </xf>
    <xf numFmtId="43" fontId="22" fillId="53" borderId="0" xfId="0" applyNumberFormat="1" applyFont="1" applyFill="1" applyAlignment="1">
      <alignment vertical="center"/>
    </xf>
    <xf numFmtId="179" fontId="9" fillId="53" borderId="0" xfId="12" applyNumberFormat="1" applyFont="1" applyFill="1" applyAlignment="1">
      <alignment vertical="center"/>
    </xf>
    <xf numFmtId="179" fontId="9" fillId="53" borderId="0" xfId="12" applyNumberFormat="1" applyFont="1" applyFill="1" applyBorder="1" applyAlignment="1">
      <alignment vertical="center"/>
    </xf>
    <xf numFmtId="10" fontId="11" fillId="53" borderId="0" xfId="10" applyNumberFormat="1" applyFont="1" applyFill="1" applyBorder="1" applyAlignment="1" applyProtection="1">
      <alignment horizontal="right" vertical="center"/>
      <protection locked="0"/>
    </xf>
    <xf numFmtId="0" fontId="103" fillId="49" borderId="0" xfId="0" applyFont="1" applyFill="1" applyAlignment="1">
      <alignment horizontal="center" vertical="center" wrapText="1"/>
    </xf>
    <xf numFmtId="168" fontId="12" fillId="53" borderId="0" xfId="9" applyNumberFormat="1" applyFont="1" applyFill="1" applyBorder="1" applyAlignment="1" applyProtection="1">
      <alignment vertical="center"/>
    </xf>
    <xf numFmtId="167" fontId="104" fillId="53" borderId="0" xfId="0" applyNumberFormat="1" applyFont="1" applyFill="1"/>
    <xf numFmtId="168" fontId="9" fillId="53" borderId="0" xfId="9" applyNumberFormat="1" applyFont="1" applyFill="1" applyBorder="1" applyAlignment="1" applyProtection="1">
      <alignment vertical="center"/>
    </xf>
    <xf numFmtId="0" fontId="9" fillId="53" borderId="0" xfId="0" applyFont="1" applyFill="1" applyAlignment="1">
      <alignment horizontal="right" vertical="center"/>
    </xf>
    <xf numFmtId="0" fontId="15" fillId="53" borderId="0" xfId="0" applyFont="1" applyFill="1" applyAlignment="1">
      <alignment vertical="center"/>
    </xf>
    <xf numFmtId="167" fontId="9" fillId="53" borderId="0" xfId="0" applyNumberFormat="1" applyFont="1" applyFill="1" applyAlignment="1">
      <alignment vertical="center"/>
    </xf>
    <xf numFmtId="173" fontId="9" fillId="53" borderId="0" xfId="0" applyNumberFormat="1" applyFont="1" applyFill="1" applyAlignment="1">
      <alignment vertical="center"/>
    </xf>
    <xf numFmtId="168" fontId="9" fillId="53" borderId="0" xfId="0" applyNumberFormat="1" applyFont="1" applyFill="1" applyAlignment="1">
      <alignment vertical="center"/>
    </xf>
    <xf numFmtId="165" fontId="9" fillId="53" borderId="0" xfId="12" applyFont="1" applyFill="1" applyAlignment="1">
      <alignment vertical="center"/>
    </xf>
    <xf numFmtId="0" fontId="9" fillId="53" borderId="1" xfId="0" applyFont="1" applyFill="1" applyBorder="1" applyAlignment="1">
      <alignment vertical="center"/>
    </xf>
    <xf numFmtId="0" fontId="6" fillId="53" borderId="0" xfId="1" applyFont="1" applyFill="1" applyAlignment="1">
      <alignment vertical="center"/>
    </xf>
    <xf numFmtId="166" fontId="12" fillId="53" borderId="0" xfId="0" applyNumberFormat="1" applyFont="1" applyFill="1" applyAlignment="1">
      <alignment vertical="center"/>
    </xf>
    <xf numFmtId="172" fontId="9" fillId="3" borderId="3" xfId="0" applyNumberFormat="1" applyFont="1" applyFill="1" applyBorder="1" applyAlignment="1">
      <alignment vertical="center" wrapText="1"/>
    </xf>
    <xf numFmtId="172" fontId="25" fillId="53" borderId="0" xfId="0" applyNumberFormat="1" applyFont="1" applyFill="1" applyAlignment="1">
      <alignment vertical="center"/>
    </xf>
    <xf numFmtId="0" fontId="9" fillId="53" borderId="0" xfId="0" applyFont="1" applyFill="1" applyAlignment="1">
      <alignment vertical="center" wrapText="1"/>
    </xf>
    <xf numFmtId="173" fontId="9" fillId="54" borderId="5" xfId="12" applyNumberFormat="1" applyFont="1" applyFill="1" applyBorder="1" applyAlignment="1">
      <alignment vertical="center"/>
    </xf>
    <xf numFmtId="165" fontId="9" fillId="54" borderId="5" xfId="12" applyFont="1" applyFill="1" applyBorder="1" applyAlignment="1">
      <alignment vertical="center"/>
    </xf>
    <xf numFmtId="2" fontId="109" fillId="53" borderId="0" xfId="0" applyNumberFormat="1" applyFont="1" applyFill="1" applyAlignment="1">
      <alignment vertical="center"/>
    </xf>
    <xf numFmtId="171" fontId="11" fillId="54" borderId="5" xfId="0" applyNumberFormat="1" applyFont="1" applyFill="1" applyBorder="1" applyAlignment="1" applyProtection="1">
      <alignment horizontal="center" vertical="center"/>
      <protection locked="0"/>
    </xf>
    <xf numFmtId="0" fontId="9" fillId="54" borderId="0" xfId="0" applyFont="1" applyFill="1" applyAlignment="1">
      <alignment vertical="center"/>
    </xf>
    <xf numFmtId="173" fontId="11" fillId="54" borderId="5" xfId="12" applyNumberFormat="1" applyFont="1" applyFill="1" applyBorder="1" applyAlignment="1" applyProtection="1">
      <alignment horizontal="center" vertical="center"/>
      <protection locked="0"/>
    </xf>
    <xf numFmtId="0" fontId="12" fillId="53" borderId="11" xfId="0" applyFont="1" applyFill="1" applyBorder="1" applyAlignment="1">
      <alignment horizontal="right" vertical="center"/>
    </xf>
    <xf numFmtId="173" fontId="11" fillId="5" borderId="29" xfId="12" applyNumberFormat="1" applyFont="1" applyFill="1" applyBorder="1" applyAlignment="1" applyProtection="1">
      <alignment horizontal="left" vertical="center"/>
      <protection locked="0"/>
    </xf>
    <xf numFmtId="177" fontId="9" fillId="5" borderId="29" xfId="12" applyNumberFormat="1" applyFont="1" applyFill="1" applyBorder="1" applyAlignment="1">
      <alignment vertical="center"/>
    </xf>
    <xf numFmtId="173" fontId="9" fillId="5" borderId="29" xfId="12" applyNumberFormat="1" applyFont="1" applyFill="1" applyBorder="1" applyAlignment="1">
      <alignment vertical="center"/>
    </xf>
    <xf numFmtId="0" fontId="9" fillId="2" borderId="11" xfId="0" applyFont="1" applyFill="1" applyBorder="1" applyAlignment="1">
      <alignment vertical="center"/>
    </xf>
    <xf numFmtId="10" fontId="9" fillId="5" borderId="29" xfId="10" applyNumberFormat="1" applyFont="1" applyFill="1" applyBorder="1" applyAlignment="1">
      <alignment vertical="center"/>
    </xf>
    <xf numFmtId="179" fontId="9" fillId="6" borderId="29" xfId="12" applyNumberFormat="1" applyFont="1" applyFill="1" applyBorder="1" applyAlignment="1">
      <alignment vertical="center"/>
    </xf>
    <xf numFmtId="0" fontId="12" fillId="53" borderId="0" xfId="0" applyFont="1" applyFill="1" applyAlignment="1">
      <alignment horizontal="left" vertical="center"/>
    </xf>
    <xf numFmtId="43" fontId="9" fillId="2" borderId="0" xfId="0" applyNumberFormat="1" applyFont="1" applyFill="1" applyAlignment="1">
      <alignment vertical="center"/>
    </xf>
    <xf numFmtId="171" fontId="9" fillId="6" borderId="5" xfId="0" applyNumberFormat="1" applyFont="1" applyFill="1" applyBorder="1" applyAlignment="1">
      <alignment vertical="center"/>
    </xf>
    <xf numFmtId="0" fontId="12" fillId="0" borderId="0" xfId="0" applyFont="1" applyAlignment="1">
      <alignment horizontal="right" vertical="center"/>
    </xf>
    <xf numFmtId="0" fontId="9" fillId="55" borderId="0" xfId="0" applyFont="1" applyFill="1" applyAlignment="1">
      <alignment vertical="center"/>
    </xf>
    <xf numFmtId="173" fontId="9" fillId="55" borderId="5" xfId="12" applyNumberFormat="1" applyFont="1" applyFill="1" applyBorder="1" applyAlignment="1">
      <alignment vertical="center"/>
    </xf>
    <xf numFmtId="0" fontId="6" fillId="55" borderId="0" xfId="1" applyFont="1" applyFill="1" applyAlignment="1">
      <alignment horizontal="left" vertical="center"/>
    </xf>
    <xf numFmtId="173" fontId="9" fillId="55" borderId="0" xfId="12" applyNumberFormat="1" applyFont="1" applyFill="1" applyBorder="1" applyAlignment="1">
      <alignment vertical="center"/>
    </xf>
    <xf numFmtId="10" fontId="97" fillId="54" borderId="0" xfId="195" applyNumberFormat="1" applyFont="1" applyFill="1" applyBorder="1" applyAlignment="1" applyProtection="1">
      <alignment horizontal="center"/>
      <protection locked="0"/>
    </xf>
    <xf numFmtId="10" fontId="97" fillId="0" borderId="0" xfId="195" applyNumberFormat="1" applyFont="1" applyFill="1" applyBorder="1" applyAlignment="1" applyProtection="1">
      <alignment horizontal="center"/>
      <protection locked="0"/>
    </xf>
    <xf numFmtId="49" fontId="11" fillId="51" borderId="9" xfId="0" applyNumberFormat="1" applyFont="1" applyFill="1" applyBorder="1" applyAlignment="1" applyProtection="1">
      <alignment horizontal="left"/>
      <protection locked="0"/>
    </xf>
    <xf numFmtId="49" fontId="11" fillId="51" borderId="8" xfId="0" applyNumberFormat="1" applyFont="1" applyFill="1" applyBorder="1" applyAlignment="1" applyProtection="1">
      <alignment horizontal="left"/>
      <protection locked="0"/>
    </xf>
  </cellXfs>
  <cellStyles count="329">
    <cellStyle name=" 1" xfId="28" xr:uid="{00000000-0005-0000-0000-000000000000}"/>
    <cellStyle name=" 1 2" xfId="29" xr:uid="{00000000-0005-0000-0000-000001000000}"/>
    <cellStyle name=" 1_29(d) - Gas extensions -tariffs" xfId="30" xr:uid="{00000000-0005-0000-0000-000002000000}"/>
    <cellStyle name="_Capex" xfId="31" xr:uid="{00000000-0005-0000-0000-000003000000}"/>
    <cellStyle name="_Capex 2" xfId="32" xr:uid="{00000000-0005-0000-0000-000004000000}"/>
    <cellStyle name="_Capex_29(d) - Gas extensions -tariffs" xfId="33" xr:uid="{00000000-0005-0000-0000-000005000000}"/>
    <cellStyle name="_UED AMP 2009-14 Final 250309 Less PU" xfId="34" xr:uid="{00000000-0005-0000-0000-000006000000}"/>
    <cellStyle name="_UED AMP 2009-14 Final 250309 Less PU_1011 monthly" xfId="35" xr:uid="{00000000-0005-0000-0000-000007000000}"/>
    <cellStyle name="20% - Accent1 2" xfId="36" xr:uid="{00000000-0005-0000-0000-000008000000}"/>
    <cellStyle name="20% - Accent2 2" xfId="37" xr:uid="{00000000-0005-0000-0000-000009000000}"/>
    <cellStyle name="20% - Accent3 2" xfId="38" xr:uid="{00000000-0005-0000-0000-00000A000000}"/>
    <cellStyle name="20% - Accent4 2" xfId="39" xr:uid="{00000000-0005-0000-0000-00000B000000}"/>
    <cellStyle name="20% - Accent5 2" xfId="40" xr:uid="{00000000-0005-0000-0000-00000C000000}"/>
    <cellStyle name="20% - Accent6 2" xfId="41" xr:uid="{00000000-0005-0000-0000-00000D000000}"/>
    <cellStyle name="40% - Accent1 2" xfId="42" xr:uid="{00000000-0005-0000-0000-00000E000000}"/>
    <cellStyle name="40% - Accent2 2" xfId="43" xr:uid="{00000000-0005-0000-0000-00000F000000}"/>
    <cellStyle name="40% - Accent3 2" xfId="44" xr:uid="{00000000-0005-0000-0000-000010000000}"/>
    <cellStyle name="40% - Accent4 2" xfId="45" xr:uid="{00000000-0005-0000-0000-000011000000}"/>
    <cellStyle name="40% - Accent5 2" xfId="46" xr:uid="{00000000-0005-0000-0000-000012000000}"/>
    <cellStyle name="40% - Accent6 2" xfId="47" xr:uid="{00000000-0005-0000-0000-000013000000}"/>
    <cellStyle name="60% - Accent1 2" xfId="48" xr:uid="{00000000-0005-0000-0000-000014000000}"/>
    <cellStyle name="60% - Accent2 2" xfId="49" xr:uid="{00000000-0005-0000-0000-000015000000}"/>
    <cellStyle name="60% - Accent3 2" xfId="50" xr:uid="{00000000-0005-0000-0000-000016000000}"/>
    <cellStyle name="60% - Accent4 2" xfId="51" xr:uid="{00000000-0005-0000-0000-000017000000}"/>
    <cellStyle name="60% - Accent5 2" xfId="52" xr:uid="{00000000-0005-0000-0000-000018000000}"/>
    <cellStyle name="60% - Accent6 2" xfId="53" xr:uid="{00000000-0005-0000-0000-000019000000}"/>
    <cellStyle name="Accent1 - 20%" xfId="54" xr:uid="{00000000-0005-0000-0000-00001A000000}"/>
    <cellStyle name="Accent1 - 40%" xfId="55" xr:uid="{00000000-0005-0000-0000-00001B000000}"/>
    <cellStyle name="Accent1 - 60%" xfId="56" xr:uid="{00000000-0005-0000-0000-00001C000000}"/>
    <cellStyle name="Accent1 2" xfId="57" xr:uid="{00000000-0005-0000-0000-00001D000000}"/>
    <cellStyle name="Accent2 - 20%" xfId="58" xr:uid="{00000000-0005-0000-0000-00001E000000}"/>
    <cellStyle name="Accent2 - 40%" xfId="59" xr:uid="{00000000-0005-0000-0000-00001F000000}"/>
    <cellStyle name="Accent2 - 60%" xfId="60" xr:uid="{00000000-0005-0000-0000-000020000000}"/>
    <cellStyle name="Accent2 2" xfId="61" xr:uid="{00000000-0005-0000-0000-000021000000}"/>
    <cellStyle name="Accent3 - 20%" xfId="62" xr:uid="{00000000-0005-0000-0000-000022000000}"/>
    <cellStyle name="Accent3 - 40%" xfId="63" xr:uid="{00000000-0005-0000-0000-000023000000}"/>
    <cellStyle name="Accent3 - 60%" xfId="64" xr:uid="{00000000-0005-0000-0000-000024000000}"/>
    <cellStyle name="Accent3 2" xfId="65" xr:uid="{00000000-0005-0000-0000-000025000000}"/>
    <cellStyle name="Accent4 - 20%" xfId="66" xr:uid="{00000000-0005-0000-0000-000026000000}"/>
    <cellStyle name="Accent4 - 40%" xfId="67" xr:uid="{00000000-0005-0000-0000-000027000000}"/>
    <cellStyle name="Accent4 - 60%" xfId="68" xr:uid="{00000000-0005-0000-0000-000028000000}"/>
    <cellStyle name="Accent4 2" xfId="69" xr:uid="{00000000-0005-0000-0000-000029000000}"/>
    <cellStyle name="Accent5 - 20%" xfId="70" xr:uid="{00000000-0005-0000-0000-00002A000000}"/>
    <cellStyle name="Accent5 - 40%" xfId="71" xr:uid="{00000000-0005-0000-0000-00002B000000}"/>
    <cellStyle name="Accent5 - 60%" xfId="72" xr:uid="{00000000-0005-0000-0000-00002C000000}"/>
    <cellStyle name="Accent5 2" xfId="73" xr:uid="{00000000-0005-0000-0000-00002D000000}"/>
    <cellStyle name="Accent6 - 20%" xfId="74" xr:uid="{00000000-0005-0000-0000-00002E000000}"/>
    <cellStyle name="Accent6 - 40%" xfId="75" xr:uid="{00000000-0005-0000-0000-00002F000000}"/>
    <cellStyle name="Accent6 - 60%" xfId="76" xr:uid="{00000000-0005-0000-0000-000030000000}"/>
    <cellStyle name="Accent6 2" xfId="77" xr:uid="{00000000-0005-0000-0000-000031000000}"/>
    <cellStyle name="Agara" xfId="78" xr:uid="{00000000-0005-0000-0000-000032000000}"/>
    <cellStyle name="Assumptions Right Number" xfId="6" xr:uid="{00000000-0005-0000-0000-000033000000}"/>
    <cellStyle name="B79812_.wvu.PrintTitlest" xfId="79" xr:uid="{00000000-0005-0000-0000-000034000000}"/>
    <cellStyle name="Bad 2" xfId="80" xr:uid="{00000000-0005-0000-0000-000035000000}"/>
    <cellStyle name="Black" xfId="81" xr:uid="{00000000-0005-0000-0000-000036000000}"/>
    <cellStyle name="Blockout" xfId="82" xr:uid="{00000000-0005-0000-0000-000037000000}"/>
    <cellStyle name="Blockout 2" xfId="83" xr:uid="{00000000-0005-0000-0000-000038000000}"/>
    <cellStyle name="Blockout 2 2" xfId="286" xr:uid="{00000000-0005-0000-0000-000039000000}"/>
    <cellStyle name="Blockout 3" xfId="285" xr:uid="{00000000-0005-0000-0000-00003A000000}"/>
    <cellStyle name="Blue" xfId="84" xr:uid="{00000000-0005-0000-0000-00003B000000}"/>
    <cellStyle name="Calcs_Divider" xfId="261" xr:uid="{00000000-0005-0000-0000-00003C000000}"/>
    <cellStyle name="Calculation 2" xfId="85" xr:uid="{00000000-0005-0000-0000-00003D000000}"/>
    <cellStyle name="Check" xfId="262" xr:uid="{00000000-0005-0000-0000-00003E000000}"/>
    <cellStyle name="Check Cell 2" xfId="86" xr:uid="{00000000-0005-0000-0000-00003F000000}"/>
    <cellStyle name="Column_Heading_1" xfId="263" xr:uid="{00000000-0005-0000-0000-000040000000}"/>
    <cellStyle name="Comma" xfId="12" builtinId="3"/>
    <cellStyle name="Comma [0]7Z_87C" xfId="87" xr:uid="{00000000-0005-0000-0000-000042000000}"/>
    <cellStyle name="Comma 0" xfId="88" xr:uid="{00000000-0005-0000-0000-000043000000}"/>
    <cellStyle name="Comma 1" xfId="89" xr:uid="{00000000-0005-0000-0000-000044000000}"/>
    <cellStyle name="Comma 1 2" xfId="90" xr:uid="{00000000-0005-0000-0000-000045000000}"/>
    <cellStyle name="Comma 10" xfId="283" xr:uid="{00000000-0005-0000-0000-000046000000}"/>
    <cellStyle name="Comma 11" xfId="24" xr:uid="{00000000-0005-0000-0000-000047000000}"/>
    <cellStyle name="Comma 2" xfId="5" xr:uid="{00000000-0005-0000-0000-000048000000}"/>
    <cellStyle name="Comma 2 2" xfId="91" xr:uid="{00000000-0005-0000-0000-000049000000}"/>
    <cellStyle name="Comma 2 2 2" xfId="287" xr:uid="{00000000-0005-0000-0000-00004A000000}"/>
    <cellStyle name="Comma 2 3" xfId="92" xr:uid="{00000000-0005-0000-0000-00004B000000}"/>
    <cellStyle name="Comma 2 3 2" xfId="93" xr:uid="{00000000-0005-0000-0000-00004C000000}"/>
    <cellStyle name="Comma 2 3 2 2" xfId="289" xr:uid="{00000000-0005-0000-0000-00004D000000}"/>
    <cellStyle name="Comma 2 3 3" xfId="288" xr:uid="{00000000-0005-0000-0000-00004E000000}"/>
    <cellStyle name="Comma 2 4" xfId="94" xr:uid="{00000000-0005-0000-0000-00004F000000}"/>
    <cellStyle name="Comma 2 4 2" xfId="290" xr:uid="{00000000-0005-0000-0000-000050000000}"/>
    <cellStyle name="Comma 2 5" xfId="95" xr:uid="{00000000-0005-0000-0000-000051000000}"/>
    <cellStyle name="Comma 2 5 2" xfId="291" xr:uid="{00000000-0005-0000-0000-000052000000}"/>
    <cellStyle name="Comma 2 6" xfId="284" xr:uid="{00000000-0005-0000-0000-000053000000}"/>
    <cellStyle name="Comma 2 7" xfId="26" xr:uid="{00000000-0005-0000-0000-000054000000}"/>
    <cellStyle name="Comma 3" xfId="9" xr:uid="{00000000-0005-0000-0000-000055000000}"/>
    <cellStyle name="Comma 3 2" xfId="97" xr:uid="{00000000-0005-0000-0000-000056000000}"/>
    <cellStyle name="Comma 3 3" xfId="98" xr:uid="{00000000-0005-0000-0000-000057000000}"/>
    <cellStyle name="Comma 3 3 2" xfId="292" xr:uid="{00000000-0005-0000-0000-000058000000}"/>
    <cellStyle name="Comma 3 4" xfId="96" xr:uid="{00000000-0005-0000-0000-000059000000}"/>
    <cellStyle name="Comma 4" xfId="13" xr:uid="{00000000-0005-0000-0000-00005A000000}"/>
    <cellStyle name="Comma 4 2" xfId="293" xr:uid="{00000000-0005-0000-0000-00005B000000}"/>
    <cellStyle name="Comma 4 3" xfId="99" xr:uid="{00000000-0005-0000-0000-00005C000000}"/>
    <cellStyle name="Comma 5" xfId="14" xr:uid="{00000000-0005-0000-0000-00005D000000}"/>
    <cellStyle name="Comma 5 2" xfId="294" xr:uid="{00000000-0005-0000-0000-00005E000000}"/>
    <cellStyle name="Comma 5 3" xfId="100" xr:uid="{00000000-0005-0000-0000-00005F000000}"/>
    <cellStyle name="Comma 6" xfId="21" xr:uid="{00000000-0005-0000-0000-000060000000}"/>
    <cellStyle name="Comma 6 2" xfId="295" xr:uid="{00000000-0005-0000-0000-000061000000}"/>
    <cellStyle name="Comma 6 3" xfId="101" xr:uid="{00000000-0005-0000-0000-000062000000}"/>
    <cellStyle name="Comma 7" xfId="102" xr:uid="{00000000-0005-0000-0000-000063000000}"/>
    <cellStyle name="Comma 7 2" xfId="296" xr:uid="{00000000-0005-0000-0000-000064000000}"/>
    <cellStyle name="Comma 8" xfId="103" xr:uid="{00000000-0005-0000-0000-000065000000}"/>
    <cellStyle name="Comma 8 2" xfId="297" xr:uid="{00000000-0005-0000-0000-000066000000}"/>
    <cellStyle name="Comma 9" xfId="319" xr:uid="{00000000-0005-0000-0000-000067000000}"/>
    <cellStyle name="Comma0" xfId="104" xr:uid="{00000000-0005-0000-0000-000068000000}"/>
    <cellStyle name="Currency 11" xfId="105" xr:uid="{00000000-0005-0000-0000-000069000000}"/>
    <cellStyle name="Currency 11 2" xfId="106" xr:uid="{00000000-0005-0000-0000-00006A000000}"/>
    <cellStyle name="Currency 11 2 2" xfId="299" xr:uid="{00000000-0005-0000-0000-00006B000000}"/>
    <cellStyle name="Currency 11 3" xfId="298" xr:uid="{00000000-0005-0000-0000-00006C000000}"/>
    <cellStyle name="Currency 2" xfId="4" xr:uid="{00000000-0005-0000-0000-00006D000000}"/>
    <cellStyle name="Currency 2 2" xfId="108" xr:uid="{00000000-0005-0000-0000-00006E000000}"/>
    <cellStyle name="Currency 2 2 2" xfId="301" xr:uid="{00000000-0005-0000-0000-00006F000000}"/>
    <cellStyle name="Currency 2 3" xfId="300" xr:uid="{00000000-0005-0000-0000-000070000000}"/>
    <cellStyle name="Currency 2 4" xfId="107" xr:uid="{00000000-0005-0000-0000-000071000000}"/>
    <cellStyle name="Currency 3" xfId="109" xr:uid="{00000000-0005-0000-0000-000072000000}"/>
    <cellStyle name="Currency 3 2" xfId="110" xr:uid="{00000000-0005-0000-0000-000073000000}"/>
    <cellStyle name="Currency 3 2 2" xfId="303" xr:uid="{00000000-0005-0000-0000-000074000000}"/>
    <cellStyle name="Currency 3 3" xfId="302" xr:uid="{00000000-0005-0000-0000-000075000000}"/>
    <cellStyle name="Currency 4" xfId="111" xr:uid="{00000000-0005-0000-0000-000076000000}"/>
    <cellStyle name="Currency 4 2" xfId="112" xr:uid="{00000000-0005-0000-0000-000077000000}"/>
    <cellStyle name="Currency 4 2 2" xfId="305" xr:uid="{00000000-0005-0000-0000-000078000000}"/>
    <cellStyle name="Currency 4 3" xfId="304" xr:uid="{00000000-0005-0000-0000-000079000000}"/>
    <cellStyle name="Currency 5" xfId="260" xr:uid="{00000000-0005-0000-0000-00007A000000}"/>
    <cellStyle name="Currency 5 2" xfId="314" xr:uid="{00000000-0005-0000-0000-00007B000000}"/>
    <cellStyle name="Currency 6" xfId="317" xr:uid="{00000000-0005-0000-0000-00007C000000}"/>
    <cellStyle name="D4_B8B1_005004B79812_.wvu.PrintTitlest" xfId="113" xr:uid="{00000000-0005-0000-0000-00007D000000}"/>
    <cellStyle name="Date" xfId="114" xr:uid="{00000000-0005-0000-0000-00007E000000}"/>
    <cellStyle name="Date 2" xfId="115" xr:uid="{00000000-0005-0000-0000-00007F000000}"/>
    <cellStyle name="dms_1" xfId="282" xr:uid="{00000000-0005-0000-0000-000080000000}"/>
    <cellStyle name="Emphasis 1" xfId="116" xr:uid="{00000000-0005-0000-0000-000081000000}"/>
    <cellStyle name="Emphasis 2" xfId="117" xr:uid="{00000000-0005-0000-0000-000082000000}"/>
    <cellStyle name="Emphasis 3" xfId="118" xr:uid="{00000000-0005-0000-0000-000083000000}"/>
    <cellStyle name="Empty_Cell" xfId="264" xr:uid="{00000000-0005-0000-0000-000084000000}"/>
    <cellStyle name="Euro" xfId="119" xr:uid="{00000000-0005-0000-0000-000085000000}"/>
    <cellStyle name="Explanatory Text 2" xfId="120" xr:uid="{00000000-0005-0000-0000-000086000000}"/>
    <cellStyle name="Fixed" xfId="121" xr:uid="{00000000-0005-0000-0000-000087000000}"/>
    <cellStyle name="Fixed 2" xfId="122" xr:uid="{00000000-0005-0000-0000-000088000000}"/>
    <cellStyle name="Gilsans" xfId="123" xr:uid="{00000000-0005-0000-0000-000089000000}"/>
    <cellStyle name="Gilsansl" xfId="124" xr:uid="{00000000-0005-0000-0000-00008A000000}"/>
    <cellStyle name="Good 2" xfId="125" xr:uid="{00000000-0005-0000-0000-00008B000000}"/>
    <cellStyle name="Header1" xfId="265" xr:uid="{00000000-0005-0000-0000-00008C000000}"/>
    <cellStyle name="Header2" xfId="266" xr:uid="{00000000-0005-0000-0000-00008D000000}"/>
    <cellStyle name="Header3" xfId="267" xr:uid="{00000000-0005-0000-0000-00008E000000}"/>
    <cellStyle name="Header4" xfId="268" xr:uid="{00000000-0005-0000-0000-00008F000000}"/>
    <cellStyle name="Header5" xfId="269" xr:uid="{00000000-0005-0000-0000-000090000000}"/>
    <cellStyle name="Heading 1 2" xfId="126" xr:uid="{00000000-0005-0000-0000-000091000000}"/>
    <cellStyle name="Heading 1 2 2" xfId="127" xr:uid="{00000000-0005-0000-0000-000092000000}"/>
    <cellStyle name="Heading 1 3" xfId="128" xr:uid="{00000000-0005-0000-0000-000093000000}"/>
    <cellStyle name="Heading 2 2" xfId="129" xr:uid="{00000000-0005-0000-0000-000094000000}"/>
    <cellStyle name="Heading 2 2 2" xfId="130" xr:uid="{00000000-0005-0000-0000-000095000000}"/>
    <cellStyle name="Heading 2 3" xfId="131" xr:uid="{00000000-0005-0000-0000-000096000000}"/>
    <cellStyle name="Heading 3 2" xfId="132" xr:uid="{00000000-0005-0000-0000-000097000000}"/>
    <cellStyle name="Heading 3 2 2" xfId="133" xr:uid="{00000000-0005-0000-0000-000098000000}"/>
    <cellStyle name="Heading 3 3" xfId="134" xr:uid="{00000000-0005-0000-0000-000099000000}"/>
    <cellStyle name="Heading 4 2" xfId="135" xr:uid="{00000000-0005-0000-0000-00009A000000}"/>
    <cellStyle name="Heading 4 2 2" xfId="136" xr:uid="{00000000-0005-0000-0000-00009B000000}"/>
    <cellStyle name="Heading 4 3" xfId="137" xr:uid="{00000000-0005-0000-0000-00009C000000}"/>
    <cellStyle name="Heading(4)" xfId="138" xr:uid="{00000000-0005-0000-0000-00009D000000}"/>
    <cellStyle name="Hyperlink" xfId="20" builtinId="8"/>
    <cellStyle name="Hyperlink 2" xfId="18" xr:uid="{00000000-0005-0000-0000-00009F000000}"/>
    <cellStyle name="Hyperlink 2 2" xfId="139" xr:uid="{00000000-0005-0000-0000-0000A0000000}"/>
    <cellStyle name="Hyperlink 3" xfId="326" xr:uid="{00000000-0005-0000-0000-0000A1000000}"/>
    <cellStyle name="Hyperlink Arrow" xfId="140" xr:uid="{00000000-0005-0000-0000-0000A2000000}"/>
    <cellStyle name="Hyperlink Text" xfId="141" xr:uid="{00000000-0005-0000-0000-0000A3000000}"/>
    <cellStyle name="Input 2" xfId="142" xr:uid="{00000000-0005-0000-0000-0000A4000000}"/>
    <cellStyle name="Input|Date" xfId="22" xr:uid="{00000000-0005-0000-0000-0000A5000000}"/>
    <cellStyle name="Input1" xfId="143" xr:uid="{00000000-0005-0000-0000-0000A6000000}"/>
    <cellStyle name="Input1 2" xfId="144" xr:uid="{00000000-0005-0000-0000-0000A7000000}"/>
    <cellStyle name="Input1 2 2" xfId="307" xr:uid="{00000000-0005-0000-0000-0000A8000000}"/>
    <cellStyle name="Input1 3" xfId="306" xr:uid="{00000000-0005-0000-0000-0000A9000000}"/>
    <cellStyle name="Input2" xfId="145" xr:uid="{00000000-0005-0000-0000-0000AA000000}"/>
    <cellStyle name="Input2 2" xfId="146" xr:uid="{00000000-0005-0000-0000-0000AB000000}"/>
    <cellStyle name="Input3" xfId="147" xr:uid="{00000000-0005-0000-0000-0000AC000000}"/>
    <cellStyle name="Input3 2" xfId="148" xr:uid="{00000000-0005-0000-0000-0000AD000000}"/>
    <cellStyle name="Input3 2 2" xfId="309" xr:uid="{00000000-0005-0000-0000-0000AE000000}"/>
    <cellStyle name="Input3 3" xfId="308" xr:uid="{00000000-0005-0000-0000-0000AF000000}"/>
    <cellStyle name="InputCell" xfId="328" xr:uid="{00000000-0005-0000-0000-0000B0000000}"/>
    <cellStyle name="Inputs_Divider" xfId="270" xr:uid="{00000000-0005-0000-0000-0000B1000000}"/>
    <cellStyle name="InSheet" xfId="271" xr:uid="{00000000-0005-0000-0000-0000B2000000}"/>
    <cellStyle name="K_Number" xfId="321" xr:uid="{00000000-0005-0000-0000-0000B3000000}"/>
    <cellStyle name="Lines" xfId="149" xr:uid="{00000000-0005-0000-0000-0000B4000000}"/>
    <cellStyle name="Linked Cell 2" xfId="150" xr:uid="{00000000-0005-0000-0000-0000B5000000}"/>
    <cellStyle name="Mine" xfId="151" xr:uid="{00000000-0005-0000-0000-0000B6000000}"/>
    <cellStyle name="Model Name" xfId="152" xr:uid="{00000000-0005-0000-0000-0000B7000000}"/>
    <cellStyle name="Neutral 2" xfId="153" xr:uid="{00000000-0005-0000-0000-0000B8000000}"/>
    <cellStyle name="Normal" xfId="0" builtinId="0"/>
    <cellStyle name="Normal - Style1" xfId="154" xr:uid="{00000000-0005-0000-0000-0000BA000000}"/>
    <cellStyle name="Normal 10" xfId="258" xr:uid="{00000000-0005-0000-0000-0000BB000000}"/>
    <cellStyle name="Normal 10 2" xfId="312" xr:uid="{00000000-0005-0000-0000-0000BC000000}"/>
    <cellStyle name="Normal 10 3" xfId="322" xr:uid="{00000000-0005-0000-0000-0000BD000000}"/>
    <cellStyle name="Normal 11" xfId="281" xr:uid="{00000000-0005-0000-0000-0000BE000000}"/>
    <cellStyle name="Normal 11 2" xfId="315" xr:uid="{00000000-0005-0000-0000-0000BF000000}"/>
    <cellStyle name="Normal 12" xfId="318" xr:uid="{00000000-0005-0000-0000-0000C0000000}"/>
    <cellStyle name="Normal 13" xfId="155" xr:uid="{00000000-0005-0000-0000-0000C1000000}"/>
    <cellStyle name="Normal 13 2" xfId="25" xr:uid="{00000000-0005-0000-0000-0000C2000000}"/>
    <cellStyle name="Normal 13_29(d) - Gas extensions -tariffs" xfId="156" xr:uid="{00000000-0005-0000-0000-0000C3000000}"/>
    <cellStyle name="Normal 14" xfId="323" xr:uid="{00000000-0005-0000-0000-0000C4000000}"/>
    <cellStyle name="Normal 15" xfId="157" xr:uid="{00000000-0005-0000-0000-0000C5000000}"/>
    <cellStyle name="Normal 16" xfId="158" xr:uid="{00000000-0005-0000-0000-0000C6000000}"/>
    <cellStyle name="Normal 17" xfId="325" xr:uid="{00000000-0005-0000-0000-0000C7000000}"/>
    <cellStyle name="Normal 18" xfId="327" xr:uid="{00000000-0005-0000-0000-0000C8000000}"/>
    <cellStyle name="Normal 2" xfId="1" xr:uid="{00000000-0005-0000-0000-0000C9000000}"/>
    <cellStyle name="Normal 2 2" xfId="7" xr:uid="{00000000-0005-0000-0000-0000CA000000}"/>
    <cellStyle name="Normal 2 2 2" xfId="160" xr:uid="{00000000-0005-0000-0000-0000CB000000}"/>
    <cellStyle name="Normal 2 2 3" xfId="159" xr:uid="{00000000-0005-0000-0000-0000CC000000}"/>
    <cellStyle name="Normal 2 3" xfId="161" xr:uid="{00000000-0005-0000-0000-0000CD000000}"/>
    <cellStyle name="Normal 2 3 2" xfId="162" xr:uid="{00000000-0005-0000-0000-0000CE000000}"/>
    <cellStyle name="Normal 2 3_29(d) - Gas extensions -tariffs" xfId="163" xr:uid="{00000000-0005-0000-0000-0000CF000000}"/>
    <cellStyle name="Normal 2 4" xfId="164" xr:uid="{00000000-0005-0000-0000-0000D0000000}"/>
    <cellStyle name="Normal 2 5" xfId="165" xr:uid="{00000000-0005-0000-0000-0000D1000000}"/>
    <cellStyle name="Normal 2 6" xfId="324" xr:uid="{00000000-0005-0000-0000-0000D2000000}"/>
    <cellStyle name="Normal 2_29(d) - Gas extensions -tariffs" xfId="166" xr:uid="{00000000-0005-0000-0000-0000D3000000}"/>
    <cellStyle name="Normal 3" xfId="2" xr:uid="{00000000-0005-0000-0000-0000D4000000}"/>
    <cellStyle name="Normal 3 2" xfId="168" xr:uid="{00000000-0005-0000-0000-0000D5000000}"/>
    <cellStyle name="Normal 3 2 2" xfId="11" xr:uid="{00000000-0005-0000-0000-0000D6000000}"/>
    <cellStyle name="Normal 3 3" xfId="167" xr:uid="{00000000-0005-0000-0000-0000D7000000}"/>
    <cellStyle name="Normal 3_29(d) - Gas extensions -tariffs" xfId="169" xr:uid="{00000000-0005-0000-0000-0000D8000000}"/>
    <cellStyle name="Normal 38" xfId="170" xr:uid="{00000000-0005-0000-0000-0000D9000000}"/>
    <cellStyle name="Normal 38 2" xfId="171" xr:uid="{00000000-0005-0000-0000-0000DA000000}"/>
    <cellStyle name="Normal 38_29(d) - Gas extensions -tariffs" xfId="172" xr:uid="{00000000-0005-0000-0000-0000DB000000}"/>
    <cellStyle name="Normal 4" xfId="8" xr:uid="{00000000-0005-0000-0000-0000DC000000}"/>
    <cellStyle name="Normal 4 2" xfId="174" xr:uid="{00000000-0005-0000-0000-0000DD000000}"/>
    <cellStyle name="Normal 4 3" xfId="175" xr:uid="{00000000-0005-0000-0000-0000DE000000}"/>
    <cellStyle name="Normal 4 3 2" xfId="310" xr:uid="{00000000-0005-0000-0000-0000DF000000}"/>
    <cellStyle name="Normal 4 4" xfId="173" xr:uid="{00000000-0005-0000-0000-0000E0000000}"/>
    <cellStyle name="Normal 4_29(d) - Gas extensions -tariffs" xfId="176" xr:uid="{00000000-0005-0000-0000-0000E1000000}"/>
    <cellStyle name="Normal 40" xfId="177" xr:uid="{00000000-0005-0000-0000-0000E2000000}"/>
    <cellStyle name="Normal 40 2" xfId="178" xr:uid="{00000000-0005-0000-0000-0000E3000000}"/>
    <cellStyle name="Normal 40_29(d) - Gas extensions -tariffs" xfId="179" xr:uid="{00000000-0005-0000-0000-0000E4000000}"/>
    <cellStyle name="Normal 42" xfId="320" xr:uid="{00000000-0005-0000-0000-0000E5000000}"/>
    <cellStyle name="Normal 5" xfId="15" xr:uid="{00000000-0005-0000-0000-0000E6000000}"/>
    <cellStyle name="Normal 5 2" xfId="181" xr:uid="{00000000-0005-0000-0000-0000E7000000}"/>
    <cellStyle name="Normal 5 3" xfId="180" xr:uid="{00000000-0005-0000-0000-0000E8000000}"/>
    <cellStyle name="Normal 6" xfId="17" xr:uid="{00000000-0005-0000-0000-0000E9000000}"/>
    <cellStyle name="Normal 6 2" xfId="183" xr:uid="{00000000-0005-0000-0000-0000EA000000}"/>
    <cellStyle name="Normal 6 3" xfId="182" xr:uid="{00000000-0005-0000-0000-0000EB000000}"/>
    <cellStyle name="Normal 7" xfId="27" xr:uid="{00000000-0005-0000-0000-0000EC000000}"/>
    <cellStyle name="Normal 7 2" xfId="184" xr:uid="{00000000-0005-0000-0000-0000ED000000}"/>
    <cellStyle name="Normal 7 2 2" xfId="311" xr:uid="{00000000-0005-0000-0000-0000EE000000}"/>
    <cellStyle name="Normal 8" xfId="185" xr:uid="{00000000-0005-0000-0000-0000EF000000}"/>
    <cellStyle name="Normal 9" xfId="186" xr:uid="{00000000-0005-0000-0000-0000F0000000}"/>
    <cellStyle name="Note 2" xfId="187" xr:uid="{00000000-0005-0000-0000-0000F1000000}"/>
    <cellStyle name="OffSheet" xfId="272" xr:uid="{00000000-0005-0000-0000-0000F2000000}"/>
    <cellStyle name="Output 2" xfId="188" xr:uid="{00000000-0005-0000-0000-0000F3000000}"/>
    <cellStyle name="Percent" xfId="10" builtinId="5"/>
    <cellStyle name="Percent [2]" xfId="189" xr:uid="{00000000-0005-0000-0000-0000F5000000}"/>
    <cellStyle name="Percent [2] 2" xfId="190" xr:uid="{00000000-0005-0000-0000-0000F6000000}"/>
    <cellStyle name="Percent [2]_29(d) - Gas extensions -tariffs" xfId="191" xr:uid="{00000000-0005-0000-0000-0000F7000000}"/>
    <cellStyle name="Percent 2" xfId="3" xr:uid="{00000000-0005-0000-0000-0000F8000000}"/>
    <cellStyle name="Percent 2 2" xfId="192" xr:uid="{00000000-0005-0000-0000-0000F9000000}"/>
    <cellStyle name="Percent 2 3" xfId="23" xr:uid="{00000000-0005-0000-0000-0000FA000000}"/>
    <cellStyle name="Percent 3" xfId="16" xr:uid="{00000000-0005-0000-0000-0000FB000000}"/>
    <cellStyle name="Percent 3 2" xfId="194" xr:uid="{00000000-0005-0000-0000-0000FC000000}"/>
    <cellStyle name="Percent 3 3" xfId="193" xr:uid="{00000000-0005-0000-0000-0000FD000000}"/>
    <cellStyle name="Percent 4" xfId="19" xr:uid="{00000000-0005-0000-0000-0000FE000000}"/>
    <cellStyle name="Percent 4 2" xfId="195" xr:uid="{00000000-0005-0000-0000-0000FF000000}"/>
    <cellStyle name="Percent 5" xfId="259" xr:uid="{00000000-0005-0000-0000-000000010000}"/>
    <cellStyle name="Percent 5 2" xfId="313" xr:uid="{00000000-0005-0000-0000-000001010000}"/>
    <cellStyle name="Percent 6" xfId="316" xr:uid="{00000000-0005-0000-0000-000002010000}"/>
    <cellStyle name="Percent 7" xfId="196" xr:uid="{00000000-0005-0000-0000-000003010000}"/>
    <cellStyle name="Percentage" xfId="197" xr:uid="{00000000-0005-0000-0000-000004010000}"/>
    <cellStyle name="Period Title" xfId="198" xr:uid="{00000000-0005-0000-0000-000005010000}"/>
    <cellStyle name="PSChar" xfId="199" xr:uid="{00000000-0005-0000-0000-000006010000}"/>
    <cellStyle name="PSDate" xfId="200" xr:uid="{00000000-0005-0000-0000-000007010000}"/>
    <cellStyle name="PSDec" xfId="201" xr:uid="{00000000-0005-0000-0000-000008010000}"/>
    <cellStyle name="PSDetail" xfId="202" xr:uid="{00000000-0005-0000-0000-000009010000}"/>
    <cellStyle name="PSHeading" xfId="203" xr:uid="{00000000-0005-0000-0000-00000A010000}"/>
    <cellStyle name="PSInt" xfId="204" xr:uid="{00000000-0005-0000-0000-00000B010000}"/>
    <cellStyle name="PSSpacer" xfId="205" xr:uid="{00000000-0005-0000-0000-00000C010000}"/>
    <cellStyle name="Ratio" xfId="206" xr:uid="{00000000-0005-0000-0000-00000D010000}"/>
    <cellStyle name="Ratio 2" xfId="207" xr:uid="{00000000-0005-0000-0000-00000E010000}"/>
    <cellStyle name="Ratio_29(d) - Gas extensions -tariffs" xfId="208" xr:uid="{00000000-0005-0000-0000-00000F010000}"/>
    <cellStyle name="Right Date" xfId="209" xr:uid="{00000000-0005-0000-0000-000010010000}"/>
    <cellStyle name="Right Number" xfId="210" xr:uid="{00000000-0005-0000-0000-000011010000}"/>
    <cellStyle name="Right Year" xfId="211" xr:uid="{00000000-0005-0000-0000-000012010000}"/>
    <cellStyle name="SAPError" xfId="212" xr:uid="{00000000-0005-0000-0000-000013010000}"/>
    <cellStyle name="SAPError 2" xfId="213" xr:uid="{00000000-0005-0000-0000-000014010000}"/>
    <cellStyle name="SAPKey" xfId="214" xr:uid="{00000000-0005-0000-0000-000015010000}"/>
    <cellStyle name="SAPKey 2" xfId="215" xr:uid="{00000000-0005-0000-0000-000016010000}"/>
    <cellStyle name="SAPLocked" xfId="216" xr:uid="{00000000-0005-0000-0000-000017010000}"/>
    <cellStyle name="SAPLocked 2" xfId="217" xr:uid="{00000000-0005-0000-0000-000018010000}"/>
    <cellStyle name="SAPOutput" xfId="218" xr:uid="{00000000-0005-0000-0000-000019010000}"/>
    <cellStyle name="SAPOutput 2" xfId="219" xr:uid="{00000000-0005-0000-0000-00001A010000}"/>
    <cellStyle name="SAPSpace" xfId="220" xr:uid="{00000000-0005-0000-0000-00001B010000}"/>
    <cellStyle name="SAPSpace 2" xfId="221" xr:uid="{00000000-0005-0000-0000-00001C010000}"/>
    <cellStyle name="SAPText" xfId="222" xr:uid="{00000000-0005-0000-0000-00001D010000}"/>
    <cellStyle name="SAPText 2" xfId="223" xr:uid="{00000000-0005-0000-0000-00001E010000}"/>
    <cellStyle name="SAPUnLocked" xfId="224" xr:uid="{00000000-0005-0000-0000-00001F010000}"/>
    <cellStyle name="SAPUnLocked 2" xfId="225" xr:uid="{00000000-0005-0000-0000-000020010000}"/>
    <cellStyle name="Sheet Title" xfId="226" xr:uid="{00000000-0005-0000-0000-000021010000}"/>
    <cellStyle name="SheetHeader1" xfId="273" xr:uid="{00000000-0005-0000-0000-000022010000}"/>
    <cellStyle name="SheetHeader2" xfId="274" xr:uid="{00000000-0005-0000-0000-000023010000}"/>
    <cellStyle name="SheetHeader3" xfId="275" xr:uid="{00000000-0005-0000-0000-000024010000}"/>
    <cellStyle name="Style 1" xfId="227" xr:uid="{00000000-0005-0000-0000-000025010000}"/>
    <cellStyle name="Style 1 2" xfId="228" xr:uid="{00000000-0005-0000-0000-000026010000}"/>
    <cellStyle name="Style 1_29(d) - Gas extensions -tariffs" xfId="229" xr:uid="{00000000-0005-0000-0000-000027010000}"/>
    <cellStyle name="Style2" xfId="230" xr:uid="{00000000-0005-0000-0000-000028010000}"/>
    <cellStyle name="Style3" xfId="231" xr:uid="{00000000-0005-0000-0000-000029010000}"/>
    <cellStyle name="Style4" xfId="232" xr:uid="{00000000-0005-0000-0000-00002A010000}"/>
    <cellStyle name="Style4 2" xfId="233" xr:uid="{00000000-0005-0000-0000-00002B010000}"/>
    <cellStyle name="Style4_29(d) - Gas extensions -tariffs" xfId="234" xr:uid="{00000000-0005-0000-0000-00002C010000}"/>
    <cellStyle name="Style5" xfId="235" xr:uid="{00000000-0005-0000-0000-00002D010000}"/>
    <cellStyle name="Style5 2" xfId="236" xr:uid="{00000000-0005-0000-0000-00002E010000}"/>
    <cellStyle name="Style5_29(d) - Gas extensions -tariffs" xfId="237" xr:uid="{00000000-0005-0000-0000-00002F010000}"/>
    <cellStyle name="Table Head Green" xfId="238" xr:uid="{00000000-0005-0000-0000-000030010000}"/>
    <cellStyle name="Table Head_pldt" xfId="239" xr:uid="{00000000-0005-0000-0000-000031010000}"/>
    <cellStyle name="Table Source" xfId="240" xr:uid="{00000000-0005-0000-0000-000032010000}"/>
    <cellStyle name="Table Units" xfId="241" xr:uid="{00000000-0005-0000-0000-000033010000}"/>
    <cellStyle name="Table_Heading" xfId="276" xr:uid="{00000000-0005-0000-0000-000034010000}"/>
    <cellStyle name="Technical_Input" xfId="277" xr:uid="{00000000-0005-0000-0000-000035010000}"/>
    <cellStyle name="Text" xfId="242" xr:uid="{00000000-0005-0000-0000-000036010000}"/>
    <cellStyle name="Text 2" xfId="243" xr:uid="{00000000-0005-0000-0000-000037010000}"/>
    <cellStyle name="Text 3" xfId="244" xr:uid="{00000000-0005-0000-0000-000038010000}"/>
    <cellStyle name="Text Head 1" xfId="245" xr:uid="{00000000-0005-0000-0000-000039010000}"/>
    <cellStyle name="Text Head 2" xfId="246" xr:uid="{00000000-0005-0000-0000-00003A010000}"/>
    <cellStyle name="Text Indent 2" xfId="247" xr:uid="{00000000-0005-0000-0000-00003B010000}"/>
    <cellStyle name="Theirs" xfId="248" xr:uid="{00000000-0005-0000-0000-00003C010000}"/>
    <cellStyle name="Title 2" xfId="249" xr:uid="{00000000-0005-0000-0000-00003D010000}"/>
    <cellStyle name="TOC 1" xfId="250" xr:uid="{00000000-0005-0000-0000-00003E010000}"/>
    <cellStyle name="TOC 2" xfId="251" xr:uid="{00000000-0005-0000-0000-00003F010000}"/>
    <cellStyle name="TOC 3" xfId="252" xr:uid="{00000000-0005-0000-0000-000040010000}"/>
    <cellStyle name="Total 2" xfId="253" xr:uid="{00000000-0005-0000-0000-000041010000}"/>
    <cellStyle name="Totals" xfId="278" xr:uid="{00000000-0005-0000-0000-000042010000}"/>
    <cellStyle name="unit" xfId="279" xr:uid="{00000000-0005-0000-0000-000043010000}"/>
    <cellStyle name="User_Input" xfId="280" xr:uid="{00000000-0005-0000-0000-000044010000}"/>
    <cellStyle name="Warning Text 2" xfId="254" xr:uid="{00000000-0005-0000-0000-000045010000}"/>
    <cellStyle name="year" xfId="255" xr:uid="{00000000-0005-0000-0000-000046010000}"/>
    <cellStyle name="year 2" xfId="256" xr:uid="{00000000-0005-0000-0000-000047010000}"/>
    <cellStyle name="year_29(d) - Gas extensions -tariffs" xfId="257" xr:uid="{00000000-0005-0000-0000-000048010000}"/>
  </cellStyles>
  <dxfs count="1">
    <dxf>
      <fill>
        <patternFill>
          <bgColor rgb="FFDAEEF3"/>
        </patternFill>
      </fill>
      <border>
        <left style="hair">
          <color auto="1"/>
        </left>
        <right style="hair">
          <color auto="1"/>
        </right>
        <top style="hair">
          <color auto="1"/>
        </top>
        <bottom style="hair">
          <color auto="1"/>
        </bottom>
        <vertical/>
        <horizontal/>
      </border>
    </dxf>
  </dxfs>
  <tableStyles count="0" defaultTableStyle="TableStyleMedium2" defaultPivotStyle="PivotStyleLight16"/>
  <colors>
    <mruColors>
      <color rgb="FFCCFFCC"/>
      <color rgb="FFFFFF99"/>
      <color rgb="FFF79646"/>
      <color rgb="FFFFFFCC"/>
      <color rgb="FFCCFFFF"/>
      <color rgb="FFFFCCFF"/>
      <color rgb="FF4BACC6"/>
      <color rgb="FFC0504D"/>
      <color rgb="FF9BBB5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'Output|Summary'!$A$57</c:f>
              <c:strCache>
                <c:ptCount val="1"/>
                <c:pt idx="0">
                  <c:v>Model</c:v>
                </c:pt>
              </c:strCache>
            </c:strRef>
          </c:tx>
          <c:spPr>
            <a:solidFill>
              <a:schemeClr val="accent1"/>
            </a:solidFill>
            <a:ln>
              <a:noFill/>
            </a:ln>
            <a:effectLst/>
          </c:spPr>
          <c:invertIfNegative val="0"/>
          <c:dPt>
            <c:idx val="0"/>
            <c:invertIfNegative val="0"/>
            <c:bubble3D val="0"/>
            <c:spPr>
              <a:solidFill>
                <a:srgbClr val="9BBB59"/>
              </a:solidFill>
              <a:ln>
                <a:noFill/>
              </a:ln>
              <a:effectLst/>
            </c:spPr>
            <c:extLst>
              <c:ext xmlns:c16="http://schemas.microsoft.com/office/drawing/2014/chart" uri="{C3380CC4-5D6E-409C-BE32-E72D297353CC}">
                <c16:uniqueId val="{0000000E-1B5D-4FFF-A9FF-4C7737363235}"/>
              </c:ext>
            </c:extLst>
          </c:dPt>
          <c:dPt>
            <c:idx val="1"/>
            <c:invertIfNegative val="0"/>
            <c:bubble3D val="0"/>
            <c:spPr>
              <a:solidFill>
                <a:srgbClr val="9BBB59"/>
              </a:solidFill>
              <a:ln>
                <a:noFill/>
              </a:ln>
              <a:effectLst/>
            </c:spPr>
            <c:extLst>
              <c:ext xmlns:c16="http://schemas.microsoft.com/office/drawing/2014/chart" uri="{C3380CC4-5D6E-409C-BE32-E72D297353CC}">
                <c16:uniqueId val="{00000014-1B5D-4FFF-A9FF-4C7737363235}"/>
              </c:ext>
            </c:extLst>
          </c:dPt>
          <c:dPt>
            <c:idx val="2"/>
            <c:invertIfNegative val="0"/>
            <c:bubble3D val="0"/>
            <c:spPr>
              <a:solidFill>
                <a:srgbClr val="9BBB59"/>
              </a:solidFill>
              <a:ln>
                <a:noFill/>
              </a:ln>
              <a:effectLst/>
            </c:spPr>
            <c:extLst>
              <c:ext xmlns:c16="http://schemas.microsoft.com/office/drawing/2014/chart" uri="{C3380CC4-5D6E-409C-BE32-E72D297353CC}">
                <c16:uniqueId val="{0000001B-1B5D-4FFF-A9FF-4C7737363235}"/>
              </c:ext>
            </c:extLst>
          </c:dPt>
          <c:dPt>
            <c:idx val="3"/>
            <c:invertIfNegative val="0"/>
            <c:bubble3D val="0"/>
            <c:spPr>
              <a:solidFill>
                <a:srgbClr val="9BBB59"/>
              </a:solidFill>
              <a:ln>
                <a:noFill/>
              </a:ln>
              <a:effectLst/>
            </c:spPr>
            <c:extLst>
              <c:ext xmlns:c16="http://schemas.microsoft.com/office/drawing/2014/chart" uri="{C3380CC4-5D6E-409C-BE32-E72D297353CC}">
                <c16:uniqueId val="{0000001D-1B5D-4FFF-A9FF-4C7737363235}"/>
              </c:ext>
            </c:extLst>
          </c:dPt>
          <c:dPt>
            <c:idx val="4"/>
            <c:invertIfNegative val="0"/>
            <c:bubble3D val="0"/>
            <c:spPr>
              <a:solidFill>
                <a:srgbClr val="C0504D"/>
              </a:solidFill>
              <a:ln>
                <a:noFill/>
              </a:ln>
              <a:effectLst/>
            </c:spPr>
            <c:extLst>
              <c:ext xmlns:c16="http://schemas.microsoft.com/office/drawing/2014/chart" uri="{C3380CC4-5D6E-409C-BE32-E72D297353CC}">
                <c16:uniqueId val="{00000022-1B5D-4FFF-A9FF-4C7737363235}"/>
              </c:ext>
            </c:extLst>
          </c:dPt>
          <c:cat>
            <c:strRef>
              <c:f>'Output|Summary'!$A$58:$A$62</c:f>
              <c:strCache>
                <c:ptCount val="5"/>
                <c:pt idx="0">
                  <c:v>Cobb-Douglas
LSE</c:v>
                </c:pt>
                <c:pt idx="1">
                  <c:v>Cobb-Douglas
SFA</c:v>
                </c:pt>
                <c:pt idx="2">
                  <c:v>Translog
LSE</c:v>
                </c:pt>
                <c:pt idx="3">
                  <c:v>Translog
SFA</c:v>
                </c:pt>
                <c:pt idx="4">
                  <c:v>Proposed FY25 network services opex</c:v>
                </c:pt>
              </c:strCache>
            </c:strRef>
          </c:cat>
          <c:val>
            <c:numRef>
              <c:f>'Output|Summary'!$H$58:$H$62</c:f>
              <c:numCache>
                <c:formatCode>_(* #,##0.0_);_(* \(#,##0.0\);_(* "-"??_);_(@_)</c:formatCode>
                <c:ptCount val="5"/>
                <c:pt idx="0">
                  <c:v>110.51034694127858</c:v>
                </c:pt>
                <c:pt idx="1">
                  <c:v>109.8667349825735</c:v>
                </c:pt>
                <c:pt idx="2">
                  <c:v>91.617497287117715</c:v>
                </c:pt>
                <c:pt idx="3">
                  <c:v>0</c:v>
                </c:pt>
                <c:pt idx="4">
                  <c:v>92.14774181478063</c:v>
                </c:pt>
              </c:numCache>
            </c:numRef>
          </c:val>
          <c:extLst>
            <c:ext xmlns:c16="http://schemas.microsoft.com/office/drawing/2014/chart" uri="{C3380CC4-5D6E-409C-BE32-E72D297353CC}">
              <c16:uniqueId val="{00000006-1B5D-4FFF-A9FF-4C7737363235}"/>
            </c:ext>
          </c:extLst>
        </c:ser>
        <c:dLbls>
          <c:showLegendKey val="0"/>
          <c:showVal val="0"/>
          <c:showCatName val="0"/>
          <c:showSerName val="0"/>
          <c:showPercent val="0"/>
          <c:showBubbleSize val="0"/>
        </c:dLbls>
        <c:gapWidth val="219"/>
        <c:axId val="967493456"/>
        <c:axId val="967498048"/>
      </c:barChart>
      <c:lineChart>
        <c:grouping val="standard"/>
        <c:varyColors val="0"/>
        <c:ser>
          <c:idx val="1"/>
          <c:order val="1"/>
          <c:tx>
            <c:strRef>
              <c:f>'Output|Summary'!$A$64</c:f>
              <c:strCache>
                <c:ptCount val="1"/>
                <c:pt idx="0">
                  <c:v>Model average</c:v>
                </c:pt>
              </c:strCache>
            </c:strRef>
          </c:tx>
          <c:spPr>
            <a:ln w="28575" cap="rnd">
              <a:solidFill>
                <a:srgbClr val="4BACC6"/>
              </a:solidFill>
              <a:prstDash val="dash"/>
              <a:round/>
            </a:ln>
            <a:effectLst/>
          </c:spPr>
          <c:marker>
            <c:symbol val="none"/>
          </c:marker>
          <c:val>
            <c:numRef>
              <c:f>'Output|Summary'!$J$46:$J$50</c:f>
              <c:numCache>
                <c:formatCode>_(* #,##0.0_);_(* \(#,##0.0\);_(* "-"??_);_(@_)</c:formatCode>
                <c:ptCount val="5"/>
                <c:pt idx="0">
                  <c:v>103.99819307032327</c:v>
                </c:pt>
                <c:pt idx="1">
                  <c:v>103.99819307032327</c:v>
                </c:pt>
                <c:pt idx="2">
                  <c:v>103.99819307032327</c:v>
                </c:pt>
                <c:pt idx="3">
                  <c:v>103.99819307032327</c:v>
                </c:pt>
                <c:pt idx="4">
                  <c:v>103.99819307032327</c:v>
                </c:pt>
              </c:numCache>
            </c:numRef>
          </c:val>
          <c:smooth val="0"/>
          <c:extLst>
            <c:ext xmlns:c16="http://schemas.microsoft.com/office/drawing/2014/chart" uri="{C3380CC4-5D6E-409C-BE32-E72D297353CC}">
              <c16:uniqueId val="{0000000A-8AC5-4261-A5CE-CB2ADB9ECB41}"/>
            </c:ext>
          </c:extLst>
        </c:ser>
        <c:dLbls>
          <c:showLegendKey val="0"/>
          <c:showVal val="0"/>
          <c:showCatName val="0"/>
          <c:showSerName val="0"/>
          <c:showPercent val="0"/>
          <c:showBubbleSize val="0"/>
        </c:dLbls>
        <c:marker val="1"/>
        <c:smooth val="0"/>
        <c:axId val="967493456"/>
        <c:axId val="967498048"/>
      </c:lineChart>
      <c:catAx>
        <c:axId val="967493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8048"/>
        <c:crosses val="autoZero"/>
        <c:auto val="1"/>
        <c:lblAlgn val="ctr"/>
        <c:lblOffset val="100"/>
        <c:noMultiLvlLbl val="0"/>
      </c:catAx>
      <c:valAx>
        <c:axId val="967498048"/>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'Output|Summary'!$C$56</c:f>
              <c:strCache>
                <c:ptCount val="1"/>
                <c:pt idx="0">
                  <c:v>($m, $RY2025)</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34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'Output|Summary'!$A$87</c:f>
              <c:strCache>
                <c:ptCount val="1"/>
                <c:pt idx="0">
                  <c:v>Model</c:v>
                </c:pt>
              </c:strCache>
            </c:strRef>
          </c:tx>
          <c:spPr>
            <a:solidFill>
              <a:schemeClr val="accent1"/>
            </a:solidFill>
            <a:ln>
              <a:noFill/>
            </a:ln>
            <a:effectLst/>
          </c:spPr>
          <c:invertIfNegative val="0"/>
          <c:dPt>
            <c:idx val="0"/>
            <c:invertIfNegative val="0"/>
            <c:bubble3D val="0"/>
            <c:spPr>
              <a:solidFill>
                <a:srgbClr val="9BBB59"/>
              </a:solidFill>
              <a:ln>
                <a:noFill/>
              </a:ln>
              <a:effectLst/>
            </c:spPr>
            <c:extLst>
              <c:ext xmlns:c16="http://schemas.microsoft.com/office/drawing/2014/chart" uri="{C3380CC4-5D6E-409C-BE32-E72D297353CC}">
                <c16:uniqueId val="{00000001-A467-4D72-A526-C0EF9E6561A9}"/>
              </c:ext>
            </c:extLst>
          </c:dPt>
          <c:dPt>
            <c:idx val="1"/>
            <c:invertIfNegative val="0"/>
            <c:bubble3D val="0"/>
            <c:spPr>
              <a:solidFill>
                <a:srgbClr val="9BBB59"/>
              </a:solidFill>
              <a:ln>
                <a:noFill/>
              </a:ln>
              <a:effectLst/>
            </c:spPr>
            <c:extLst>
              <c:ext xmlns:c16="http://schemas.microsoft.com/office/drawing/2014/chart" uri="{C3380CC4-5D6E-409C-BE32-E72D297353CC}">
                <c16:uniqueId val="{00000003-A467-4D72-A526-C0EF9E6561A9}"/>
              </c:ext>
            </c:extLst>
          </c:dPt>
          <c:dPt>
            <c:idx val="2"/>
            <c:invertIfNegative val="0"/>
            <c:bubble3D val="0"/>
            <c:spPr>
              <a:solidFill>
                <a:srgbClr val="9BBB59"/>
              </a:solidFill>
              <a:ln>
                <a:noFill/>
              </a:ln>
              <a:effectLst/>
            </c:spPr>
            <c:extLst>
              <c:ext xmlns:c16="http://schemas.microsoft.com/office/drawing/2014/chart" uri="{C3380CC4-5D6E-409C-BE32-E72D297353CC}">
                <c16:uniqueId val="{00000005-A467-4D72-A526-C0EF9E6561A9}"/>
              </c:ext>
            </c:extLst>
          </c:dPt>
          <c:dPt>
            <c:idx val="3"/>
            <c:invertIfNegative val="0"/>
            <c:bubble3D val="0"/>
            <c:spPr>
              <a:solidFill>
                <a:srgbClr val="9BBB59"/>
              </a:solidFill>
              <a:ln>
                <a:noFill/>
              </a:ln>
              <a:effectLst/>
            </c:spPr>
            <c:extLst>
              <c:ext xmlns:c16="http://schemas.microsoft.com/office/drawing/2014/chart" uri="{C3380CC4-5D6E-409C-BE32-E72D297353CC}">
                <c16:uniqueId val="{00000007-A467-4D72-A526-C0EF9E6561A9}"/>
              </c:ext>
            </c:extLst>
          </c:dPt>
          <c:dPt>
            <c:idx val="4"/>
            <c:invertIfNegative val="0"/>
            <c:bubble3D val="0"/>
            <c:spPr>
              <a:solidFill>
                <a:srgbClr val="C0504D"/>
              </a:solidFill>
              <a:ln>
                <a:noFill/>
              </a:ln>
              <a:effectLst/>
            </c:spPr>
            <c:extLst>
              <c:ext xmlns:c16="http://schemas.microsoft.com/office/drawing/2014/chart" uri="{C3380CC4-5D6E-409C-BE32-E72D297353CC}">
                <c16:uniqueId val="{00000009-A467-4D72-A526-C0EF9E6561A9}"/>
              </c:ext>
            </c:extLst>
          </c:dPt>
          <c:cat>
            <c:strRef>
              <c:f>'Output|Summary'!$A$88:$A$92</c:f>
              <c:strCache>
                <c:ptCount val="5"/>
                <c:pt idx="0">
                  <c:v>Cobb-Douglas
LSE</c:v>
                </c:pt>
                <c:pt idx="1">
                  <c:v>Cobb-Douglas
SFA</c:v>
                </c:pt>
                <c:pt idx="2">
                  <c:v>Translog
LSE</c:v>
                </c:pt>
                <c:pt idx="3">
                  <c:v>Translog
SFA</c:v>
                </c:pt>
                <c:pt idx="4">
                  <c:v>Proposed FY25 network services opex</c:v>
                </c:pt>
              </c:strCache>
            </c:strRef>
          </c:cat>
          <c:val>
            <c:numRef>
              <c:f>'Output|Summary'!$H$88:$H$92</c:f>
              <c:numCache>
                <c:formatCode>_(* #,##0.0_);_(* \(#,##0.0\);_(* "-"??_);_(@_)</c:formatCode>
                <c:ptCount val="5"/>
                <c:pt idx="0">
                  <c:v>97.452535681706706</c:v>
                </c:pt>
                <c:pt idx="1">
                  <c:v>92.670186185880965</c:v>
                </c:pt>
                <c:pt idx="2">
                  <c:v>0</c:v>
                </c:pt>
                <c:pt idx="3">
                  <c:v>0</c:v>
                </c:pt>
                <c:pt idx="4">
                  <c:v>92.14774181478063</c:v>
                </c:pt>
              </c:numCache>
            </c:numRef>
          </c:val>
          <c:extLst>
            <c:ext xmlns:c16="http://schemas.microsoft.com/office/drawing/2014/chart" uri="{C3380CC4-5D6E-409C-BE32-E72D297353CC}">
              <c16:uniqueId val="{0000000A-A467-4D72-A526-C0EF9E6561A9}"/>
            </c:ext>
          </c:extLst>
        </c:ser>
        <c:dLbls>
          <c:showLegendKey val="0"/>
          <c:showVal val="0"/>
          <c:showCatName val="0"/>
          <c:showSerName val="0"/>
          <c:showPercent val="0"/>
          <c:showBubbleSize val="0"/>
        </c:dLbls>
        <c:gapWidth val="219"/>
        <c:axId val="967493456"/>
        <c:axId val="967498048"/>
      </c:barChart>
      <c:lineChart>
        <c:grouping val="standard"/>
        <c:varyColors val="0"/>
        <c:ser>
          <c:idx val="1"/>
          <c:order val="1"/>
          <c:tx>
            <c:strRef>
              <c:f>'Output|Summary'!$A$94</c:f>
              <c:strCache>
                <c:ptCount val="1"/>
                <c:pt idx="0">
                  <c:v>Model average</c:v>
                </c:pt>
              </c:strCache>
            </c:strRef>
          </c:tx>
          <c:spPr>
            <a:ln w="28575" cap="rnd">
              <a:solidFill>
                <a:srgbClr val="4BACC6"/>
              </a:solidFill>
              <a:prstDash val="dash"/>
              <a:round/>
            </a:ln>
            <a:effectLst/>
          </c:spPr>
          <c:marker>
            <c:symbol val="none"/>
          </c:marker>
          <c:val>
            <c:numRef>
              <c:f>'Output|Summary'!$J$76:$J$80</c:f>
              <c:numCache>
                <c:formatCode>_(* #,##0.0_);_(* \(#,##0.0\);_(* "-"??_);_(@_)</c:formatCode>
                <c:ptCount val="5"/>
                <c:pt idx="0">
                  <c:v>95.061360933793836</c:v>
                </c:pt>
                <c:pt idx="1">
                  <c:v>95.061360933793836</c:v>
                </c:pt>
                <c:pt idx="2">
                  <c:v>95.061360933793836</c:v>
                </c:pt>
                <c:pt idx="3">
                  <c:v>95.061360933793836</c:v>
                </c:pt>
                <c:pt idx="4">
                  <c:v>95.061360933793836</c:v>
                </c:pt>
              </c:numCache>
            </c:numRef>
          </c:val>
          <c:smooth val="0"/>
          <c:extLst>
            <c:ext xmlns:c16="http://schemas.microsoft.com/office/drawing/2014/chart" uri="{C3380CC4-5D6E-409C-BE32-E72D297353CC}">
              <c16:uniqueId val="{0000000B-A467-4D72-A526-C0EF9E6561A9}"/>
            </c:ext>
          </c:extLst>
        </c:ser>
        <c:dLbls>
          <c:showLegendKey val="0"/>
          <c:showVal val="0"/>
          <c:showCatName val="0"/>
          <c:showSerName val="0"/>
          <c:showPercent val="0"/>
          <c:showBubbleSize val="0"/>
        </c:dLbls>
        <c:marker val="1"/>
        <c:smooth val="0"/>
        <c:axId val="967493456"/>
        <c:axId val="967498048"/>
      </c:lineChart>
      <c:catAx>
        <c:axId val="967493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8048"/>
        <c:crosses val="autoZero"/>
        <c:auto val="1"/>
        <c:lblAlgn val="ctr"/>
        <c:lblOffset val="100"/>
        <c:noMultiLvlLbl val="0"/>
      </c:catAx>
      <c:valAx>
        <c:axId val="967498048"/>
        <c:scaling>
          <c:orientation val="minMax"/>
          <c:min val="0"/>
        </c:scaling>
        <c:delete val="0"/>
        <c:axPos val="l"/>
        <c:majorGridlines>
          <c:spPr>
            <a:ln w="9525" cap="flat" cmpd="sng" algn="ctr">
              <a:solidFill>
                <a:schemeClr val="tx1">
                  <a:lumMod val="15000"/>
                  <a:lumOff val="85000"/>
                </a:schemeClr>
              </a:solidFill>
              <a:round/>
            </a:ln>
            <a:effectLst/>
          </c:spPr>
        </c:majorGridlines>
        <c:title>
          <c:tx>
            <c:strRef>
              <c:f>'Output|Summary'!$C$86</c:f>
              <c:strCache>
                <c:ptCount val="1"/>
                <c:pt idx="0">
                  <c:v>($m, $RY2025)</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34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'Output|Summary'!$A$57</c:f>
              <c:strCache>
                <c:ptCount val="1"/>
                <c:pt idx="0">
                  <c:v>Model</c:v>
                </c:pt>
              </c:strCache>
            </c:strRef>
          </c:tx>
          <c:spPr>
            <a:solidFill>
              <a:schemeClr val="accent3"/>
            </a:solidFill>
            <a:ln>
              <a:noFill/>
            </a:ln>
            <a:effectLst/>
          </c:spPr>
          <c:invertIfNegative val="0"/>
          <c:dPt>
            <c:idx val="4"/>
            <c:invertIfNegative val="0"/>
            <c:bubble3D val="0"/>
            <c:spPr>
              <a:solidFill>
                <a:schemeClr val="accent2"/>
              </a:solidFill>
              <a:ln>
                <a:noFill/>
              </a:ln>
              <a:effectLst/>
            </c:spPr>
            <c:extLst>
              <c:ext xmlns:c16="http://schemas.microsoft.com/office/drawing/2014/chart" uri="{C3380CC4-5D6E-409C-BE32-E72D297353CC}">
                <c16:uniqueId val="{00000001-C8A1-4572-B169-93B7DF35DCD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'Output|Summary'!$A$58:$A$62</c:f>
              <c:strCache>
                <c:ptCount val="5"/>
                <c:pt idx="0">
                  <c:v>Cobb-Douglas
LSE</c:v>
                </c:pt>
                <c:pt idx="1">
                  <c:v>Cobb-Douglas
SFA</c:v>
                </c:pt>
                <c:pt idx="2">
                  <c:v>Translog
LSE</c:v>
                </c:pt>
                <c:pt idx="3">
                  <c:v>Translog
SFA</c:v>
                </c:pt>
                <c:pt idx="4">
                  <c:v>Proposed FY25 network services opex</c:v>
                </c:pt>
              </c:strCache>
            </c:strRef>
          </c:cat>
          <c:val>
            <c:numRef>
              <c:f>'Output|Summary'!$I$58:$I$62</c:f>
              <c:numCache>
                <c:formatCode>_(* #,##0.0_);_(* \(#,##0.0\);_(* "-"??_);_(@_)</c:formatCode>
                <c:ptCount val="5"/>
                <c:pt idx="0">
                  <c:v>115.12027005104636</c:v>
                </c:pt>
                <c:pt idx="1">
                  <c:v>114.44980991274291</c:v>
                </c:pt>
                <c:pt idx="2">
                  <c:v>95.439307911125553</c:v>
                </c:pt>
                <c:pt idx="3">
                  <c:v>0</c:v>
                </c:pt>
                <c:pt idx="4">
                  <c:v>95.991671512427786</c:v>
                </c:pt>
              </c:numCache>
            </c:numRef>
          </c:val>
          <c:extLst>
            <c:ext xmlns:c16="http://schemas.microsoft.com/office/drawing/2014/chart" uri="{C3380CC4-5D6E-409C-BE32-E72D297353CC}">
              <c16:uniqueId val="{00000002-C8A1-4572-B169-93B7DF35DCD6}"/>
            </c:ext>
          </c:extLst>
        </c:ser>
        <c:dLbls>
          <c:showLegendKey val="0"/>
          <c:showVal val="0"/>
          <c:showCatName val="0"/>
          <c:showSerName val="0"/>
          <c:showPercent val="0"/>
          <c:showBubbleSize val="0"/>
        </c:dLbls>
        <c:gapWidth val="120"/>
        <c:axId val="967493456"/>
        <c:axId val="967498048"/>
      </c:barChart>
      <c:lineChart>
        <c:grouping val="standard"/>
        <c:varyColors val="0"/>
        <c:ser>
          <c:idx val="1"/>
          <c:order val="1"/>
          <c:tx>
            <c:strRef>
              <c:f>'Output|Summary'!$A$64</c:f>
              <c:strCache>
                <c:ptCount val="1"/>
                <c:pt idx="0">
                  <c:v>Model average</c:v>
                </c:pt>
              </c:strCache>
            </c:strRef>
          </c:tx>
          <c:spPr>
            <a:ln w="28575" cap="rnd">
              <a:solidFill>
                <a:schemeClr val="accent1"/>
              </a:solidFill>
              <a:prstDash val="dash"/>
              <a:round/>
            </a:ln>
            <a:effectLst/>
          </c:spPr>
          <c:marker>
            <c:symbol val="none"/>
          </c:marker>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8A1-4572-B169-93B7DF35DCD6}"/>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'Output|Summary'!$AN$46:$AN$50</c:f>
              <c:numCache>
                <c:formatCode>_(* #,##0.0_);_(* \(#,##0.0\);_(* "-"??_);_(@_)</c:formatCode>
                <c:ptCount val="5"/>
                <c:pt idx="0">
                  <c:v>108.3364626249716</c:v>
                </c:pt>
                <c:pt idx="1">
                  <c:v>108.3364626249716</c:v>
                </c:pt>
                <c:pt idx="2">
                  <c:v>108.3364626249716</c:v>
                </c:pt>
                <c:pt idx="3">
                  <c:v>108.3364626249716</c:v>
                </c:pt>
                <c:pt idx="4">
                  <c:v>108.3364626249716</c:v>
                </c:pt>
              </c:numCache>
            </c:numRef>
          </c:val>
          <c:smooth val="0"/>
          <c:extLst>
            <c:ext xmlns:c16="http://schemas.microsoft.com/office/drawing/2014/chart" uri="{C3380CC4-5D6E-409C-BE32-E72D297353CC}">
              <c16:uniqueId val="{00000004-C8A1-4572-B169-93B7DF35DCD6}"/>
            </c:ext>
          </c:extLst>
        </c:ser>
        <c:dLbls>
          <c:showLegendKey val="0"/>
          <c:showVal val="0"/>
          <c:showCatName val="0"/>
          <c:showSerName val="0"/>
          <c:showPercent val="0"/>
          <c:showBubbleSize val="0"/>
        </c:dLbls>
        <c:marker val="1"/>
        <c:smooth val="0"/>
        <c:axId val="967493456"/>
        <c:axId val="967498048"/>
      </c:lineChart>
      <c:catAx>
        <c:axId val="967493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crossAx val="967498048"/>
        <c:crosses val="autoZero"/>
        <c:auto val="1"/>
        <c:lblAlgn val="ctr"/>
        <c:lblOffset val="100"/>
        <c:noMultiLvlLbl val="0"/>
      </c:catAx>
      <c:valAx>
        <c:axId val="967498048"/>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$m, Real 2026</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34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'Output|Summary'!$A$87</c:f>
              <c:strCache>
                <c:ptCount val="1"/>
                <c:pt idx="0">
                  <c:v>Model</c:v>
                </c:pt>
              </c:strCache>
            </c:strRef>
          </c:tx>
          <c:spPr>
            <a:solidFill>
              <a:schemeClr val="accent3"/>
            </a:solidFill>
            <a:ln>
              <a:noFill/>
            </a:ln>
            <a:effectLst/>
          </c:spPr>
          <c:invertIfNegative val="0"/>
          <c:dPt>
            <c:idx val="4"/>
            <c:invertIfNegative val="0"/>
            <c:bubble3D val="0"/>
            <c:spPr>
              <a:solidFill>
                <a:schemeClr val="accent2"/>
              </a:solidFill>
              <a:ln>
                <a:noFill/>
              </a:ln>
              <a:effectLst/>
            </c:spPr>
            <c:extLst>
              <c:ext xmlns:c16="http://schemas.microsoft.com/office/drawing/2014/chart" uri="{C3380CC4-5D6E-409C-BE32-E72D297353CC}">
                <c16:uniqueId val="{00000001-B984-41B5-ACD4-F7C34AF0259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'Output|Summary'!$A$88:$A$92</c:f>
              <c:strCache>
                <c:ptCount val="5"/>
                <c:pt idx="0">
                  <c:v>Cobb-Douglas
LSE</c:v>
                </c:pt>
                <c:pt idx="1">
                  <c:v>Cobb-Douglas
SFA</c:v>
                </c:pt>
                <c:pt idx="2">
                  <c:v>Translog
LSE</c:v>
                </c:pt>
                <c:pt idx="3">
                  <c:v>Translog
SFA</c:v>
                </c:pt>
                <c:pt idx="4">
                  <c:v>Proposed FY25 network services opex</c:v>
                </c:pt>
              </c:strCache>
            </c:strRef>
          </c:cat>
          <c:val>
            <c:numRef>
              <c:f>'Output|Summary'!$I$88:$I$92</c:f>
              <c:numCache>
                <c:formatCode>_(* #,##0.0_);_(* \(#,##0.0\);_(* "-"??_);_(@_)</c:formatCode>
                <c:ptCount val="5"/>
                <c:pt idx="0">
                  <c:v>101.51775408685101</c:v>
                </c:pt>
                <c:pt idx="1">
                  <c:v>96.535909574766677</c:v>
                </c:pt>
                <c:pt idx="2">
                  <c:v>0</c:v>
                </c:pt>
                <c:pt idx="3">
                  <c:v>0</c:v>
                </c:pt>
                <c:pt idx="4">
                  <c:v>95.991671512427786</c:v>
                </c:pt>
              </c:numCache>
            </c:numRef>
          </c:val>
          <c:extLst>
            <c:ext xmlns:c16="http://schemas.microsoft.com/office/drawing/2014/chart" uri="{C3380CC4-5D6E-409C-BE32-E72D297353CC}">
              <c16:uniqueId val="{00000002-B984-41B5-ACD4-F7C34AF0259D}"/>
            </c:ext>
          </c:extLst>
        </c:ser>
        <c:dLbls>
          <c:showLegendKey val="0"/>
          <c:showVal val="0"/>
          <c:showCatName val="0"/>
          <c:showSerName val="0"/>
          <c:showPercent val="0"/>
          <c:showBubbleSize val="0"/>
        </c:dLbls>
        <c:gapWidth val="120"/>
        <c:axId val="967493456"/>
        <c:axId val="967498048"/>
      </c:barChart>
      <c:lineChart>
        <c:grouping val="standard"/>
        <c:varyColors val="0"/>
        <c:ser>
          <c:idx val="1"/>
          <c:order val="1"/>
          <c:tx>
            <c:strRef>
              <c:f>'Output|Summary'!$A$94</c:f>
              <c:strCache>
                <c:ptCount val="1"/>
                <c:pt idx="0">
                  <c:v>Model average</c:v>
                </c:pt>
              </c:strCache>
            </c:strRef>
          </c:tx>
          <c:spPr>
            <a:ln w="28575" cap="rnd">
              <a:solidFill>
                <a:schemeClr val="accent1"/>
              </a:solidFill>
              <a:prstDash val="dash"/>
              <a:round/>
            </a:ln>
            <a:effectLst/>
          </c:spPr>
          <c:marker>
            <c:symbol val="none"/>
          </c:marker>
          <c:dLbls>
            <c:dLbl>
              <c:idx val="4"/>
              <c:layout>
                <c:manualLayout>
                  <c:x val="-1.4158191410755594E-16"/>
                  <c:y val="-7.066663958706199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984-41B5-ACD4-F7C34AF0259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'Output|Summary'!$AN$76:$AN$80</c:f>
              <c:numCache>
                <c:formatCode>_(* #,##0.0_);_(* \(#,##0.0\);_(* "-"??_);_(@_)</c:formatCode>
                <c:ptCount val="5"/>
                <c:pt idx="0">
                  <c:v>99.026831830808845</c:v>
                </c:pt>
                <c:pt idx="1">
                  <c:v>99.026831830808845</c:v>
                </c:pt>
                <c:pt idx="2">
                  <c:v>99.026831830808845</c:v>
                </c:pt>
                <c:pt idx="3">
                  <c:v>99.026831830808845</c:v>
                </c:pt>
                <c:pt idx="4">
                  <c:v>99.026831830808845</c:v>
                </c:pt>
              </c:numCache>
            </c:numRef>
          </c:val>
          <c:smooth val="0"/>
          <c:extLst>
            <c:ext xmlns:c16="http://schemas.microsoft.com/office/drawing/2014/chart" uri="{C3380CC4-5D6E-409C-BE32-E72D297353CC}">
              <c16:uniqueId val="{00000004-B984-41B5-ACD4-F7C34AF0259D}"/>
            </c:ext>
          </c:extLst>
        </c:ser>
        <c:dLbls>
          <c:showLegendKey val="0"/>
          <c:showVal val="0"/>
          <c:showCatName val="0"/>
          <c:showSerName val="0"/>
          <c:showPercent val="0"/>
          <c:showBubbleSize val="0"/>
        </c:dLbls>
        <c:marker val="1"/>
        <c:smooth val="0"/>
        <c:axId val="967493456"/>
        <c:axId val="967498048"/>
      </c:lineChart>
      <c:catAx>
        <c:axId val="967493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crossAx val="967498048"/>
        <c:crosses val="autoZero"/>
        <c:auto val="1"/>
        <c:lblAlgn val="ctr"/>
        <c:lblOffset val="100"/>
        <c:noMultiLvlLbl val="0"/>
      </c:catAx>
      <c:valAx>
        <c:axId val="967498048"/>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$m, Real 2026</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674934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400422</xdr:colOff>
      <xdr:row>45</xdr:row>
      <xdr:rowOff>58768</xdr:rowOff>
    </xdr:from>
    <xdr:to>
      <xdr:col>20</xdr:col>
      <xdr:colOff>683513</xdr:colOff>
      <xdr:row>66</xdr:row>
      <xdr:rowOff>25879</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394946</xdr:colOff>
      <xdr:row>75</xdr:row>
      <xdr:rowOff>111120</xdr:rowOff>
    </xdr:from>
    <xdr:to>
      <xdr:col>20</xdr:col>
      <xdr:colOff>678037</xdr:colOff>
      <xdr:row>96</xdr:row>
      <xdr:rowOff>138022</xdr:rowOff>
    </xdr:to>
    <xdr:graphicFrame macro="">
      <xdr:nvGraphicFramePr>
        <xdr:cNvPr id="3" name="Chart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284672</xdr:colOff>
      <xdr:row>7</xdr:row>
      <xdr:rowOff>129397</xdr:rowOff>
    </xdr:from>
    <xdr:to>
      <xdr:col>4</xdr:col>
      <xdr:colOff>207034</xdr:colOff>
      <xdr:row>27</xdr:row>
      <xdr:rowOff>120771</xdr:rowOff>
    </xdr:to>
    <xdr:graphicFrame macro="">
      <xdr:nvGraphicFramePr>
        <xdr:cNvPr id="6" name="Chart 5">
          <a:extLst>
            <a:ext uri="{FF2B5EF4-FFF2-40B4-BE49-F238E27FC236}">
              <a16:creationId xmlns:a16="http://schemas.microsoft.com/office/drawing/2014/main" id="{AD4D436A-25D0-4F66-9C1A-B40D6302F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517584</xdr:colOff>
      <xdr:row>7</xdr:row>
      <xdr:rowOff>103517</xdr:rowOff>
    </xdr:from>
    <xdr:to>
      <xdr:col>11</xdr:col>
      <xdr:colOff>396814</xdr:colOff>
      <xdr:row>27</xdr:row>
      <xdr:rowOff>77637</xdr:rowOff>
    </xdr:to>
    <xdr:graphicFrame macro="">
      <xdr:nvGraphicFramePr>
        <xdr:cNvPr id="7" name="Chart 6">
          <a:extLst>
            <a:ext uri="{FF2B5EF4-FFF2-40B4-BE49-F238E27FC236}">
              <a16:creationId xmlns:a16="http://schemas.microsoft.com/office/drawing/2014/main" id="{24283CF7-0D6A-4E71-8036-E082650B7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7</xdr:col>
      <xdr:colOff>370935</xdr:colOff>
      <xdr:row>5</xdr:row>
      <xdr:rowOff>77638</xdr:rowOff>
    </xdr:from>
    <xdr:ext cx="1447384" cy="254557"/>
    <xdr:sp macro="" textlink="">
      <xdr:nvSpPr>
        <xdr:cNvPr id="8" name="TextBox 7">
          <a:extLst>
            <a:ext uri="{FF2B5EF4-FFF2-40B4-BE49-F238E27FC236}">
              <a16:creationId xmlns:a16="http://schemas.microsoft.com/office/drawing/2014/main" id="{9AA7BA94-5F16-58A2-A8B6-088F82825B93}"/>
            </a:ext>
          </a:extLst>
        </xdr:cNvPr>
        <xdr:cNvSpPr txBox="1"/>
      </xdr:nvSpPr>
      <xdr:spPr>
        <a:xfrm>
          <a:off x="8134709" y="931653"/>
          <a:ext cx="1447384"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1100">
              <a:latin typeface="Arial" panose="020B0604020202020204" pitchFamily="34" charset="0"/>
              <a:cs typeface="Arial" panose="020B0604020202020204" pitchFamily="34" charset="0"/>
            </a:rPr>
            <a:t>Short sample period</a:t>
          </a:r>
        </a:p>
      </xdr:txBody>
    </xdr:sp>
    <xdr:clientData/>
  </xdr:oneCellAnchor>
  <xdr:oneCellAnchor>
    <xdr:from>
      <xdr:col>1</xdr:col>
      <xdr:colOff>117894</xdr:colOff>
      <xdr:row>5</xdr:row>
      <xdr:rowOff>100642</xdr:rowOff>
    </xdr:from>
    <xdr:ext cx="1424108" cy="254557"/>
    <xdr:sp macro="" textlink="">
      <xdr:nvSpPr>
        <xdr:cNvPr id="9" name="TextBox 8">
          <a:extLst>
            <a:ext uri="{FF2B5EF4-FFF2-40B4-BE49-F238E27FC236}">
              <a16:creationId xmlns:a16="http://schemas.microsoft.com/office/drawing/2014/main" id="{9125BBCA-3851-4B53-843B-2C498EE631CF}"/>
            </a:ext>
          </a:extLst>
        </xdr:cNvPr>
        <xdr:cNvSpPr txBox="1"/>
      </xdr:nvSpPr>
      <xdr:spPr>
        <a:xfrm>
          <a:off x="2153728" y="954657"/>
          <a:ext cx="1424108"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AU" sz="1100">
              <a:latin typeface="Arial" panose="020B0604020202020204" pitchFamily="34" charset="0"/>
              <a:cs typeface="Arial" panose="020B0604020202020204" pitchFamily="34" charset="0"/>
            </a:rPr>
            <a:t>Long sample period</a:t>
          </a:r>
        </a:p>
      </xdr:txBody>
    </xdr:sp>
    <xdr:clientData/>
  </xdr:one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rba.gov.au/publications/smp/2023/nov/forecasts.html" TargetMode="External"/><Relationship Id="rId1" Type="http://schemas.openxmlformats.org/officeDocument/2006/relationships/hyperlink" Target="https://www.abs.gov.au/statistics/economy/price-indexes-and-inflation/consumer-price-index-australia/latest-releas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F136"/>
  <sheetViews>
    <sheetView tabSelected="1" zoomScaleNormal="100" workbookViewId="0"/>
  </sheetViews>
  <sheetFormatPr defaultColWidth="8.85546875" defaultRowHeight="13.7" customHeight="1"/>
  <cols>
    <col min="1" max="1" width="19.42578125" style="23" customWidth="1"/>
    <col min="2" max="2" width="40" style="23" customWidth="1"/>
    <col min="3" max="3" width="19" style="23" bestFit="1" customWidth="1"/>
    <col min="4" max="6" width="12.42578125" style="23" customWidth="1"/>
    <col min="7" max="16384" width="8.85546875" style="23"/>
  </cols>
  <sheetData>
    <row r="1" spans="1:6" s="16" customFormat="1" ht="15.75">
      <c r="A1" s="1" t="s">
        <v>0</v>
      </c>
      <c r="C1" s="81" t="s">
        <v>1</v>
      </c>
      <c r="D1" s="87" t="s">
        <v>2</v>
      </c>
      <c r="E1" s="88" t="s">
        <v>3</v>
      </c>
      <c r="F1" s="126" t="s">
        <v>4</v>
      </c>
    </row>
    <row r="2" spans="1:6" s="16" customFormat="1" ht="13.7" customHeight="1">
      <c r="A2" s="86" t="s">
        <v>5</v>
      </c>
      <c r="C2" s="15"/>
      <c r="E2" s="84"/>
    </row>
    <row r="3" spans="1:6" s="16" customFormat="1" ht="13.7" customHeight="1">
      <c r="A3" s="17"/>
      <c r="B3" s="17"/>
      <c r="C3" s="17"/>
    </row>
    <row r="4" spans="1:6" s="18" customFormat="1" ht="13.7" customHeight="1">
      <c r="A4" s="2" t="s">
        <v>6</v>
      </c>
      <c r="B4" s="4"/>
      <c r="C4" s="4"/>
    </row>
    <row r="5" spans="1:6" s="16" customFormat="1" ht="13.7" customHeight="1">
      <c r="A5" s="19"/>
      <c r="B5" s="19"/>
      <c r="C5" s="19"/>
    </row>
    <row r="6" spans="1:6" s="16" customFormat="1" ht="13.7" customHeight="1">
      <c r="A6" s="19" t="s">
        <v>7</v>
      </c>
      <c r="B6" s="19"/>
      <c r="C6" s="19"/>
    </row>
    <row r="7" spans="1:6" s="16" customFormat="1" ht="13.7" customHeight="1">
      <c r="A7" s="19" t="s">
        <v>8</v>
      </c>
      <c r="B7" s="19"/>
      <c r="C7" s="19"/>
    </row>
    <row r="8" spans="1:6" s="16" customFormat="1" ht="13.7" customHeight="1">
      <c r="A8" s="19" t="s">
        <v>9</v>
      </c>
      <c r="B8" s="19"/>
      <c r="C8" s="19"/>
    </row>
    <row r="9" spans="1:6" s="16" customFormat="1" ht="13.7" customHeight="1">
      <c r="A9" s="193" t="s">
        <v>10</v>
      </c>
      <c r="B9" s="19"/>
      <c r="C9" s="19"/>
    </row>
    <row r="10" spans="1:6" s="18" customFormat="1" ht="13.7" customHeight="1">
      <c r="A10" s="2" t="s">
        <v>11</v>
      </c>
      <c r="B10" s="4"/>
      <c r="C10" s="4"/>
    </row>
    <row r="11" spans="1:6" s="16" customFormat="1" ht="13.7" customHeight="1">
      <c r="A11" s="19"/>
      <c r="B11" s="19"/>
      <c r="C11" s="19"/>
    </row>
    <row r="12" spans="1:6" s="31" customFormat="1" ht="13.7" customHeight="1">
      <c r="A12" s="29" t="s">
        <v>12</v>
      </c>
      <c r="B12" s="29" t="s">
        <v>13</v>
      </c>
      <c r="C12" s="30"/>
    </row>
    <row r="13" spans="1:6" s="16" customFormat="1" ht="13.7" customHeight="1">
      <c r="A13" s="83" t="s">
        <v>14</v>
      </c>
      <c r="B13" s="19" t="s">
        <v>15</v>
      </c>
      <c r="C13" s="19"/>
    </row>
    <row r="14" spans="1:6" s="16" customFormat="1" ht="13.7" customHeight="1">
      <c r="A14" s="83" t="s">
        <v>1071</v>
      </c>
      <c r="B14" s="19" t="s">
        <v>17</v>
      </c>
      <c r="C14" s="19"/>
    </row>
    <row r="15" spans="1:6" s="16" customFormat="1" ht="13.7" customHeight="1">
      <c r="A15" s="83" t="s">
        <v>1072</v>
      </c>
      <c r="B15" s="19" t="s">
        <v>19</v>
      </c>
      <c r="C15" s="19"/>
    </row>
    <row r="16" spans="1:6" s="16" customFormat="1" ht="13.7" customHeight="1">
      <c r="A16" s="83" t="s">
        <v>1073</v>
      </c>
      <c r="B16" s="19" t="s">
        <v>21</v>
      </c>
      <c r="C16" s="19"/>
    </row>
    <row r="17" spans="1:4" s="16" customFormat="1" ht="13.7" customHeight="1">
      <c r="A17" s="83" t="s">
        <v>1074</v>
      </c>
      <c r="B17" s="19" t="s">
        <v>23</v>
      </c>
      <c r="C17" s="19"/>
    </row>
    <row r="18" spans="1:4" s="16" customFormat="1" ht="13.7" customHeight="1">
      <c r="A18" s="83" t="s">
        <v>1075</v>
      </c>
      <c r="B18" s="19" t="s">
        <v>25</v>
      </c>
      <c r="C18" s="19"/>
    </row>
    <row r="19" spans="1:4" s="16" customFormat="1" ht="13.7" customHeight="1">
      <c r="A19" s="83" t="s">
        <v>1076</v>
      </c>
      <c r="B19" s="19" t="s">
        <v>27</v>
      </c>
      <c r="C19" s="19"/>
    </row>
    <row r="20" spans="1:4" s="16" customFormat="1" ht="13.7" customHeight="1">
      <c r="A20" s="83" t="s">
        <v>1077</v>
      </c>
      <c r="B20" s="19" t="s">
        <v>29</v>
      </c>
      <c r="C20" s="19"/>
    </row>
    <row r="21" spans="1:4" s="16" customFormat="1" ht="13.7" customHeight="1">
      <c r="A21" s="83" t="s">
        <v>1078</v>
      </c>
      <c r="B21" s="19" t="s">
        <v>31</v>
      </c>
      <c r="C21" s="19"/>
    </row>
    <row r="22" spans="1:4" s="16" customFormat="1" ht="13.7" customHeight="1">
      <c r="A22" s="83" t="s">
        <v>1079</v>
      </c>
      <c r="B22" s="19" t="s">
        <v>33</v>
      </c>
      <c r="C22" s="19"/>
    </row>
    <row r="23" spans="1:4" s="16" customFormat="1" ht="13.7" customHeight="1">
      <c r="A23" s="83" t="s">
        <v>1080</v>
      </c>
      <c r="B23" s="19" t="s">
        <v>35</v>
      </c>
      <c r="C23" s="19"/>
    </row>
    <row r="24" spans="1:4" s="16" customFormat="1" ht="13.7" customHeight="1">
      <c r="A24" s="83" t="s">
        <v>1081</v>
      </c>
      <c r="B24" s="19" t="s">
        <v>37</v>
      </c>
      <c r="C24" s="19"/>
    </row>
    <row r="25" spans="1:4" s="16" customFormat="1" ht="13.7" customHeight="1">
      <c r="A25" s="83" t="s">
        <v>1082</v>
      </c>
      <c r="B25" s="19" t="s">
        <v>39</v>
      </c>
      <c r="C25" s="19"/>
    </row>
    <row r="26" spans="1:4" s="16" customFormat="1" ht="13.7" customHeight="1">
      <c r="A26" s="83" t="s">
        <v>1083</v>
      </c>
      <c r="B26" s="19" t="s">
        <v>41</v>
      </c>
      <c r="C26" s="19"/>
    </row>
    <row r="27" spans="1:4" s="16" customFormat="1" ht="13.7" customHeight="1">
      <c r="A27" s="20"/>
      <c r="B27" s="19"/>
      <c r="C27" s="19"/>
    </row>
    <row r="28" spans="1:4" s="18" customFormat="1" ht="13.7" customHeight="1">
      <c r="A28" s="2" t="s">
        <v>42</v>
      </c>
      <c r="B28" s="4"/>
      <c r="C28" s="4"/>
    </row>
    <row r="29" spans="1:4" s="16" customFormat="1" ht="13.7" customHeight="1"/>
    <row r="30" spans="1:4" s="24" customFormat="1" ht="13.7" customHeight="1">
      <c r="A30" s="24" t="s">
        <v>43</v>
      </c>
      <c r="B30" s="24" t="s">
        <v>44</v>
      </c>
      <c r="C30" s="32" t="s">
        <v>45</v>
      </c>
      <c r="D30" s="24" t="s">
        <v>46</v>
      </c>
    </row>
    <row r="31" spans="1:4" ht="13.7" customHeight="1">
      <c r="A31" s="23" t="s">
        <v>47</v>
      </c>
      <c r="B31" s="123" t="s">
        <v>48</v>
      </c>
      <c r="C31" s="82" t="s">
        <v>16</v>
      </c>
      <c r="D31" s="23" t="s">
        <v>49</v>
      </c>
    </row>
    <row r="32" spans="1:4" ht="13.7" customHeight="1">
      <c r="B32" s="123" t="s">
        <v>50</v>
      </c>
      <c r="C32" s="82" t="s">
        <v>28</v>
      </c>
      <c r="D32" s="23" t="s">
        <v>51</v>
      </c>
    </row>
    <row r="33" spans="1:4" ht="13.7" customHeight="1">
      <c r="B33" s="123" t="s">
        <v>52</v>
      </c>
      <c r="C33" s="83" t="s">
        <v>14</v>
      </c>
      <c r="D33" s="23" t="s">
        <v>53</v>
      </c>
    </row>
    <row r="34" spans="1:4" ht="13.7" customHeight="1">
      <c r="B34" s="123" t="s">
        <v>54</v>
      </c>
      <c r="C34" s="83" t="s">
        <v>14</v>
      </c>
      <c r="D34" s="23" t="s">
        <v>55</v>
      </c>
    </row>
    <row r="35" spans="1:4" ht="13.7" customHeight="1">
      <c r="B35" s="123" t="s">
        <v>56</v>
      </c>
      <c r="C35" s="83" t="s">
        <v>14</v>
      </c>
      <c r="D35" s="23" t="s">
        <v>57</v>
      </c>
    </row>
    <row r="36" spans="1:4" ht="13.7" customHeight="1">
      <c r="B36" s="123" t="s">
        <v>58</v>
      </c>
      <c r="C36" s="83" t="s">
        <v>20</v>
      </c>
      <c r="D36" s="23" t="s">
        <v>59</v>
      </c>
    </row>
    <row r="37" spans="1:4" ht="13.7" customHeight="1">
      <c r="B37" s="123" t="s">
        <v>60</v>
      </c>
      <c r="C37" s="83" t="s">
        <v>18</v>
      </c>
      <c r="D37" s="23" t="s">
        <v>61</v>
      </c>
    </row>
    <row r="38" spans="1:4" ht="13.7" customHeight="1">
      <c r="B38" s="123" t="s">
        <v>62</v>
      </c>
      <c r="C38" s="83" t="s">
        <v>40</v>
      </c>
      <c r="D38" s="23" t="s">
        <v>63</v>
      </c>
    </row>
    <row r="39" spans="1:4" ht="13.7" customHeight="1">
      <c r="B39" s="123" t="s">
        <v>64</v>
      </c>
      <c r="C39" s="83" t="s">
        <v>40</v>
      </c>
      <c r="D39" s="23" t="s">
        <v>65</v>
      </c>
    </row>
    <row r="40" spans="1:4" ht="13.7" customHeight="1">
      <c r="A40" s="23" t="s">
        <v>66</v>
      </c>
      <c r="B40" s="123" t="s">
        <v>67</v>
      </c>
      <c r="C40" s="83" t="s">
        <v>14</v>
      </c>
      <c r="D40" s="23" t="s">
        <v>68</v>
      </c>
    </row>
    <row r="41" spans="1:4" ht="13.7" customHeight="1">
      <c r="B41" s="123" t="s">
        <v>69</v>
      </c>
      <c r="C41" s="83" t="s">
        <v>14</v>
      </c>
      <c r="D41" s="23" t="s">
        <v>70</v>
      </c>
    </row>
    <row r="42" spans="1:4" ht="13.7" customHeight="1">
      <c r="B42" s="123" t="s">
        <v>71</v>
      </c>
      <c r="C42" s="83" t="s">
        <v>14</v>
      </c>
      <c r="D42" s="23" t="s">
        <v>72</v>
      </c>
    </row>
    <row r="43" spans="1:4" ht="13.7" customHeight="1">
      <c r="B43" s="123" t="s">
        <v>73</v>
      </c>
      <c r="C43" s="83" t="s">
        <v>14</v>
      </c>
      <c r="D43" s="23" t="s">
        <v>74</v>
      </c>
    </row>
    <row r="44" spans="1:4" ht="13.7" customHeight="1">
      <c r="B44" s="123" t="s">
        <v>75</v>
      </c>
      <c r="C44" s="82" t="s">
        <v>30</v>
      </c>
      <c r="D44" s="23" t="s">
        <v>76</v>
      </c>
    </row>
    <row r="45" spans="1:4" ht="13.7" customHeight="1">
      <c r="B45" s="123" t="s">
        <v>77</v>
      </c>
      <c r="C45" s="82" t="s">
        <v>30</v>
      </c>
      <c r="D45" s="23" t="s">
        <v>78</v>
      </c>
    </row>
    <row r="46" spans="1:4" ht="13.7" customHeight="1">
      <c r="B46" s="123" t="s">
        <v>79</v>
      </c>
      <c r="C46" s="82" t="s">
        <v>28</v>
      </c>
      <c r="D46" s="23" t="s">
        <v>80</v>
      </c>
    </row>
    <row r="47" spans="1:4" ht="13.7" customHeight="1">
      <c r="B47" s="123" t="s">
        <v>81</v>
      </c>
      <c r="C47" s="82" t="s">
        <v>28</v>
      </c>
      <c r="D47" s="23" t="s">
        <v>82</v>
      </c>
    </row>
    <row r="48" spans="1:4" ht="13.7" customHeight="1">
      <c r="B48" s="123" t="s">
        <v>83</v>
      </c>
      <c r="C48" s="83" t="s">
        <v>14</v>
      </c>
      <c r="D48" s="23" t="s">
        <v>84</v>
      </c>
    </row>
    <row r="49" spans="1:4" ht="13.7" customHeight="1">
      <c r="B49" s="123" t="s">
        <v>85</v>
      </c>
      <c r="C49" s="83" t="s">
        <v>14</v>
      </c>
      <c r="D49" s="23" t="s">
        <v>86</v>
      </c>
    </row>
    <row r="50" spans="1:4" ht="13.7" customHeight="1">
      <c r="A50" s="23" t="s">
        <v>87</v>
      </c>
      <c r="B50" s="123" t="s">
        <v>88</v>
      </c>
      <c r="C50" s="82" t="s">
        <v>26</v>
      </c>
      <c r="D50" s="23" t="s">
        <v>89</v>
      </c>
    </row>
    <row r="51" spans="1:4" ht="13.7" customHeight="1">
      <c r="B51" s="123" t="s">
        <v>90</v>
      </c>
      <c r="C51" s="82" t="s">
        <v>26</v>
      </c>
      <c r="D51" s="23" t="s">
        <v>91</v>
      </c>
    </row>
    <row r="52" spans="1:4" ht="13.7" customHeight="1">
      <c r="B52" s="123" t="s">
        <v>92</v>
      </c>
      <c r="C52" s="82" t="s">
        <v>26</v>
      </c>
      <c r="D52" s="23" t="s">
        <v>93</v>
      </c>
    </row>
    <row r="53" spans="1:4" ht="13.7" customHeight="1">
      <c r="B53" s="123" t="s">
        <v>94</v>
      </c>
      <c r="C53" s="82" t="s">
        <v>26</v>
      </c>
      <c r="D53" s="23" t="s">
        <v>95</v>
      </c>
    </row>
    <row r="54" spans="1:4" ht="13.7" customHeight="1">
      <c r="B54" s="123" t="s">
        <v>96</v>
      </c>
      <c r="C54" s="82" t="s">
        <v>26</v>
      </c>
      <c r="D54" s="23" t="s">
        <v>97</v>
      </c>
    </row>
    <row r="55" spans="1:4" ht="13.7" customHeight="1">
      <c r="B55" s="123" t="s">
        <v>98</v>
      </c>
      <c r="C55" s="82" t="s">
        <v>26</v>
      </c>
      <c r="D55" s="23" t="s">
        <v>99</v>
      </c>
    </row>
    <row r="56" spans="1:4" ht="13.7" customHeight="1">
      <c r="B56" s="123" t="s">
        <v>100</v>
      </c>
      <c r="C56" s="82" t="s">
        <v>26</v>
      </c>
      <c r="D56" s="23" t="s">
        <v>101</v>
      </c>
    </row>
    <row r="57" spans="1:4" ht="13.7" customHeight="1">
      <c r="B57" s="123" t="s">
        <v>102</v>
      </c>
      <c r="C57" s="82" t="s">
        <v>26</v>
      </c>
      <c r="D57" s="23" t="s">
        <v>103</v>
      </c>
    </row>
    <row r="58" spans="1:4" ht="13.7" customHeight="1">
      <c r="B58" s="123" t="s">
        <v>104</v>
      </c>
      <c r="C58" s="82" t="s">
        <v>26</v>
      </c>
      <c r="D58" s="23" t="s">
        <v>105</v>
      </c>
    </row>
    <row r="59" spans="1:4" ht="13.7" customHeight="1">
      <c r="B59" s="123" t="s">
        <v>106</v>
      </c>
      <c r="C59" s="82" t="s">
        <v>26</v>
      </c>
      <c r="D59" s="23" t="s">
        <v>107</v>
      </c>
    </row>
    <row r="60" spans="1:4" ht="13.7" customHeight="1">
      <c r="B60" s="123" t="s">
        <v>108</v>
      </c>
      <c r="C60" s="82" t="s">
        <v>26</v>
      </c>
      <c r="D60" s="23" t="s">
        <v>109</v>
      </c>
    </row>
    <row r="61" spans="1:4" ht="13.7" customHeight="1">
      <c r="B61" s="123" t="s">
        <v>110</v>
      </c>
      <c r="C61" s="82" t="s">
        <v>26</v>
      </c>
      <c r="D61" s="23" t="s">
        <v>111</v>
      </c>
    </row>
    <row r="62" spans="1:4" ht="13.7" customHeight="1">
      <c r="B62" s="123" t="s">
        <v>112</v>
      </c>
      <c r="C62" s="82" t="s">
        <v>26</v>
      </c>
      <c r="D62" s="23" t="s">
        <v>113</v>
      </c>
    </row>
    <row r="63" spans="1:4" ht="13.7" customHeight="1">
      <c r="B63" s="123" t="s">
        <v>114</v>
      </c>
      <c r="C63" s="82" t="s">
        <v>26</v>
      </c>
      <c r="D63" s="23" t="s">
        <v>115</v>
      </c>
    </row>
    <row r="64" spans="1:4" ht="13.7" customHeight="1">
      <c r="B64" s="123" t="s">
        <v>116</v>
      </c>
      <c r="C64" s="82" t="s">
        <v>26</v>
      </c>
      <c r="D64" s="23" t="s">
        <v>117</v>
      </c>
    </row>
    <row r="65" spans="1:4" ht="13.7" customHeight="1">
      <c r="B65" s="123" t="s">
        <v>118</v>
      </c>
      <c r="C65" s="82" t="s">
        <v>26</v>
      </c>
      <c r="D65" s="23" t="s">
        <v>119</v>
      </c>
    </row>
    <row r="66" spans="1:4" ht="13.7" customHeight="1">
      <c r="B66" s="123" t="s">
        <v>120</v>
      </c>
      <c r="C66" s="82" t="s">
        <v>26</v>
      </c>
      <c r="D66" s="23" t="s">
        <v>121</v>
      </c>
    </row>
    <row r="67" spans="1:4" ht="13.7" customHeight="1">
      <c r="B67" s="123" t="s">
        <v>122</v>
      </c>
      <c r="C67" s="82" t="s">
        <v>26</v>
      </c>
      <c r="D67" s="23" t="s">
        <v>123</v>
      </c>
    </row>
    <row r="68" spans="1:4" ht="13.7" customHeight="1">
      <c r="B68" s="123" t="s">
        <v>124</v>
      </c>
      <c r="C68" s="82" t="s">
        <v>26</v>
      </c>
      <c r="D68" s="23" t="s">
        <v>125</v>
      </c>
    </row>
    <row r="69" spans="1:4" ht="13.7" customHeight="1">
      <c r="B69" s="123" t="s">
        <v>126</v>
      </c>
      <c r="C69" s="82" t="s">
        <v>24</v>
      </c>
      <c r="D69" s="23" t="s">
        <v>127</v>
      </c>
    </row>
    <row r="70" spans="1:4" ht="13.7" customHeight="1">
      <c r="B70" s="123" t="s">
        <v>128</v>
      </c>
      <c r="C70" s="82" t="s">
        <v>26</v>
      </c>
      <c r="D70" s="23" t="s">
        <v>129</v>
      </c>
    </row>
    <row r="71" spans="1:4" ht="13.7" customHeight="1">
      <c r="B71" s="123" t="s">
        <v>130</v>
      </c>
      <c r="C71" s="82" t="s">
        <v>26</v>
      </c>
      <c r="D71" s="23" t="s">
        <v>131</v>
      </c>
    </row>
    <row r="72" spans="1:4" ht="13.7" customHeight="1">
      <c r="B72" s="123" t="s">
        <v>132</v>
      </c>
      <c r="C72" s="82" t="s">
        <v>26</v>
      </c>
      <c r="D72" s="23" t="s">
        <v>133</v>
      </c>
    </row>
    <row r="73" spans="1:4" ht="13.7" customHeight="1">
      <c r="B73" s="123" t="s">
        <v>134</v>
      </c>
      <c r="C73" s="82" t="s">
        <v>26</v>
      </c>
      <c r="D73" s="23" t="s">
        <v>135</v>
      </c>
    </row>
    <row r="74" spans="1:4" ht="13.7" customHeight="1">
      <c r="B74" s="123" t="s">
        <v>136</v>
      </c>
      <c r="C74" s="82" t="s">
        <v>26</v>
      </c>
      <c r="D74" s="23" t="s">
        <v>137</v>
      </c>
    </row>
    <row r="75" spans="1:4" ht="13.7" customHeight="1">
      <c r="B75" s="123" t="s">
        <v>138</v>
      </c>
      <c r="C75" s="82" t="s">
        <v>26</v>
      </c>
      <c r="D75" s="23" t="s">
        <v>139</v>
      </c>
    </row>
    <row r="76" spans="1:4" ht="13.7" customHeight="1">
      <c r="B76" s="123" t="s">
        <v>140</v>
      </c>
      <c r="C76" s="82" t="s">
        <v>26</v>
      </c>
      <c r="D76" s="23" t="s">
        <v>141</v>
      </c>
    </row>
    <row r="77" spans="1:4" ht="13.7" customHeight="1">
      <c r="B77" s="123" t="s">
        <v>142</v>
      </c>
      <c r="C77" s="82" t="s">
        <v>26</v>
      </c>
      <c r="D77" s="23" t="s">
        <v>143</v>
      </c>
    </row>
    <row r="78" spans="1:4" ht="13.7" customHeight="1">
      <c r="A78" s="23" t="s">
        <v>144</v>
      </c>
      <c r="B78" s="123" t="s">
        <v>145</v>
      </c>
      <c r="C78" s="83" t="s">
        <v>14</v>
      </c>
      <c r="D78" s="23" t="s">
        <v>146</v>
      </c>
    </row>
    <row r="79" spans="1:4" ht="13.7" customHeight="1">
      <c r="B79" s="123" t="s">
        <v>147</v>
      </c>
      <c r="C79" s="82" t="s">
        <v>30</v>
      </c>
      <c r="D79" s="23" t="s">
        <v>148</v>
      </c>
    </row>
    <row r="80" spans="1:4" ht="13.7" customHeight="1">
      <c r="B80" s="123" t="s">
        <v>149</v>
      </c>
      <c r="C80" s="82" t="s">
        <v>30</v>
      </c>
      <c r="D80" s="23" t="s">
        <v>150</v>
      </c>
    </row>
    <row r="81" spans="2:4" ht="13.7" customHeight="1">
      <c r="B81" s="123" t="s">
        <v>151</v>
      </c>
      <c r="C81" s="82" t="s">
        <v>30</v>
      </c>
      <c r="D81" s="23" t="s">
        <v>152</v>
      </c>
    </row>
    <row r="82" spans="2:4" ht="13.7" customHeight="1">
      <c r="B82" s="123" t="s">
        <v>153</v>
      </c>
      <c r="C82" s="82" t="s">
        <v>30</v>
      </c>
      <c r="D82" s="23" t="s">
        <v>154</v>
      </c>
    </row>
    <row r="83" spans="2:4" ht="13.7" customHeight="1">
      <c r="B83" s="123" t="s">
        <v>155</v>
      </c>
      <c r="C83" s="82" t="s">
        <v>28</v>
      </c>
      <c r="D83" s="23" t="s">
        <v>156</v>
      </c>
    </row>
    <row r="84" spans="2:4" ht="13.7" customHeight="1">
      <c r="B84" s="123" t="s">
        <v>157</v>
      </c>
      <c r="C84" s="82" t="s">
        <v>28</v>
      </c>
      <c r="D84" s="23" t="s">
        <v>158</v>
      </c>
    </row>
    <row r="85" spans="2:4" ht="13.7" customHeight="1">
      <c r="B85" s="123" t="s">
        <v>159</v>
      </c>
      <c r="C85" s="82" t="s">
        <v>28</v>
      </c>
      <c r="D85" s="23" t="s">
        <v>160</v>
      </c>
    </row>
    <row r="86" spans="2:4" ht="13.7" customHeight="1">
      <c r="B86" s="123" t="s">
        <v>161</v>
      </c>
      <c r="C86" s="82" t="s">
        <v>28</v>
      </c>
      <c r="D86" s="23" t="s">
        <v>162</v>
      </c>
    </row>
    <row r="87" spans="2:4" ht="13.7" customHeight="1">
      <c r="B87" s="123" t="s">
        <v>163</v>
      </c>
      <c r="C87" s="82" t="s">
        <v>22</v>
      </c>
      <c r="D87" s="23" t="s">
        <v>164</v>
      </c>
    </row>
    <row r="88" spans="2:4" ht="13.7" customHeight="1">
      <c r="B88" s="123" t="s">
        <v>165</v>
      </c>
      <c r="C88" s="82" t="s">
        <v>16</v>
      </c>
      <c r="D88" s="23" t="s">
        <v>166</v>
      </c>
    </row>
    <row r="89" spans="2:4" ht="13.7" customHeight="1">
      <c r="B89" s="123" t="s">
        <v>167</v>
      </c>
      <c r="C89" s="82" t="s">
        <v>24</v>
      </c>
      <c r="D89" s="23" t="s">
        <v>168</v>
      </c>
    </row>
    <row r="90" spans="2:4" ht="13.7" customHeight="1">
      <c r="B90" s="123" t="s">
        <v>169</v>
      </c>
      <c r="C90" s="82" t="s">
        <v>16</v>
      </c>
      <c r="D90" s="23" t="s">
        <v>170</v>
      </c>
    </row>
    <row r="91" spans="2:4" ht="13.7" customHeight="1">
      <c r="B91" s="123" t="s">
        <v>171</v>
      </c>
      <c r="C91" s="82" t="s">
        <v>16</v>
      </c>
      <c r="D91" s="23" t="s">
        <v>172</v>
      </c>
    </row>
    <row r="92" spans="2:4" ht="13.7" customHeight="1">
      <c r="B92" s="123" t="s">
        <v>173</v>
      </c>
      <c r="C92" s="83" t="s">
        <v>14</v>
      </c>
      <c r="D92" s="23" t="s">
        <v>174</v>
      </c>
    </row>
    <row r="93" spans="2:4" ht="13.7" customHeight="1">
      <c r="B93" s="123" t="s">
        <v>175</v>
      </c>
      <c r="C93" s="82" t="s">
        <v>30</v>
      </c>
      <c r="D93" s="23" t="s">
        <v>176</v>
      </c>
    </row>
    <row r="94" spans="2:4" ht="13.7" customHeight="1">
      <c r="B94" s="123" t="s">
        <v>177</v>
      </c>
      <c r="C94" s="82" t="s">
        <v>30</v>
      </c>
      <c r="D94" s="23" t="s">
        <v>178</v>
      </c>
    </row>
    <row r="95" spans="2:4" ht="13.7" customHeight="1">
      <c r="B95" s="123" t="s">
        <v>179</v>
      </c>
      <c r="C95" s="82" t="s">
        <v>30</v>
      </c>
      <c r="D95" s="23" t="s">
        <v>180</v>
      </c>
    </row>
    <row r="96" spans="2:4" ht="13.7" customHeight="1">
      <c r="B96" s="123" t="s">
        <v>181</v>
      </c>
      <c r="C96" s="82" t="s">
        <v>30</v>
      </c>
      <c r="D96" s="23" t="s">
        <v>182</v>
      </c>
    </row>
    <row r="97" spans="2:4" ht="13.7" customHeight="1">
      <c r="B97" s="123" t="s">
        <v>183</v>
      </c>
      <c r="C97" s="82" t="s">
        <v>28</v>
      </c>
      <c r="D97" s="23" t="s">
        <v>184</v>
      </c>
    </row>
    <row r="98" spans="2:4" ht="13.7" customHeight="1">
      <c r="B98" s="123" t="s">
        <v>185</v>
      </c>
      <c r="C98" s="82" t="s">
        <v>28</v>
      </c>
      <c r="D98" s="23" t="s">
        <v>186</v>
      </c>
    </row>
    <row r="99" spans="2:4" ht="13.7" customHeight="1">
      <c r="B99" s="123" t="s">
        <v>187</v>
      </c>
      <c r="C99" s="82" t="s">
        <v>28</v>
      </c>
      <c r="D99" s="23" t="s">
        <v>188</v>
      </c>
    </row>
    <row r="100" spans="2:4" ht="13.7" customHeight="1">
      <c r="B100" s="123" t="s">
        <v>189</v>
      </c>
      <c r="C100" s="82" t="s">
        <v>28</v>
      </c>
      <c r="D100" s="23" t="s">
        <v>190</v>
      </c>
    </row>
    <row r="101" spans="2:4" ht="13.7" customHeight="1">
      <c r="B101" s="123" t="s">
        <v>191</v>
      </c>
      <c r="C101" s="83" t="s">
        <v>14</v>
      </c>
      <c r="D101" s="23" t="s">
        <v>192</v>
      </c>
    </row>
    <row r="102" spans="2:4" ht="13.7" customHeight="1">
      <c r="B102" s="123" t="s">
        <v>193</v>
      </c>
      <c r="C102" s="83" t="s">
        <v>14</v>
      </c>
      <c r="D102" s="23" t="s">
        <v>194</v>
      </c>
    </row>
    <row r="103" spans="2:4" ht="13.7" customHeight="1">
      <c r="B103" s="123" t="s">
        <v>195</v>
      </c>
      <c r="C103" s="83" t="s">
        <v>14</v>
      </c>
      <c r="D103" s="23" t="s">
        <v>196</v>
      </c>
    </row>
    <row r="104" spans="2:4" ht="13.7" customHeight="1">
      <c r="B104" s="123" t="s">
        <v>197</v>
      </c>
      <c r="C104" s="83" t="s">
        <v>14</v>
      </c>
      <c r="D104" s="23" t="s">
        <v>198</v>
      </c>
    </row>
    <row r="105" spans="2:4" ht="13.7" customHeight="1">
      <c r="B105" s="123" t="s">
        <v>199</v>
      </c>
      <c r="C105" s="82" t="s">
        <v>30</v>
      </c>
      <c r="D105" s="23" t="s">
        <v>200</v>
      </c>
    </row>
    <row r="106" spans="2:4" ht="13.7" customHeight="1">
      <c r="B106" s="123" t="s">
        <v>201</v>
      </c>
      <c r="C106" s="82" t="s">
        <v>30</v>
      </c>
      <c r="D106" s="23" t="s">
        <v>202</v>
      </c>
    </row>
    <row r="107" spans="2:4" ht="13.7" customHeight="1">
      <c r="B107" s="123" t="s">
        <v>203</v>
      </c>
      <c r="C107" s="82" t="s">
        <v>28</v>
      </c>
      <c r="D107" s="23" t="s">
        <v>204</v>
      </c>
    </row>
    <row r="108" spans="2:4" s="16" customFormat="1" ht="13.7" customHeight="1">
      <c r="B108" s="123" t="s">
        <v>205</v>
      </c>
      <c r="C108" s="82" t="s">
        <v>28</v>
      </c>
      <c r="D108" s="23" t="s">
        <v>206</v>
      </c>
    </row>
    <row r="109" spans="2:4" s="16" customFormat="1" ht="13.7" customHeight="1">
      <c r="B109" s="123" t="s">
        <v>207</v>
      </c>
      <c r="C109" s="83" t="s">
        <v>20</v>
      </c>
      <c r="D109" s="23" t="s">
        <v>208</v>
      </c>
    </row>
    <row r="110" spans="2:4" s="16" customFormat="1" ht="13.7" customHeight="1">
      <c r="B110" s="123" t="s">
        <v>209</v>
      </c>
      <c r="C110" s="83" t="s">
        <v>18</v>
      </c>
      <c r="D110" s="23" t="s">
        <v>210</v>
      </c>
    </row>
    <row r="111" spans="2:4" s="16" customFormat="1" ht="13.7" customHeight="1">
      <c r="B111" s="123" t="s">
        <v>211</v>
      </c>
      <c r="C111" s="83" t="s">
        <v>20</v>
      </c>
      <c r="D111" s="23" t="s">
        <v>212</v>
      </c>
    </row>
    <row r="112" spans="2:4" s="16" customFormat="1" ht="13.7" customHeight="1">
      <c r="B112" s="123" t="s">
        <v>213</v>
      </c>
      <c r="C112" s="83" t="s">
        <v>18</v>
      </c>
      <c r="D112" s="23" t="s">
        <v>214</v>
      </c>
    </row>
    <row r="113" spans="1:4" s="16" customFormat="1" ht="13.7" customHeight="1">
      <c r="B113" s="123" t="s">
        <v>215</v>
      </c>
      <c r="C113" s="83" t="s">
        <v>20</v>
      </c>
      <c r="D113" s="23" t="s">
        <v>216</v>
      </c>
    </row>
    <row r="114" spans="1:4" s="16" customFormat="1" ht="13.7" customHeight="1">
      <c r="B114" s="123" t="s">
        <v>217</v>
      </c>
      <c r="C114" s="83" t="s">
        <v>18</v>
      </c>
      <c r="D114" s="23" t="s">
        <v>218</v>
      </c>
    </row>
    <row r="115" spans="1:4" ht="13.7" customHeight="1">
      <c r="B115" s="123" t="s">
        <v>219</v>
      </c>
      <c r="C115" s="83" t="s">
        <v>14</v>
      </c>
      <c r="D115" s="23" t="s">
        <v>220</v>
      </c>
    </row>
    <row r="116" spans="1:4" ht="13.7" customHeight="1">
      <c r="B116" s="123" t="s">
        <v>221</v>
      </c>
      <c r="C116" s="83" t="s">
        <v>14</v>
      </c>
      <c r="D116" s="23" t="s">
        <v>222</v>
      </c>
    </row>
    <row r="117" spans="1:4" ht="13.7" customHeight="1">
      <c r="B117" s="123" t="s">
        <v>223</v>
      </c>
      <c r="C117" s="83" t="s">
        <v>40</v>
      </c>
      <c r="D117" s="23" t="s">
        <v>224</v>
      </c>
    </row>
    <row r="118" spans="1:4" ht="13.7" customHeight="1">
      <c r="B118" s="123" t="s">
        <v>225</v>
      </c>
      <c r="C118" s="83" t="s">
        <v>40</v>
      </c>
      <c r="D118" s="23" t="s">
        <v>226</v>
      </c>
    </row>
    <row r="120" spans="1:4" s="122" customFormat="1" ht="13.7" customHeight="1">
      <c r="A120" s="2" t="s">
        <v>227</v>
      </c>
      <c r="B120" s="4"/>
      <c r="C120" s="4"/>
    </row>
    <row r="122" spans="1:4" ht="13.7" customHeight="1">
      <c r="B122"/>
    </row>
    <row r="123" spans="1:4" ht="13.7" customHeight="1">
      <c r="B123" s="83"/>
      <c r="C123" s="158"/>
    </row>
    <row r="124" spans="1:4" ht="13.7" customHeight="1">
      <c r="B124" s="83"/>
      <c r="C124" s="158"/>
    </row>
    <row r="125" spans="1:4" ht="13.7" customHeight="1">
      <c r="B125" s="83"/>
      <c r="C125" s="158"/>
    </row>
    <row r="126" spans="1:4" ht="13.7" customHeight="1">
      <c r="B126" s="83"/>
      <c r="C126" s="158"/>
    </row>
    <row r="127" spans="1:4" ht="13.7" customHeight="1">
      <c r="B127" s="83"/>
      <c r="C127" s="158"/>
    </row>
    <row r="128" spans="1:4" ht="13.7" customHeight="1">
      <c r="B128" s="83"/>
      <c r="C128" s="158"/>
    </row>
    <row r="129" spans="2:3" ht="13.7" customHeight="1">
      <c r="B129" s="83"/>
      <c r="C129" s="158"/>
    </row>
    <row r="130" spans="2:3" ht="13.7" customHeight="1">
      <c r="B130" s="83"/>
      <c r="C130" s="158"/>
    </row>
    <row r="131" spans="2:3" ht="13.7" customHeight="1">
      <c r="B131" s="83"/>
      <c r="C131" s="158"/>
    </row>
    <row r="132" spans="2:3" ht="13.7" customHeight="1">
      <c r="B132" s="83"/>
      <c r="C132" s="158"/>
    </row>
    <row r="133" spans="2:3" ht="13.7" customHeight="1">
      <c r="B133" s="83"/>
      <c r="C133" s="158"/>
    </row>
    <row r="134" spans="2:3" ht="13.7" customHeight="1">
      <c r="B134" s="83"/>
      <c r="C134" s="158"/>
    </row>
    <row r="135" spans="2:3" ht="13.7" customHeight="1">
      <c r="B135" s="83"/>
      <c r="C135" s="158"/>
    </row>
    <row r="136" spans="2:3" ht="13.7" customHeight="1">
      <c r="B136" s="83"/>
      <c r="C136" s="158"/>
    </row>
  </sheetData>
  <hyperlinks>
    <hyperlink ref="B31" location="Header_Table_Data_EBRIN" display="Header_Table_Data_EBRIN" xr:uid="{00000000-0004-0000-0000-00000D000000}"/>
    <hyperlink ref="B32" location="Header_Table_Econometrics" display="Header_Table_Econometrics" xr:uid="{00000000-0004-0000-0000-00000E000000}"/>
    <hyperlink ref="B33" location="Header_Table_Inflators_December_to_December" display="Header_Table_Inflators_December_to_December" xr:uid="{00000000-0004-0000-0000-00000F000000}"/>
    <hyperlink ref="B34" location="Header_Table_Inflators_June_to_June" display="Header_Table_Inflators_June_to_June" xr:uid="{00000000-0004-0000-0000-000010000000}"/>
    <hyperlink ref="B35" location="Header_Table_Inflators_per_base_year" display="Header_Table_Inflators_per_base_year" xr:uid="{00000000-0004-0000-0000-000011000000}"/>
    <hyperlink ref="B38" location="Header_Table_Summary_long" display="Header_Table_Summary_long" xr:uid="{00000000-0004-0000-0000-000012000000}"/>
    <hyperlink ref="B39" location="Header_Table_Summary_short" display="Header_Table_Summary_short" xr:uid="{00000000-0004-0000-0000-000013000000}"/>
    <hyperlink ref="B40" location="List_Apply_fixed_growth_rate" display="List_Apply_fixed_growth_rate" xr:uid="{00000000-0004-0000-0000-000014000000}"/>
    <hyperlink ref="B41" location="List_DNSP" display="List_DNSP" xr:uid="{00000000-0004-0000-0000-000015000000}"/>
    <hyperlink ref="B43" location="List_Inflation_method" display="List_Inflation_method" xr:uid="{00000000-0004-0000-0000-000016000000}"/>
    <hyperlink ref="B49" location="List_Scenario" display="List_Scenario" xr:uid="{00000000-0004-0000-0000-000017000000}"/>
    <hyperlink ref="B50" location="Parameter_Apply_fixed_growth_rate" display="Parameter_Apply_fixed_growth rate" xr:uid="{00000000-0004-0000-0000-000018000000}"/>
    <hyperlink ref="B51" location="Parameter_Base_year" display="Parameter_Base_year" xr:uid="{00000000-0004-0000-0000-000019000000}"/>
    <hyperlink ref="B52" location="Parameter_Base_year_manual_override" display="Parameter_Base_year_manual_override" xr:uid="{00000000-0004-0000-0000-00001A000000}"/>
    <hyperlink ref="B53" location="Parameter_DNSP" display="Parameter_DNSP" xr:uid="{00000000-0004-0000-0000-00001B000000}"/>
    <hyperlink ref="B54" location="Parameter_Efficiency_target" display="Parameter_Efficiency_target" xr:uid="{00000000-0004-0000-0000-00001C000000}"/>
    <hyperlink ref="B56" location="Parameter_Inflator" display="Parameter_Inflator" xr:uid="{00000000-0004-0000-0000-00001D000000}"/>
    <hyperlink ref="B69" location="Parameter_Opex_forecast_error" display="Parameter_Opex_forecast_error" xr:uid="{00000000-0004-0000-0000-00001E000000}"/>
    <hyperlink ref="B70" location="Parameter_Period_end" display="Parameter_Period_end" xr:uid="{00000000-0004-0000-0000-00001F000000}"/>
    <hyperlink ref="B71" location="Parameter_Period_start_long" display="Parameter_Period_start_long" xr:uid="{00000000-0004-0000-0000-000020000000}"/>
    <hyperlink ref="B72" location="Parameter_Period_start_short" display="Parameter_Period_start_short" xr:uid="{00000000-0004-0000-0000-000021000000}"/>
    <hyperlink ref="B77" location="Parameter_Regulatory_year_basis" display="Parameter_Regulatory_year_basis" xr:uid="{00000000-0004-0000-0000-000022000000}"/>
    <hyperlink ref="B73" location="Parameter_Results_dollar_basis" display="Parameter_Results_dollar_basis" xr:uid="{00000000-0004-0000-0000-000023000000}"/>
    <hyperlink ref="B74" location="Parameter_Scenario" display="Parameter_Scenario" xr:uid="{00000000-0004-0000-0000-000024000000}"/>
    <hyperlink ref="B75" location="Parameter_Scenario_number" display="Parameter_Scenario_number" xr:uid="{00000000-0004-0000-0000-000025000000}"/>
    <hyperlink ref="B76" location="Parameter_Technology_growth_rate" display="Parameter_Technology_growth_rate" xr:uid="{00000000-0004-0000-0000-000026000000}"/>
    <hyperlink ref="B78" location="Table_Base_year_default" display="Table_Base_year_default" xr:uid="{00000000-0004-0000-0000-000027000000}"/>
    <hyperlink ref="B79" location="Table_Coefficients_long_LSECD" display="Table_Coefficients_long_LSECD" xr:uid="{00000000-0004-0000-0000-000028000000}"/>
    <hyperlink ref="B80" location="Table_Coefficients_long_LSETLG" display="Table_Coefficients_long_LSETLG" xr:uid="{00000000-0004-0000-0000-000029000000}"/>
    <hyperlink ref="B81" location="Table_Coefficients_long_SFACD" display="Table_Coefficients_long_SFACD" xr:uid="{00000000-0004-0000-0000-00002A000000}"/>
    <hyperlink ref="B82" location="Table_Coefficients_long_SFATLG" display="Table_Coefficients_long_SFATLG" xr:uid="{00000000-0004-0000-0000-00002B000000}"/>
    <hyperlink ref="B83" location="Table_Coefficients_short_LSECD" display="Table_Coefficients_short_LSECD" xr:uid="{00000000-0004-0000-0000-00002C000000}"/>
    <hyperlink ref="B84" location="Table_Coefficients_short_LSETLG" display="Table_Coefficients_short_LSETLG" xr:uid="{00000000-0004-0000-0000-00002D000000}"/>
    <hyperlink ref="B85" location="Table_Coefficients_short_SFACD" display="Table_Coefficients_short_SFACD" xr:uid="{00000000-0004-0000-0000-00002E000000}"/>
    <hyperlink ref="B86" location="Table_Coefficients_short_SFATLG" display="Table_Coefficients_short_SFATLG" xr:uid="{00000000-0004-0000-0000-00002F000000}"/>
    <hyperlink ref="B87" location="Table_Data_All_groups_CPI_Australia" display="Table_Data_All_groups_CPI_Australia" xr:uid="{00000000-0004-0000-0000-000030000000}"/>
    <hyperlink ref="B88" location="Table_Data_EBRIN" display="Table_Data_EBRIN" xr:uid="{00000000-0004-0000-0000-000031000000}"/>
    <hyperlink ref="B90" location="Table_Data_opex_alternative" display="Table_Data_opex_alternative" xr:uid="{00000000-0004-0000-0000-000032000000}"/>
    <hyperlink ref="B89" location="Table_Data_forecast" display="Table_Data_forecast" xr:uid="{00000000-0004-0000-0000-000033000000}"/>
    <hyperlink ref="B91" location="Table_Data_opex_selected" display="Table_Data_opex_selected" xr:uid="{00000000-0004-0000-0000-000034000000}"/>
    <hyperlink ref="B92" location="Table_DNSP" display="Table_DNSP" xr:uid="{00000000-0004-0000-0000-000035000000}"/>
    <hyperlink ref="B93" location="Table_Efficiency_scores_long_LSECD" display="Table_Efficiency_scores_long_LSECD" xr:uid="{00000000-0004-0000-0000-000036000000}"/>
    <hyperlink ref="B94" location="Table_Efficiency_scores_long_LSETLG" display="Table_Efficiency_scores_long_LSETLG" xr:uid="{00000000-0004-0000-0000-000037000000}"/>
    <hyperlink ref="B95" location="Table_Efficiency_scores_long_SFACD" display="Table_Efficiency_scores_long_SFACD" xr:uid="{00000000-0004-0000-0000-000038000000}"/>
    <hyperlink ref="B96" location="Table_Efficiency_scores_long_SFATLG" display="Table_Efficiency_scores_long_SFATLG" xr:uid="{00000000-0004-0000-0000-000039000000}"/>
    <hyperlink ref="B97" location="Table_Efficiency_scores_short_LSECD" display="Table_Efficiency_scores_short_LSECD" xr:uid="{00000000-0004-0000-0000-00003A000000}"/>
    <hyperlink ref="B98" location="Table_Efficiency_scores_long_LSETLG" display="Table_Efficiency_scores_short_LSETLG" xr:uid="{00000000-0004-0000-0000-00003B000000}"/>
    <hyperlink ref="B99" location="Table_Efficiency_scores_short_SFACD" display="Table_Efficiency_scores_short_SFACD" xr:uid="{00000000-0004-0000-0000-00003C000000}"/>
    <hyperlink ref="B100" location="Table_Efficiency_scores_short_SFATLG" display="Table_Efficiency_scores_short_SFATLG" xr:uid="{00000000-0004-0000-0000-00003D000000}"/>
    <hyperlink ref="B101" location="Table_Inflators_December_to_December" display="Table_Inflators_December_to_December" xr:uid="{00000000-0004-0000-0000-00003E000000}"/>
    <hyperlink ref="B102" location="Table_Inflators_June_to_June" display="Table_Inflators_June_to_June" xr:uid="{00000000-0004-0000-0000-00003F000000}"/>
    <hyperlink ref="B103" location="Table_Inflators_per_base_year" display="Table_Inflators_per_base_year" xr:uid="{00000000-0004-0000-0000-000040000000}"/>
    <hyperlink ref="B104" location="Table_Inflators_per_base_year_AER_Opex_Model" display="Table_Inflators_per_base_year_AER_Opex_Model" xr:uid="{00000000-0004-0000-0000-000041000000}"/>
    <hyperlink ref="B105" location="Table_Monotonicity_violations_long_LSETLG" display="Table_Monotonicity_violations_long_LSETLG" xr:uid="{00000000-0004-0000-0000-000042000000}"/>
    <hyperlink ref="B106" location="Table_Monotonicity_violations_long_SFATLG" display="Table_Monotonicity_violations_long_SFATLG" xr:uid="{00000000-0004-0000-0000-000043000000}"/>
    <hyperlink ref="B107" location="Table_Monotonicity_violations_short_LSETLG" display="Table_Monotonicity_violations_short_LSETLG" xr:uid="{00000000-0004-0000-0000-000044000000}"/>
    <hyperlink ref="B108" location="Table_Monotonicity_violations_short_SFATLG" display="Table_Monotonicity_violations_short_SFATLG" xr:uid="{00000000-0004-0000-0000-000045000000}"/>
    <hyperlink ref="B115" location="Table_Regulatory_year_basis" display="Table_Regulatory_year_basis" xr:uid="{00000000-0004-0000-0000-000046000000}"/>
    <hyperlink ref="B116" location="Table_Scenario_number" display="Table_Scenario_number" xr:uid="{00000000-0004-0000-0000-000047000000}"/>
    <hyperlink ref="B117" location="Table_Summary_long" display="Table_Summary_long" xr:uid="{00000000-0004-0000-0000-000048000000}"/>
    <hyperlink ref="B118" location="Table_Summary_short" display="Table_Summary_short" xr:uid="{00000000-0004-0000-0000-000049000000}"/>
    <hyperlink ref="C31" location="'Data|EBRIN'!A1" display="Data | EBRIN" xr:uid="{00000000-0004-0000-0000-00004A000000}"/>
    <hyperlink ref="C32" location="'Input|Econometrics - Short'!A1" display="Input | Econometrics - Short" xr:uid="{00000000-0004-0000-0000-00004B000000}"/>
    <hyperlink ref="C33" location="'Lookup tables'!A1" display="Lookup tables" xr:uid="{00000000-0004-0000-0000-00004C000000}"/>
    <hyperlink ref="C34" location="'Lookup tables'!A1" display="Lookup tables" xr:uid="{00000000-0004-0000-0000-00004D000000}"/>
    <hyperlink ref="C35" location="'Lookup tables'!A1" display="Lookup tables" xr:uid="{00000000-0004-0000-0000-00004E000000}"/>
    <hyperlink ref="C38" location="'Output|Summary'!A1" display="Output | Summary" xr:uid="{00000000-0004-0000-0000-00004F000000}"/>
    <hyperlink ref="C39" location="'Output|Summary'!A1" display="Output | Summary" xr:uid="{00000000-0004-0000-0000-000050000000}"/>
    <hyperlink ref="C40" location="'Lookup tables'!A1" display="Lookup tables" xr:uid="{00000000-0004-0000-0000-000051000000}"/>
    <hyperlink ref="C41" location="'Lookup tables'!A1" display="Lookup tables" xr:uid="{00000000-0004-0000-0000-000052000000}"/>
    <hyperlink ref="C43" location="'Lookup tables'!A1" display="Lookup tables" xr:uid="{00000000-0004-0000-0000-000053000000}"/>
    <hyperlink ref="C49" location="'Lookup tables'!A1" display="Lookup tables" xr:uid="{00000000-0004-0000-0000-000054000000}"/>
    <hyperlink ref="C50" location="'Input|Parameters'!A1" display="Input | Parameters" xr:uid="{00000000-0004-0000-0000-000055000000}"/>
    <hyperlink ref="C51" location="'Input|Parameters'!A1" display="Input | Parameters" xr:uid="{00000000-0004-0000-0000-000056000000}"/>
    <hyperlink ref="C52" location="'Input|Parameters'!A1" display="Input | Parameters" xr:uid="{00000000-0004-0000-0000-000057000000}"/>
    <hyperlink ref="C53" location="'Input|Parameters'!A1" display="Input | Parameters" xr:uid="{00000000-0004-0000-0000-000058000000}"/>
    <hyperlink ref="C54" location="'Input|Parameters'!A1" display="Input | Parameters" xr:uid="{00000000-0004-0000-0000-000059000000}"/>
    <hyperlink ref="C56" location="'Input|Parameters'!A1" display="Input | Parameters" xr:uid="{00000000-0004-0000-0000-00005A000000}"/>
    <hyperlink ref="C70" location="'Input|Parameters'!A1" display="Input | Parameters" xr:uid="{00000000-0004-0000-0000-00005B000000}"/>
    <hyperlink ref="C71" location="'Input|Parameters'!A1" display="Input | Parameters" xr:uid="{00000000-0004-0000-0000-00005C000000}"/>
    <hyperlink ref="C72" location="'Input|Parameters'!A1" display="Input | Parameters" xr:uid="{00000000-0004-0000-0000-00005D000000}"/>
    <hyperlink ref="C77" location="'Input|Parameters'!A1" display="Input | Parameters" xr:uid="{00000000-0004-0000-0000-00005E000000}"/>
    <hyperlink ref="C73" location="'Input|Parameters'!A1" display="Input | Parameters" xr:uid="{00000000-0004-0000-0000-00005F000000}"/>
    <hyperlink ref="C74" location="'Input|Parameters'!A1" display="Input | Parameters" xr:uid="{00000000-0004-0000-0000-000060000000}"/>
    <hyperlink ref="C75" location="'Input|Parameters'!A1" display="Input | Parameters" xr:uid="{00000000-0004-0000-0000-000061000000}"/>
    <hyperlink ref="C76" location="'Input|Parameters'!A1" display="Input | Parameters" xr:uid="{00000000-0004-0000-0000-000062000000}"/>
    <hyperlink ref="C78" location="'Lookup tables'!A1" display="Lookup tables" xr:uid="{00000000-0004-0000-0000-000063000000}"/>
    <hyperlink ref="C79" location="'Input|Econometrics - Long'!A1" display="Input | Econometrics - Long" xr:uid="{00000000-0004-0000-0000-000064000000}"/>
    <hyperlink ref="C80" location="'Input|Econometrics - Long'!A1" display="Input | Econometrics - Long" xr:uid="{00000000-0004-0000-0000-000065000000}"/>
    <hyperlink ref="C81" location="'Input|Econometrics - Long'!A1" display="Input | Econometrics - Long" xr:uid="{00000000-0004-0000-0000-000066000000}"/>
    <hyperlink ref="C82" location="'Input|Econometrics - Long'!A1" display="Input | Econometrics - Long" xr:uid="{00000000-0004-0000-0000-000067000000}"/>
    <hyperlink ref="C83" location="'Input|Econometrics - Short'!A1" display="Input | Econometrics - Short" xr:uid="{00000000-0004-0000-0000-000069000000}"/>
    <hyperlink ref="C84" location="'Input|Econometrics - Short'!A1" display="Input | Econometrics - Short" xr:uid="{00000000-0004-0000-0000-00006A000000}"/>
    <hyperlink ref="C85" location="'Input|Econometrics - Short'!A1" display="Input | Econometrics - Short" xr:uid="{00000000-0004-0000-0000-00006B000000}"/>
    <hyperlink ref="C86" location="'Input|Econometrics - Short'!A1" display="Input | Econometrics - Short" xr:uid="{00000000-0004-0000-0000-00006C000000}"/>
    <hyperlink ref="C87" location="'Data|CPI'!A1" display="Data | CPI" xr:uid="{00000000-0004-0000-0000-00006D000000}"/>
    <hyperlink ref="C88" location="'Data|EBRIN'!A1" display="Data | EBRIN" xr:uid="{00000000-0004-0000-0000-00006E000000}"/>
    <hyperlink ref="C90" location="'Data|EBRIN'!A1" display="Data | EBRIN" xr:uid="{00000000-0004-0000-0000-00006F000000}"/>
    <hyperlink ref="C91" location="'Data|EBRIN'!A1" display="Data | EBRIN" xr:uid="{00000000-0004-0000-0000-000070000000}"/>
    <hyperlink ref="C92" location="'Lookup tables'!A1" display="Lookup tables" xr:uid="{00000000-0004-0000-0000-000071000000}"/>
    <hyperlink ref="C93" location="'Input|Econometrics - Long'!A1" display="Input | Econometrics - Long" xr:uid="{00000000-0004-0000-0000-000072000000}"/>
    <hyperlink ref="C94" location="'Input|Econometrics - Long'!A1" display="Input | Econometrics - Long" xr:uid="{00000000-0004-0000-0000-000073000000}"/>
    <hyperlink ref="C95" location="'Input|Econometrics - Long'!A1" display="Input | Econometrics - Long" xr:uid="{00000000-0004-0000-0000-000074000000}"/>
    <hyperlink ref="C96" location="'Input|Econometrics - Long'!A1" display="Input | Econometrics - Long" xr:uid="{00000000-0004-0000-0000-000075000000}"/>
    <hyperlink ref="C97" location="'Input|Econometrics - Short'!A1" display="Input | Econometrics - Short" xr:uid="{00000000-0004-0000-0000-000076000000}"/>
    <hyperlink ref="C98" location="'Input|Econometrics - Short'!A1" display="Input | Econometrics - Short" xr:uid="{00000000-0004-0000-0000-000077000000}"/>
    <hyperlink ref="C99" location="'Input|Econometrics - Short'!A1" display="Input | Econometrics - Short" xr:uid="{00000000-0004-0000-0000-000078000000}"/>
    <hyperlink ref="C100" location="'Input|Econometrics - Short'!A1" display="Input | Econometrics - Short" xr:uid="{00000000-0004-0000-0000-000079000000}"/>
    <hyperlink ref="C101" location="'Lookup tables'!A1" display="Lookup tables" xr:uid="{00000000-0004-0000-0000-00007A000000}"/>
    <hyperlink ref="C102" location="'Lookup tables'!A1" display="Lookup tables" xr:uid="{00000000-0004-0000-0000-00007B000000}"/>
    <hyperlink ref="C103" location="'Lookup tables'!A1" display="Lookup tables" xr:uid="{00000000-0004-0000-0000-00007C000000}"/>
    <hyperlink ref="C104" location="'Lookup tables'!A1" display="Lookup tables" xr:uid="{00000000-0004-0000-0000-00007D000000}"/>
    <hyperlink ref="C105" location="'Input|Econometrics - Long'!A1" display="Input | Econometrics - Long" xr:uid="{00000000-0004-0000-0000-00007E000000}"/>
    <hyperlink ref="C106" location="'Input|Econometrics - Long'!A1" display="Input | Econometrics - Long" xr:uid="{00000000-0004-0000-0000-00007F000000}"/>
    <hyperlink ref="C107" location="'Input|Econometrics - Short'!A1" display="Input | Econometrics - Short" xr:uid="{00000000-0004-0000-0000-000080000000}"/>
    <hyperlink ref="C108" location="'Input|Econometrics - Short'!A1" display="Input | Econometrics - Short" xr:uid="{00000000-0004-0000-0000-000081000000}"/>
    <hyperlink ref="C115" location="'Lookup tables'!A1" display="Lookup tables" xr:uid="{00000000-0004-0000-0000-000082000000}"/>
    <hyperlink ref="C116" location="'Lookup tables'!A1" display="Lookup tables" xr:uid="{00000000-0004-0000-0000-000083000000}"/>
    <hyperlink ref="C117" location="'Output|Summary'!A1" display="Output | Summary" xr:uid="{00000000-0004-0000-0000-000084000000}"/>
    <hyperlink ref="B36" location="Header_Table_OEF_capitalisation_long" display="Header_Table_OEF_capitalisation_long" xr:uid="{00000000-0004-0000-0000-000085000000}"/>
    <hyperlink ref="B37" location="Header_Table_OEF_capitalisation_short" display="Header_Table_OEF_capitalisation_short" xr:uid="{00000000-0004-0000-0000-000086000000}"/>
    <hyperlink ref="C36" location="'Data|OEFs - Long'!A1" display="Data | OEFs - Long" xr:uid="{00000000-0004-0000-0000-000087000000}"/>
    <hyperlink ref="C37" location="'Data|OEFs - Short'!A1" display="Data | OEFs - Short" xr:uid="{00000000-0004-0000-0000-000088000000}"/>
    <hyperlink ref="B48" location="List_OEF_capitalisation_basis" display="List_OEF_capitalisation_basis" xr:uid="{00000000-0004-0000-0000-000089000000}"/>
    <hyperlink ref="C48" location="'Lookup tables'!A1" display="Lookup tables" xr:uid="{00000000-0004-0000-0000-00008A000000}"/>
    <hyperlink ref="B57" location="Parameter_OEF_capitalisation_basis_long" display="Parameter_OEF_capitalisation_basis_long" xr:uid="{00000000-0004-0000-0000-00008B000000}"/>
    <hyperlink ref="B58" location="Parameter_OEF_capitalisation_basis_short" display="Parameter_OEF_capitalisation_basis_short" xr:uid="{00000000-0004-0000-0000-00008C000000}"/>
    <hyperlink ref="B59" location="Parameter_OEF_capitalisation_long" display="Parameter_OEF_capitalisation_long" xr:uid="{00000000-0004-0000-0000-00008D000000}"/>
    <hyperlink ref="B61" location="Parameter_OEF_capitalisation_short" display="Parameter_OEF_capitalisation_short" xr:uid="{00000000-0004-0000-0000-00008E000000}"/>
    <hyperlink ref="B63" location="Parameter_OEF_Sapere_Merz_long" display="Parameter_OEF_Sapere_Merz_long" xr:uid="{00000000-0004-0000-0000-00008F000000}"/>
    <hyperlink ref="B64" location="Parameter_OEF_Sapere_Merz_short" display="Parameter_OEF_Sapere_Merz_short" xr:uid="{00000000-0004-0000-0000-000090000000}"/>
    <hyperlink ref="B65" location="Parameter_OEF_total_long" display="Parameter_OEF_total_long" xr:uid="{00000000-0004-0000-0000-000091000000}"/>
    <hyperlink ref="B66" location="Parameter_OEF_total_short" display="Parameter_OEF_total_short" xr:uid="{00000000-0004-0000-0000-000092000000}"/>
    <hyperlink ref="B67" location="Parameter_OEF_vegetation_management_long" display="Parameter_OEF_vegetation_management_long" xr:uid="{00000000-0004-0000-0000-000093000000}"/>
    <hyperlink ref="B68" location="Parameter_OEF_vegetation_management_short" display="Parameter_OEF_vegetation_management_short" xr:uid="{00000000-0004-0000-0000-000094000000}"/>
    <hyperlink ref="C57" location="'Input|Parameters'!A1" display="Input | Parameters" xr:uid="{00000000-0004-0000-0000-000095000000}"/>
    <hyperlink ref="C118" location="'Output|Summary'!A1" display="Output | Summary" xr:uid="{00000000-0004-0000-0000-000096000000}"/>
    <hyperlink ref="C58" location="'Input|Parameters'!A1" display="Input | Parameters" xr:uid="{00000000-0004-0000-0000-000097000000}"/>
    <hyperlink ref="C59" location="'Input|Parameters'!A1" display="Input | Parameters" xr:uid="{00000000-0004-0000-0000-000098000000}"/>
    <hyperlink ref="C61" location="'Input|Parameters'!A1" display="Input | Parameters" xr:uid="{00000000-0004-0000-0000-000099000000}"/>
    <hyperlink ref="C63" location="'Input|Parameters'!A1" display="Input | Parameters" xr:uid="{00000000-0004-0000-0000-00009A000000}"/>
    <hyperlink ref="C64" location="'Input|Parameters'!A1" display="Input | Parameters" xr:uid="{00000000-0004-0000-0000-00009B000000}"/>
    <hyperlink ref="C65" location="'Input|Parameters'!A1" display="Input | Parameters" xr:uid="{00000000-0004-0000-0000-00009C000000}"/>
    <hyperlink ref="C66" location="'Input|Parameters'!A1" display="Input | Parameters" xr:uid="{00000000-0004-0000-0000-00009D000000}"/>
    <hyperlink ref="C67" location="'Input|Parameters'!A1" display="Input | Parameters" xr:uid="{00000000-0004-0000-0000-00009E000000}"/>
    <hyperlink ref="C68" location="'Input|Parameters'!A1" display="Input | Parameters" xr:uid="{00000000-0004-0000-0000-00009F000000}"/>
    <hyperlink ref="B109" location="Table_OEF_capitalisation_long" display="Table_OEF_capitalisation_long" xr:uid="{00000000-0004-0000-0000-0000A0000000}"/>
    <hyperlink ref="B110" location="Table_OEF_capitalisation_short" display="Table_OEF_capitalisation_short" xr:uid="{00000000-0004-0000-0000-0000A1000000}"/>
    <hyperlink ref="B111" location="Table_OEF_Sapere_Merz_long" display="Table_OEF_Sapere_Merz_long" xr:uid="{00000000-0004-0000-0000-0000A2000000}"/>
    <hyperlink ref="B112" location="Table_OEF_Sapere_Merz_short" display="Table_OEF_Sapere_Merz_short" xr:uid="{00000000-0004-0000-0000-0000A3000000}"/>
    <hyperlink ref="B113" location="Table_OEF_vegetation_management_long" display="Table_OEF_vegetation_management_long" xr:uid="{00000000-0004-0000-0000-0000A4000000}"/>
    <hyperlink ref="B114" location="Table_OEF_vegetation_management_short" display="Table_OEF_vegetation_management_short" xr:uid="{00000000-0004-0000-0000-0000A5000000}"/>
    <hyperlink ref="C109" location="'Data|OEFs - Long'!A1" display="Data | OEFs - Long" xr:uid="{00000000-0004-0000-0000-0000A6000000}"/>
    <hyperlink ref="C111" location="'Data|OEFs - Long'!A1" display="Data | OEFs - Long" xr:uid="{00000000-0004-0000-0000-0000A7000000}"/>
    <hyperlink ref="C113" location="'Data|OEFs - Long'!A1" display="Data | OEFs - Long" xr:uid="{00000000-0004-0000-0000-0000A8000000}"/>
    <hyperlink ref="C110" location="'Data|OEFs - Short'!A1" display="Data | OEFs - Short" xr:uid="{00000000-0004-0000-0000-0000A9000000}"/>
    <hyperlink ref="C112" location="'Data|OEFs - Short'!A1" display="Data | OEFs - Short" xr:uid="{00000000-0004-0000-0000-0000AA000000}"/>
    <hyperlink ref="C114" location="'Data|OEFs - Short'!A1" display="Data | OEFs - Short" xr:uid="{00000000-0004-0000-0000-0000AB000000}"/>
    <hyperlink ref="B42" location="List_Include_OEFs" display="List_Include_OEFs" xr:uid="{00000000-0004-0000-0000-0000AC000000}"/>
    <hyperlink ref="C42" location="'Lookup tables'!A1" display="Lookup tables" xr:uid="{00000000-0004-0000-0000-0000AD000000}"/>
    <hyperlink ref="C55" location="'Input|Parameters'!A1" display="Input | Parameters" xr:uid="{00000000-0004-0000-0000-0000AE000000}"/>
    <hyperlink ref="B55" location="Parameter_Include_OEFs" display="Parameter_Include_OEFs" xr:uid="{00000000-0004-0000-0000-0000AF000000}"/>
    <hyperlink ref="B60" location="Parameter_OEF_capitalisation_long_manual_override" display="Parameter_OEF_capitalisation_long_manual_override" xr:uid="{00000000-0004-0000-0000-0000B0000000}"/>
    <hyperlink ref="C60" location="'Input|Parameters'!A1" display="Input | Parameters" xr:uid="{00000000-0004-0000-0000-0000B1000000}"/>
    <hyperlink ref="C62" location="'Input|Parameters'!A1" display="Input | Parameters" xr:uid="{00000000-0004-0000-0000-0000B2000000}"/>
    <hyperlink ref="B62" location="Parameter_OEF_capitalisation_short_manual_override" display="Parameter_OEF_capitalisation_short_manual_override" xr:uid="{00000000-0004-0000-0000-0000B3000000}"/>
    <hyperlink ref="C69" location="'Data|Forecasts'!A1" display="Data | Forecasts" xr:uid="{00000000-0004-0000-0000-0000B4000000}"/>
    <hyperlink ref="C89" location="'Data|Forecasts'!A1" display="Data | Forecasts" xr:uid="{00000000-0004-0000-0000-0000B5000000}"/>
    <hyperlink ref="C46" location="'Input|Econometrics - Short'!A1" display="Input | Econometrics - Short" xr:uid="{00000000-0004-0000-0000-0000B6000000}"/>
    <hyperlink ref="C47" location="'Input|Econometrics - Short'!A1" display="Input | Econometrics - Short" xr:uid="{00000000-0004-0000-0000-0000B7000000}"/>
    <hyperlink ref="C44" location="'Input|Econometrics - Long'!A1" display="Input | Econometrics - Long" xr:uid="{00000000-0004-0000-0000-0000B8000000}"/>
    <hyperlink ref="C45" location="'Input|Econometrics - Long'!A1" display="Input | Econometrics - Long" xr:uid="{00000000-0004-0000-0000-0000B9000000}"/>
    <hyperlink ref="B44" location="List_Number_of_violations_Long_LSETLG" display="List_Number_of_violations_Long_LSETLG" xr:uid="{00000000-0004-0000-0000-0000BA000000}"/>
    <hyperlink ref="B45" location="List_Number_of_violations_Long_SFATLG" display="List_Number_of_violations_Long_SFATLG" xr:uid="{00000000-0004-0000-0000-0000BB000000}"/>
    <hyperlink ref="B46" location="List_Number_of_violations_Short_LSETLG" display="List_Number_of_violations_Short_LSETLG" xr:uid="{00000000-0004-0000-0000-0000BC000000}"/>
    <hyperlink ref="B47" location="List_Number_of_violations_Short_SFATLG" display="List_Number_of_violations_Short_SFATLG" xr:uid="{00000000-0004-0000-0000-0000BD000000}"/>
    <hyperlink ref="A13" location="'Lookup tables'!A1" display="Lookup tables" xr:uid="{69E816E9-63D2-4A5A-9386-5622C2F8E119}"/>
    <hyperlink ref="A14" location="'Data|EBRIN'!A1" display="Data|EBRIN" xr:uid="{64E7F722-8B05-41DD-85B5-3A9A8ACCB5ED}"/>
    <hyperlink ref="A15" location="'Data|OEFs - Short'!A1" display="Data|OEFs - Short" xr:uid="{AF0945BD-38C4-486B-A623-4B2D6A40D8C5}"/>
    <hyperlink ref="A16" location="'Data|OEFs - Long'!A1" display="Data|OEFs - Long" xr:uid="{18E67FFE-B7D6-479D-A148-9D25269EC92B}"/>
    <hyperlink ref="A17" location="'Data|CPI'!A1" display="Data|CPI" xr:uid="{7E605CE5-EF7E-4C1A-A020-5F7F506D5491}"/>
    <hyperlink ref="A18" location="'Data|Forecasts'!A1" display="Data|Forecasts" xr:uid="{6F3DAC63-CE23-4338-A168-7984B6FB1341}"/>
    <hyperlink ref="A19" location="'Input|Parameters'!A1" display="Input|Parameters" xr:uid="{EE31B0D1-BBD1-4B3A-9A44-55AABC559054}"/>
    <hyperlink ref="A20" location="'Input|Econometrics - Short'!A1" display="Input|Econometrics - Short" xr:uid="{8A99D16F-1D87-4F07-B60D-752E5DABD0AA}"/>
    <hyperlink ref="A21" location="'Input|Econometrics - Long'!A1" display="Input|Econometrics - Long" xr:uid="{FDCC4505-1138-49AD-A35C-AEC8373CF7CC}"/>
    <hyperlink ref="A22" location="'Calc|Cost drivers'!A1" display="Calc|Cost drivers" xr:uid="{9479A0DB-4582-429F-868E-E6BB4E414E2C}"/>
    <hyperlink ref="A23" location="'Calc|Efficiency target'!A1" display="Calc|Efficiency target" xr:uid="{B7DCCE24-FDBD-4E22-B716-E642A76EC2DD}"/>
    <hyperlink ref="A24" location="'Calc|Opex forecasts - Short'!A1" display="Calc|Opex forecasts - Short" xr:uid="{377863B6-A17F-40A3-AF1D-DB3666AF2E3C}"/>
    <hyperlink ref="A25" location="'Calc|Opex forecasts - Long'!A1" display="Calc|Opex forecasts - Long" xr:uid="{98167041-A2D6-4760-9E5C-E458F0140B21}"/>
    <hyperlink ref="A26" location="'Output|Summary'!A1" display="Output|Summary" xr:uid="{D11922D4-C0EC-4BC8-B073-8B6B9C1E1AF7}"/>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A1:L279"/>
  <sheetViews>
    <sheetView workbookViewId="0"/>
  </sheetViews>
  <sheetFormatPr defaultColWidth="8.85546875" defaultRowHeight="13.7" customHeight="1"/>
  <cols>
    <col min="1" max="1" width="8.85546875" style="21"/>
    <col min="2" max="2" width="12.42578125" style="21" customWidth="1"/>
    <col min="3" max="3" width="8.85546875" style="21"/>
    <col min="4" max="5" width="9" style="21" bestFit="1" customWidth="1"/>
    <col min="6" max="16384" width="8.85546875" style="21"/>
  </cols>
  <sheetData>
    <row r="1" spans="1:12" s="7" customFormat="1" ht="15.75">
      <c r="A1" s="1" t="s">
        <v>0</v>
      </c>
    </row>
    <row r="2" spans="1:12" s="16" customFormat="1" ht="13.7" customHeight="1">
      <c r="A2" s="85" t="s">
        <v>5</v>
      </c>
    </row>
    <row r="3" spans="1:12" s="9" customFormat="1" ht="13.7" customHeight="1" thickBot="1">
      <c r="A3" s="8" t="s">
        <v>30</v>
      </c>
    </row>
    <row r="4" spans="1:12" s="9" customFormat="1" ht="13.7" customHeight="1"/>
    <row r="5" spans="1:12" s="4" customFormat="1" ht="13.7" customHeight="1">
      <c r="A5" s="2" t="s">
        <v>942</v>
      </c>
      <c r="C5" s="5"/>
      <c r="D5" s="5"/>
      <c r="E5" s="5"/>
      <c r="F5" s="6"/>
      <c r="G5" s="6"/>
      <c r="H5" s="5"/>
      <c r="I5" s="5"/>
      <c r="J5" s="5"/>
      <c r="K5" s="5"/>
      <c r="L5" s="5"/>
    </row>
    <row r="7" spans="1:12" ht="13.7" customHeight="1">
      <c r="A7" s="92"/>
      <c r="B7" s="32"/>
      <c r="C7" s="117"/>
    </row>
    <row r="8" spans="1:12" ht="13.7" customHeight="1">
      <c r="B8" s="25"/>
      <c r="C8" s="117"/>
    </row>
    <row r="9" spans="1:12" ht="13.7" customHeight="1">
      <c r="B9" s="180"/>
      <c r="C9" s="117"/>
    </row>
    <row r="10" spans="1:12" ht="13.7" customHeight="1">
      <c r="B10" s="197"/>
      <c r="C10" s="117"/>
    </row>
    <row r="11" spans="1:12" s="23" customFormat="1" ht="13.7" customHeight="1">
      <c r="C11" s="24" t="s">
        <v>271</v>
      </c>
    </row>
    <row r="12" spans="1:12" s="23" customFormat="1" ht="13.7" customHeight="1">
      <c r="A12" s="32" t="s">
        <v>943</v>
      </c>
      <c r="B12" s="32" t="s">
        <v>46</v>
      </c>
      <c r="C12" s="269">
        <v>12</v>
      </c>
      <c r="D12" s="25" t="s">
        <v>274</v>
      </c>
      <c r="E12" s="25" t="s">
        <v>276</v>
      </c>
      <c r="F12" s="252">
        <v>16</v>
      </c>
      <c r="G12" s="252">
        <v>17</v>
      </c>
      <c r="H12" s="252">
        <v>18</v>
      </c>
      <c r="I12" s="252">
        <v>19</v>
      </c>
      <c r="J12" s="252">
        <v>20</v>
      </c>
      <c r="K12" s="316">
        <v>21</v>
      </c>
      <c r="L12" s="316">
        <v>22</v>
      </c>
    </row>
    <row r="13" spans="1:12" ht="13.7" customHeight="1">
      <c r="A13" s="23" t="s">
        <v>944</v>
      </c>
      <c r="B13" s="23" t="s">
        <v>945</v>
      </c>
      <c r="C13" s="173">
        <v>0.59499999999999997</v>
      </c>
      <c r="D13" s="162">
        <v>0.59099999999999997</v>
      </c>
      <c r="E13" s="173">
        <v>0.59</v>
      </c>
      <c r="F13" s="162">
        <v>0.56499999999999995</v>
      </c>
      <c r="G13" s="173">
        <v>0.56100000000000005</v>
      </c>
      <c r="H13" s="173">
        <v>0.56100000000000005</v>
      </c>
      <c r="I13" s="173">
        <v>0.56100000000000005</v>
      </c>
      <c r="J13" s="173">
        <v>0.56100000000000005</v>
      </c>
      <c r="K13" s="315">
        <v>0.53600000000000003</v>
      </c>
      <c r="L13" s="315">
        <v>0.5183875</v>
      </c>
    </row>
    <row r="14" spans="1:12" ht="13.7" customHeight="1">
      <c r="A14" s="23" t="s">
        <v>946</v>
      </c>
      <c r="B14" s="23" t="s">
        <v>947</v>
      </c>
      <c r="C14" s="173">
        <v>0.153</v>
      </c>
      <c r="D14" s="162">
        <v>0.154</v>
      </c>
      <c r="E14" s="173">
        <v>0.154</v>
      </c>
      <c r="F14" s="162">
        <v>0.17</v>
      </c>
      <c r="G14" s="173">
        <v>0.17199999999999999</v>
      </c>
      <c r="H14" s="173">
        <v>0.17199999999999999</v>
      </c>
      <c r="I14" s="173">
        <v>0.17199999999999999</v>
      </c>
      <c r="J14" s="173">
        <v>0.17199999999999999</v>
      </c>
      <c r="K14" s="315">
        <v>0.22800000000000001</v>
      </c>
      <c r="L14" s="315">
        <v>0.2287825</v>
      </c>
    </row>
    <row r="15" spans="1:12" ht="13.7" customHeight="1">
      <c r="A15" s="23" t="s">
        <v>948</v>
      </c>
      <c r="B15" s="23" t="s">
        <v>949</v>
      </c>
      <c r="C15" s="173">
        <v>0.22600000000000001</v>
      </c>
      <c r="D15" s="162">
        <v>0.22800000000000001</v>
      </c>
      <c r="E15" s="173">
        <v>0.23</v>
      </c>
      <c r="F15" s="162">
        <v>0.23799999999999999</v>
      </c>
      <c r="G15" s="173">
        <v>0.24</v>
      </c>
      <c r="H15" s="173">
        <v>0.24</v>
      </c>
      <c r="I15" s="173">
        <v>0.24</v>
      </c>
      <c r="J15" s="173">
        <v>0.24</v>
      </c>
      <c r="K15" s="315">
        <v>0.19900000000000001</v>
      </c>
      <c r="L15" s="315">
        <v>0.2159809</v>
      </c>
    </row>
    <row r="16" spans="1:12" ht="13.7" customHeight="1">
      <c r="A16" s="23" t="s">
        <v>950</v>
      </c>
      <c r="B16" s="23" t="s">
        <v>951</v>
      </c>
      <c r="C16" s="173">
        <v>-0.14899999999999999</v>
      </c>
      <c r="D16" s="162">
        <v>-0.14699999999999999</v>
      </c>
      <c r="E16" s="173">
        <v>-0.14799999999999999</v>
      </c>
      <c r="F16" s="162">
        <v>-0.13800000000000001</v>
      </c>
      <c r="G16" s="173">
        <v>-0.13600000000000001</v>
      </c>
      <c r="H16" s="173">
        <v>-0.13600000000000001</v>
      </c>
      <c r="I16" s="173">
        <v>-0.13600000000000001</v>
      </c>
      <c r="J16" s="173">
        <v>-0.13600000000000001</v>
      </c>
      <c r="K16" s="315">
        <v>-8.8999999999999996E-2</v>
      </c>
      <c r="L16" s="315">
        <v>-9.2380900000000002E-2</v>
      </c>
    </row>
    <row r="17" spans="1:12" ht="13.7" customHeight="1">
      <c r="A17" s="23" t="s">
        <v>952</v>
      </c>
      <c r="B17" s="23" t="s">
        <v>953</v>
      </c>
      <c r="C17" s="173">
        <v>1.0999999999999999E-2</v>
      </c>
      <c r="D17" s="162">
        <v>1.0999999999999999E-2</v>
      </c>
      <c r="E17" s="173">
        <v>1.0999999999999999E-2</v>
      </c>
      <c r="F17" s="162">
        <v>0.01</v>
      </c>
      <c r="G17" s="173">
        <v>0.01</v>
      </c>
      <c r="H17" s="173">
        <v>0.01</v>
      </c>
      <c r="I17" s="173">
        <v>0.01</v>
      </c>
      <c r="J17" s="173">
        <v>0.01</v>
      </c>
      <c r="K17" s="315">
        <v>0.01</v>
      </c>
      <c r="L17" s="315">
        <v>1.0117299999999999E-2</v>
      </c>
    </row>
    <row r="18" spans="1:12" ht="13.7" customHeight="1">
      <c r="A18" s="23" t="s">
        <v>954</v>
      </c>
      <c r="B18" s="23" t="s">
        <v>955</v>
      </c>
      <c r="C18" s="173">
        <v>-0.20899999999999999</v>
      </c>
      <c r="D18" s="162">
        <v>-0.39800000000000002</v>
      </c>
      <c r="E18" s="173">
        <v>-0.39700000000000002</v>
      </c>
      <c r="F18" s="162">
        <v>-0.20399999999999999</v>
      </c>
      <c r="G18" s="173">
        <v>-0.39100000000000001</v>
      </c>
      <c r="H18" s="173">
        <v>-0.38</v>
      </c>
      <c r="I18" s="173">
        <v>-0.4</v>
      </c>
      <c r="J18" s="173">
        <v>-0.39</v>
      </c>
      <c r="K18" s="315">
        <v>-0.38900000000000001</v>
      </c>
      <c r="L18" s="315">
        <v>-0.36354199999999998</v>
      </c>
    </row>
    <row r="19" spans="1:12" ht="13.7" customHeight="1">
      <c r="A19" s="23" t="s">
        <v>956</v>
      </c>
      <c r="B19" s="23" t="s">
        <v>957</v>
      </c>
      <c r="C19" s="173">
        <v>-5.8000000000000003E-2</v>
      </c>
      <c r="D19" s="162">
        <v>-0.246</v>
      </c>
      <c r="E19" s="173">
        <v>-0.247</v>
      </c>
      <c r="F19" s="162">
        <v>-5.6000000000000001E-2</v>
      </c>
      <c r="G19" s="173">
        <v>-0.24299999999999999</v>
      </c>
      <c r="H19" s="173">
        <v>-0.23200000000000001</v>
      </c>
      <c r="I19" s="173">
        <v>-0.252</v>
      </c>
      <c r="J19" s="173">
        <v>-0.24199999999999999</v>
      </c>
      <c r="K19" s="315">
        <v>-0.159</v>
      </c>
      <c r="L19" s="315">
        <v>-0.14896809999999999</v>
      </c>
    </row>
    <row r="20" spans="1:12" ht="13.7" customHeight="1">
      <c r="A20" s="23" t="s">
        <v>958</v>
      </c>
      <c r="B20" s="23" t="s">
        <v>236</v>
      </c>
      <c r="C20" s="173">
        <v>2.3E-2</v>
      </c>
      <c r="D20" s="162">
        <v>-0.158</v>
      </c>
      <c r="E20" s="173">
        <v>-0.158</v>
      </c>
      <c r="F20" s="162">
        <v>-1.0999999999999999E-2</v>
      </c>
      <c r="G20" s="173">
        <v>-0.189</v>
      </c>
      <c r="H20" s="173">
        <v>-0.17799999999999999</v>
      </c>
      <c r="I20" s="173">
        <v>-0.19800000000000001</v>
      </c>
      <c r="J20" s="173">
        <v>-0.188</v>
      </c>
      <c r="K20" s="315">
        <v>-0.121</v>
      </c>
      <c r="L20" s="315">
        <v>-0.11258170000000001</v>
      </c>
    </row>
    <row r="21" spans="1:12" ht="13.7" customHeight="1">
      <c r="A21" s="23" t="s">
        <v>959</v>
      </c>
      <c r="B21" s="23" t="s">
        <v>238</v>
      </c>
      <c r="C21" s="173">
        <v>-0.64900000000000002</v>
      </c>
      <c r="D21" s="162">
        <v>-0.52600000000000002</v>
      </c>
      <c r="E21" s="173">
        <v>-0.52600000000000002</v>
      </c>
      <c r="F21" s="162">
        <v>-0.63800000000000001</v>
      </c>
      <c r="G21" s="173">
        <v>-0.51</v>
      </c>
      <c r="H21" s="173">
        <v>-0.499</v>
      </c>
      <c r="I21" s="173">
        <v>-0.51900000000000002</v>
      </c>
      <c r="J21" s="173">
        <v>-0.50900000000000001</v>
      </c>
      <c r="K21" s="315">
        <v>-0.41699999999999998</v>
      </c>
      <c r="L21" s="315">
        <v>-0.39051760000000002</v>
      </c>
    </row>
    <row r="22" spans="1:12" ht="13.7" customHeight="1">
      <c r="A22" s="23" t="s">
        <v>960</v>
      </c>
      <c r="B22" s="23" t="s">
        <v>240</v>
      </c>
      <c r="C22" s="173">
        <v>-0.219</v>
      </c>
      <c r="D22" s="162">
        <v>-0.309</v>
      </c>
      <c r="E22" s="173">
        <v>-0.31</v>
      </c>
      <c r="F22" s="162">
        <v>-0.23200000000000001</v>
      </c>
      <c r="G22" s="173">
        <v>-0.318</v>
      </c>
      <c r="H22" s="173">
        <v>-0.307</v>
      </c>
      <c r="I22" s="173">
        <v>-0.32700000000000001</v>
      </c>
      <c r="J22" s="173">
        <v>-0.316</v>
      </c>
      <c r="K22" s="315">
        <v>-0.27600000000000002</v>
      </c>
      <c r="L22" s="315">
        <v>-0.26754840000000002</v>
      </c>
    </row>
    <row r="23" spans="1:12" ht="13.7" customHeight="1">
      <c r="A23" s="23" t="s">
        <v>961</v>
      </c>
      <c r="B23" s="23" t="s">
        <v>242</v>
      </c>
      <c r="C23" s="173">
        <v>-0.23799999999999999</v>
      </c>
      <c r="D23" s="162">
        <v>-0.40100000000000002</v>
      </c>
      <c r="E23" s="173">
        <v>-0.126</v>
      </c>
      <c r="F23" s="162">
        <v>-0.23</v>
      </c>
      <c r="G23" s="173">
        <v>-0.35799999999999998</v>
      </c>
      <c r="H23" s="173">
        <v>-0.34799999999999998</v>
      </c>
      <c r="I23" s="173">
        <v>-0.36799999999999999</v>
      </c>
      <c r="J23" s="173">
        <v>-0.35699999999999998</v>
      </c>
      <c r="K23" s="315">
        <v>-0.29899999999999999</v>
      </c>
      <c r="L23" s="315">
        <v>-0.2633259</v>
      </c>
    </row>
    <row r="24" spans="1:12" ht="13.7" customHeight="1">
      <c r="A24" s="23" t="s">
        <v>962</v>
      </c>
      <c r="B24" s="23" t="s">
        <v>244</v>
      </c>
      <c r="C24" s="173">
        <v>-0.154</v>
      </c>
      <c r="D24" s="162">
        <v>-0.161</v>
      </c>
      <c r="E24" s="173">
        <v>7.8E-2</v>
      </c>
      <c r="F24" s="162">
        <v>-0.16300000000000001</v>
      </c>
      <c r="G24" s="173">
        <v>-0.14599999999999999</v>
      </c>
      <c r="H24" s="173">
        <v>-0.13600000000000001</v>
      </c>
      <c r="I24" s="173">
        <v>-0.156</v>
      </c>
      <c r="J24" s="173">
        <v>-0.14499999999999999</v>
      </c>
      <c r="K24" s="315">
        <v>-0.09</v>
      </c>
      <c r="L24" s="315">
        <v>-4.7731599999999999E-2</v>
      </c>
    </row>
    <row r="25" spans="1:12" ht="13.7" customHeight="1">
      <c r="A25" s="23" t="s">
        <v>963</v>
      </c>
      <c r="B25" s="23" t="s">
        <v>246</v>
      </c>
      <c r="C25" s="173">
        <v>-0.28699999999999998</v>
      </c>
      <c r="D25" s="162">
        <v>-0.28999999999999998</v>
      </c>
      <c r="E25" s="173">
        <v>-0.29099999999999998</v>
      </c>
      <c r="F25" s="162">
        <v>-0.317</v>
      </c>
      <c r="G25" s="173">
        <v>-0.318</v>
      </c>
      <c r="H25" s="173">
        <v>-0.307</v>
      </c>
      <c r="I25" s="173">
        <v>-0.32800000000000001</v>
      </c>
      <c r="J25" s="173">
        <v>-0.317</v>
      </c>
      <c r="K25" s="315">
        <v>-0.27400000000000002</v>
      </c>
      <c r="L25" s="315">
        <v>-0.2479567</v>
      </c>
    </row>
    <row r="26" spans="1:12" ht="13.7" customHeight="1">
      <c r="A26" s="23" t="s">
        <v>964</v>
      </c>
      <c r="B26" s="23" t="s">
        <v>248</v>
      </c>
      <c r="C26" s="173">
        <v>-0.32900000000000001</v>
      </c>
      <c r="D26" s="162">
        <v>-0.42099999999999999</v>
      </c>
      <c r="E26" s="173">
        <v>-0.42099999999999999</v>
      </c>
      <c r="F26" s="162">
        <v>-0.34200000000000003</v>
      </c>
      <c r="G26" s="173">
        <v>-0.41599999999999998</v>
      </c>
      <c r="H26" s="173">
        <v>-0.40600000000000003</v>
      </c>
      <c r="I26" s="173">
        <v>-0.42599999999999999</v>
      </c>
      <c r="J26" s="173">
        <v>-0.41499999999999998</v>
      </c>
      <c r="K26" s="315">
        <v>-0.34</v>
      </c>
      <c r="L26" s="315">
        <v>-0.32263140000000001</v>
      </c>
    </row>
    <row r="27" spans="1:12" ht="13.7" customHeight="1">
      <c r="A27" s="23" t="s">
        <v>965</v>
      </c>
      <c r="B27" s="23" t="s">
        <v>250</v>
      </c>
      <c r="C27" s="173">
        <v>-0.72199999999999998</v>
      </c>
      <c r="D27" s="162">
        <v>-0.74399999999999999</v>
      </c>
      <c r="E27" s="173">
        <v>-0.74399999999999999</v>
      </c>
      <c r="F27" s="162">
        <v>-0.71299999999999997</v>
      </c>
      <c r="G27" s="173">
        <v>-0.73299999999999998</v>
      </c>
      <c r="H27" s="173">
        <v>-0.72299999999999998</v>
      </c>
      <c r="I27" s="173">
        <v>-0.74299999999999999</v>
      </c>
      <c r="J27" s="173">
        <v>-0.73199999999999998</v>
      </c>
      <c r="K27" s="315">
        <v>-0.65700000000000003</v>
      </c>
      <c r="L27" s="315">
        <v>-0.63573299999999999</v>
      </c>
    </row>
    <row r="28" spans="1:12" ht="13.7" customHeight="1">
      <c r="A28" s="23" t="s">
        <v>966</v>
      </c>
      <c r="B28" s="23" t="s">
        <v>252</v>
      </c>
      <c r="C28" s="173">
        <v>-0.48499999999999999</v>
      </c>
      <c r="D28" s="162">
        <v>-0.67400000000000004</v>
      </c>
      <c r="E28" s="173">
        <v>-0.67400000000000004</v>
      </c>
      <c r="F28" s="162">
        <v>-0.48099999999999998</v>
      </c>
      <c r="G28" s="173">
        <v>-0.66800000000000004</v>
      </c>
      <c r="H28" s="173">
        <v>-0.65700000000000003</v>
      </c>
      <c r="I28" s="173">
        <v>-0.67700000000000005</v>
      </c>
      <c r="J28" s="173">
        <v>-0.66700000000000004</v>
      </c>
      <c r="K28" s="315">
        <v>-0.625</v>
      </c>
      <c r="L28" s="315">
        <v>-0.60008010000000001</v>
      </c>
    </row>
    <row r="29" spans="1:12" ht="13.7" customHeight="1">
      <c r="A29" s="23" t="s">
        <v>967</v>
      </c>
      <c r="B29" s="23" t="s">
        <v>254</v>
      </c>
      <c r="C29" s="173">
        <v>-0.40699999999999997</v>
      </c>
      <c r="D29" s="162">
        <v>-0.54200000000000004</v>
      </c>
      <c r="E29" s="173">
        <v>-0.54100000000000004</v>
      </c>
      <c r="F29" s="162">
        <v>-0.40100000000000002</v>
      </c>
      <c r="G29" s="173">
        <v>-0.53700000000000003</v>
      </c>
      <c r="H29" s="173">
        <v>-0.52600000000000002</v>
      </c>
      <c r="I29" s="173">
        <v>-0.54600000000000004</v>
      </c>
      <c r="J29" s="173">
        <v>-0.53600000000000003</v>
      </c>
      <c r="K29" s="315">
        <v>-0.503</v>
      </c>
      <c r="L29" s="315">
        <v>-0.45300639999999998</v>
      </c>
    </row>
    <row r="30" spans="1:12" ht="13.7" customHeight="1">
      <c r="A30" s="23" t="s">
        <v>968</v>
      </c>
      <c r="B30" s="23" t="s">
        <v>256</v>
      </c>
      <c r="C30" s="173">
        <v>-0.46</v>
      </c>
      <c r="D30" s="162">
        <v>-0.55100000000000005</v>
      </c>
      <c r="E30" s="173">
        <v>-0.55100000000000005</v>
      </c>
      <c r="F30" s="162">
        <v>-0.45900000000000002</v>
      </c>
      <c r="G30" s="173">
        <v>-0.54700000000000004</v>
      </c>
      <c r="H30" s="173">
        <v>-0.53700000000000003</v>
      </c>
      <c r="I30" s="173">
        <v>-0.55700000000000005</v>
      </c>
      <c r="J30" s="173">
        <v>-0.54600000000000004</v>
      </c>
      <c r="K30" s="315">
        <v>-0.50900000000000001</v>
      </c>
      <c r="L30" s="315">
        <v>-0.49146709999999999</v>
      </c>
    </row>
    <row r="31" spans="1:12" ht="13.7" customHeight="1">
      <c r="A31" s="23" t="s">
        <v>969</v>
      </c>
      <c r="B31" s="23" t="s">
        <v>258</v>
      </c>
      <c r="C31" s="173">
        <v>-0.51300000000000001</v>
      </c>
      <c r="D31" s="162">
        <v>-0.69799999999999995</v>
      </c>
      <c r="E31" s="173">
        <v>-0.69799999999999995</v>
      </c>
      <c r="F31" s="162">
        <v>-0.49</v>
      </c>
      <c r="G31" s="173">
        <v>-0.67400000000000004</v>
      </c>
      <c r="H31" s="173">
        <v>-0.66300000000000003</v>
      </c>
      <c r="I31" s="173">
        <v>-0.68300000000000005</v>
      </c>
      <c r="J31" s="173">
        <v>-0.67300000000000004</v>
      </c>
      <c r="K31" s="315">
        <v>-0.58499999999999996</v>
      </c>
      <c r="L31" s="315">
        <v>-0.55582319999999996</v>
      </c>
    </row>
    <row r="32" spans="1:12" ht="13.7" customHeight="1">
      <c r="A32" s="23"/>
      <c r="B32" s="23"/>
      <c r="C32" s="173"/>
      <c r="D32" s="162"/>
      <c r="E32" s="173"/>
      <c r="F32" s="162"/>
      <c r="G32" s="173"/>
      <c r="H32" s="173"/>
      <c r="I32" s="173"/>
      <c r="J32" s="173"/>
      <c r="K32" s="315"/>
      <c r="L32" s="315"/>
    </row>
    <row r="33" spans="1:12" ht="13.7" customHeight="1">
      <c r="A33" s="23"/>
      <c r="B33" s="23"/>
      <c r="C33" s="173"/>
      <c r="D33" s="162"/>
      <c r="E33" s="173"/>
      <c r="F33" s="162"/>
      <c r="G33" s="173"/>
      <c r="H33" s="173"/>
      <c r="I33" s="173"/>
      <c r="J33" s="173"/>
      <c r="K33" s="315"/>
      <c r="L33" s="315"/>
    </row>
    <row r="34" spans="1:12" ht="13.7" customHeight="1">
      <c r="A34" s="23"/>
      <c r="B34" s="23"/>
      <c r="C34" s="173"/>
      <c r="D34" s="162"/>
      <c r="E34" s="173"/>
      <c r="F34" s="162"/>
      <c r="G34" s="173"/>
      <c r="H34" s="173"/>
      <c r="I34" s="173"/>
      <c r="J34" s="173"/>
      <c r="K34" s="315"/>
      <c r="L34" s="315"/>
    </row>
    <row r="35" spans="1:12" ht="13.7" customHeight="1">
      <c r="A35" s="23"/>
      <c r="B35" s="23"/>
      <c r="C35" s="173"/>
      <c r="D35" s="162"/>
      <c r="E35" s="173"/>
      <c r="F35" s="162"/>
      <c r="G35" s="173"/>
      <c r="H35" s="173"/>
      <c r="I35" s="173"/>
      <c r="J35" s="173"/>
      <c r="K35" s="315"/>
      <c r="L35" s="315"/>
    </row>
    <row r="36" spans="1:12" ht="13.7" customHeight="1">
      <c r="A36" s="23"/>
      <c r="B36" s="23"/>
      <c r="C36" s="173"/>
      <c r="D36" s="162"/>
      <c r="E36" s="173"/>
      <c r="F36" s="162"/>
      <c r="G36" s="173"/>
      <c r="H36" s="173"/>
      <c r="I36" s="173"/>
      <c r="J36" s="173"/>
      <c r="K36" s="315"/>
      <c r="L36" s="315"/>
    </row>
    <row r="37" spans="1:12" ht="13.7" customHeight="1">
      <c r="A37" s="23"/>
      <c r="B37" s="23"/>
      <c r="C37" s="173"/>
      <c r="D37" s="162"/>
      <c r="E37" s="173"/>
      <c r="F37" s="162"/>
      <c r="G37" s="173"/>
      <c r="H37" s="173"/>
      <c r="I37" s="173"/>
      <c r="J37" s="173"/>
      <c r="K37" s="315"/>
      <c r="L37" s="315"/>
    </row>
    <row r="38" spans="1:12" ht="13.7" customHeight="1">
      <c r="A38" s="23" t="s">
        <v>970</v>
      </c>
      <c r="B38" s="23" t="s">
        <v>971</v>
      </c>
      <c r="C38" s="173">
        <v>-12.731</v>
      </c>
      <c r="D38" s="162">
        <v>-12.294</v>
      </c>
      <c r="E38" s="173">
        <v>-11.564</v>
      </c>
      <c r="F38" s="162">
        <v>-10.727</v>
      </c>
      <c r="G38" s="173">
        <v>-10.401</v>
      </c>
      <c r="H38" s="173">
        <v>-10.388</v>
      </c>
      <c r="I38" s="173">
        <v>-10.435</v>
      </c>
      <c r="J38" s="173">
        <v>-10.422000000000001</v>
      </c>
      <c r="K38" s="315">
        <v>-9.4779999999999998</v>
      </c>
      <c r="L38" s="315">
        <v>-9.9900739999999999</v>
      </c>
    </row>
    <row r="39" spans="1:12" s="9" customFormat="1" ht="13.7" customHeight="1"/>
    <row r="40" spans="1:12" s="4" customFormat="1" ht="13.7" customHeight="1">
      <c r="A40" s="2" t="s">
        <v>972</v>
      </c>
      <c r="C40" s="5"/>
      <c r="D40" s="5"/>
      <c r="E40" s="5"/>
      <c r="F40" s="6"/>
      <c r="G40" s="6"/>
      <c r="H40" s="5"/>
      <c r="I40" s="5"/>
      <c r="J40" s="5"/>
      <c r="K40" s="5"/>
      <c r="L40" s="5"/>
    </row>
    <row r="42" spans="1:12" ht="13.7" customHeight="1">
      <c r="A42" s="92"/>
      <c r="B42" s="32"/>
      <c r="C42" s="117"/>
    </row>
    <row r="43" spans="1:12" ht="13.7" customHeight="1">
      <c r="B43" s="25"/>
      <c r="C43" s="117"/>
    </row>
    <row r="44" spans="1:12" ht="13.7" customHeight="1">
      <c r="B44" s="180"/>
      <c r="C44" s="117"/>
    </row>
    <row r="45" spans="1:12" ht="13.7" customHeight="1">
      <c r="B45" s="197"/>
      <c r="C45" s="117"/>
    </row>
    <row r="46" spans="1:12" ht="13.7" customHeight="1">
      <c r="C46" s="24" t="s">
        <v>271</v>
      </c>
    </row>
    <row r="47" spans="1:12" s="252" customFormat="1" ht="13.7" customHeight="1">
      <c r="A47" s="249" t="s">
        <v>233</v>
      </c>
      <c r="C47" s="269">
        <v>12</v>
      </c>
      <c r="D47" s="269" t="s">
        <v>274</v>
      </c>
      <c r="E47" s="269" t="s">
        <v>276</v>
      </c>
      <c r="F47" s="252">
        <v>16</v>
      </c>
      <c r="G47" s="252">
        <v>17</v>
      </c>
      <c r="H47" s="252">
        <v>18</v>
      </c>
      <c r="I47" s="252">
        <v>19</v>
      </c>
      <c r="J47" s="252">
        <v>20</v>
      </c>
      <c r="K47" s="316">
        <f>K12</f>
        <v>21</v>
      </c>
      <c r="L47" s="316">
        <f>L12</f>
        <v>22</v>
      </c>
    </row>
    <row r="48" spans="1:12" s="252" customFormat="1" ht="13.7" customHeight="1">
      <c r="A48" s="252" t="s">
        <v>234</v>
      </c>
      <c r="C48" s="173">
        <v>0.485779724303885</v>
      </c>
      <c r="D48" s="162">
        <v>0.47520927168614446</v>
      </c>
      <c r="E48" s="173">
        <v>0.47520927168614446</v>
      </c>
      <c r="F48" s="162">
        <v>0.49017147505673014</v>
      </c>
      <c r="G48" s="173">
        <v>0.48046542954342225</v>
      </c>
      <c r="H48" s="173">
        <v>0.48529418738850022</v>
      </c>
      <c r="I48" s="173">
        <v>0.47568471864168782</v>
      </c>
      <c r="J48" s="173">
        <v>0.48094613528577801</v>
      </c>
      <c r="K48" s="315">
        <v>0.51823174953460693</v>
      </c>
      <c r="L48" s="315">
        <v>0.5295472</v>
      </c>
    </row>
    <row r="49" spans="1:12" s="252" customFormat="1" ht="13.7" customHeight="1">
      <c r="A49" s="252" t="s">
        <v>236</v>
      </c>
      <c r="C49" s="173">
        <v>0.4747342999399124</v>
      </c>
      <c r="D49" s="162">
        <v>0.55654903441046488</v>
      </c>
      <c r="E49" s="173">
        <v>0.55654903441046488</v>
      </c>
      <c r="F49" s="162">
        <v>0.4955931256926514</v>
      </c>
      <c r="G49" s="173">
        <v>0.58042191514074237</v>
      </c>
      <c r="H49" s="173">
        <v>0.57984178333984637</v>
      </c>
      <c r="I49" s="173">
        <v>0.57984178333984637</v>
      </c>
      <c r="J49" s="173">
        <v>0.58042191514074237</v>
      </c>
      <c r="K49" s="315">
        <v>0.58502745628356934</v>
      </c>
      <c r="L49" s="315">
        <v>0.59265000000000001</v>
      </c>
    </row>
    <row r="50" spans="1:12" s="252" customFormat="1" ht="13.7" customHeight="1">
      <c r="A50" s="252" t="s">
        <v>238</v>
      </c>
      <c r="C50" s="173">
        <v>0.92960083002579275</v>
      </c>
      <c r="D50" s="162">
        <v>0.80412544166655964</v>
      </c>
      <c r="E50" s="173">
        <v>0.80412544166655964</v>
      </c>
      <c r="F50" s="162">
        <v>0.92774348632855286</v>
      </c>
      <c r="G50" s="173">
        <v>0.80011484929455423</v>
      </c>
      <c r="H50" s="173">
        <v>0.79931513436936508</v>
      </c>
      <c r="I50" s="173">
        <v>0.79931513436936508</v>
      </c>
      <c r="J50" s="173">
        <v>0.80011484929455412</v>
      </c>
      <c r="K50" s="315">
        <v>0.78672033548355103</v>
      </c>
      <c r="L50" s="315">
        <v>0.78253600000000001</v>
      </c>
    </row>
    <row r="51" spans="1:12" s="252" customFormat="1" ht="13.7" customHeight="1">
      <c r="A51" s="252" t="s">
        <v>240</v>
      </c>
      <c r="C51" s="173">
        <v>0.60471379439412209</v>
      </c>
      <c r="D51" s="162">
        <v>0.64726466707803465</v>
      </c>
      <c r="E51" s="173">
        <v>0.64791225548535059</v>
      </c>
      <c r="F51" s="162">
        <v>0.6181649177029257</v>
      </c>
      <c r="G51" s="173">
        <v>0.66034028070498285</v>
      </c>
      <c r="H51" s="173">
        <v>0.65968027048438904</v>
      </c>
      <c r="I51" s="173">
        <v>0.65968027048438904</v>
      </c>
      <c r="J51" s="173">
        <v>0.65968027048438904</v>
      </c>
      <c r="K51" s="315">
        <v>0.68302196264266968</v>
      </c>
      <c r="L51" s="315">
        <v>0.69198939999999998</v>
      </c>
    </row>
    <row r="52" spans="1:12" s="252" customFormat="1" ht="13.7" customHeight="1">
      <c r="A52" s="252" t="s">
        <v>242</v>
      </c>
      <c r="C52" s="173">
        <v>0.61631320191228967</v>
      </c>
      <c r="D52" s="162">
        <v>0.70963821156020868</v>
      </c>
      <c r="E52" s="173">
        <v>0.53902140307635704</v>
      </c>
      <c r="F52" s="162">
        <v>0.6169298233735474</v>
      </c>
      <c r="G52" s="173">
        <v>0.68728927879097212</v>
      </c>
      <c r="H52" s="173">
        <v>0.68728927879097224</v>
      </c>
      <c r="I52" s="173">
        <v>0.68728927879097224</v>
      </c>
      <c r="J52" s="173">
        <v>0.68728927879097212</v>
      </c>
      <c r="K52" s="315">
        <v>0.69873523712158203</v>
      </c>
      <c r="L52" s="315">
        <v>0.68907359999999995</v>
      </c>
    </row>
    <row r="53" spans="1:12" s="252" customFormat="1" ht="13.7" customHeight="1">
      <c r="A53" s="252" t="s">
        <v>244</v>
      </c>
      <c r="C53" s="173">
        <v>0.56665762138222464</v>
      </c>
      <c r="D53" s="162">
        <v>0.55822118849070124</v>
      </c>
      <c r="E53" s="173">
        <v>0.43955167147334762</v>
      </c>
      <c r="F53" s="162">
        <v>0.57694981038048665</v>
      </c>
      <c r="G53" s="173">
        <v>0.55599276355783656</v>
      </c>
      <c r="H53" s="173">
        <v>0.55599276355783667</v>
      </c>
      <c r="I53" s="173">
        <v>0.55599276355783667</v>
      </c>
      <c r="J53" s="173">
        <v>0.55599276355783656</v>
      </c>
      <c r="K53" s="315">
        <v>0.56700140237808228</v>
      </c>
      <c r="L53" s="315">
        <v>0.55543629999999999</v>
      </c>
    </row>
    <row r="54" spans="1:12" s="252" customFormat="1" ht="13.7" customHeight="1">
      <c r="A54" s="252" t="s">
        <v>246</v>
      </c>
      <c r="C54" s="173">
        <v>0.64726466707803465</v>
      </c>
      <c r="D54" s="162">
        <v>0.63508273324592812</v>
      </c>
      <c r="E54" s="173">
        <v>0.63571813362641427</v>
      </c>
      <c r="F54" s="162">
        <v>0.67300669593738638</v>
      </c>
      <c r="G54" s="173">
        <v>0.66034028070498285</v>
      </c>
      <c r="H54" s="173">
        <v>0.65968027048438904</v>
      </c>
      <c r="I54" s="173">
        <v>0.66034028070498285</v>
      </c>
      <c r="J54" s="173">
        <v>0.66034028070498296</v>
      </c>
      <c r="K54" s="315">
        <v>0.68174564838409424</v>
      </c>
      <c r="L54" s="315">
        <v>0.6785641</v>
      </c>
    </row>
    <row r="55" spans="1:12" s="252" customFormat="1" ht="13.7" customHeight="1">
      <c r="A55" s="252" t="s">
        <v>248</v>
      </c>
      <c r="C55" s="173">
        <v>0.67502874758613318</v>
      </c>
      <c r="D55" s="162">
        <v>0.72397385436791528</v>
      </c>
      <c r="E55" s="173">
        <v>0.72397385436791528</v>
      </c>
      <c r="F55" s="162">
        <v>0.69004394155878901</v>
      </c>
      <c r="G55" s="173">
        <v>0.72833075512570178</v>
      </c>
      <c r="H55" s="173">
        <v>0.72833075512570167</v>
      </c>
      <c r="I55" s="173">
        <v>0.72833075512570178</v>
      </c>
      <c r="J55" s="173">
        <v>0.72833075512570178</v>
      </c>
      <c r="K55" s="315">
        <v>0.72811758518218994</v>
      </c>
      <c r="L55" s="315">
        <v>0.73117560000000004</v>
      </c>
    </row>
    <row r="56" spans="1:12" s="252" customFormat="1" ht="13.7" customHeight="1">
      <c r="A56" s="252" t="s">
        <v>250</v>
      </c>
      <c r="C56" s="173">
        <v>1</v>
      </c>
      <c r="D56" s="162">
        <v>1</v>
      </c>
      <c r="E56" s="173">
        <v>1</v>
      </c>
      <c r="F56" s="162">
        <v>1</v>
      </c>
      <c r="G56" s="173">
        <v>1</v>
      </c>
      <c r="H56" s="173">
        <v>1</v>
      </c>
      <c r="I56" s="173">
        <v>1</v>
      </c>
      <c r="J56" s="173">
        <v>1</v>
      </c>
      <c r="K56" s="315">
        <v>1</v>
      </c>
      <c r="L56" s="315">
        <v>1</v>
      </c>
    </row>
    <row r="57" spans="1:12" s="252" customFormat="1" ht="13.7" customHeight="1">
      <c r="A57" s="252" t="s">
        <v>252</v>
      </c>
      <c r="C57" s="173">
        <v>0.78899128801760965</v>
      </c>
      <c r="D57" s="162">
        <v>0.93239381990594838</v>
      </c>
      <c r="E57" s="173">
        <v>0.93239381990594838</v>
      </c>
      <c r="F57" s="162">
        <v>0.79294612330668357</v>
      </c>
      <c r="G57" s="173">
        <v>0.93706746337740354</v>
      </c>
      <c r="H57" s="173">
        <v>0.93613086429161896</v>
      </c>
      <c r="I57" s="173">
        <v>0.93613086429161896</v>
      </c>
      <c r="J57" s="173">
        <v>0.93706746337740343</v>
      </c>
      <c r="K57" s="315">
        <v>0.96785527467727661</v>
      </c>
      <c r="L57" s="315">
        <v>0.96497509999999997</v>
      </c>
    </row>
    <row r="58" spans="1:12" s="252" customFormat="1" ht="13.7" customHeight="1">
      <c r="A58" s="252" t="s">
        <v>254</v>
      </c>
      <c r="C58" s="173">
        <v>0.72978887426905681</v>
      </c>
      <c r="D58" s="162">
        <v>0.81709492794223659</v>
      </c>
      <c r="E58" s="173">
        <v>0.8162782414256099</v>
      </c>
      <c r="F58" s="162">
        <v>0.73198152822831264</v>
      </c>
      <c r="G58" s="173">
        <v>0.82201223467818663</v>
      </c>
      <c r="H58" s="173">
        <v>0.82119063331265785</v>
      </c>
      <c r="I58" s="173">
        <v>0.82119063331265796</v>
      </c>
      <c r="J58" s="173">
        <v>0.82201223467818663</v>
      </c>
      <c r="K58" s="315">
        <v>0.85680431127548218</v>
      </c>
      <c r="L58" s="315">
        <v>0.83299579999999995</v>
      </c>
    </row>
    <row r="59" spans="1:12" s="252" customFormat="1" ht="13.7" customHeight="1">
      <c r="A59" s="252" t="s">
        <v>256</v>
      </c>
      <c r="C59" s="173">
        <v>0.76951102370757585</v>
      </c>
      <c r="D59" s="162">
        <v>0.82448197413910818</v>
      </c>
      <c r="E59" s="173">
        <v>0.82448197413910818</v>
      </c>
      <c r="F59" s="162">
        <v>0.77569180204647603</v>
      </c>
      <c r="G59" s="173">
        <v>0.83027359498193276</v>
      </c>
      <c r="H59" s="173">
        <v>0.83027359498193276</v>
      </c>
      <c r="I59" s="173">
        <v>0.83027359498193276</v>
      </c>
      <c r="J59" s="173">
        <v>0.83027359498193265</v>
      </c>
      <c r="K59" s="315">
        <v>0.86230969429016113</v>
      </c>
      <c r="L59" s="315">
        <v>0.86565749999999997</v>
      </c>
    </row>
    <row r="60" spans="1:12" s="252" customFormat="1" ht="13.7" customHeight="1">
      <c r="A60" s="252" t="s">
        <v>258</v>
      </c>
      <c r="C60" s="173">
        <v>0.81139523564341143</v>
      </c>
      <c r="D60" s="162">
        <v>0.95504196219071458</v>
      </c>
      <c r="E60" s="173">
        <v>0.95504196219071458</v>
      </c>
      <c r="F60" s="162">
        <v>0.80011484929455412</v>
      </c>
      <c r="G60" s="173">
        <v>0.94270676915709994</v>
      </c>
      <c r="H60" s="173">
        <v>0.94176453358424872</v>
      </c>
      <c r="I60" s="173">
        <v>0.94176453358424883</v>
      </c>
      <c r="J60" s="173">
        <v>0.94270676915709972</v>
      </c>
      <c r="K60" s="315">
        <v>0.93002814054489136</v>
      </c>
      <c r="L60" s="315">
        <v>0.92319969999999996</v>
      </c>
    </row>
    <row r="61" spans="1:12" s="23" customFormat="1" ht="13.7" customHeight="1"/>
    <row r="62" spans="1:12" s="4" customFormat="1" ht="13.7" customHeight="1">
      <c r="A62" s="2" t="s">
        <v>973</v>
      </c>
      <c r="C62" s="5"/>
      <c r="D62" s="5"/>
      <c r="E62" s="5"/>
      <c r="F62" s="6"/>
      <c r="G62" s="6"/>
      <c r="H62" s="5"/>
      <c r="I62" s="5"/>
      <c r="J62" s="5"/>
      <c r="K62" s="5"/>
      <c r="L62" s="5"/>
    </row>
    <row r="64" spans="1:12" ht="13.7" customHeight="1">
      <c r="A64" s="92"/>
      <c r="B64" s="32"/>
      <c r="C64" s="117"/>
    </row>
    <row r="65" spans="1:12" ht="13.7" customHeight="1">
      <c r="B65" s="25"/>
      <c r="C65" s="117"/>
    </row>
    <row r="66" spans="1:12" ht="13.7" customHeight="1">
      <c r="B66" s="180"/>
      <c r="C66" s="117"/>
    </row>
    <row r="67" spans="1:12" ht="13.7" customHeight="1">
      <c r="B67" s="197"/>
      <c r="C67" s="117"/>
    </row>
    <row r="68" spans="1:12" s="23" customFormat="1" ht="13.7" customHeight="1">
      <c r="C68" s="24" t="s">
        <v>271</v>
      </c>
    </row>
    <row r="69" spans="1:12" s="23" customFormat="1" ht="13.7" customHeight="1">
      <c r="A69" s="32" t="s">
        <v>943</v>
      </c>
      <c r="B69" s="32" t="s">
        <v>46</v>
      </c>
      <c r="C69" s="269">
        <v>12</v>
      </c>
      <c r="D69" s="25" t="s">
        <v>274</v>
      </c>
      <c r="E69" s="25" t="s">
        <v>276</v>
      </c>
      <c r="F69" s="252">
        <v>16</v>
      </c>
      <c r="G69" s="252">
        <v>17</v>
      </c>
      <c r="H69" s="252">
        <v>18</v>
      </c>
      <c r="I69" s="252">
        <v>19</v>
      </c>
      <c r="J69" s="252">
        <v>20</v>
      </c>
      <c r="K69" s="316">
        <f>K47</f>
        <v>21</v>
      </c>
      <c r="L69" s="316">
        <f>L47</f>
        <v>22</v>
      </c>
    </row>
    <row r="70" spans="1:12" ht="13.7" customHeight="1">
      <c r="A70" s="23" t="s">
        <v>944</v>
      </c>
      <c r="B70" s="23" t="s">
        <v>945</v>
      </c>
      <c r="C70" s="173">
        <v>0.44900000000000001</v>
      </c>
      <c r="D70" s="162">
        <v>0.45200000000000001</v>
      </c>
      <c r="E70" s="173">
        <v>0.433</v>
      </c>
      <c r="F70" s="162">
        <v>0.36399999999999999</v>
      </c>
      <c r="G70" s="173">
        <v>0.376</v>
      </c>
      <c r="H70" s="173">
        <v>0.376</v>
      </c>
      <c r="I70" s="173">
        <v>0.376</v>
      </c>
      <c r="J70" s="173">
        <v>0.375</v>
      </c>
      <c r="K70" s="315">
        <v>0.28000000000000003</v>
      </c>
      <c r="L70" s="315">
        <v>0.24244830000000001</v>
      </c>
    </row>
    <row r="71" spans="1:12" ht="13.7" customHeight="1">
      <c r="A71" s="23" t="s">
        <v>946</v>
      </c>
      <c r="B71" s="23" t="s">
        <v>947</v>
      </c>
      <c r="C71" s="173">
        <v>0.109</v>
      </c>
      <c r="D71" s="162">
        <v>0.104</v>
      </c>
      <c r="E71" s="173">
        <v>0.104</v>
      </c>
      <c r="F71" s="162">
        <v>0.13200000000000001</v>
      </c>
      <c r="G71" s="173">
        <v>0.123</v>
      </c>
      <c r="H71" s="173">
        <v>0.124</v>
      </c>
      <c r="I71" s="173">
        <v>0.122</v>
      </c>
      <c r="J71" s="173">
        <v>0.123</v>
      </c>
      <c r="K71" s="315">
        <v>0.129</v>
      </c>
      <c r="L71" s="315">
        <v>0.1390005</v>
      </c>
    </row>
    <row r="72" spans="1:12" ht="13.7" customHeight="1">
      <c r="A72" s="23" t="s">
        <v>948</v>
      </c>
      <c r="B72" s="23" t="s">
        <v>949</v>
      </c>
      <c r="C72" s="173">
        <v>0.41299999999999998</v>
      </c>
      <c r="D72" s="162">
        <v>0.41099999999999998</v>
      </c>
      <c r="E72" s="173">
        <v>0.432</v>
      </c>
      <c r="F72" s="162">
        <v>0.47499999999999998</v>
      </c>
      <c r="G72" s="173">
        <v>0.46700000000000003</v>
      </c>
      <c r="H72" s="173">
        <v>0.46600000000000003</v>
      </c>
      <c r="I72" s="173">
        <v>0.46800000000000003</v>
      </c>
      <c r="J72" s="173">
        <v>0.46800000000000003</v>
      </c>
      <c r="K72" s="315">
        <v>0.55300000000000005</v>
      </c>
      <c r="L72" s="315">
        <v>0.58343420000000001</v>
      </c>
    </row>
    <row r="73" spans="1:12" ht="13.7" customHeight="1">
      <c r="A73" s="23" t="s">
        <v>950</v>
      </c>
      <c r="B73" s="23" t="s">
        <v>951</v>
      </c>
      <c r="C73" s="173">
        <v>-0.18099999999999999</v>
      </c>
      <c r="D73" s="162">
        <v>-0.188</v>
      </c>
      <c r="E73" s="173">
        <v>-0.191</v>
      </c>
      <c r="F73" s="162">
        <v>-0.17</v>
      </c>
      <c r="G73" s="173">
        <v>-0.17599999999999999</v>
      </c>
      <c r="H73" s="173">
        <v>-0.17499999999999999</v>
      </c>
      <c r="I73" s="173">
        <v>-0.17699999999999999</v>
      </c>
      <c r="J73" s="173">
        <v>-0.17499999999999999</v>
      </c>
      <c r="K73" s="315">
        <v>-0.13700000000000001</v>
      </c>
      <c r="L73" s="315">
        <v>-0.1236119</v>
      </c>
    </row>
    <row r="74" spans="1:12" ht="13.7" customHeight="1">
      <c r="A74" s="23" t="s">
        <v>952</v>
      </c>
      <c r="B74" s="23" t="s">
        <v>953</v>
      </c>
      <c r="C74" s="173">
        <v>1.2999999999999999E-2</v>
      </c>
      <c r="D74" s="162">
        <v>1.2999999999999999E-2</v>
      </c>
      <c r="E74" s="173">
        <v>1.2999999999999999E-2</v>
      </c>
      <c r="F74" s="162">
        <v>1.2E-2</v>
      </c>
      <c r="G74" s="173">
        <v>1.2E-2</v>
      </c>
      <c r="H74" s="173">
        <v>1.2E-2</v>
      </c>
      <c r="I74" s="173">
        <v>1.2E-2</v>
      </c>
      <c r="J74" s="173">
        <v>1.2E-2</v>
      </c>
      <c r="K74" s="315">
        <v>0.01</v>
      </c>
      <c r="L74" s="315">
        <v>9.9758999999999994E-3</v>
      </c>
    </row>
    <row r="75" spans="1:12" ht="13.7" customHeight="1">
      <c r="A75" s="23" t="s">
        <v>954</v>
      </c>
      <c r="B75" s="23" t="s">
        <v>955</v>
      </c>
      <c r="C75" s="173">
        <v>0.20899999999999999</v>
      </c>
      <c r="D75" s="162">
        <v>6.2E-2</v>
      </c>
      <c r="E75" s="173">
        <v>5.2999999999999999E-2</v>
      </c>
      <c r="F75" s="162">
        <v>0.19500000000000001</v>
      </c>
      <c r="G75" s="173">
        <v>4.4999999999999998E-2</v>
      </c>
      <c r="H75" s="173">
        <v>4.2999999999999997E-2</v>
      </c>
      <c r="I75" s="173">
        <v>4.5999999999999999E-2</v>
      </c>
      <c r="J75" s="173">
        <v>4.3999999999999997E-2</v>
      </c>
      <c r="K75" s="315">
        <v>2.1999999999999999E-2</v>
      </c>
      <c r="L75" s="315">
        <v>1.2789099999999999E-2</v>
      </c>
    </row>
    <row r="76" spans="1:12" ht="13.7" customHeight="1">
      <c r="A76" s="23" t="s">
        <v>956</v>
      </c>
      <c r="B76" s="23" t="s">
        <v>957</v>
      </c>
      <c r="C76" s="173">
        <v>0.23100000000000001</v>
      </c>
      <c r="D76" s="162">
        <v>9.0999999999999998E-2</v>
      </c>
      <c r="E76" s="173">
        <v>7.9000000000000001E-2</v>
      </c>
      <c r="F76" s="162">
        <v>0.21099999999999999</v>
      </c>
      <c r="G76" s="173">
        <v>6.8000000000000005E-2</v>
      </c>
      <c r="H76" s="173">
        <v>6.6000000000000003E-2</v>
      </c>
      <c r="I76" s="173">
        <v>6.7000000000000004E-2</v>
      </c>
      <c r="J76" s="173">
        <v>6.5000000000000002E-2</v>
      </c>
      <c r="K76" s="315">
        <v>8.8999999999999996E-2</v>
      </c>
      <c r="L76" s="315">
        <v>7.8659999999999994E-2</v>
      </c>
    </row>
    <row r="77" spans="1:12" ht="13.7" customHeight="1">
      <c r="A77" s="23"/>
      <c r="B77" s="23"/>
      <c r="C77" s="173"/>
      <c r="D77" s="162"/>
      <c r="E77" s="173"/>
      <c r="F77" s="162"/>
      <c r="G77" s="173"/>
      <c r="H77" s="173"/>
      <c r="I77" s="173"/>
      <c r="J77" s="173"/>
      <c r="K77" s="315"/>
      <c r="L77" s="315"/>
    </row>
    <row r="78" spans="1:12" ht="13.7" customHeight="1">
      <c r="A78" s="23"/>
      <c r="B78" s="23"/>
      <c r="C78" s="173"/>
      <c r="D78" s="162"/>
      <c r="E78" s="173"/>
      <c r="F78" s="162"/>
      <c r="G78" s="173"/>
      <c r="H78" s="173"/>
      <c r="I78" s="173"/>
      <c r="J78" s="173"/>
      <c r="K78" s="315"/>
      <c r="L78" s="315"/>
    </row>
    <row r="79" spans="1:12" ht="13.7" customHeight="1">
      <c r="A79" s="23"/>
      <c r="B79" s="23"/>
      <c r="C79" s="173"/>
      <c r="D79" s="162"/>
      <c r="E79" s="173"/>
      <c r="F79" s="162"/>
      <c r="G79" s="173"/>
      <c r="H79" s="173"/>
      <c r="I79" s="173"/>
      <c r="J79" s="173"/>
      <c r="K79" s="315"/>
      <c r="L79" s="315"/>
    </row>
    <row r="80" spans="1:12" ht="13.7" customHeight="1">
      <c r="A80" s="23"/>
      <c r="B80" s="23"/>
      <c r="C80" s="173"/>
      <c r="D80" s="162"/>
      <c r="E80" s="173"/>
      <c r="F80" s="162"/>
      <c r="G80" s="173"/>
      <c r="H80" s="173"/>
      <c r="I80" s="173"/>
      <c r="J80" s="173"/>
      <c r="K80" s="315"/>
      <c r="L80" s="315"/>
    </row>
    <row r="81" spans="1:12" ht="13.7" customHeight="1">
      <c r="A81" s="23"/>
      <c r="B81" s="23"/>
      <c r="C81" s="173"/>
      <c r="D81" s="162"/>
      <c r="E81" s="173"/>
      <c r="F81" s="162"/>
      <c r="G81" s="173"/>
      <c r="H81" s="173"/>
      <c r="I81" s="173"/>
      <c r="J81" s="173"/>
      <c r="K81" s="315"/>
      <c r="L81" s="315"/>
    </row>
    <row r="82" spans="1:12" ht="13.7" customHeight="1">
      <c r="A82" s="23"/>
      <c r="B82" s="23"/>
      <c r="C82" s="173"/>
      <c r="D82" s="162"/>
      <c r="E82" s="173"/>
      <c r="F82" s="162"/>
      <c r="G82" s="173"/>
      <c r="H82" s="173"/>
      <c r="I82" s="173"/>
      <c r="J82" s="173"/>
      <c r="K82" s="315"/>
      <c r="L82" s="315"/>
    </row>
    <row r="83" spans="1:12" ht="13.7" customHeight="1">
      <c r="A83" s="23"/>
      <c r="B83" s="23"/>
      <c r="C83" s="173"/>
      <c r="D83" s="162"/>
      <c r="E83" s="173"/>
      <c r="F83" s="162"/>
      <c r="G83" s="173"/>
      <c r="H83" s="173"/>
      <c r="I83" s="173"/>
      <c r="J83" s="173"/>
      <c r="K83" s="315"/>
      <c r="L83" s="315"/>
    </row>
    <row r="84" spans="1:12" ht="13.7" customHeight="1">
      <c r="A84" s="23"/>
      <c r="B84" s="23"/>
      <c r="C84" s="173"/>
      <c r="D84" s="162"/>
      <c r="E84" s="173"/>
      <c r="F84" s="162"/>
      <c r="G84" s="173"/>
      <c r="H84" s="173"/>
      <c r="I84" s="173"/>
      <c r="J84" s="173"/>
      <c r="K84" s="315"/>
      <c r="L84" s="315"/>
    </row>
    <row r="85" spans="1:12" ht="13.7" customHeight="1">
      <c r="A85" s="23"/>
      <c r="B85" s="23"/>
      <c r="C85" s="173"/>
      <c r="D85" s="162"/>
      <c r="E85" s="173"/>
      <c r="F85" s="162"/>
      <c r="G85" s="173"/>
      <c r="H85" s="173"/>
      <c r="I85" s="173"/>
      <c r="J85" s="173"/>
      <c r="K85" s="315"/>
      <c r="L85" s="315"/>
    </row>
    <row r="86" spans="1:12" ht="13.7" customHeight="1">
      <c r="A86" s="23"/>
      <c r="B86" s="23"/>
      <c r="C86" s="173"/>
      <c r="D86" s="162"/>
      <c r="E86" s="173"/>
      <c r="F86" s="162"/>
      <c r="G86" s="173"/>
      <c r="H86" s="173"/>
      <c r="I86" s="173"/>
      <c r="J86" s="173"/>
      <c r="K86" s="315"/>
      <c r="L86" s="315"/>
    </row>
    <row r="87" spans="1:12" ht="13.7" customHeight="1">
      <c r="A87" s="23"/>
      <c r="B87" s="23"/>
      <c r="C87" s="173"/>
      <c r="D87" s="162"/>
      <c r="E87" s="173"/>
      <c r="F87" s="162"/>
      <c r="G87" s="173"/>
      <c r="H87" s="173"/>
      <c r="I87" s="173"/>
      <c r="J87" s="173"/>
      <c r="K87" s="315"/>
      <c r="L87" s="315"/>
    </row>
    <row r="88" spans="1:12" ht="13.7" customHeight="1">
      <c r="A88" s="23"/>
      <c r="B88" s="23"/>
      <c r="C88" s="173"/>
      <c r="D88" s="162"/>
      <c r="E88" s="173"/>
      <c r="F88" s="162"/>
      <c r="G88" s="173"/>
      <c r="H88" s="173"/>
      <c r="I88" s="173"/>
      <c r="J88" s="173"/>
      <c r="K88" s="315"/>
      <c r="L88" s="315"/>
    </row>
    <row r="89" spans="1:12" ht="13.7" customHeight="1">
      <c r="A89" s="23"/>
      <c r="B89" s="23"/>
      <c r="C89" s="173"/>
      <c r="D89" s="162"/>
      <c r="E89" s="173"/>
      <c r="F89" s="162"/>
      <c r="G89" s="173"/>
      <c r="H89" s="173"/>
      <c r="I89" s="173"/>
      <c r="J89" s="173"/>
      <c r="K89" s="315"/>
      <c r="L89" s="315"/>
    </row>
    <row r="90" spans="1:12" ht="13.7" customHeight="1">
      <c r="A90" s="23"/>
      <c r="B90" s="23"/>
      <c r="C90" s="173"/>
      <c r="D90" s="162"/>
      <c r="E90" s="173"/>
      <c r="F90" s="162"/>
      <c r="G90" s="173"/>
      <c r="H90" s="173"/>
      <c r="I90" s="173"/>
      <c r="J90" s="173"/>
      <c r="K90" s="315"/>
      <c r="L90" s="315"/>
    </row>
    <row r="91" spans="1:12" ht="13.7" customHeight="1">
      <c r="A91" s="23"/>
      <c r="B91" s="23"/>
      <c r="C91" s="173"/>
      <c r="D91" s="162"/>
      <c r="E91" s="173"/>
      <c r="F91" s="162"/>
      <c r="G91" s="173"/>
      <c r="H91" s="173"/>
      <c r="I91" s="173"/>
      <c r="J91" s="173"/>
      <c r="K91" s="315"/>
      <c r="L91" s="315"/>
    </row>
    <row r="92" spans="1:12" ht="13.7" customHeight="1">
      <c r="A92" s="23"/>
      <c r="B92" s="23"/>
      <c r="C92" s="173"/>
      <c r="D92" s="162"/>
      <c r="E92" s="173"/>
      <c r="F92" s="162"/>
      <c r="G92" s="173"/>
      <c r="H92" s="173"/>
      <c r="I92" s="173"/>
      <c r="J92" s="173"/>
      <c r="K92" s="315"/>
      <c r="L92" s="315"/>
    </row>
    <row r="93" spans="1:12" ht="13.7" customHeight="1">
      <c r="A93" s="23"/>
      <c r="B93" s="23"/>
      <c r="C93" s="173"/>
      <c r="D93" s="162"/>
      <c r="E93" s="173"/>
      <c r="F93" s="162"/>
      <c r="G93" s="173"/>
      <c r="H93" s="173"/>
      <c r="I93" s="173"/>
      <c r="J93" s="173"/>
      <c r="K93" s="315"/>
      <c r="L93" s="315"/>
    </row>
    <row r="94" spans="1:12" ht="13.7" customHeight="1">
      <c r="A94" s="23"/>
      <c r="B94" s="23"/>
      <c r="C94" s="173"/>
      <c r="D94" s="162"/>
      <c r="E94" s="173"/>
      <c r="F94" s="162"/>
      <c r="G94" s="173"/>
      <c r="H94" s="173"/>
      <c r="I94" s="173"/>
      <c r="J94" s="173"/>
      <c r="K94" s="315"/>
      <c r="L94" s="315"/>
    </row>
    <row r="95" spans="1:12" ht="13.7" customHeight="1">
      <c r="A95" s="23" t="s">
        <v>970</v>
      </c>
      <c r="B95" s="23" t="s">
        <v>971</v>
      </c>
      <c r="C95" s="173">
        <v>-16.994</v>
      </c>
      <c r="D95" s="162">
        <v>-17.210999999999999</v>
      </c>
      <c r="E95" s="173">
        <v>-16.754000000000001</v>
      </c>
      <c r="F95" s="162">
        <v>-14.31</v>
      </c>
      <c r="G95" s="173">
        <v>-14.412000000000001</v>
      </c>
      <c r="H95" s="173">
        <v>-14.356999999999999</v>
      </c>
      <c r="I95" s="173">
        <v>-14.478</v>
      </c>
      <c r="J95" s="173">
        <v>-14.423</v>
      </c>
      <c r="K95" s="315">
        <v>-11.226000000000001</v>
      </c>
      <c r="L95" s="315">
        <v>-10.3024</v>
      </c>
    </row>
    <row r="96" spans="1:12" s="9" customFormat="1" ht="13.7" customHeight="1"/>
    <row r="97" spans="1:12" s="4" customFormat="1" ht="13.7" customHeight="1">
      <c r="A97" s="2" t="s">
        <v>974</v>
      </c>
      <c r="C97" s="5"/>
      <c r="D97" s="5"/>
      <c r="E97" s="5"/>
      <c r="F97" s="6"/>
      <c r="G97" s="6"/>
      <c r="H97" s="5"/>
      <c r="I97" s="5"/>
      <c r="J97" s="5"/>
      <c r="K97" s="5"/>
      <c r="L97" s="5"/>
    </row>
    <row r="98" spans="1:12" ht="14.25"/>
    <row r="99" spans="1:12" ht="13.7" customHeight="1">
      <c r="A99" s="92"/>
      <c r="B99" s="32"/>
      <c r="C99" s="117"/>
    </row>
    <row r="100" spans="1:12" ht="13.7" customHeight="1">
      <c r="B100" s="25"/>
      <c r="C100" s="117"/>
    </row>
    <row r="101" spans="1:12" ht="13.7" customHeight="1">
      <c r="B101" s="180"/>
      <c r="C101" s="117"/>
    </row>
    <row r="102" spans="1:12" ht="13.7" customHeight="1">
      <c r="B102" s="197"/>
      <c r="C102" s="117"/>
    </row>
    <row r="103" spans="1:12" ht="13.7" customHeight="1">
      <c r="C103" s="24" t="s">
        <v>271</v>
      </c>
    </row>
    <row r="104" spans="1:12" s="23" customFormat="1" ht="13.7" customHeight="1">
      <c r="A104" s="24" t="s">
        <v>233</v>
      </c>
      <c r="C104" s="269">
        <v>12</v>
      </c>
      <c r="D104" s="25" t="s">
        <v>274</v>
      </c>
      <c r="E104" s="25" t="s">
        <v>276</v>
      </c>
      <c r="F104" s="252">
        <v>16</v>
      </c>
      <c r="G104" s="252">
        <v>17</v>
      </c>
      <c r="H104" s="252">
        <v>18</v>
      </c>
      <c r="I104" s="252">
        <v>19</v>
      </c>
      <c r="J104" s="252">
        <v>20</v>
      </c>
      <c r="K104" s="316">
        <f>K69</f>
        <v>21</v>
      </c>
      <c r="L104" s="316">
        <f>L69</f>
        <v>22</v>
      </c>
    </row>
    <row r="105" spans="1:12" s="23" customFormat="1" ht="13.7" customHeight="1">
      <c r="A105" s="23" t="s">
        <v>234</v>
      </c>
      <c r="C105" s="173">
        <v>0.48595613241195679</v>
      </c>
      <c r="D105" s="162">
        <v>0.46674010157585144</v>
      </c>
      <c r="E105" s="173">
        <v>0.46776419878005981</v>
      </c>
      <c r="F105" s="162">
        <v>0.4877919</v>
      </c>
      <c r="G105" s="173">
        <v>0.47481129999999999</v>
      </c>
      <c r="H105" s="173">
        <v>0.47537592053413391</v>
      </c>
      <c r="I105" s="173">
        <v>0.47087162733078003</v>
      </c>
      <c r="J105" s="173">
        <v>0.47129034996032715</v>
      </c>
      <c r="K105" s="315">
        <v>0.53035098314285278</v>
      </c>
      <c r="L105" s="315">
        <v>0.55156989999999995</v>
      </c>
    </row>
    <row r="106" spans="1:12" s="23" customFormat="1" ht="13.7" customHeight="1">
      <c r="A106" s="23" t="s">
        <v>236</v>
      </c>
      <c r="C106" s="173">
        <v>0.46960654854774475</v>
      </c>
      <c r="D106" s="162">
        <v>0.5363500714302063</v>
      </c>
      <c r="E106" s="173">
        <v>0.54014509916305542</v>
      </c>
      <c r="F106" s="162">
        <v>0.47935480000000003</v>
      </c>
      <c r="G106" s="173">
        <v>0.55319719999999994</v>
      </c>
      <c r="H106" s="173">
        <v>0.55336230993270874</v>
      </c>
      <c r="I106" s="173">
        <v>0.55381304025650024</v>
      </c>
      <c r="J106" s="173">
        <v>0.55389624834060669</v>
      </c>
      <c r="K106" s="315">
        <v>0.61094510555267334</v>
      </c>
      <c r="L106" s="315">
        <v>0.63383440000000002</v>
      </c>
    </row>
    <row r="107" spans="1:12" s="23" customFormat="1" ht="13.7" customHeight="1">
      <c r="A107" s="23" t="s">
        <v>238</v>
      </c>
      <c r="C107" s="173">
        <v>0.94819164276123047</v>
      </c>
      <c r="D107" s="162">
        <v>0.82969212532043457</v>
      </c>
      <c r="E107" s="173">
        <v>0.83554971218109131</v>
      </c>
      <c r="F107" s="162">
        <v>0.9423994</v>
      </c>
      <c r="G107" s="173">
        <v>0.83251149999999996</v>
      </c>
      <c r="H107" s="173">
        <v>0.83309775590896606</v>
      </c>
      <c r="I107" s="173">
        <v>0.83398580551147461</v>
      </c>
      <c r="J107" s="173">
        <v>0.83435201644897461</v>
      </c>
      <c r="K107" s="315">
        <v>0.92649543285369873</v>
      </c>
      <c r="L107" s="315">
        <v>0.93827609999999995</v>
      </c>
    </row>
    <row r="108" spans="1:12" s="23" customFormat="1" ht="13.7" customHeight="1">
      <c r="A108" s="23" t="s">
        <v>240</v>
      </c>
      <c r="C108" s="173">
        <v>0.60854500532150269</v>
      </c>
      <c r="D108" s="162">
        <v>0.63752371072769165</v>
      </c>
      <c r="E108" s="173">
        <v>0.64333224296569824</v>
      </c>
      <c r="F108" s="162">
        <v>0.61867870000000003</v>
      </c>
      <c r="G108" s="173">
        <v>0.65337469999999997</v>
      </c>
      <c r="H108" s="173">
        <v>0.6539425253868103</v>
      </c>
      <c r="I108" s="173">
        <v>0.653880774974823</v>
      </c>
      <c r="J108" s="173">
        <v>0.65440618991851807</v>
      </c>
      <c r="K108" s="315">
        <v>0.72203278541564941</v>
      </c>
      <c r="L108" s="315">
        <v>0.74553380000000002</v>
      </c>
    </row>
    <row r="109" spans="1:12" s="23" customFormat="1" ht="13.7" customHeight="1">
      <c r="A109" s="23" t="s">
        <v>242</v>
      </c>
      <c r="C109" s="173">
        <v>0.6091194748878479</v>
      </c>
      <c r="D109" s="162">
        <v>0.67955225706100464</v>
      </c>
      <c r="E109" s="173">
        <v>0.51831084489822388</v>
      </c>
      <c r="F109" s="162">
        <v>0.60552139999999999</v>
      </c>
      <c r="G109" s="173">
        <v>0.65966100000000005</v>
      </c>
      <c r="H109" s="173">
        <v>0.66013526916503906</v>
      </c>
      <c r="I109" s="173">
        <v>0.66008418798446655</v>
      </c>
      <c r="J109" s="173">
        <v>0.66051614284515381</v>
      </c>
      <c r="K109" s="315">
        <v>0.70949059724807739</v>
      </c>
      <c r="L109" s="315">
        <v>0.72028630000000005</v>
      </c>
    </row>
    <row r="110" spans="1:12" s="23" customFormat="1" ht="13.7" customHeight="1">
      <c r="A110" s="23" t="s">
        <v>244</v>
      </c>
      <c r="C110" s="173">
        <v>0.58101260662078857</v>
      </c>
      <c r="D110" s="162">
        <v>0.55490881204605103</v>
      </c>
      <c r="E110" s="173">
        <v>0.44218510389328003</v>
      </c>
      <c r="F110" s="162">
        <v>0.5992537</v>
      </c>
      <c r="G110" s="173">
        <v>0.56074590000000002</v>
      </c>
      <c r="H110" s="173">
        <v>0.56081193685531616</v>
      </c>
      <c r="I110" s="173">
        <v>0.5605965256690979</v>
      </c>
      <c r="J110" s="173">
        <v>0.5607483983039856</v>
      </c>
      <c r="K110" s="315">
        <v>0.57925528287887573</v>
      </c>
      <c r="L110" s="315">
        <v>0.58438900000000005</v>
      </c>
    </row>
    <row r="111" spans="1:12" s="23" customFormat="1" ht="13.7" customHeight="1">
      <c r="A111" s="23" t="s">
        <v>246</v>
      </c>
      <c r="C111" s="173">
        <v>0.60645729303359985</v>
      </c>
      <c r="D111" s="162">
        <v>0.58925598859786987</v>
      </c>
      <c r="E111" s="173">
        <v>0.59485805034637451</v>
      </c>
      <c r="F111" s="162">
        <v>0.61649109999999996</v>
      </c>
      <c r="G111" s="173">
        <v>0.60148159999999995</v>
      </c>
      <c r="H111" s="173">
        <v>0.60147881507873535</v>
      </c>
      <c r="I111" s="173">
        <v>0.60112202167510986</v>
      </c>
      <c r="J111" s="173">
        <v>0.60121357440948486</v>
      </c>
      <c r="K111" s="315">
        <v>0.60087704658508301</v>
      </c>
      <c r="L111" s="315">
        <v>0.60430320000000004</v>
      </c>
    </row>
    <row r="112" spans="1:12" s="23" customFormat="1" ht="13.7" customHeight="1">
      <c r="A112" s="23" t="s">
        <v>248</v>
      </c>
      <c r="C112" s="173">
        <v>0.66202068328857422</v>
      </c>
      <c r="D112" s="162">
        <v>0.70248740911483765</v>
      </c>
      <c r="E112" s="173">
        <v>0.70292633771896362</v>
      </c>
      <c r="F112" s="162">
        <v>0.65130719999999998</v>
      </c>
      <c r="G112" s="173">
        <v>0.69489219999999996</v>
      </c>
      <c r="H112" s="173">
        <v>0.69530969858169556</v>
      </c>
      <c r="I112" s="173">
        <v>0.69563949108123779</v>
      </c>
      <c r="J112" s="173">
        <v>0.69590795040130615</v>
      </c>
      <c r="K112" s="315">
        <v>0.73687952756881714</v>
      </c>
      <c r="L112" s="315">
        <v>0.74152839999999998</v>
      </c>
    </row>
    <row r="113" spans="1:12" s="23" customFormat="1" ht="13.7" customHeight="1">
      <c r="A113" s="23" t="s">
        <v>250</v>
      </c>
      <c r="C113" s="173">
        <v>0.9705502986907959</v>
      </c>
      <c r="D113" s="162">
        <v>0.96566241979598999</v>
      </c>
      <c r="E113" s="173">
        <v>0.96991348266601563</v>
      </c>
      <c r="F113" s="162">
        <v>0.96549070000000003</v>
      </c>
      <c r="G113" s="173">
        <v>0.96267990000000003</v>
      </c>
      <c r="H113" s="173">
        <v>0.96266841888427734</v>
      </c>
      <c r="I113" s="173">
        <v>0.96280872821807861</v>
      </c>
      <c r="J113" s="173">
        <v>0.9628111720085144</v>
      </c>
      <c r="K113" s="315">
        <v>0.96671491861343384</v>
      </c>
      <c r="L113" s="315">
        <v>0.96466260000000004</v>
      </c>
    </row>
    <row r="114" spans="1:12" s="23" customFormat="1" ht="13.7" customHeight="1">
      <c r="A114" s="23" t="s">
        <v>252</v>
      </c>
      <c r="C114" s="173">
        <v>0.75381982326507568</v>
      </c>
      <c r="D114" s="162">
        <v>0.86901652812957764</v>
      </c>
      <c r="E114" s="173">
        <v>0.87600654363632202</v>
      </c>
      <c r="F114" s="162">
        <v>0.75800679999999998</v>
      </c>
      <c r="G114" s="173">
        <v>0.87880100000000005</v>
      </c>
      <c r="H114" s="173">
        <v>0.87995082139968872</v>
      </c>
      <c r="I114" s="173">
        <v>0.87856340408325195</v>
      </c>
      <c r="J114" s="173">
        <v>0.87981098890304565</v>
      </c>
      <c r="K114" s="315">
        <v>0.92259788513183594</v>
      </c>
      <c r="L114" s="315">
        <v>0.93061669999999996</v>
      </c>
    </row>
    <row r="115" spans="1:12" s="23" customFormat="1" ht="13.7" customHeight="1">
      <c r="A115" s="23" t="s">
        <v>254</v>
      </c>
      <c r="C115" s="173">
        <v>0.67679589986801147</v>
      </c>
      <c r="D115" s="162">
        <v>0.74865514039993286</v>
      </c>
      <c r="E115" s="173">
        <v>0.75073403120040894</v>
      </c>
      <c r="F115" s="162">
        <v>0.65884039999999999</v>
      </c>
      <c r="G115" s="173">
        <v>0.73686569999999996</v>
      </c>
      <c r="H115" s="173">
        <v>0.73725783824920654</v>
      </c>
      <c r="I115" s="173">
        <v>0.73690849542617798</v>
      </c>
      <c r="J115" s="173">
        <v>0.73729193210601807</v>
      </c>
      <c r="K115" s="315">
        <v>0.75419414043426514</v>
      </c>
      <c r="L115" s="315">
        <v>0.74941670000000005</v>
      </c>
    </row>
    <row r="116" spans="1:12" s="23" customFormat="1" ht="13.7" customHeight="1">
      <c r="A116" s="23" t="s">
        <v>256</v>
      </c>
      <c r="C116" s="173">
        <v>0.79220288991928101</v>
      </c>
      <c r="D116" s="162">
        <v>0.84613555669784546</v>
      </c>
      <c r="E116" s="173">
        <v>0.85480976104736328</v>
      </c>
      <c r="F116" s="162">
        <v>0.79485170000000005</v>
      </c>
      <c r="G116" s="173">
        <v>0.85127560000000002</v>
      </c>
      <c r="H116" s="173">
        <v>0.85180580615997314</v>
      </c>
      <c r="I116" s="173">
        <v>0.85157656669616699</v>
      </c>
      <c r="J116" s="173">
        <v>0.85210859775543213</v>
      </c>
      <c r="K116" s="315">
        <v>0.89609682559967041</v>
      </c>
      <c r="L116" s="315">
        <v>0.90376129999999999</v>
      </c>
    </row>
    <row r="117" spans="1:12" s="23" customFormat="1" ht="13.7" customHeight="1">
      <c r="A117" s="23" t="s">
        <v>258</v>
      </c>
      <c r="C117" s="173">
        <v>0.81911039352416992</v>
      </c>
      <c r="D117" s="162">
        <v>0.95023143291473389</v>
      </c>
      <c r="E117" s="173">
        <v>0.95309388637542725</v>
      </c>
      <c r="F117" s="162">
        <v>0.79354270000000005</v>
      </c>
      <c r="G117" s="173">
        <v>0.93503729999999996</v>
      </c>
      <c r="H117" s="173">
        <v>0.93496108055114746</v>
      </c>
      <c r="I117" s="173">
        <v>0.93622606992721558</v>
      </c>
      <c r="J117" s="173">
        <v>0.93595010042190552</v>
      </c>
      <c r="K117" s="315">
        <v>0.96931767463684082</v>
      </c>
      <c r="L117" s="315">
        <v>0.96968529999999997</v>
      </c>
    </row>
    <row r="118" spans="1:12" s="9" customFormat="1" ht="13.7" customHeight="1"/>
    <row r="119" spans="1:12" s="4" customFormat="1" ht="13.7" customHeight="1">
      <c r="A119" s="2" t="s">
        <v>975</v>
      </c>
      <c r="C119" s="5"/>
      <c r="D119" s="5"/>
      <c r="E119" s="5"/>
      <c r="F119" s="6"/>
      <c r="G119" s="6"/>
      <c r="H119" s="5"/>
      <c r="I119" s="5"/>
      <c r="J119" s="5"/>
      <c r="K119" s="5"/>
      <c r="L119" s="5"/>
    </row>
    <row r="121" spans="1:12" ht="13.7" customHeight="1">
      <c r="A121" s="92"/>
      <c r="B121" s="32"/>
      <c r="C121" s="117"/>
    </row>
    <row r="122" spans="1:12" ht="13.7" customHeight="1">
      <c r="B122" s="25"/>
      <c r="C122" s="117"/>
    </row>
    <row r="123" spans="1:12" ht="13.7" customHeight="1">
      <c r="B123" s="180"/>
      <c r="C123" s="117"/>
    </row>
    <row r="124" spans="1:12" ht="13.7" customHeight="1">
      <c r="B124" s="197"/>
      <c r="C124" s="117"/>
    </row>
    <row r="125" spans="1:12" s="23" customFormat="1" ht="13.7" customHeight="1">
      <c r="C125" s="24" t="s">
        <v>271</v>
      </c>
    </row>
    <row r="126" spans="1:12" s="23" customFormat="1" ht="13.7" customHeight="1">
      <c r="A126" s="32" t="s">
        <v>943</v>
      </c>
      <c r="B126" s="32" t="s">
        <v>46</v>
      </c>
      <c r="C126" s="269">
        <v>12</v>
      </c>
      <c r="D126" s="25" t="s">
        <v>274</v>
      </c>
      <c r="E126" s="25" t="s">
        <v>276</v>
      </c>
      <c r="F126" s="252">
        <v>16</v>
      </c>
      <c r="G126" s="252">
        <v>17</v>
      </c>
      <c r="H126" s="252">
        <v>18</v>
      </c>
      <c r="I126" s="252">
        <v>19</v>
      </c>
      <c r="J126" s="252">
        <v>20</v>
      </c>
      <c r="K126" s="316">
        <f>K104</f>
        <v>21</v>
      </c>
      <c r="L126" s="316">
        <f>L104</f>
        <v>22</v>
      </c>
    </row>
    <row r="127" spans="1:12" ht="13.7" customHeight="1">
      <c r="A127" s="23" t="s">
        <v>944</v>
      </c>
      <c r="B127" s="23" t="s">
        <v>976</v>
      </c>
      <c r="C127" s="173">
        <v>0.437</v>
      </c>
      <c r="D127" s="162">
        <v>0.437</v>
      </c>
      <c r="E127" s="173">
        <v>0.434</v>
      </c>
      <c r="F127" s="162">
        <v>0.40100000000000002</v>
      </c>
      <c r="G127" s="173">
        <v>0.40300000000000002</v>
      </c>
      <c r="H127" s="173">
        <v>0.40500000000000003</v>
      </c>
      <c r="I127" s="173">
        <v>0.40400000000000003</v>
      </c>
      <c r="J127" s="173">
        <v>0.40500000000000003</v>
      </c>
      <c r="K127" s="315">
        <v>0.35699999999999998</v>
      </c>
      <c r="L127" s="315">
        <v>0.35791430000000002</v>
      </c>
    </row>
    <row r="128" spans="1:12" ht="13.7" customHeight="1">
      <c r="A128" s="23" t="s">
        <v>946</v>
      </c>
      <c r="B128" s="23" t="s">
        <v>977</v>
      </c>
      <c r="C128" s="173">
        <v>0.16400000000000001</v>
      </c>
      <c r="D128" s="162">
        <v>0.16500000000000001</v>
      </c>
      <c r="E128" s="173">
        <v>0.16600000000000001</v>
      </c>
      <c r="F128" s="162">
        <v>0.182</v>
      </c>
      <c r="G128" s="173">
        <v>0.183</v>
      </c>
      <c r="H128" s="173">
        <v>0.182</v>
      </c>
      <c r="I128" s="173">
        <v>0.182</v>
      </c>
      <c r="J128" s="173">
        <v>0.182</v>
      </c>
      <c r="K128" s="315">
        <v>0.23799999999999999</v>
      </c>
      <c r="L128" s="315">
        <v>0.2330788</v>
      </c>
    </row>
    <row r="129" spans="1:12" ht="13.7" customHeight="1">
      <c r="A129" s="23" t="s">
        <v>948</v>
      </c>
      <c r="B129" s="23" t="s">
        <v>978</v>
      </c>
      <c r="C129" s="173">
        <v>0.35599999999999998</v>
      </c>
      <c r="D129" s="162">
        <v>0.35399999999999998</v>
      </c>
      <c r="E129" s="173">
        <v>0.35699999999999998</v>
      </c>
      <c r="F129" s="162">
        <v>0.373</v>
      </c>
      <c r="G129" s="173">
        <v>0.37</v>
      </c>
      <c r="H129" s="173">
        <v>0.36899999999999999</v>
      </c>
      <c r="I129" s="173">
        <v>0.37</v>
      </c>
      <c r="J129" s="173">
        <v>0.36899999999999999</v>
      </c>
      <c r="K129" s="315">
        <v>0.36099999999999999</v>
      </c>
      <c r="L129" s="315">
        <v>0.36370520000000001</v>
      </c>
    </row>
    <row r="130" spans="1:12" ht="13.7" customHeight="1">
      <c r="A130" s="23" t="s">
        <v>950</v>
      </c>
      <c r="B130" s="23" t="s">
        <v>951</v>
      </c>
      <c r="C130" s="173">
        <v>-0.13300000000000001</v>
      </c>
      <c r="D130" s="162">
        <v>-0.13</v>
      </c>
      <c r="E130" s="173">
        <v>-0.13100000000000001</v>
      </c>
      <c r="F130" s="162">
        <v>-0.126</v>
      </c>
      <c r="G130" s="173">
        <v>-0.124</v>
      </c>
      <c r="H130" s="173">
        <v>-0.124</v>
      </c>
      <c r="I130" s="173">
        <v>-0.124</v>
      </c>
      <c r="J130" s="173">
        <v>-0.124</v>
      </c>
      <c r="K130" s="315">
        <v>-9.9000000000000005E-2</v>
      </c>
      <c r="L130" s="315">
        <v>-0.10311670000000001</v>
      </c>
    </row>
    <row r="131" spans="1:12" ht="13.7" customHeight="1">
      <c r="A131" s="23" t="s">
        <v>952</v>
      </c>
      <c r="B131" s="23" t="s">
        <v>953</v>
      </c>
      <c r="C131" s="173">
        <v>1.2999999999999999E-2</v>
      </c>
      <c r="D131" s="162">
        <v>1.2999999999999999E-2</v>
      </c>
      <c r="E131" s="173">
        <v>1.2E-2</v>
      </c>
      <c r="F131" s="162">
        <v>1.2E-2</v>
      </c>
      <c r="G131" s="173">
        <v>1.2E-2</v>
      </c>
      <c r="H131" s="173">
        <v>1.2E-2</v>
      </c>
      <c r="I131" s="173">
        <v>1.2E-2</v>
      </c>
      <c r="J131" s="173">
        <v>1.2E-2</v>
      </c>
      <c r="K131" s="315">
        <v>1.2E-2</v>
      </c>
      <c r="L131" s="315">
        <v>1.1817100000000001E-2</v>
      </c>
    </row>
    <row r="132" spans="1:12" ht="13.7" customHeight="1">
      <c r="A132" s="23" t="s">
        <v>954</v>
      </c>
      <c r="B132" s="23" t="s">
        <v>955</v>
      </c>
      <c r="C132" s="173">
        <v>-0.29699999999999999</v>
      </c>
      <c r="D132" s="162">
        <v>-0.48499999999999999</v>
      </c>
      <c r="E132" s="173">
        <v>-0.48499999999999999</v>
      </c>
      <c r="F132" s="162">
        <v>-0.28599999999999998</v>
      </c>
      <c r="G132" s="173">
        <v>-0.47299999999999998</v>
      </c>
      <c r="H132" s="173">
        <v>-0.45400000000000001</v>
      </c>
      <c r="I132" s="173">
        <v>-0.48199999999999998</v>
      </c>
      <c r="J132" s="173">
        <v>-0.46300000000000002</v>
      </c>
      <c r="K132" s="315">
        <v>-0.432</v>
      </c>
      <c r="L132" s="315">
        <v>-0.40895379999999998</v>
      </c>
    </row>
    <row r="133" spans="1:12" ht="13.7" customHeight="1">
      <c r="A133" s="23" t="s">
        <v>956</v>
      </c>
      <c r="B133" s="23" t="s">
        <v>957</v>
      </c>
      <c r="C133" s="173">
        <v>-0.17799999999999999</v>
      </c>
      <c r="D133" s="162">
        <v>-0.36599999999999999</v>
      </c>
      <c r="E133" s="173">
        <v>-0.36599999999999999</v>
      </c>
      <c r="F133" s="162">
        <v>-0.17399999999999999</v>
      </c>
      <c r="G133" s="173">
        <v>-0.35899999999999999</v>
      </c>
      <c r="H133" s="173">
        <v>-0.34</v>
      </c>
      <c r="I133" s="173">
        <v>-0.36799999999999999</v>
      </c>
      <c r="J133" s="173">
        <v>-0.34899999999999998</v>
      </c>
      <c r="K133" s="315">
        <v>-0.26400000000000001</v>
      </c>
      <c r="L133" s="315">
        <v>-0.25226300000000001</v>
      </c>
    </row>
    <row r="134" spans="1:12" ht="13.7" customHeight="1">
      <c r="A134" s="23" t="s">
        <v>958</v>
      </c>
      <c r="B134" s="23" t="s">
        <v>236</v>
      </c>
      <c r="C134" s="173">
        <v>-6.4000000000000001E-2</v>
      </c>
      <c r="D134" s="162">
        <v>-0.24199999999999999</v>
      </c>
      <c r="E134" s="173">
        <v>-0.23100000000000001</v>
      </c>
      <c r="F134" s="162">
        <v>-7.8E-2</v>
      </c>
      <c r="G134" s="173">
        <v>-0.253</v>
      </c>
      <c r="H134" s="173">
        <v>-0.23400000000000001</v>
      </c>
      <c r="I134" s="173">
        <v>-0.26300000000000001</v>
      </c>
      <c r="J134" s="173">
        <v>-0.24399999999999999</v>
      </c>
      <c r="K134" s="315">
        <v>-8.5000000000000006E-2</v>
      </c>
      <c r="L134" s="315">
        <v>-0.1142087</v>
      </c>
    </row>
    <row r="135" spans="1:12" ht="13.7" customHeight="1">
      <c r="A135" s="23" t="s">
        <v>959</v>
      </c>
      <c r="B135" s="23" t="s">
        <v>238</v>
      </c>
      <c r="C135" s="173">
        <v>-0.67100000000000004</v>
      </c>
      <c r="D135" s="162">
        <v>-0.55000000000000004</v>
      </c>
      <c r="E135" s="173">
        <v>-0.54800000000000004</v>
      </c>
      <c r="F135" s="162">
        <v>-0.65300000000000002</v>
      </c>
      <c r="G135" s="173">
        <v>-0.52700000000000002</v>
      </c>
      <c r="H135" s="173">
        <v>-0.50900000000000001</v>
      </c>
      <c r="I135" s="173">
        <v>-0.53700000000000003</v>
      </c>
      <c r="J135" s="173">
        <v>-0.51800000000000002</v>
      </c>
      <c r="K135" s="315">
        <v>-0.40400000000000003</v>
      </c>
      <c r="L135" s="315">
        <v>-0.38781529999999997</v>
      </c>
    </row>
    <row r="136" spans="1:12" ht="13.7" customHeight="1">
      <c r="A136" s="23" t="s">
        <v>960</v>
      </c>
      <c r="B136" s="23" t="s">
        <v>240</v>
      </c>
      <c r="C136" s="173">
        <v>-0.33900000000000002</v>
      </c>
      <c r="D136" s="162">
        <v>-0.42699999999999999</v>
      </c>
      <c r="E136" s="173">
        <v>-0.42299999999999999</v>
      </c>
      <c r="F136" s="162">
        <v>-0.34399999999999997</v>
      </c>
      <c r="G136" s="173">
        <v>-0.42699999999999999</v>
      </c>
      <c r="H136" s="173">
        <v>-0.40799999999999997</v>
      </c>
      <c r="I136" s="173">
        <v>-0.436</v>
      </c>
      <c r="J136" s="173">
        <v>-0.41699999999999998</v>
      </c>
      <c r="K136" s="315">
        <v>-0.32600000000000001</v>
      </c>
      <c r="L136" s="315">
        <v>-0.32708680000000001</v>
      </c>
    </row>
    <row r="137" spans="1:12" ht="13.7" customHeight="1">
      <c r="A137" s="23" t="s">
        <v>961</v>
      </c>
      <c r="B137" s="23" t="s">
        <v>242</v>
      </c>
      <c r="C137" s="173">
        <v>-0.33500000000000002</v>
      </c>
      <c r="D137" s="162">
        <v>-0.496</v>
      </c>
      <c r="E137" s="173">
        <v>-0.21099999999999999</v>
      </c>
      <c r="F137" s="162">
        <v>-0.313</v>
      </c>
      <c r="G137" s="173">
        <v>-0.439</v>
      </c>
      <c r="H137" s="173">
        <v>-0.42</v>
      </c>
      <c r="I137" s="173">
        <v>-0.44800000000000001</v>
      </c>
      <c r="J137" s="173">
        <v>-0.42899999999999999</v>
      </c>
      <c r="K137" s="315">
        <v>-0.29399999999999998</v>
      </c>
      <c r="L137" s="315">
        <v>-0.28930879999999998</v>
      </c>
    </row>
    <row r="138" spans="1:12" ht="13.7" customHeight="1">
      <c r="A138" s="23" t="s">
        <v>962</v>
      </c>
      <c r="B138" s="23" t="s">
        <v>244</v>
      </c>
      <c r="C138" s="173">
        <v>-0.30499999999999999</v>
      </c>
      <c r="D138" s="162">
        <v>-0.32200000000000001</v>
      </c>
      <c r="E138" s="173">
        <v>-9.1999999999999998E-2</v>
      </c>
      <c r="F138" s="162">
        <v>-0.30299999999999999</v>
      </c>
      <c r="G138" s="173">
        <v>-0.29599999999999999</v>
      </c>
      <c r="H138" s="173">
        <v>-0.27700000000000002</v>
      </c>
      <c r="I138" s="173">
        <v>-0.30499999999999999</v>
      </c>
      <c r="J138" s="173">
        <v>-0.28599999999999998</v>
      </c>
      <c r="K138" s="315">
        <v>-0.24</v>
      </c>
      <c r="L138" s="315">
        <v>-0.1642624</v>
      </c>
    </row>
    <row r="139" spans="1:12" ht="13.7" customHeight="1">
      <c r="A139" s="23" t="s">
        <v>963</v>
      </c>
      <c r="B139" s="23" t="s">
        <v>246</v>
      </c>
      <c r="C139" s="173">
        <v>-0.50700000000000001</v>
      </c>
      <c r="D139" s="162">
        <v>-0.52</v>
      </c>
      <c r="E139" s="173">
        <v>-0.52300000000000002</v>
      </c>
      <c r="F139" s="162">
        <v>-0.52100000000000002</v>
      </c>
      <c r="G139" s="173">
        <v>-0.52900000000000003</v>
      </c>
      <c r="H139" s="173">
        <v>-0.51</v>
      </c>
      <c r="I139" s="173">
        <v>-0.53900000000000003</v>
      </c>
      <c r="J139" s="173">
        <v>-0.51900000000000002</v>
      </c>
      <c r="K139" s="315">
        <v>-0.44600000000000001</v>
      </c>
      <c r="L139" s="315">
        <v>-0.39833669999999999</v>
      </c>
    </row>
    <row r="140" spans="1:12" ht="13.7" customHeight="1">
      <c r="A140" s="23" t="s">
        <v>964</v>
      </c>
      <c r="B140" s="23" t="s">
        <v>248</v>
      </c>
      <c r="C140" s="173">
        <v>-0.2</v>
      </c>
      <c r="D140" s="162">
        <v>-0.29699999999999999</v>
      </c>
      <c r="E140" s="173">
        <v>-0.29299999999999998</v>
      </c>
      <c r="F140" s="162">
        <v>-0.19700000000000001</v>
      </c>
      <c r="G140" s="173">
        <v>-0.28000000000000003</v>
      </c>
      <c r="H140" s="173">
        <v>-0.26200000000000001</v>
      </c>
      <c r="I140" s="173">
        <v>-0.28899999999999998</v>
      </c>
      <c r="J140" s="173">
        <v>-0.27100000000000002</v>
      </c>
      <c r="K140" s="315">
        <v>-0.19800000000000001</v>
      </c>
      <c r="L140" s="315">
        <v>-0.20736370000000001</v>
      </c>
    </row>
    <row r="141" spans="1:12" ht="13.7" customHeight="1">
      <c r="A141" s="23" t="s">
        <v>965</v>
      </c>
      <c r="B141" s="23" t="s">
        <v>250</v>
      </c>
      <c r="C141" s="173">
        <v>-0.83699999999999997</v>
      </c>
      <c r="D141" s="162">
        <v>-0.86099999999999999</v>
      </c>
      <c r="E141" s="173">
        <v>-0.85799999999999998</v>
      </c>
      <c r="F141" s="162">
        <v>-0.82099999999999995</v>
      </c>
      <c r="G141" s="173">
        <v>-0.84199999999999997</v>
      </c>
      <c r="H141" s="173">
        <v>-0.82299999999999995</v>
      </c>
      <c r="I141" s="173">
        <v>-0.85199999999999998</v>
      </c>
      <c r="J141" s="173">
        <v>-0.83199999999999996</v>
      </c>
      <c r="K141" s="315">
        <v>-0.73599999999999999</v>
      </c>
      <c r="L141" s="315">
        <v>-0.71610660000000004</v>
      </c>
    </row>
    <row r="142" spans="1:12" ht="13.7" customHeight="1">
      <c r="A142" s="23" t="s">
        <v>966</v>
      </c>
      <c r="B142" s="23" t="s">
        <v>252</v>
      </c>
      <c r="C142" s="173">
        <v>-0.63700000000000001</v>
      </c>
      <c r="D142" s="162">
        <v>-0.82799999999999996</v>
      </c>
      <c r="E142" s="173">
        <v>-0.82799999999999996</v>
      </c>
      <c r="F142" s="162">
        <v>-0.623</v>
      </c>
      <c r="G142" s="173">
        <v>-0.81100000000000005</v>
      </c>
      <c r="H142" s="173">
        <v>-0.79200000000000004</v>
      </c>
      <c r="I142" s="173">
        <v>-0.82</v>
      </c>
      <c r="J142" s="173">
        <v>-0.80100000000000005</v>
      </c>
      <c r="K142" s="315">
        <v>-0.71699999999999997</v>
      </c>
      <c r="L142" s="315">
        <v>-0.68560869999999996</v>
      </c>
    </row>
    <row r="143" spans="1:12" ht="13.7" customHeight="1">
      <c r="A143" s="23" t="s">
        <v>967</v>
      </c>
      <c r="B143" s="23" t="s">
        <v>254</v>
      </c>
      <c r="C143" s="173">
        <v>-0.44700000000000001</v>
      </c>
      <c r="D143" s="162">
        <v>-0.58399999999999996</v>
      </c>
      <c r="E143" s="173">
        <v>-0.57699999999999996</v>
      </c>
      <c r="F143" s="162">
        <v>-0.42899999999999999</v>
      </c>
      <c r="G143" s="173">
        <v>-0.56699999999999995</v>
      </c>
      <c r="H143" s="173">
        <v>-0.54800000000000004</v>
      </c>
      <c r="I143" s="173">
        <v>-0.57699999999999996</v>
      </c>
      <c r="J143" s="173">
        <v>-0.55800000000000005</v>
      </c>
      <c r="K143" s="315">
        <v>-0.504</v>
      </c>
      <c r="L143" s="315">
        <v>-0.47555009999999998</v>
      </c>
    </row>
    <row r="144" spans="1:12" ht="13.7" customHeight="1">
      <c r="A144" s="23" t="s">
        <v>968</v>
      </c>
      <c r="B144" s="23" t="s">
        <v>256</v>
      </c>
      <c r="C144" s="173">
        <v>-0.505</v>
      </c>
      <c r="D144" s="162">
        <v>-0.59599999999999997</v>
      </c>
      <c r="E144" s="173">
        <v>-0.6</v>
      </c>
      <c r="F144" s="162">
        <v>-0.50800000000000001</v>
      </c>
      <c r="G144" s="173">
        <v>-0.59599999999999997</v>
      </c>
      <c r="H144" s="173">
        <v>-0.57699999999999996</v>
      </c>
      <c r="I144" s="173">
        <v>-0.60499999999999998</v>
      </c>
      <c r="J144" s="173">
        <v>-0.58599999999999997</v>
      </c>
      <c r="K144" s="315">
        <v>-0.56499999999999995</v>
      </c>
      <c r="L144" s="315">
        <v>-0.53599790000000003</v>
      </c>
    </row>
    <row r="145" spans="1:12" ht="13.7" customHeight="1">
      <c r="A145" s="23" t="s">
        <v>969</v>
      </c>
      <c r="B145" s="23" t="s">
        <v>258</v>
      </c>
      <c r="C145" s="173">
        <v>-0.40600000000000003</v>
      </c>
      <c r="D145" s="162">
        <v>-0.59399999999999997</v>
      </c>
      <c r="E145" s="173">
        <v>-0.58499999999999996</v>
      </c>
      <c r="F145" s="162">
        <v>-0.36699999999999999</v>
      </c>
      <c r="G145" s="173">
        <v>-0.55500000000000005</v>
      </c>
      <c r="H145" s="173">
        <v>-0.53700000000000003</v>
      </c>
      <c r="I145" s="173">
        <v>-0.56499999999999995</v>
      </c>
      <c r="J145" s="173">
        <v>-0.54700000000000004</v>
      </c>
      <c r="K145" s="315">
        <v>-0.436</v>
      </c>
      <c r="L145" s="315">
        <v>-0.44520310000000002</v>
      </c>
    </row>
    <row r="146" spans="1:12" ht="13.7" customHeight="1">
      <c r="A146" s="23" t="s">
        <v>979</v>
      </c>
      <c r="B146" s="23" t="s">
        <v>980</v>
      </c>
      <c r="C146" s="173">
        <v>-0.55700000000000005</v>
      </c>
      <c r="D146" s="162">
        <v>-0.51</v>
      </c>
      <c r="E146" s="173">
        <v>-0.52</v>
      </c>
      <c r="F146" s="162">
        <v>-0.65600000000000003</v>
      </c>
      <c r="G146" s="173">
        <v>-0.59</v>
      </c>
      <c r="H146" s="173">
        <v>-0.58499999999999996</v>
      </c>
      <c r="I146" s="173">
        <v>-0.58899999999999997</v>
      </c>
      <c r="J146" s="173">
        <v>-0.58399999999999996</v>
      </c>
      <c r="K146" s="315">
        <v>-0.26800000000000002</v>
      </c>
      <c r="L146" s="315">
        <v>-0.1464396</v>
      </c>
    </row>
    <row r="147" spans="1:12" ht="13.7" customHeight="1">
      <c r="A147" s="23" t="s">
        <v>981</v>
      </c>
      <c r="B147" s="23" t="s">
        <v>982</v>
      </c>
      <c r="C147" s="173">
        <v>0.28899999999999998</v>
      </c>
      <c r="D147" s="162">
        <v>0.27400000000000002</v>
      </c>
      <c r="E147" s="173">
        <v>0.26900000000000002</v>
      </c>
      <c r="F147" s="162">
        <v>0.313</v>
      </c>
      <c r="G147" s="173">
        <v>0.29299999999999998</v>
      </c>
      <c r="H147" s="173">
        <v>0.29099999999999998</v>
      </c>
      <c r="I147" s="173">
        <v>0.29299999999999998</v>
      </c>
      <c r="J147" s="173">
        <v>0.29099999999999998</v>
      </c>
      <c r="K147" s="315">
        <v>0.26100000000000001</v>
      </c>
      <c r="L147" s="315">
        <v>0.24974469999999999</v>
      </c>
    </row>
    <row r="148" spans="1:12" ht="13.7" customHeight="1">
      <c r="A148" s="23" t="s">
        <v>983</v>
      </c>
      <c r="B148" s="23" t="s">
        <v>984</v>
      </c>
      <c r="C148" s="173">
        <v>0.20200000000000001</v>
      </c>
      <c r="D148" s="162">
        <v>0.17</v>
      </c>
      <c r="E148" s="173">
        <v>0.17499999999999999</v>
      </c>
      <c r="F148" s="162">
        <v>0.26600000000000001</v>
      </c>
      <c r="G148" s="173">
        <v>0.219</v>
      </c>
      <c r="H148" s="173">
        <v>0.216</v>
      </c>
      <c r="I148" s="173">
        <v>0.218</v>
      </c>
      <c r="J148" s="173">
        <v>0.216</v>
      </c>
      <c r="K148" s="315">
        <v>-0.105</v>
      </c>
      <c r="L148" s="315">
        <v>-0.18298229999999999</v>
      </c>
    </row>
    <row r="149" spans="1:12" ht="13.7" customHeight="1">
      <c r="A149" s="23" t="s">
        <v>985</v>
      </c>
      <c r="B149" s="23" t="s">
        <v>986</v>
      </c>
      <c r="C149" s="173">
        <v>-1.0999999999999999E-2</v>
      </c>
      <c r="D149" s="162">
        <v>-4.0000000000000001E-3</v>
      </c>
      <c r="E149" s="173">
        <v>-1E-3</v>
      </c>
      <c r="F149" s="162">
        <v>-2.4E-2</v>
      </c>
      <c r="G149" s="173">
        <v>-1.6E-2</v>
      </c>
      <c r="H149" s="173">
        <v>-1.4999999999999999E-2</v>
      </c>
      <c r="I149" s="173">
        <v>-1.6E-2</v>
      </c>
      <c r="J149" s="173">
        <v>-1.4999999999999999E-2</v>
      </c>
      <c r="K149" s="315">
        <v>-2.8000000000000001E-2</v>
      </c>
      <c r="L149" s="315">
        <v>-3.1513899999999997E-2</v>
      </c>
    </row>
    <row r="150" spans="1:12" ht="13.7" customHeight="1">
      <c r="A150" s="23" t="s">
        <v>987</v>
      </c>
      <c r="B150" s="23" t="s">
        <v>988</v>
      </c>
      <c r="C150" s="173">
        <v>-0.249</v>
      </c>
      <c r="D150" s="162">
        <v>-0.24</v>
      </c>
      <c r="E150" s="173">
        <v>-0.23599999999999999</v>
      </c>
      <c r="F150" s="162">
        <v>-0.25900000000000001</v>
      </c>
      <c r="G150" s="173">
        <v>-0.247</v>
      </c>
      <c r="H150" s="173">
        <v>-0.245</v>
      </c>
      <c r="I150" s="173">
        <v>-0.246</v>
      </c>
      <c r="J150" s="173">
        <v>-0.245</v>
      </c>
      <c r="K150" s="315">
        <v>-0.19600000000000001</v>
      </c>
      <c r="L150" s="315">
        <v>-0.1899932</v>
      </c>
    </row>
    <row r="151" spans="1:12" ht="13.7" customHeight="1">
      <c r="A151" s="23" t="s">
        <v>989</v>
      </c>
      <c r="B151" s="23" t="s">
        <v>990</v>
      </c>
      <c r="C151" s="173">
        <v>0.13</v>
      </c>
      <c r="D151" s="162">
        <v>0.151</v>
      </c>
      <c r="E151" s="173">
        <v>0.14799999999999999</v>
      </c>
      <c r="F151" s="162">
        <v>8.4000000000000005E-2</v>
      </c>
      <c r="G151" s="173">
        <v>0.11600000000000001</v>
      </c>
      <c r="H151" s="173">
        <v>0.11799999999999999</v>
      </c>
      <c r="I151" s="173">
        <v>0.11700000000000001</v>
      </c>
      <c r="J151" s="173">
        <v>0.11899999999999999</v>
      </c>
      <c r="K151" s="315">
        <v>0.39200000000000002</v>
      </c>
      <c r="L151" s="315">
        <v>0.44606289999999998</v>
      </c>
    </row>
    <row r="152" spans="1:12" ht="13.7" customHeight="1">
      <c r="A152" s="23" t="s">
        <v>970</v>
      </c>
      <c r="B152" s="23" t="s">
        <v>971</v>
      </c>
      <c r="C152" s="173">
        <v>-15.375</v>
      </c>
      <c r="D152" s="162">
        <v>-14.882999999999999</v>
      </c>
      <c r="E152" s="173">
        <v>-14.170999999999999</v>
      </c>
      <c r="F152" s="162">
        <v>-13.518000000000001</v>
      </c>
      <c r="G152" s="173">
        <v>-13.131</v>
      </c>
      <c r="H152" s="173">
        <v>-13.11</v>
      </c>
      <c r="I152" s="173">
        <v>-13.166</v>
      </c>
      <c r="J152" s="173">
        <v>-13.145</v>
      </c>
      <c r="K152" s="315">
        <v>-13.058</v>
      </c>
      <c r="L152" s="315">
        <v>-13.41107</v>
      </c>
    </row>
    <row r="153" spans="1:12" s="9" customFormat="1" ht="13.7" customHeight="1"/>
    <row r="154" spans="1:12" s="4" customFormat="1" ht="13.7" customHeight="1">
      <c r="A154" s="2" t="s">
        <v>991</v>
      </c>
      <c r="C154" s="5"/>
      <c r="D154" s="5"/>
      <c r="E154" s="5"/>
      <c r="F154" s="6"/>
      <c r="G154" s="6"/>
      <c r="H154" s="5"/>
      <c r="I154" s="5"/>
      <c r="J154" s="5"/>
      <c r="K154" s="5"/>
      <c r="L154" s="5"/>
    </row>
    <row r="156" spans="1:12" ht="13.7" customHeight="1">
      <c r="A156" s="92"/>
      <c r="B156" s="32"/>
      <c r="C156" s="117"/>
    </row>
    <row r="157" spans="1:12" ht="13.7" customHeight="1">
      <c r="B157" s="25"/>
      <c r="C157" s="117"/>
    </row>
    <row r="158" spans="1:12" ht="13.7" customHeight="1">
      <c r="B158" s="180"/>
      <c r="C158" s="117"/>
    </row>
    <row r="159" spans="1:12" ht="13.7" customHeight="1">
      <c r="B159" s="197"/>
      <c r="C159" s="117"/>
    </row>
    <row r="160" spans="1:12" ht="13.7" customHeight="1">
      <c r="C160" s="24" t="s">
        <v>271</v>
      </c>
    </row>
    <row r="161" spans="1:12" s="23" customFormat="1" ht="13.7" customHeight="1">
      <c r="A161" s="24" t="s">
        <v>233</v>
      </c>
      <c r="C161" s="269">
        <v>12</v>
      </c>
      <c r="D161" s="25" t="s">
        <v>274</v>
      </c>
      <c r="E161" s="25" t="s">
        <v>276</v>
      </c>
      <c r="F161" s="252">
        <v>16</v>
      </c>
      <c r="G161" s="252">
        <v>17</v>
      </c>
      <c r="H161" s="252">
        <v>18</v>
      </c>
      <c r="I161" s="252">
        <v>19</v>
      </c>
      <c r="J161" s="252">
        <v>20</v>
      </c>
      <c r="K161" s="316">
        <f>K126</f>
        <v>21</v>
      </c>
      <c r="L161" s="316">
        <f>L126</f>
        <v>22</v>
      </c>
    </row>
    <row r="162" spans="1:12" s="23" customFormat="1" ht="13.7" customHeight="1">
      <c r="A162" s="23" t="s">
        <v>234</v>
      </c>
      <c r="C162" s="173">
        <v>0.43300759964087765</v>
      </c>
      <c r="D162" s="162">
        <v>0.42273913174596284</v>
      </c>
      <c r="E162" s="173">
        <v>0.42400925337104728</v>
      </c>
      <c r="F162" s="162">
        <v>0.43999144299393361</v>
      </c>
      <c r="G162" s="173">
        <v>0.43084796522794205</v>
      </c>
      <c r="H162" s="173">
        <v>0.43911233950446971</v>
      </c>
      <c r="I162" s="173">
        <v>0.42656095634509139</v>
      </c>
      <c r="J162" s="173">
        <v>0.43517805926635672</v>
      </c>
      <c r="K162" s="315">
        <v>0.47915104031562805</v>
      </c>
      <c r="L162" s="315">
        <v>0.4886511</v>
      </c>
    </row>
    <row r="163" spans="1:12" s="23" customFormat="1" ht="13.7" customHeight="1">
      <c r="A163" s="23" t="s">
        <v>236</v>
      </c>
      <c r="C163" s="173">
        <v>0.46162611058310477</v>
      </c>
      <c r="D163" s="162">
        <v>0.53848265109416771</v>
      </c>
      <c r="E163" s="173">
        <v>0.53419197547148412</v>
      </c>
      <c r="F163" s="162">
        <v>0.47568471864168776</v>
      </c>
      <c r="G163" s="173">
        <v>0.55488188927529492</v>
      </c>
      <c r="H163" s="173">
        <v>0.55488188927529492</v>
      </c>
      <c r="I163" s="173">
        <v>0.55488188927529492</v>
      </c>
      <c r="J163" s="173">
        <v>0.55543704869801835</v>
      </c>
      <c r="K163" s="315">
        <v>0.52148216962814331</v>
      </c>
      <c r="L163" s="315">
        <v>0.54777100000000001</v>
      </c>
    </row>
    <row r="164" spans="1:12" s="23" customFormat="1" ht="13.7" customHeight="1">
      <c r="A164" s="23" t="s">
        <v>238</v>
      </c>
      <c r="C164" s="173">
        <v>0.84704623418939973</v>
      </c>
      <c r="D164" s="162">
        <v>0.73271387586933256</v>
      </c>
      <c r="E164" s="173">
        <v>0.73344695622428935</v>
      </c>
      <c r="F164" s="162">
        <v>0.84535383468465886</v>
      </c>
      <c r="G164" s="173">
        <v>0.72978887426905692</v>
      </c>
      <c r="H164" s="173">
        <v>0.73051902815942493</v>
      </c>
      <c r="I164" s="173">
        <v>0.72978887426905692</v>
      </c>
      <c r="J164" s="173">
        <v>0.73051902815942493</v>
      </c>
      <c r="K164" s="315">
        <v>0.71770787239074707</v>
      </c>
      <c r="L164" s="315">
        <v>0.72015320000000005</v>
      </c>
    </row>
    <row r="165" spans="1:12" s="23" customFormat="1" ht="13.7" customHeight="1">
      <c r="A165" s="23" t="s">
        <v>240</v>
      </c>
      <c r="C165" s="173">
        <v>0.60774493490249015</v>
      </c>
      <c r="D165" s="162">
        <v>0.64791225548535059</v>
      </c>
      <c r="E165" s="173">
        <v>0.64726466707803465</v>
      </c>
      <c r="F165" s="162">
        <v>0.62064252929343733</v>
      </c>
      <c r="G165" s="173">
        <v>0.66034028070498285</v>
      </c>
      <c r="H165" s="173">
        <v>0.66034028070498296</v>
      </c>
      <c r="I165" s="173">
        <v>0.65968027048438904</v>
      </c>
      <c r="J165" s="173">
        <v>0.66034028070498285</v>
      </c>
      <c r="K165" s="315">
        <v>0.66394972801208496</v>
      </c>
      <c r="L165" s="315">
        <v>0.67772080000000001</v>
      </c>
    </row>
    <row r="166" spans="1:12" s="23" customFormat="1" ht="13.7" customHeight="1">
      <c r="A166" s="23" t="s">
        <v>242</v>
      </c>
      <c r="C166" s="173">
        <v>0.60531881064622428</v>
      </c>
      <c r="D166" s="162">
        <v>0.69419665087797888</v>
      </c>
      <c r="E166" s="173">
        <v>0.52361426564826352</v>
      </c>
      <c r="F166" s="162">
        <v>0.60169777176210937</v>
      </c>
      <c r="G166" s="173">
        <v>0.66831209932356028</v>
      </c>
      <c r="H166" s="173">
        <v>0.66831209932356039</v>
      </c>
      <c r="I166" s="173">
        <v>0.66764412126892891</v>
      </c>
      <c r="J166" s="173">
        <v>0.66831209932356039</v>
      </c>
      <c r="K166" s="315">
        <v>0.64271199703216553</v>
      </c>
      <c r="L166" s="315">
        <v>0.6525955</v>
      </c>
    </row>
    <row r="167" spans="1:12" s="23" customFormat="1" ht="13.7" customHeight="1">
      <c r="A167" s="23" t="s">
        <v>244</v>
      </c>
      <c r="C167" s="173">
        <v>0.58742893616452352</v>
      </c>
      <c r="D167" s="162">
        <v>0.58333129209763879</v>
      </c>
      <c r="E167" s="173">
        <v>0.46486882963276832</v>
      </c>
      <c r="F167" s="162">
        <v>0.5957107789003212</v>
      </c>
      <c r="G167" s="173">
        <v>0.57926223138078203</v>
      </c>
      <c r="H167" s="173">
        <v>0.57926223138078214</v>
      </c>
      <c r="I167" s="173">
        <v>0.57868325868399739</v>
      </c>
      <c r="J167" s="173">
        <v>0.57926223138078203</v>
      </c>
      <c r="K167" s="315">
        <v>0.60901069641113281</v>
      </c>
      <c r="L167" s="315">
        <v>0.57588680000000003</v>
      </c>
    </row>
    <row r="168" spans="1:12" s="23" customFormat="1" ht="13.7" customHeight="1">
      <c r="A168" s="23" t="s">
        <v>246</v>
      </c>
      <c r="C168" s="173">
        <v>0.71892373343192628</v>
      </c>
      <c r="D168" s="162">
        <v>0.71105890820640971</v>
      </c>
      <c r="E168" s="173">
        <v>0.71533808635255991</v>
      </c>
      <c r="F168" s="162">
        <v>0.74081822068171799</v>
      </c>
      <c r="G168" s="173">
        <v>0.73124991256888205</v>
      </c>
      <c r="H168" s="173">
        <v>0.73124991256888217</v>
      </c>
      <c r="I168" s="173">
        <v>0.73124991256888205</v>
      </c>
      <c r="J168" s="173">
        <v>0.73124991256888194</v>
      </c>
      <c r="K168" s="315">
        <v>0.74854022264480591</v>
      </c>
      <c r="L168" s="315">
        <v>0.72777029999999998</v>
      </c>
    </row>
    <row r="169" spans="1:12" s="23" customFormat="1" ht="13.7" customHeight="1">
      <c r="A169" s="23" t="s">
        <v>248</v>
      </c>
      <c r="C169" s="173">
        <v>0.5288766765056826</v>
      </c>
      <c r="D169" s="162">
        <v>0.56892879117912176</v>
      </c>
      <c r="E169" s="173">
        <v>0.56836014675754043</v>
      </c>
      <c r="F169" s="162">
        <v>0.53579695766745605</v>
      </c>
      <c r="G169" s="173">
        <v>0.57006778737801345</v>
      </c>
      <c r="H169" s="173">
        <v>0.57063814029432036</v>
      </c>
      <c r="I169" s="173">
        <v>0.56949800452954169</v>
      </c>
      <c r="J169" s="173">
        <v>0.57063814029432036</v>
      </c>
      <c r="K169" s="315">
        <v>0.58381956815719604</v>
      </c>
      <c r="L169" s="315">
        <v>0.60125090000000003</v>
      </c>
    </row>
    <row r="170" spans="1:12" s="23" customFormat="1" ht="13.7" customHeight="1">
      <c r="A170" s="23" t="s">
        <v>250</v>
      </c>
      <c r="C170" s="173">
        <v>1</v>
      </c>
      <c r="D170" s="162">
        <v>1</v>
      </c>
      <c r="E170" s="173">
        <v>1</v>
      </c>
      <c r="F170" s="162">
        <v>1</v>
      </c>
      <c r="G170" s="173">
        <v>1</v>
      </c>
      <c r="H170" s="173">
        <v>1</v>
      </c>
      <c r="I170" s="173">
        <v>1</v>
      </c>
      <c r="J170" s="173">
        <v>1</v>
      </c>
      <c r="K170" s="315">
        <v>1</v>
      </c>
      <c r="L170" s="315">
        <v>1</v>
      </c>
    </row>
    <row r="171" spans="1:12" s="23" customFormat="1" ht="13.7" customHeight="1">
      <c r="A171" s="23" t="s">
        <v>252</v>
      </c>
      <c r="C171" s="173">
        <v>0.81873075307798193</v>
      </c>
      <c r="D171" s="162">
        <v>0.9675385595890319</v>
      </c>
      <c r="E171" s="173">
        <v>0.97044553354850815</v>
      </c>
      <c r="F171" s="162">
        <v>0.82036985313783106</v>
      </c>
      <c r="G171" s="173">
        <v>0.96947557307602605</v>
      </c>
      <c r="H171" s="173">
        <v>0.96947557307602605</v>
      </c>
      <c r="I171" s="173">
        <v>0.9685065820791976</v>
      </c>
      <c r="J171" s="173">
        <v>0.96947557307602594</v>
      </c>
      <c r="K171" s="315">
        <v>0.98140639066696167</v>
      </c>
      <c r="L171" s="315">
        <v>0.96996249999999995</v>
      </c>
    </row>
    <row r="172" spans="1:12" s="23" customFormat="1" ht="13.7" customHeight="1">
      <c r="A172" s="23" t="s">
        <v>254</v>
      </c>
      <c r="C172" s="173">
        <v>0.67705687449816476</v>
      </c>
      <c r="D172" s="162">
        <v>0.75805449711050821</v>
      </c>
      <c r="E172" s="173">
        <v>0.75502833548020787</v>
      </c>
      <c r="F172" s="162">
        <v>0.67570411396062602</v>
      </c>
      <c r="G172" s="173">
        <v>0.75957212322496848</v>
      </c>
      <c r="H172" s="173">
        <v>0.75957212322496859</v>
      </c>
      <c r="I172" s="173">
        <v>0.75957212322496848</v>
      </c>
      <c r="J172" s="173">
        <v>0.7603320752608822</v>
      </c>
      <c r="K172" s="315">
        <v>0.79349631071090698</v>
      </c>
      <c r="L172" s="315">
        <v>0.78619030000000001</v>
      </c>
    </row>
    <row r="173" spans="1:12" s="23" customFormat="1" ht="13.7" customHeight="1">
      <c r="A173" s="23" t="s">
        <v>256</v>
      </c>
      <c r="C173" s="173">
        <v>0.71748732285444339</v>
      </c>
      <c r="D173" s="162">
        <v>0.76720594997585578</v>
      </c>
      <c r="E173" s="173">
        <v>0.77259523210692815</v>
      </c>
      <c r="F173" s="162">
        <v>0.73124991256888194</v>
      </c>
      <c r="G173" s="173">
        <v>0.78192222492547736</v>
      </c>
      <c r="H173" s="173">
        <v>0.78192222492547725</v>
      </c>
      <c r="I173" s="173">
        <v>0.7811406935313765</v>
      </c>
      <c r="J173" s="173">
        <v>0.78192222492547725</v>
      </c>
      <c r="K173" s="315">
        <v>0.84283453226089478</v>
      </c>
      <c r="L173" s="315">
        <v>0.83517940000000002</v>
      </c>
    </row>
    <row r="174" spans="1:12" s="23" customFormat="1" ht="13.7" customHeight="1">
      <c r="A174" s="23" t="s">
        <v>258</v>
      </c>
      <c r="C174" s="173">
        <v>0.64985891077474955</v>
      </c>
      <c r="D174" s="162">
        <v>0.765673071465374</v>
      </c>
      <c r="E174" s="173">
        <v>0.76109278762893429</v>
      </c>
      <c r="F174" s="162">
        <v>0.63508273324592823</v>
      </c>
      <c r="G174" s="173">
        <v>0.75051172883706807</v>
      </c>
      <c r="H174" s="173">
        <v>0.75126261594688615</v>
      </c>
      <c r="I174" s="173">
        <v>0.75051172883706796</v>
      </c>
      <c r="J174" s="173">
        <v>0.75201425431938262</v>
      </c>
      <c r="K174" s="315">
        <v>0.74086326360702515</v>
      </c>
      <c r="L174" s="315">
        <v>0.76269010000000004</v>
      </c>
    </row>
    <row r="175" spans="1:12" s="23" customFormat="1" ht="13.7" customHeight="1"/>
    <row r="176" spans="1:12" s="4" customFormat="1" ht="13.7" customHeight="1">
      <c r="A176" s="2" t="s">
        <v>992</v>
      </c>
      <c r="C176" s="5"/>
      <c r="D176" s="5"/>
      <c r="E176" s="5"/>
      <c r="F176" s="6"/>
      <c r="G176" s="6"/>
      <c r="H176" s="5"/>
      <c r="I176" s="5"/>
      <c r="J176" s="5"/>
      <c r="K176" s="5"/>
      <c r="L176" s="5"/>
    </row>
    <row r="178" spans="1:12" ht="13.7" customHeight="1">
      <c r="A178" s="92"/>
      <c r="B178" s="32"/>
      <c r="C178" s="117"/>
    </row>
    <row r="179" spans="1:12" ht="13.7" customHeight="1">
      <c r="B179" s="25"/>
      <c r="C179" s="117"/>
    </row>
    <row r="180" spans="1:12" ht="13.7" customHeight="1">
      <c r="B180" s="180"/>
      <c r="C180" s="117"/>
    </row>
    <row r="181" spans="1:12" ht="13.7" customHeight="1">
      <c r="B181" s="197"/>
      <c r="C181" s="117"/>
    </row>
    <row r="182" spans="1:12" ht="13.7" customHeight="1">
      <c r="C182" s="24" t="s">
        <v>271</v>
      </c>
    </row>
    <row r="183" spans="1:12" s="23" customFormat="1" ht="13.7" customHeight="1">
      <c r="A183" s="24" t="s">
        <v>233</v>
      </c>
      <c r="C183" s="269">
        <v>12</v>
      </c>
      <c r="D183" s="25" t="s">
        <v>274</v>
      </c>
      <c r="E183" s="25" t="s">
        <v>276</v>
      </c>
      <c r="F183" s="252">
        <v>16</v>
      </c>
      <c r="G183" s="252">
        <v>17</v>
      </c>
      <c r="H183" s="252">
        <v>18</v>
      </c>
      <c r="I183" s="252">
        <v>19</v>
      </c>
      <c r="J183" s="252">
        <v>20</v>
      </c>
      <c r="K183" s="316">
        <f>K161</f>
        <v>21</v>
      </c>
      <c r="L183" s="316">
        <f>L161</f>
        <v>22</v>
      </c>
    </row>
    <row r="184" spans="1:12" s="23" customFormat="1" ht="13.7" customHeight="1">
      <c r="A184" s="23" t="s">
        <v>234</v>
      </c>
      <c r="C184" s="174">
        <v>0</v>
      </c>
      <c r="D184" s="42">
        <v>0</v>
      </c>
      <c r="E184" s="174">
        <v>0</v>
      </c>
      <c r="F184" s="42">
        <v>0</v>
      </c>
      <c r="G184" s="174">
        <v>0</v>
      </c>
      <c r="H184" s="174">
        <v>0</v>
      </c>
      <c r="I184" s="174">
        <v>0</v>
      </c>
      <c r="J184" s="174">
        <v>0</v>
      </c>
      <c r="K184" s="317">
        <v>0</v>
      </c>
      <c r="L184" s="317">
        <v>0</v>
      </c>
    </row>
    <row r="185" spans="1:12" s="23" customFormat="1" ht="13.7" customHeight="1">
      <c r="A185" s="23" t="s">
        <v>236</v>
      </c>
      <c r="C185" s="174">
        <v>0</v>
      </c>
      <c r="D185" s="42">
        <v>0</v>
      </c>
      <c r="E185" s="174">
        <v>0</v>
      </c>
      <c r="F185" s="42">
        <v>0</v>
      </c>
      <c r="G185" s="174">
        <v>0</v>
      </c>
      <c r="H185" s="174">
        <v>0</v>
      </c>
      <c r="I185" s="174">
        <v>0</v>
      </c>
      <c r="J185" s="174">
        <v>0</v>
      </c>
      <c r="K185" s="317">
        <v>1</v>
      </c>
      <c r="L185" s="317">
        <v>0</v>
      </c>
    </row>
    <row r="186" spans="1:12" s="23" customFormat="1" ht="13.7" customHeight="1">
      <c r="A186" s="23" t="s">
        <v>238</v>
      </c>
      <c r="C186" s="174">
        <v>0</v>
      </c>
      <c r="D186" s="42">
        <v>0</v>
      </c>
      <c r="E186" s="174">
        <v>0</v>
      </c>
      <c r="F186" s="42">
        <v>1</v>
      </c>
      <c r="G186" s="174">
        <v>0</v>
      </c>
      <c r="H186" s="174">
        <v>0</v>
      </c>
      <c r="I186" s="174">
        <v>0</v>
      </c>
      <c r="J186" s="174">
        <v>0</v>
      </c>
      <c r="K186" s="317">
        <v>1</v>
      </c>
      <c r="L186" s="317">
        <v>1</v>
      </c>
    </row>
    <row r="187" spans="1:12" s="23" customFormat="1" ht="13.7" customHeight="1">
      <c r="A187" s="23" t="s">
        <v>240</v>
      </c>
      <c r="C187" s="174">
        <v>0</v>
      </c>
      <c r="D187" s="42">
        <v>0</v>
      </c>
      <c r="E187" s="174">
        <v>0</v>
      </c>
      <c r="F187" s="42">
        <v>0</v>
      </c>
      <c r="G187" s="174">
        <v>0</v>
      </c>
      <c r="H187" s="174">
        <v>0</v>
      </c>
      <c r="I187" s="174">
        <v>0</v>
      </c>
      <c r="J187" s="174">
        <v>0</v>
      </c>
      <c r="K187" s="317">
        <v>0</v>
      </c>
      <c r="L187" s="317">
        <v>0</v>
      </c>
    </row>
    <row r="188" spans="1:12" s="23" customFormat="1" ht="13.7" customHeight="1">
      <c r="A188" s="23" t="s">
        <v>242</v>
      </c>
      <c r="C188" s="174">
        <v>0</v>
      </c>
      <c r="D188" s="42">
        <v>0</v>
      </c>
      <c r="E188" s="174">
        <v>0</v>
      </c>
      <c r="F188" s="42">
        <v>0</v>
      </c>
      <c r="G188" s="174">
        <v>0</v>
      </c>
      <c r="H188" s="174">
        <v>0</v>
      </c>
      <c r="I188" s="174">
        <v>0</v>
      </c>
      <c r="J188" s="174">
        <v>0</v>
      </c>
      <c r="K188" s="317">
        <v>0</v>
      </c>
      <c r="L188" s="317">
        <v>0</v>
      </c>
    </row>
    <row r="189" spans="1:12" s="23" customFormat="1" ht="13.7" customHeight="1">
      <c r="A189" s="23" t="s">
        <v>244</v>
      </c>
      <c r="C189" s="174">
        <v>0</v>
      </c>
      <c r="D189" s="42">
        <v>0</v>
      </c>
      <c r="E189" s="174">
        <v>0</v>
      </c>
      <c r="F189" s="42">
        <v>0</v>
      </c>
      <c r="G189" s="174">
        <v>0</v>
      </c>
      <c r="H189" s="174">
        <v>0</v>
      </c>
      <c r="I189" s="174">
        <v>0</v>
      </c>
      <c r="J189" s="174">
        <v>0</v>
      </c>
      <c r="K189" s="317">
        <v>0</v>
      </c>
      <c r="L189" s="317">
        <v>0</v>
      </c>
    </row>
    <row r="190" spans="1:12" s="23" customFormat="1" ht="13.7" customHeight="1">
      <c r="A190" s="23" t="s">
        <v>246</v>
      </c>
      <c r="C190" s="174">
        <v>0</v>
      </c>
      <c r="D190" s="42">
        <v>0</v>
      </c>
      <c r="E190" s="174">
        <v>0</v>
      </c>
      <c r="F190" s="42">
        <v>0</v>
      </c>
      <c r="G190" s="174">
        <v>0</v>
      </c>
      <c r="H190" s="174">
        <v>0</v>
      </c>
      <c r="I190" s="174">
        <v>0</v>
      </c>
      <c r="J190" s="174">
        <v>0</v>
      </c>
      <c r="K190" s="317">
        <v>0</v>
      </c>
      <c r="L190" s="317">
        <v>0</v>
      </c>
    </row>
    <row r="191" spans="1:12" s="23" customFormat="1" ht="13.7" customHeight="1">
      <c r="A191" s="23" t="s">
        <v>248</v>
      </c>
      <c r="C191" s="174">
        <v>0</v>
      </c>
      <c r="D191" s="42">
        <v>0</v>
      </c>
      <c r="E191" s="174">
        <v>0</v>
      </c>
      <c r="F191" s="42">
        <v>1</v>
      </c>
      <c r="G191" s="174">
        <v>0</v>
      </c>
      <c r="H191" s="174">
        <v>0</v>
      </c>
      <c r="I191" s="174">
        <v>0</v>
      </c>
      <c r="J191" s="174">
        <v>0</v>
      </c>
      <c r="K191" s="317">
        <v>0</v>
      </c>
      <c r="L191" s="317">
        <v>0</v>
      </c>
    </row>
    <row r="192" spans="1:12" s="23" customFormat="1" ht="13.7" customHeight="1">
      <c r="A192" s="23" t="s">
        <v>250</v>
      </c>
      <c r="C192" s="174">
        <v>0</v>
      </c>
      <c r="D192" s="42">
        <v>0</v>
      </c>
      <c r="E192" s="174">
        <v>0</v>
      </c>
      <c r="F192" s="42">
        <v>0</v>
      </c>
      <c r="G192" s="174">
        <v>0</v>
      </c>
      <c r="H192" s="174">
        <v>0</v>
      </c>
      <c r="I192" s="174">
        <v>0</v>
      </c>
      <c r="J192" s="174">
        <v>0</v>
      </c>
      <c r="K192" s="317">
        <v>0</v>
      </c>
      <c r="L192" s="317">
        <v>0</v>
      </c>
    </row>
    <row r="193" spans="1:12" s="23" customFormat="1" ht="13.7" customHeight="1">
      <c r="A193" s="23" t="s">
        <v>252</v>
      </c>
      <c r="C193" s="174">
        <v>0</v>
      </c>
      <c r="D193" s="42">
        <v>0</v>
      </c>
      <c r="E193" s="174">
        <v>0</v>
      </c>
      <c r="F193" s="42">
        <v>0</v>
      </c>
      <c r="G193" s="174">
        <v>0</v>
      </c>
      <c r="H193" s="174">
        <v>0</v>
      </c>
      <c r="I193" s="174">
        <v>0</v>
      </c>
      <c r="J193" s="174">
        <v>0</v>
      </c>
      <c r="K193" s="317">
        <v>0</v>
      </c>
      <c r="L193" s="317">
        <v>0</v>
      </c>
    </row>
    <row r="194" spans="1:12" s="23" customFormat="1" ht="13.7" customHeight="1">
      <c r="A194" s="23" t="s">
        <v>254</v>
      </c>
      <c r="C194" s="174">
        <v>0</v>
      </c>
      <c r="D194" s="42">
        <v>0</v>
      </c>
      <c r="E194" s="174">
        <v>0</v>
      </c>
      <c r="F194" s="42">
        <v>0</v>
      </c>
      <c r="G194" s="174">
        <v>0</v>
      </c>
      <c r="H194" s="174">
        <v>0</v>
      </c>
      <c r="I194" s="174">
        <v>0</v>
      </c>
      <c r="J194" s="174">
        <v>0</v>
      </c>
      <c r="K194" s="317">
        <v>0</v>
      </c>
      <c r="L194" s="317">
        <v>0</v>
      </c>
    </row>
    <row r="195" spans="1:12" s="23" customFormat="1" ht="13.7" customHeight="1">
      <c r="A195" s="23" t="s">
        <v>256</v>
      </c>
      <c r="C195" s="174">
        <v>0</v>
      </c>
      <c r="D195" s="42">
        <v>0</v>
      </c>
      <c r="E195" s="174">
        <v>0</v>
      </c>
      <c r="F195" s="42">
        <v>0</v>
      </c>
      <c r="G195" s="174">
        <v>0</v>
      </c>
      <c r="H195" s="174">
        <v>0</v>
      </c>
      <c r="I195" s="174">
        <v>0</v>
      </c>
      <c r="J195" s="174">
        <v>0</v>
      </c>
      <c r="K195" s="317">
        <v>0</v>
      </c>
      <c r="L195" s="317">
        <v>0</v>
      </c>
    </row>
    <row r="196" spans="1:12" s="23" customFormat="1" ht="13.7" customHeight="1">
      <c r="A196" s="23" t="s">
        <v>258</v>
      </c>
      <c r="C196" s="174">
        <v>0</v>
      </c>
      <c r="D196" s="42">
        <v>0</v>
      </c>
      <c r="E196" s="174">
        <v>0</v>
      </c>
      <c r="F196" s="42">
        <v>1</v>
      </c>
      <c r="G196" s="174">
        <v>1</v>
      </c>
      <c r="H196" s="174">
        <v>1</v>
      </c>
      <c r="I196" s="174">
        <v>1</v>
      </c>
      <c r="J196" s="174">
        <v>1</v>
      </c>
      <c r="K196" s="317">
        <v>0.88888888888888884</v>
      </c>
      <c r="L196" s="317">
        <v>0</v>
      </c>
    </row>
    <row r="197" spans="1:12" s="152" customFormat="1" ht="15">
      <c r="A197" s="24" t="s">
        <v>993</v>
      </c>
      <c r="C197" s="153">
        <f t="shared" ref="C197:J197" si="0">SUM(C184:C196)</f>
        <v>0</v>
      </c>
      <c r="D197" s="153">
        <f t="shared" si="0"/>
        <v>0</v>
      </c>
      <c r="E197" s="153">
        <f t="shared" si="0"/>
        <v>0</v>
      </c>
      <c r="F197" s="153">
        <f t="shared" si="0"/>
        <v>3</v>
      </c>
      <c r="G197" s="153">
        <f t="shared" si="0"/>
        <v>1</v>
      </c>
      <c r="H197" s="153">
        <f t="shared" si="0"/>
        <v>1</v>
      </c>
      <c r="I197" s="153">
        <f t="shared" si="0"/>
        <v>1</v>
      </c>
      <c r="J197" s="153">
        <f t="shared" si="0"/>
        <v>1</v>
      </c>
      <c r="K197" s="153">
        <f t="shared" ref="K197:L197" si="1">SUM(K184:K196)</f>
        <v>2.8888888888888888</v>
      </c>
      <c r="L197" s="153">
        <f t="shared" si="1"/>
        <v>1</v>
      </c>
    </row>
    <row r="198" spans="1:12" s="152" customFormat="1" ht="15">
      <c r="A198" s="24"/>
      <c r="C198" s="154"/>
    </row>
    <row r="199" spans="1:12" s="4" customFormat="1" ht="13.7" customHeight="1">
      <c r="A199" s="2" t="s">
        <v>994</v>
      </c>
      <c r="C199" s="5"/>
      <c r="D199" s="5"/>
      <c r="E199" s="5"/>
      <c r="F199" s="6"/>
      <c r="G199" s="6"/>
      <c r="H199" s="5"/>
      <c r="I199" s="5"/>
      <c r="J199" s="5"/>
      <c r="K199" s="5"/>
      <c r="L199" s="5"/>
    </row>
    <row r="201" spans="1:12" ht="13.7" customHeight="1">
      <c r="A201" s="92"/>
      <c r="B201" s="32"/>
      <c r="C201" s="117"/>
    </row>
    <row r="202" spans="1:12" ht="13.7" customHeight="1">
      <c r="B202" s="25"/>
      <c r="C202" s="117"/>
    </row>
    <row r="203" spans="1:12" ht="13.7" customHeight="1">
      <c r="B203" s="180"/>
      <c r="C203" s="117"/>
    </row>
    <row r="204" spans="1:12" ht="13.7" customHeight="1">
      <c r="B204" s="197"/>
      <c r="C204" s="117"/>
    </row>
    <row r="205" spans="1:12" s="23" customFormat="1" ht="13.7" customHeight="1">
      <c r="C205" s="24" t="s">
        <v>271</v>
      </c>
    </row>
    <row r="206" spans="1:12" s="23" customFormat="1" ht="13.7" customHeight="1">
      <c r="A206" s="32" t="s">
        <v>943</v>
      </c>
      <c r="B206" s="32" t="s">
        <v>46</v>
      </c>
      <c r="C206" s="269">
        <v>12</v>
      </c>
      <c r="D206" s="25" t="s">
        <v>274</v>
      </c>
      <c r="E206" s="25" t="s">
        <v>276</v>
      </c>
      <c r="F206" s="252">
        <v>16</v>
      </c>
      <c r="G206" s="252">
        <v>17</v>
      </c>
      <c r="H206" s="252">
        <v>18</v>
      </c>
      <c r="I206" s="252">
        <v>19</v>
      </c>
      <c r="J206" s="252">
        <v>20</v>
      </c>
      <c r="K206" s="316">
        <f>K183</f>
        <v>21</v>
      </c>
      <c r="L206" s="316">
        <f>L183</f>
        <v>22</v>
      </c>
    </row>
    <row r="207" spans="1:12" ht="13.7" customHeight="1">
      <c r="A207" s="23" t="s">
        <v>944</v>
      </c>
      <c r="B207" s="23" t="s">
        <v>976</v>
      </c>
      <c r="C207" s="173">
        <v>0.51300000000000001</v>
      </c>
      <c r="D207" s="162">
        <v>0.505</v>
      </c>
      <c r="E207" s="173">
        <v>0.5</v>
      </c>
      <c r="F207" s="162">
        <v>0.36899999999999999</v>
      </c>
      <c r="G207" s="173">
        <v>0.39500000000000002</v>
      </c>
      <c r="H207" s="173">
        <v>0.39900000000000002</v>
      </c>
      <c r="I207" s="173">
        <v>0.39600000000000002</v>
      </c>
      <c r="J207" s="173">
        <v>0.39900000000000002</v>
      </c>
      <c r="K207" s="315">
        <v>0.31840429999999997</v>
      </c>
      <c r="L207" s="315">
        <v>0.26710089999999997</v>
      </c>
    </row>
    <row r="208" spans="1:12" ht="13.7" customHeight="1">
      <c r="A208" s="23" t="s">
        <v>946</v>
      </c>
      <c r="B208" s="23" t="s">
        <v>977</v>
      </c>
      <c r="C208" s="173">
        <v>8.3000000000000004E-2</v>
      </c>
      <c r="D208" s="162">
        <v>4.5999999999999999E-2</v>
      </c>
      <c r="E208" s="173">
        <v>4.5999999999999999E-2</v>
      </c>
      <c r="F208" s="162">
        <v>9.1999999999999998E-2</v>
      </c>
      <c r="G208" s="173">
        <v>9.0999999999999998E-2</v>
      </c>
      <c r="H208" s="173">
        <v>8.7999999999999995E-2</v>
      </c>
      <c r="I208" s="173">
        <v>8.8999999999999996E-2</v>
      </c>
      <c r="J208" s="173">
        <v>8.6999999999999994E-2</v>
      </c>
      <c r="K208" s="315">
        <v>0.16565669999999999</v>
      </c>
      <c r="L208" s="315">
        <v>0.18735499999999999</v>
      </c>
    </row>
    <row r="209" spans="1:12" ht="13.7" customHeight="1">
      <c r="A209" s="23" t="s">
        <v>948</v>
      </c>
      <c r="B209" s="23" t="s">
        <v>978</v>
      </c>
      <c r="C209" s="173">
        <v>0.373</v>
      </c>
      <c r="D209" s="162">
        <v>0.375</v>
      </c>
      <c r="E209" s="173">
        <v>0.373</v>
      </c>
      <c r="F209" s="162">
        <v>0.44500000000000001</v>
      </c>
      <c r="G209" s="173">
        <v>0.42899999999999999</v>
      </c>
      <c r="H209" s="173">
        <v>0.42899999999999999</v>
      </c>
      <c r="I209" s="173">
        <v>0.432</v>
      </c>
      <c r="J209" s="173">
        <v>0.432</v>
      </c>
      <c r="K209" s="315">
        <v>0.4430868</v>
      </c>
      <c r="L209" s="315">
        <v>0.4708214</v>
      </c>
    </row>
    <row r="210" spans="1:12" ht="13.7" customHeight="1">
      <c r="A210" s="23" t="s">
        <v>950</v>
      </c>
      <c r="B210" s="23" t="s">
        <v>951</v>
      </c>
      <c r="C210" s="173">
        <v>-0.16300000000000001</v>
      </c>
      <c r="D210" s="162">
        <v>-0.158</v>
      </c>
      <c r="E210" s="173">
        <v>-0.16</v>
      </c>
      <c r="F210" s="162">
        <v>-0.153</v>
      </c>
      <c r="G210" s="173">
        <v>-0.151</v>
      </c>
      <c r="H210" s="173">
        <v>-0.14899999999999999</v>
      </c>
      <c r="I210" s="173">
        <v>-0.152</v>
      </c>
      <c r="J210" s="173">
        <v>-0.15</v>
      </c>
      <c r="K210" s="315">
        <v>-0.1225584</v>
      </c>
      <c r="L210" s="315">
        <v>-0.1065203</v>
      </c>
    </row>
    <row r="211" spans="1:12" ht="13.7" customHeight="1">
      <c r="A211" s="23" t="s">
        <v>952</v>
      </c>
      <c r="B211" s="23" t="s">
        <v>953</v>
      </c>
      <c r="C211" s="173">
        <v>1.2E-2</v>
      </c>
      <c r="D211" s="162">
        <v>1.2999999999999999E-2</v>
      </c>
      <c r="E211" s="173">
        <v>1.2E-2</v>
      </c>
      <c r="F211" s="162">
        <v>1.2E-2</v>
      </c>
      <c r="G211" s="173">
        <v>1.0999999999999999E-2</v>
      </c>
      <c r="H211" s="173">
        <v>1.0999999999999999E-2</v>
      </c>
      <c r="I211" s="173">
        <v>1.0999999999999999E-2</v>
      </c>
      <c r="J211" s="173">
        <v>1.0999999999999999E-2</v>
      </c>
      <c r="K211" s="315">
        <v>1.0069E-2</v>
      </c>
      <c r="L211" s="315">
        <v>9.6515999999999998E-3</v>
      </c>
    </row>
    <row r="212" spans="1:12" ht="13.7" customHeight="1">
      <c r="A212" s="23" t="s">
        <v>954</v>
      </c>
      <c r="B212" s="23" t="s">
        <v>955</v>
      </c>
      <c r="C212" s="173">
        <v>0.26100000000000001</v>
      </c>
      <c r="D212" s="162">
        <v>4.5999999999999999E-2</v>
      </c>
      <c r="E212" s="173">
        <v>1.2999999999999999E-2</v>
      </c>
      <c r="F212" s="162">
        <v>0.14000000000000001</v>
      </c>
      <c r="G212" s="173">
        <v>1.7999999999999999E-2</v>
      </c>
      <c r="H212" s="173">
        <v>1.4999999999999999E-2</v>
      </c>
      <c r="I212" s="173">
        <v>0.02</v>
      </c>
      <c r="J212" s="173">
        <v>1.6E-2</v>
      </c>
      <c r="K212" s="315">
        <v>-1.7734000000000001E-3</v>
      </c>
      <c r="L212" s="315">
        <v>-0.1065203</v>
      </c>
    </row>
    <row r="213" spans="1:12" ht="13.7" customHeight="1">
      <c r="A213" s="23" t="s">
        <v>956</v>
      </c>
      <c r="B213" s="23" t="s">
        <v>957</v>
      </c>
      <c r="C213" s="173">
        <v>0.19600000000000001</v>
      </c>
      <c r="D213" s="162">
        <v>-5.8999999999999997E-2</v>
      </c>
      <c r="E213" s="173">
        <v>-0.10299999999999999</v>
      </c>
      <c r="F213" s="162">
        <v>2.8000000000000001E-2</v>
      </c>
      <c r="G213" s="173">
        <v>-8.2000000000000003E-2</v>
      </c>
      <c r="H213" s="173">
        <v>-8.7999999999999995E-2</v>
      </c>
      <c r="I213" s="173">
        <v>-8.2000000000000003E-2</v>
      </c>
      <c r="J213" s="173">
        <v>-8.7999999999999995E-2</v>
      </c>
      <c r="K213" s="315">
        <v>4.0697200000000003E-2</v>
      </c>
      <c r="L213" s="315">
        <v>9.6515999999999998E-3</v>
      </c>
    </row>
    <row r="214" spans="1:12" ht="13.7" customHeight="1">
      <c r="A214" s="23"/>
      <c r="B214" s="23"/>
      <c r="C214" s="173"/>
      <c r="D214" s="162"/>
      <c r="E214" s="173"/>
      <c r="F214" s="162"/>
      <c r="G214" s="173"/>
      <c r="H214" s="173"/>
      <c r="I214" s="173"/>
      <c r="J214" s="173"/>
      <c r="K214" s="315"/>
      <c r="L214" s="315"/>
    </row>
    <row r="215" spans="1:12" ht="13.7" customHeight="1">
      <c r="A215" s="23"/>
      <c r="B215" s="23"/>
      <c r="C215" s="173"/>
      <c r="D215" s="162"/>
      <c r="E215" s="173"/>
      <c r="F215" s="162"/>
      <c r="G215" s="173"/>
      <c r="H215" s="173"/>
      <c r="I215" s="173"/>
      <c r="J215" s="173"/>
      <c r="K215" s="315"/>
      <c r="L215" s="315"/>
    </row>
    <row r="216" spans="1:12" ht="13.7" customHeight="1">
      <c r="A216" s="23"/>
      <c r="B216" s="23"/>
      <c r="C216" s="173"/>
      <c r="D216" s="162"/>
      <c r="E216" s="173"/>
      <c r="F216" s="162"/>
      <c r="G216" s="173"/>
      <c r="H216" s="173"/>
      <c r="I216" s="173"/>
      <c r="J216" s="173"/>
      <c r="K216" s="315"/>
      <c r="L216" s="315"/>
    </row>
    <row r="217" spans="1:12" ht="13.7" customHeight="1">
      <c r="A217" s="23"/>
      <c r="B217" s="23"/>
      <c r="C217" s="173"/>
      <c r="D217" s="162"/>
      <c r="E217" s="173"/>
      <c r="F217" s="162"/>
      <c r="G217" s="173"/>
      <c r="H217" s="173"/>
      <c r="I217" s="173"/>
      <c r="J217" s="173"/>
      <c r="K217" s="315"/>
      <c r="L217" s="315"/>
    </row>
    <row r="218" spans="1:12" ht="13.7" customHeight="1">
      <c r="A218" s="23"/>
      <c r="B218" s="23"/>
      <c r="C218" s="173"/>
      <c r="D218" s="162"/>
      <c r="E218" s="173"/>
      <c r="F218" s="162"/>
      <c r="G218" s="173"/>
      <c r="H218" s="173"/>
      <c r="I218" s="173"/>
      <c r="J218" s="173"/>
      <c r="K218" s="315"/>
      <c r="L218" s="315"/>
    </row>
    <row r="219" spans="1:12" ht="13.7" customHeight="1">
      <c r="A219" s="23"/>
      <c r="B219" s="23"/>
      <c r="C219" s="173"/>
      <c r="D219" s="162"/>
      <c r="E219" s="173"/>
      <c r="F219" s="162"/>
      <c r="G219" s="173"/>
      <c r="H219" s="173"/>
      <c r="I219" s="173"/>
      <c r="J219" s="173"/>
      <c r="K219" s="315"/>
      <c r="L219" s="315"/>
    </row>
    <row r="220" spans="1:12" ht="13.7" customHeight="1">
      <c r="A220" s="23"/>
      <c r="B220" s="23"/>
      <c r="C220" s="173"/>
      <c r="D220" s="162"/>
      <c r="E220" s="173"/>
      <c r="F220" s="162"/>
      <c r="G220" s="173"/>
      <c r="H220" s="173"/>
      <c r="I220" s="173"/>
      <c r="J220" s="173"/>
      <c r="K220" s="315"/>
      <c r="L220" s="315"/>
    </row>
    <row r="221" spans="1:12" ht="13.7" customHeight="1">
      <c r="A221" s="23"/>
      <c r="B221" s="23"/>
      <c r="C221" s="173"/>
      <c r="D221" s="162"/>
      <c r="E221" s="173"/>
      <c r="F221" s="162"/>
      <c r="G221" s="173"/>
      <c r="H221" s="173"/>
      <c r="I221" s="173"/>
      <c r="J221" s="173"/>
      <c r="K221" s="315"/>
      <c r="L221" s="315"/>
    </row>
    <row r="222" spans="1:12" ht="13.7" customHeight="1">
      <c r="A222" s="23"/>
      <c r="B222" s="23"/>
      <c r="C222" s="173"/>
      <c r="D222" s="162"/>
      <c r="E222" s="173"/>
      <c r="F222" s="162"/>
      <c r="G222" s="173"/>
      <c r="H222" s="173"/>
      <c r="I222" s="173"/>
      <c r="J222" s="173"/>
      <c r="K222" s="315"/>
      <c r="L222" s="315"/>
    </row>
    <row r="223" spans="1:12" ht="13.7" customHeight="1">
      <c r="A223" s="23"/>
      <c r="B223" s="23"/>
      <c r="C223" s="173"/>
      <c r="D223" s="162"/>
      <c r="E223" s="173"/>
      <c r="F223" s="162"/>
      <c r="G223" s="173"/>
      <c r="H223" s="173"/>
      <c r="I223" s="173"/>
      <c r="J223" s="173"/>
      <c r="K223" s="315"/>
      <c r="L223" s="315"/>
    </row>
    <row r="224" spans="1:12" ht="13.7" customHeight="1">
      <c r="A224" s="23"/>
      <c r="B224" s="23"/>
      <c r="C224" s="173"/>
      <c r="D224" s="162"/>
      <c r="E224" s="173"/>
      <c r="F224" s="162"/>
      <c r="G224" s="173"/>
      <c r="H224" s="173"/>
      <c r="I224" s="173"/>
      <c r="J224" s="173"/>
      <c r="K224" s="315"/>
      <c r="L224" s="315"/>
    </row>
    <row r="225" spans="1:12" ht="13.7" customHeight="1">
      <c r="A225" s="23"/>
      <c r="B225" s="23"/>
      <c r="C225" s="173"/>
      <c r="D225" s="162"/>
      <c r="E225" s="173"/>
      <c r="F225" s="162"/>
      <c r="G225" s="173"/>
      <c r="H225" s="173"/>
      <c r="I225" s="173"/>
      <c r="J225" s="173"/>
      <c r="K225" s="315"/>
      <c r="L225" s="315"/>
    </row>
    <row r="226" spans="1:12" ht="13.7" customHeight="1">
      <c r="A226" s="23" t="s">
        <v>979</v>
      </c>
      <c r="B226" s="23" t="s">
        <v>980</v>
      </c>
      <c r="C226" s="173">
        <v>0.626</v>
      </c>
      <c r="D226" s="162">
        <v>0.88700000000000001</v>
      </c>
      <c r="E226" s="173">
        <v>0.96099999999999997</v>
      </c>
      <c r="F226" s="162">
        <v>0.52900000000000003</v>
      </c>
      <c r="G226" s="173">
        <v>0.75900000000000001</v>
      </c>
      <c r="H226" s="173">
        <v>0.76900000000000002</v>
      </c>
      <c r="I226" s="173">
        <v>0.75800000000000001</v>
      </c>
      <c r="J226" s="173">
        <v>0.76700000000000002</v>
      </c>
      <c r="K226" s="315">
        <v>1.2030179999999999</v>
      </c>
      <c r="L226" s="315">
        <v>1.2342439999999999</v>
      </c>
    </row>
    <row r="227" spans="1:12" ht="13.7" customHeight="1">
      <c r="A227" s="23" t="s">
        <v>981</v>
      </c>
      <c r="B227" s="23" t="s">
        <v>982</v>
      </c>
      <c r="C227" s="173">
        <v>-0.218</v>
      </c>
      <c r="D227" s="162">
        <v>-0.26900000000000002</v>
      </c>
      <c r="E227" s="173">
        <v>-0.30399999999999999</v>
      </c>
      <c r="F227" s="162">
        <v>-0.17499999999999999</v>
      </c>
      <c r="G227" s="173">
        <v>-0.23499999999999999</v>
      </c>
      <c r="H227" s="173">
        <v>-0.24</v>
      </c>
      <c r="I227" s="173">
        <v>-0.23400000000000001</v>
      </c>
      <c r="J227" s="173">
        <v>-0.23799999999999999</v>
      </c>
      <c r="K227" s="315">
        <v>-0.28738989999999998</v>
      </c>
      <c r="L227" s="315">
        <v>-0.26940029999999998</v>
      </c>
    </row>
    <row r="228" spans="1:12" ht="13.7" customHeight="1">
      <c r="A228" s="23" t="s">
        <v>983</v>
      </c>
      <c r="B228" s="23" t="s">
        <v>984</v>
      </c>
      <c r="C228" s="173">
        <v>-0.47099999999999997</v>
      </c>
      <c r="D228" s="162">
        <v>-0.70499999999999996</v>
      </c>
      <c r="E228" s="173">
        <v>-0.78600000000000003</v>
      </c>
      <c r="F228" s="162">
        <v>-0.505</v>
      </c>
      <c r="G228" s="173">
        <v>-0.66600000000000004</v>
      </c>
      <c r="H228" s="173">
        <v>-0.66700000000000004</v>
      </c>
      <c r="I228" s="173">
        <v>-0.66400000000000003</v>
      </c>
      <c r="J228" s="173">
        <v>-0.66500000000000004</v>
      </c>
      <c r="K228" s="315">
        <v>-1.0889930000000001</v>
      </c>
      <c r="L228" s="315">
        <v>-1.1134980000000001</v>
      </c>
    </row>
    <row r="229" spans="1:12" ht="13.7" customHeight="1">
      <c r="A229" s="23" t="s">
        <v>985</v>
      </c>
      <c r="B229" s="23" t="s">
        <v>986</v>
      </c>
      <c r="C229" s="173">
        <v>6.0999999999999999E-2</v>
      </c>
      <c r="D229" s="162">
        <v>0.11</v>
      </c>
      <c r="E229" s="173">
        <v>0.12</v>
      </c>
      <c r="F229" s="162">
        <v>6.5000000000000002E-2</v>
      </c>
      <c r="G229" s="173">
        <v>9.4E-2</v>
      </c>
      <c r="H229" s="173">
        <v>9.8000000000000004E-2</v>
      </c>
      <c r="I229" s="173">
        <v>9.4E-2</v>
      </c>
      <c r="J229" s="173">
        <v>9.8000000000000004E-2</v>
      </c>
      <c r="K229" s="315">
        <v>7.2975600000000002E-2</v>
      </c>
      <c r="L229" s="315">
        <v>7.3816199999999998E-2</v>
      </c>
    </row>
    <row r="230" spans="1:12" ht="13.7" customHeight="1">
      <c r="A230" s="23" t="s">
        <v>987</v>
      </c>
      <c r="B230" s="23" t="s">
        <v>988</v>
      </c>
      <c r="C230" s="173">
        <v>0.21099999999999999</v>
      </c>
      <c r="D230" s="162">
        <v>0.247</v>
      </c>
      <c r="E230" s="173">
        <v>0.28699999999999998</v>
      </c>
      <c r="F230" s="162">
        <v>0.23100000000000001</v>
      </c>
      <c r="G230" s="173">
        <v>0.26300000000000001</v>
      </c>
      <c r="H230" s="173">
        <v>0.26200000000000001</v>
      </c>
      <c r="I230" s="173">
        <v>0.26</v>
      </c>
      <c r="J230" s="173">
        <v>0.25900000000000001</v>
      </c>
      <c r="K230" s="315">
        <v>0.3509813</v>
      </c>
      <c r="L230" s="315">
        <v>0.33902320000000002</v>
      </c>
    </row>
    <row r="231" spans="1:12" ht="13.7" customHeight="1">
      <c r="A231" s="23" t="s">
        <v>989</v>
      </c>
      <c r="B231" s="23" t="s">
        <v>990</v>
      </c>
      <c r="C231" s="173">
        <v>0.216</v>
      </c>
      <c r="D231" s="162">
        <v>0.38200000000000001</v>
      </c>
      <c r="E231" s="173">
        <v>0.42299999999999999</v>
      </c>
      <c r="F231" s="162">
        <v>0.16600000000000001</v>
      </c>
      <c r="G231" s="173">
        <v>0.29099999999999998</v>
      </c>
      <c r="H231" s="173">
        <v>0.29299999999999998</v>
      </c>
      <c r="I231" s="173">
        <v>0.29199999999999998</v>
      </c>
      <c r="J231" s="173">
        <v>0.29399999999999998</v>
      </c>
      <c r="K231" s="315">
        <v>0.6017922</v>
      </c>
      <c r="L231" s="315">
        <v>0.58806979999999998</v>
      </c>
    </row>
    <row r="232" spans="1:12" ht="13.7" customHeight="1">
      <c r="A232" s="23" t="s">
        <v>970</v>
      </c>
      <c r="B232" s="23" t="s">
        <v>971</v>
      </c>
      <c r="C232" s="173">
        <v>-15.12</v>
      </c>
      <c r="D232" s="162">
        <v>-15.551</v>
      </c>
      <c r="E232" s="173">
        <v>-14.993</v>
      </c>
      <c r="F232" s="162">
        <v>-13.504</v>
      </c>
      <c r="G232" s="173">
        <v>-13.074999999999999</v>
      </c>
      <c r="H232" s="173">
        <v>-12.965</v>
      </c>
      <c r="I232" s="173">
        <v>-13.157999999999999</v>
      </c>
      <c r="J232" s="173">
        <v>-13.052</v>
      </c>
      <c r="K232" s="315">
        <v>-10.38977</v>
      </c>
      <c r="L232" s="315">
        <v>-9.5156880000000008</v>
      </c>
    </row>
    <row r="233" spans="1:12" s="9" customFormat="1" ht="13.7" customHeight="1"/>
    <row r="234" spans="1:12" s="4" customFormat="1" ht="13.7" customHeight="1">
      <c r="A234" s="2" t="s">
        <v>995</v>
      </c>
      <c r="C234" s="5"/>
      <c r="D234" s="5"/>
      <c r="E234" s="5"/>
      <c r="F234" s="6"/>
      <c r="G234" s="6"/>
      <c r="H234" s="5"/>
      <c r="I234" s="5"/>
      <c r="J234" s="5"/>
      <c r="K234" s="5"/>
      <c r="L234" s="5"/>
    </row>
    <row r="236" spans="1:12" ht="13.7" customHeight="1">
      <c r="A236" s="92"/>
      <c r="B236" s="32"/>
      <c r="C236" s="117"/>
    </row>
    <row r="237" spans="1:12" ht="13.7" customHeight="1">
      <c r="B237" s="25"/>
      <c r="C237" s="117"/>
    </row>
    <row r="238" spans="1:12" ht="13.7" customHeight="1">
      <c r="B238" s="180"/>
      <c r="C238" s="117"/>
    </row>
    <row r="239" spans="1:12" ht="13.7" customHeight="1">
      <c r="B239" s="197"/>
      <c r="C239" s="117"/>
    </row>
    <row r="240" spans="1:12" ht="13.7" customHeight="1">
      <c r="C240" s="24" t="s">
        <v>271</v>
      </c>
    </row>
    <row r="241" spans="1:12" s="23" customFormat="1" ht="13.7" customHeight="1">
      <c r="A241" s="24" t="s">
        <v>233</v>
      </c>
      <c r="C241" s="269">
        <v>12</v>
      </c>
      <c r="D241" s="25" t="s">
        <v>274</v>
      </c>
      <c r="E241" s="25" t="s">
        <v>276</v>
      </c>
      <c r="F241" s="252">
        <v>16</v>
      </c>
      <c r="G241" s="252">
        <v>17</v>
      </c>
      <c r="H241" s="252">
        <v>18</v>
      </c>
      <c r="I241" s="252">
        <v>19</v>
      </c>
      <c r="J241" s="252">
        <v>20</v>
      </c>
      <c r="K241" s="316">
        <f>K206</f>
        <v>21</v>
      </c>
      <c r="L241" s="316">
        <f>L206</f>
        <v>22</v>
      </c>
    </row>
    <row r="242" spans="1:12" s="23" customFormat="1" ht="13.7" customHeight="1">
      <c r="A242" s="23" t="s">
        <v>234</v>
      </c>
      <c r="C242" s="173">
        <v>0.51252835988998413</v>
      </c>
      <c r="D242" s="162">
        <v>0.53327703475952148</v>
      </c>
      <c r="E242" s="173">
        <v>0.55183422565460205</v>
      </c>
      <c r="F242" s="162">
        <v>0.58397109999999997</v>
      </c>
      <c r="G242" s="173">
        <v>0.54186990000000002</v>
      </c>
      <c r="H242" s="173">
        <v>0.54591858386993408</v>
      </c>
      <c r="I242" s="173">
        <v>0.53730392456054688</v>
      </c>
      <c r="J242" s="173">
        <v>0.54074925184249878</v>
      </c>
      <c r="K242" s="315">
        <v>0.54902082681655884</v>
      </c>
      <c r="L242" s="315">
        <v>0.56214569999999997</v>
      </c>
    </row>
    <row r="243" spans="1:12" s="23" customFormat="1" ht="13.7" customHeight="1">
      <c r="A243" s="23" t="s">
        <v>236</v>
      </c>
      <c r="C243" s="173">
        <v>0.38195407390594482</v>
      </c>
      <c r="D243" s="162">
        <v>0.38898223638534546</v>
      </c>
      <c r="E243" s="173">
        <v>0.3511907160282135</v>
      </c>
      <c r="F243" s="162">
        <v>0.26143369999999999</v>
      </c>
      <c r="G243" s="173">
        <v>0.30677579999999999</v>
      </c>
      <c r="H243" s="173">
        <v>0.31026870012283325</v>
      </c>
      <c r="I243" s="173">
        <v>0.30909639596939087</v>
      </c>
      <c r="J243" s="173">
        <v>0.31210103631019592</v>
      </c>
      <c r="K243" s="315">
        <v>0.26547756791114807</v>
      </c>
      <c r="L243" s="315">
        <v>0.25118200000000002</v>
      </c>
    </row>
    <row r="244" spans="1:12" s="23" customFormat="1" ht="13.7" customHeight="1">
      <c r="A244" s="23" t="s">
        <v>238</v>
      </c>
      <c r="C244" s="173">
        <v>0.93800777196884155</v>
      </c>
      <c r="D244" s="162">
        <v>0.86112242937088013</v>
      </c>
      <c r="E244" s="173">
        <v>0.86228930950164795</v>
      </c>
      <c r="F244" s="162">
        <v>0.91929870000000002</v>
      </c>
      <c r="G244" s="173">
        <v>0.78254429999999997</v>
      </c>
      <c r="H244" s="173">
        <v>0.79276472330093384</v>
      </c>
      <c r="I244" s="173">
        <v>0.78640550374984741</v>
      </c>
      <c r="J244" s="173">
        <v>0.79549074172973633</v>
      </c>
      <c r="K244" s="315">
        <v>0.70698332786560059</v>
      </c>
      <c r="L244" s="315">
        <v>0.68593329999999997</v>
      </c>
    </row>
    <row r="245" spans="1:12" s="23" customFormat="1" ht="13.7" customHeight="1">
      <c r="A245" s="23" t="s">
        <v>240</v>
      </c>
      <c r="C245" s="173">
        <v>0.54873275756835938</v>
      </c>
      <c r="D245" s="162">
        <v>0.54602116346359253</v>
      </c>
      <c r="E245" s="173">
        <v>0.52320706844329834</v>
      </c>
      <c r="F245" s="162">
        <v>0.46529670000000001</v>
      </c>
      <c r="G245" s="173">
        <v>0.48796669999999998</v>
      </c>
      <c r="H245" s="173">
        <v>0.49093997478485107</v>
      </c>
      <c r="I245" s="173">
        <v>0.48987022042274475</v>
      </c>
      <c r="J245" s="173">
        <v>0.49242427945137024</v>
      </c>
      <c r="K245" s="315">
        <v>0.45800474286079407</v>
      </c>
      <c r="L245" s="315">
        <v>0.44282589999999999</v>
      </c>
    </row>
    <row r="246" spans="1:12" s="23" customFormat="1" ht="13.7" customHeight="1">
      <c r="A246" s="23" t="s">
        <v>242</v>
      </c>
      <c r="C246" s="173">
        <v>0.53555470705032349</v>
      </c>
      <c r="D246" s="162">
        <v>0.55565387010574341</v>
      </c>
      <c r="E246" s="173">
        <v>0.39076235890388489</v>
      </c>
      <c r="F246" s="162">
        <v>0.40871829999999998</v>
      </c>
      <c r="G246" s="173">
        <v>0.44965880000000003</v>
      </c>
      <c r="H246" s="173">
        <v>0.45285087823867798</v>
      </c>
      <c r="I246" s="173">
        <v>0.45172470808029175</v>
      </c>
      <c r="J246" s="173">
        <v>0.45446491241455078</v>
      </c>
      <c r="K246" s="315">
        <v>0.40544363856315613</v>
      </c>
      <c r="L246" s="315">
        <v>0.38370090000000001</v>
      </c>
    </row>
    <row r="247" spans="1:12" s="23" customFormat="1" ht="13.7" customHeight="1">
      <c r="A247" s="23" t="s">
        <v>244</v>
      </c>
      <c r="C247" s="173">
        <v>0.67484056949615479</v>
      </c>
      <c r="D247" s="162">
        <v>0.70061159133911133</v>
      </c>
      <c r="E247" s="173">
        <v>0.5759124755859375</v>
      </c>
      <c r="F247" s="162">
        <v>0.7712968</v>
      </c>
      <c r="G247" s="173">
        <v>0.74411119999999997</v>
      </c>
      <c r="H247" s="173">
        <v>0.74187666177749634</v>
      </c>
      <c r="I247" s="173">
        <v>0.74174958467483521</v>
      </c>
      <c r="J247" s="173">
        <v>0.73995178937911987</v>
      </c>
      <c r="K247" s="315">
        <v>0.78441405296325684</v>
      </c>
      <c r="L247" s="315">
        <v>0.77668139999999997</v>
      </c>
    </row>
    <row r="248" spans="1:12" s="23" customFormat="1" ht="13.7" customHeight="1">
      <c r="A248" s="23" t="s">
        <v>246</v>
      </c>
      <c r="C248" s="173">
        <v>0.65768849849700928</v>
      </c>
      <c r="D248" s="162">
        <v>0.69625496864318848</v>
      </c>
      <c r="E248" s="173">
        <v>0.71264153718948364</v>
      </c>
      <c r="F248" s="162">
        <v>0.74720660000000005</v>
      </c>
      <c r="G248" s="173">
        <v>0.75065059999999995</v>
      </c>
      <c r="H248" s="173">
        <v>0.74899572134017944</v>
      </c>
      <c r="I248" s="173">
        <v>0.74866080284118652</v>
      </c>
      <c r="J248" s="173">
        <v>0.74740535020828247</v>
      </c>
      <c r="K248" s="315">
        <v>0.7612689733505249</v>
      </c>
      <c r="L248" s="315">
        <v>0.77769580000000005</v>
      </c>
    </row>
    <row r="249" spans="1:12" s="23" customFormat="1" ht="13.7" customHeight="1">
      <c r="A249" s="23" t="s">
        <v>248</v>
      </c>
      <c r="C249" s="173">
        <v>0.71597772836685181</v>
      </c>
      <c r="D249" s="162">
        <v>0.81016111373901367</v>
      </c>
      <c r="E249" s="173">
        <v>0.82578408718109131</v>
      </c>
      <c r="F249" s="162">
        <v>0.72833970000000003</v>
      </c>
      <c r="G249" s="173">
        <v>0.761409</v>
      </c>
      <c r="H249" s="173">
        <v>0.76865077018737793</v>
      </c>
      <c r="I249" s="173">
        <v>0.76327437162399292</v>
      </c>
      <c r="J249" s="173">
        <v>0.76971423625946045</v>
      </c>
      <c r="K249" s="315">
        <v>0.74285942316055298</v>
      </c>
      <c r="L249" s="315">
        <v>0.73302920000000005</v>
      </c>
    </row>
    <row r="250" spans="1:12" s="23" customFormat="1" ht="13.7" customHeight="1">
      <c r="A250" s="23" t="s">
        <v>250</v>
      </c>
      <c r="C250" s="173">
        <v>0.97273910045623779</v>
      </c>
      <c r="D250" s="162">
        <v>0.97698783874511719</v>
      </c>
      <c r="E250" s="173">
        <v>0.97676986455917358</v>
      </c>
      <c r="F250" s="162">
        <v>0.97854759999999996</v>
      </c>
      <c r="G250" s="173">
        <v>0.97491720000000004</v>
      </c>
      <c r="H250" s="173">
        <v>0.97479218244552612</v>
      </c>
      <c r="I250" s="173">
        <v>0.97501319646835327</v>
      </c>
      <c r="J250" s="173">
        <v>0.97489362955093384</v>
      </c>
      <c r="K250" s="315">
        <v>0.96492177248001099</v>
      </c>
      <c r="L250" s="315">
        <v>0.95938120000000005</v>
      </c>
    </row>
    <row r="251" spans="1:12" s="23" customFormat="1" ht="13.7" customHeight="1">
      <c r="A251" s="23" t="s">
        <v>252</v>
      </c>
      <c r="C251" s="173">
        <v>0.7710915207862854</v>
      </c>
      <c r="D251" s="162">
        <v>0.91197055578231812</v>
      </c>
      <c r="E251" s="173">
        <v>0.91079443693161011</v>
      </c>
      <c r="F251" s="162">
        <v>0.77629269999999995</v>
      </c>
      <c r="G251" s="173">
        <v>0.90988049999999998</v>
      </c>
      <c r="H251" s="173">
        <v>0.91033905744552612</v>
      </c>
      <c r="I251" s="173">
        <v>0.90898853540420532</v>
      </c>
      <c r="J251" s="173">
        <v>0.90952122211456299</v>
      </c>
      <c r="K251" s="315">
        <v>0.90829753875732422</v>
      </c>
      <c r="L251" s="315">
        <v>0.90144930000000001</v>
      </c>
    </row>
    <row r="252" spans="1:12" s="23" customFormat="1" ht="13.7" customHeight="1">
      <c r="A252" s="23" t="s">
        <v>254</v>
      </c>
      <c r="C252" s="173">
        <v>0.6771237850189209</v>
      </c>
      <c r="D252" s="162">
        <v>0.76520144939422607</v>
      </c>
      <c r="E252" s="173">
        <v>0.75922203063964844</v>
      </c>
      <c r="F252" s="162">
        <v>0.66150629999999999</v>
      </c>
      <c r="G252" s="173">
        <v>0.73653040000000003</v>
      </c>
      <c r="H252" s="173">
        <v>0.73842936754226685</v>
      </c>
      <c r="I252" s="173">
        <v>0.73713600635528564</v>
      </c>
      <c r="J252" s="173">
        <v>0.73881137371063232</v>
      </c>
      <c r="K252" s="315">
        <v>0.7377007007598877</v>
      </c>
      <c r="L252" s="315">
        <v>0.73517089999999996</v>
      </c>
    </row>
    <row r="253" spans="1:12" s="23" customFormat="1" ht="13.7" customHeight="1">
      <c r="A253" s="23" t="s">
        <v>256</v>
      </c>
      <c r="C253" s="173">
        <v>0.82164978981018066</v>
      </c>
      <c r="D253" s="162">
        <v>0.91803056001663208</v>
      </c>
      <c r="E253" s="173">
        <v>0.95112037658691406</v>
      </c>
      <c r="F253" s="162">
        <v>0.93602969999999996</v>
      </c>
      <c r="G253" s="173">
        <v>0.96057939999999997</v>
      </c>
      <c r="H253" s="173">
        <v>0.96070611476898193</v>
      </c>
      <c r="I253" s="173">
        <v>0.96025413274765015</v>
      </c>
      <c r="J253" s="173">
        <v>0.96039307117462158</v>
      </c>
      <c r="K253" s="315">
        <v>0.97621333599090576</v>
      </c>
      <c r="L253" s="315">
        <v>0.97765550000000001</v>
      </c>
    </row>
    <row r="254" spans="1:12" s="23" customFormat="1" ht="13.7" customHeight="1">
      <c r="A254" s="23" t="s">
        <v>258</v>
      </c>
      <c r="C254" s="173">
        <v>0.80785179138183594</v>
      </c>
      <c r="D254" s="162">
        <v>0.93827402591705322</v>
      </c>
      <c r="E254" s="173">
        <v>0.91684287786483765</v>
      </c>
      <c r="F254" s="162">
        <v>0.69228829999999997</v>
      </c>
      <c r="G254" s="173">
        <v>0.8121623</v>
      </c>
      <c r="H254" s="173">
        <v>0.82084321975708008</v>
      </c>
      <c r="I254" s="173">
        <v>0.81615728139877319</v>
      </c>
      <c r="J254" s="173">
        <v>0.82374072074890137</v>
      </c>
      <c r="K254" s="315">
        <v>0.74915206432342529</v>
      </c>
      <c r="L254" s="315">
        <v>0.72164620000000002</v>
      </c>
    </row>
    <row r="256" spans="1:12" s="4" customFormat="1" ht="13.7" customHeight="1">
      <c r="A256" s="2" t="s">
        <v>996</v>
      </c>
      <c r="C256" s="5"/>
      <c r="D256" s="5"/>
      <c r="E256" s="5"/>
      <c r="F256" s="6"/>
      <c r="G256" s="6"/>
      <c r="H256" s="5"/>
      <c r="I256" s="5"/>
      <c r="J256" s="5"/>
      <c r="K256" s="5"/>
      <c r="L256" s="5"/>
    </row>
    <row r="258" spans="1:12" ht="13.7" customHeight="1">
      <c r="A258" s="92"/>
      <c r="B258" s="32"/>
      <c r="C258" s="117"/>
    </row>
    <row r="259" spans="1:12" ht="13.7" customHeight="1">
      <c r="B259" s="25"/>
      <c r="C259" s="117"/>
    </row>
    <row r="260" spans="1:12" ht="13.7" customHeight="1">
      <c r="B260" s="180"/>
      <c r="C260" s="117"/>
    </row>
    <row r="261" spans="1:12" ht="13.7" customHeight="1">
      <c r="B261" s="197"/>
      <c r="C261" s="117"/>
    </row>
    <row r="262" spans="1:12" ht="13.7" customHeight="1">
      <c r="C262" s="24" t="s">
        <v>271</v>
      </c>
    </row>
    <row r="263" spans="1:12" s="23" customFormat="1" ht="13.7" customHeight="1">
      <c r="A263" s="24" t="s">
        <v>233</v>
      </c>
      <c r="C263" s="269">
        <v>12</v>
      </c>
      <c r="D263" s="25" t="s">
        <v>274</v>
      </c>
      <c r="E263" s="25" t="s">
        <v>276</v>
      </c>
      <c r="F263" s="252">
        <v>16</v>
      </c>
      <c r="G263" s="252">
        <v>17</v>
      </c>
      <c r="H263" s="252">
        <v>18</v>
      </c>
      <c r="I263" s="252">
        <v>19</v>
      </c>
      <c r="J263" s="252">
        <v>20</v>
      </c>
      <c r="K263" s="316">
        <f>K241</f>
        <v>21</v>
      </c>
      <c r="L263" s="316">
        <f>L241</f>
        <v>22</v>
      </c>
    </row>
    <row r="264" spans="1:12" s="23" customFormat="1" ht="13.7" customHeight="1">
      <c r="A264" s="23" t="s">
        <v>234</v>
      </c>
      <c r="C264" s="174">
        <v>0</v>
      </c>
      <c r="D264" s="42">
        <v>0</v>
      </c>
      <c r="E264" s="174">
        <v>0</v>
      </c>
      <c r="F264" s="42">
        <v>0</v>
      </c>
      <c r="G264" s="174">
        <v>0</v>
      </c>
      <c r="H264" s="174">
        <v>0</v>
      </c>
      <c r="I264" s="174">
        <v>0</v>
      </c>
      <c r="J264" s="174">
        <v>0</v>
      </c>
      <c r="K264" s="317">
        <v>0</v>
      </c>
      <c r="L264" s="317">
        <v>1</v>
      </c>
    </row>
    <row r="265" spans="1:12" s="23" customFormat="1" ht="13.7" customHeight="1">
      <c r="A265" s="23" t="s">
        <v>236</v>
      </c>
      <c r="C265" s="174">
        <v>0</v>
      </c>
      <c r="D265" s="42">
        <v>0</v>
      </c>
      <c r="E265" s="174">
        <v>0</v>
      </c>
      <c r="F265" s="42">
        <v>0</v>
      </c>
      <c r="G265" s="174">
        <v>1</v>
      </c>
      <c r="H265" s="174">
        <v>1</v>
      </c>
      <c r="I265" s="174">
        <v>1</v>
      </c>
      <c r="J265" s="174">
        <v>1</v>
      </c>
      <c r="K265" s="317">
        <v>1</v>
      </c>
      <c r="L265" s="317">
        <v>1</v>
      </c>
    </row>
    <row r="266" spans="1:12" s="23" customFormat="1" ht="13.7" customHeight="1">
      <c r="A266" s="23" t="s">
        <v>238</v>
      </c>
      <c r="C266" s="174">
        <v>0</v>
      </c>
      <c r="D266" s="42">
        <v>0</v>
      </c>
      <c r="E266" s="174">
        <v>0</v>
      </c>
      <c r="F266" s="42">
        <v>0</v>
      </c>
      <c r="G266" s="174">
        <v>0</v>
      </c>
      <c r="H266" s="174">
        <v>0</v>
      </c>
      <c r="I266" s="174">
        <v>0</v>
      </c>
      <c r="J266" s="174">
        <v>0</v>
      </c>
      <c r="K266" s="317">
        <v>1</v>
      </c>
      <c r="L266" s="317">
        <v>1</v>
      </c>
    </row>
    <row r="267" spans="1:12" s="23" customFormat="1" ht="13.7" customHeight="1">
      <c r="A267" s="23" t="s">
        <v>240</v>
      </c>
      <c r="C267" s="174">
        <v>0</v>
      </c>
      <c r="D267" s="42">
        <v>0</v>
      </c>
      <c r="E267" s="174">
        <v>0</v>
      </c>
      <c r="F267" s="42">
        <v>0</v>
      </c>
      <c r="G267" s="174">
        <v>0</v>
      </c>
      <c r="H267" s="174">
        <v>0</v>
      </c>
      <c r="I267" s="174">
        <v>0</v>
      </c>
      <c r="J267" s="174">
        <v>0</v>
      </c>
      <c r="K267" s="317">
        <v>1</v>
      </c>
      <c r="L267" s="317">
        <v>1</v>
      </c>
    </row>
    <row r="268" spans="1:12" s="23" customFormat="1" ht="13.7" customHeight="1">
      <c r="A268" s="23" t="s">
        <v>242</v>
      </c>
      <c r="C268" s="174">
        <v>0</v>
      </c>
      <c r="D268" s="42">
        <v>0</v>
      </c>
      <c r="E268" s="174">
        <v>0</v>
      </c>
      <c r="F268" s="42">
        <v>0</v>
      </c>
      <c r="G268" s="174">
        <v>0</v>
      </c>
      <c r="H268" s="174">
        <v>0</v>
      </c>
      <c r="I268" s="174">
        <v>0</v>
      </c>
      <c r="J268" s="174">
        <v>0</v>
      </c>
      <c r="K268" s="317">
        <v>0.94444444444444442</v>
      </c>
      <c r="L268" s="317">
        <v>1</v>
      </c>
    </row>
    <row r="269" spans="1:12" s="23" customFormat="1" ht="13.7" customHeight="1">
      <c r="A269" s="23" t="s">
        <v>244</v>
      </c>
      <c r="C269" s="174">
        <v>1</v>
      </c>
      <c r="D269" s="42">
        <v>1</v>
      </c>
      <c r="E269" s="174">
        <v>1</v>
      </c>
      <c r="F269" s="42">
        <v>1</v>
      </c>
      <c r="G269" s="174">
        <v>1</v>
      </c>
      <c r="H269" s="174">
        <v>1</v>
      </c>
      <c r="I269" s="174">
        <v>1</v>
      </c>
      <c r="J269" s="174">
        <v>1</v>
      </c>
      <c r="K269" s="317">
        <v>1</v>
      </c>
      <c r="L269" s="317">
        <v>1</v>
      </c>
    </row>
    <row r="270" spans="1:12" s="23" customFormat="1" ht="13.7" customHeight="1">
      <c r="A270" s="23" t="s">
        <v>246</v>
      </c>
      <c r="C270" s="174">
        <v>0</v>
      </c>
      <c r="D270" s="42">
        <v>0</v>
      </c>
      <c r="E270" s="174">
        <v>1</v>
      </c>
      <c r="F270" s="42">
        <v>1</v>
      </c>
      <c r="G270" s="174">
        <v>1</v>
      </c>
      <c r="H270" s="174">
        <v>1</v>
      </c>
      <c r="I270" s="174">
        <v>1</v>
      </c>
      <c r="J270" s="174">
        <v>1</v>
      </c>
      <c r="K270" s="317">
        <v>1</v>
      </c>
      <c r="L270" s="317">
        <v>1</v>
      </c>
    </row>
    <row r="271" spans="1:12" s="23" customFormat="1" ht="13.7" customHeight="1">
      <c r="A271" s="23" t="s">
        <v>248</v>
      </c>
      <c r="C271" s="174">
        <v>0</v>
      </c>
      <c r="D271" s="42">
        <v>1</v>
      </c>
      <c r="E271" s="174">
        <v>1</v>
      </c>
      <c r="F271" s="42">
        <v>0</v>
      </c>
      <c r="G271" s="174">
        <v>0</v>
      </c>
      <c r="H271" s="174">
        <v>0</v>
      </c>
      <c r="I271" s="174">
        <v>0</v>
      </c>
      <c r="J271" s="174">
        <v>0</v>
      </c>
      <c r="K271" s="317">
        <v>1</v>
      </c>
      <c r="L271" s="317">
        <v>1</v>
      </c>
    </row>
    <row r="272" spans="1:12" s="23" customFormat="1" ht="13.7" customHeight="1">
      <c r="A272" s="23" t="s">
        <v>250</v>
      </c>
      <c r="C272" s="174">
        <v>0</v>
      </c>
      <c r="D272" s="42">
        <v>0</v>
      </c>
      <c r="E272" s="174">
        <v>0</v>
      </c>
      <c r="F272" s="42">
        <v>0</v>
      </c>
      <c r="G272" s="174">
        <v>0</v>
      </c>
      <c r="H272" s="174">
        <v>0</v>
      </c>
      <c r="I272" s="174">
        <v>0</v>
      </c>
      <c r="J272" s="174">
        <v>0</v>
      </c>
      <c r="K272" s="317">
        <v>0.55555555555555558</v>
      </c>
      <c r="L272" s="317">
        <v>1</v>
      </c>
    </row>
    <row r="273" spans="1:12" s="23" customFormat="1" ht="13.7" customHeight="1">
      <c r="A273" s="23" t="s">
        <v>252</v>
      </c>
      <c r="C273" s="174">
        <v>0</v>
      </c>
      <c r="D273" s="42">
        <v>0</v>
      </c>
      <c r="E273" s="174">
        <v>0</v>
      </c>
      <c r="F273" s="42">
        <v>1</v>
      </c>
      <c r="G273" s="174">
        <v>1</v>
      </c>
      <c r="H273" s="174">
        <v>1</v>
      </c>
      <c r="I273" s="174">
        <v>1</v>
      </c>
      <c r="J273" s="174">
        <v>1</v>
      </c>
      <c r="K273" s="317">
        <v>1</v>
      </c>
      <c r="L273" s="317">
        <v>1</v>
      </c>
    </row>
    <row r="274" spans="1:12" s="23" customFormat="1" ht="13.7" customHeight="1">
      <c r="A274" s="23" t="s">
        <v>254</v>
      </c>
      <c r="C274" s="174">
        <v>0</v>
      </c>
      <c r="D274" s="42">
        <v>0</v>
      </c>
      <c r="E274" s="174">
        <v>0</v>
      </c>
      <c r="F274" s="42">
        <v>0</v>
      </c>
      <c r="G274" s="174">
        <v>0</v>
      </c>
      <c r="H274" s="174">
        <v>0</v>
      </c>
      <c r="I274" s="174">
        <v>0</v>
      </c>
      <c r="J274" s="174">
        <v>0</v>
      </c>
      <c r="K274" s="317">
        <v>0</v>
      </c>
      <c r="L274" s="317">
        <v>1</v>
      </c>
    </row>
    <row r="275" spans="1:12" s="23" customFormat="1" ht="13.7" customHeight="1">
      <c r="A275" s="23" t="s">
        <v>256</v>
      </c>
      <c r="C275" s="174">
        <v>0</v>
      </c>
      <c r="D275" s="42">
        <v>0</v>
      </c>
      <c r="E275" s="174">
        <v>0</v>
      </c>
      <c r="F275" s="42">
        <v>0</v>
      </c>
      <c r="G275" s="174">
        <v>0</v>
      </c>
      <c r="H275" s="174">
        <v>0</v>
      </c>
      <c r="I275" s="174">
        <v>0</v>
      </c>
      <c r="J275" s="174">
        <v>0</v>
      </c>
      <c r="K275" s="317">
        <v>0.83333333333333337</v>
      </c>
      <c r="L275" s="317">
        <v>1</v>
      </c>
    </row>
    <row r="276" spans="1:12" s="23" customFormat="1" ht="13.7" customHeight="1">
      <c r="A276" s="23" t="s">
        <v>258</v>
      </c>
      <c r="C276" s="174">
        <v>0</v>
      </c>
      <c r="D276" s="42">
        <v>1</v>
      </c>
      <c r="E276" s="174">
        <v>1</v>
      </c>
      <c r="F276" s="42">
        <v>0</v>
      </c>
      <c r="G276" s="174">
        <v>1</v>
      </c>
      <c r="H276" s="174">
        <v>1</v>
      </c>
      <c r="I276" s="174">
        <v>1</v>
      </c>
      <c r="J276" s="174">
        <v>1</v>
      </c>
      <c r="K276" s="317">
        <v>1</v>
      </c>
      <c r="L276" s="317">
        <v>1</v>
      </c>
    </row>
    <row r="277" spans="1:12" s="152" customFormat="1" ht="15">
      <c r="A277" s="24" t="s">
        <v>993</v>
      </c>
      <c r="C277" s="153">
        <f t="shared" ref="C277" si="2">SUM(C264:C276)</f>
        <v>1</v>
      </c>
      <c r="D277" s="153">
        <f t="shared" ref="D277:E277" si="3">SUM(D264:D276)</f>
        <v>3</v>
      </c>
      <c r="E277" s="153">
        <f t="shared" si="3"/>
        <v>4</v>
      </c>
      <c r="F277" s="153">
        <f t="shared" ref="F277:J277" si="4">SUM(F264:F276)</f>
        <v>3</v>
      </c>
      <c r="G277" s="153">
        <f t="shared" si="4"/>
        <v>5</v>
      </c>
      <c r="H277" s="153">
        <f t="shared" si="4"/>
        <v>5</v>
      </c>
      <c r="I277" s="153">
        <f t="shared" si="4"/>
        <v>5</v>
      </c>
      <c r="J277" s="153">
        <f t="shared" si="4"/>
        <v>5</v>
      </c>
      <c r="K277" s="153">
        <f t="shared" ref="K277:L277" si="5">SUM(K264:K276)</f>
        <v>10.333333333333334</v>
      </c>
      <c r="L277" s="153">
        <f t="shared" si="5"/>
        <v>13</v>
      </c>
    </row>
    <row r="279" spans="1:12" s="22" customFormat="1" ht="13.7" customHeight="1">
      <c r="A279" s="2" t="s">
        <v>227</v>
      </c>
      <c r="B279" s="4"/>
    </row>
  </sheetData>
  <hyperlinks>
    <hyperlink ref="A2" location="Index!A1" display="Index" xr:uid="{00000000-0004-0000-0900-000000000000}"/>
  </hyperlinks>
  <pageMargins left="0.7" right="0.7" top="0.75" bottom="0.75" header="0.3" footer="0.3"/>
  <pageSetup paperSize="9" orientation="portrait" r:id="rId1"/>
  <ignoredErrors>
    <ignoredError sqref="G32:G37 K197 K277 L277"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Z42"/>
  <sheetViews>
    <sheetView workbookViewId="0"/>
  </sheetViews>
  <sheetFormatPr defaultColWidth="8.85546875" defaultRowHeight="13.7" customHeight="1"/>
  <cols>
    <col min="1" max="1" width="45.85546875" style="23" bestFit="1" customWidth="1"/>
    <col min="2" max="2" width="10.140625" style="23" bestFit="1" customWidth="1"/>
    <col min="3" max="4" width="15.140625" style="23" bestFit="1" customWidth="1"/>
    <col min="5" max="17" width="10.85546875" style="23" bestFit="1" customWidth="1"/>
    <col min="18" max="16384" width="8.85546875" style="23"/>
  </cols>
  <sheetData>
    <row r="1" spans="1:25" s="7" customFormat="1" ht="15.75">
      <c r="A1" s="1" t="s">
        <v>0</v>
      </c>
    </row>
    <row r="2" spans="1:25" s="16" customFormat="1" ht="13.7" customHeight="1">
      <c r="A2" s="85" t="s">
        <v>5</v>
      </c>
      <c r="C2" s="15"/>
      <c r="E2" s="84"/>
    </row>
    <row r="3" spans="1:25" s="9" customFormat="1" ht="13.7" customHeight="1" thickBot="1">
      <c r="A3" s="8" t="s">
        <v>32</v>
      </c>
    </row>
    <row r="4" spans="1:25" s="9" customFormat="1" ht="13.7" customHeight="1"/>
    <row r="5" spans="1:25" s="4" customFormat="1" ht="13.7" customHeight="1">
      <c r="A5" s="2" t="s">
        <v>997</v>
      </c>
      <c r="C5" s="3"/>
      <c r="D5" s="3"/>
      <c r="E5" s="3"/>
      <c r="F5" s="3"/>
      <c r="G5" s="5"/>
      <c r="H5" s="6"/>
      <c r="I5" s="5"/>
      <c r="J5" s="6"/>
      <c r="K5" s="5"/>
      <c r="L5" s="5"/>
      <c r="M5" s="5"/>
      <c r="N5" s="5"/>
      <c r="O5" s="5"/>
      <c r="P5" s="5"/>
      <c r="Q5" s="5"/>
      <c r="R5" s="5"/>
      <c r="S5" s="6"/>
      <c r="T5" s="6"/>
      <c r="U5" s="5"/>
      <c r="V5" s="5"/>
      <c r="W5" s="5"/>
      <c r="X5" s="5"/>
      <c r="Y5" s="5"/>
    </row>
    <row r="6" spans="1:25" s="24" customFormat="1" ht="13.7" customHeight="1"/>
    <row r="7" spans="1:25" s="21" customFormat="1" ht="13.7" customHeight="1">
      <c r="C7" s="250" t="str">
        <f t="shared" ref="C7:V7" si="0">C8&amp;Parameter_DNSP</f>
        <v>2006JEN</v>
      </c>
      <c r="D7" s="250" t="str">
        <f t="shared" si="0"/>
        <v>2007JEN</v>
      </c>
      <c r="E7" s="250" t="str">
        <f t="shared" si="0"/>
        <v>2008JEN</v>
      </c>
      <c r="F7" s="250" t="str">
        <f t="shared" si="0"/>
        <v>2009JEN</v>
      </c>
      <c r="G7" s="250" t="str">
        <f t="shared" si="0"/>
        <v>2010JEN</v>
      </c>
      <c r="H7" s="250" t="str">
        <f t="shared" si="0"/>
        <v>2011JEN</v>
      </c>
      <c r="I7" s="250" t="str">
        <f t="shared" si="0"/>
        <v>2012JEN</v>
      </c>
      <c r="J7" s="250" t="str">
        <f t="shared" si="0"/>
        <v>2013JEN</v>
      </c>
      <c r="K7" s="250" t="str">
        <f t="shared" si="0"/>
        <v>2014JEN</v>
      </c>
      <c r="L7" s="250" t="str">
        <f t="shared" si="0"/>
        <v>2015JEN</v>
      </c>
      <c r="M7" s="250" t="str">
        <f t="shared" si="0"/>
        <v>2016JEN</v>
      </c>
      <c r="N7" s="250" t="str">
        <f t="shared" si="0"/>
        <v>2017JEN</v>
      </c>
      <c r="O7" s="250" t="str">
        <f t="shared" si="0"/>
        <v>2018JEN</v>
      </c>
      <c r="P7" s="250" t="str">
        <f t="shared" si="0"/>
        <v>2019JEN</v>
      </c>
      <c r="Q7" s="250" t="str">
        <f t="shared" si="0"/>
        <v>2020JEN</v>
      </c>
      <c r="R7" s="250" t="str">
        <f t="shared" si="0"/>
        <v>2021JEN</v>
      </c>
      <c r="S7" s="250" t="str">
        <f t="shared" si="0"/>
        <v>2022JEN</v>
      </c>
      <c r="T7" s="250" t="str">
        <f t="shared" si="0"/>
        <v>2023JEN</v>
      </c>
      <c r="U7" s="250" t="str">
        <f t="shared" si="0"/>
        <v>2024JEN</v>
      </c>
      <c r="V7" s="318" t="str">
        <f t="shared" si="0"/>
        <v>2025JEN</v>
      </c>
    </row>
    <row r="8" spans="1:25" s="252" customFormat="1" ht="13.7" customHeight="1">
      <c r="A8" s="24" t="s">
        <v>286</v>
      </c>
      <c r="B8" s="24" t="s">
        <v>287</v>
      </c>
      <c r="C8" s="250">
        <v>2006</v>
      </c>
      <c r="D8" s="250">
        <v>2007</v>
      </c>
      <c r="E8" s="250">
        <v>2008</v>
      </c>
      <c r="F8" s="250">
        <v>2009</v>
      </c>
      <c r="G8" s="250">
        <v>2010</v>
      </c>
      <c r="H8" s="250">
        <v>2011</v>
      </c>
      <c r="I8" s="250">
        <v>2012</v>
      </c>
      <c r="J8" s="250">
        <v>2013</v>
      </c>
      <c r="K8" s="250">
        <v>2014</v>
      </c>
      <c r="L8" s="250">
        <v>2015</v>
      </c>
      <c r="M8" s="250">
        <v>2016</v>
      </c>
      <c r="N8" s="250">
        <v>2017</v>
      </c>
      <c r="O8" s="250">
        <v>2018</v>
      </c>
      <c r="P8" s="250">
        <v>2019</v>
      </c>
      <c r="Q8" s="250">
        <v>2020</v>
      </c>
      <c r="R8" s="250">
        <v>2021</v>
      </c>
      <c r="S8" s="250">
        <v>2022</v>
      </c>
      <c r="T8" s="250">
        <v>2023</v>
      </c>
      <c r="U8" s="250">
        <v>2024</v>
      </c>
      <c r="V8" s="318">
        <v>2025</v>
      </c>
    </row>
    <row r="9" spans="1:25" s="248" customFormat="1" ht="13.7" customHeight="1">
      <c r="A9" s="248" t="s">
        <v>515</v>
      </c>
      <c r="B9" s="248" t="s">
        <v>516</v>
      </c>
      <c r="C9" s="72">
        <f t="shared" ref="C9:U11" si="1">VLOOKUP($A9, Table_Data_EBRIN, MATCH(C$7, Header_Table_Data_EBRIN, 0), FALSE)</f>
        <v>293175.49999997998</v>
      </c>
      <c r="D9" s="72">
        <f t="shared" si="1"/>
        <v>299118.49999998999</v>
      </c>
      <c r="E9" s="72">
        <f t="shared" si="1"/>
        <v>302627.49999998999</v>
      </c>
      <c r="F9" s="72">
        <f t="shared" si="1"/>
        <v>305242.99999997998</v>
      </c>
      <c r="G9" s="72">
        <f t="shared" si="1"/>
        <v>309597.99999998999</v>
      </c>
      <c r="H9" s="72">
        <f t="shared" si="1"/>
        <v>307191</v>
      </c>
      <c r="I9" s="72">
        <f t="shared" si="1"/>
        <v>312839</v>
      </c>
      <c r="J9" s="72">
        <f t="shared" si="1"/>
        <v>319591</v>
      </c>
      <c r="K9" s="72">
        <f t="shared" si="1"/>
        <v>325927.00000000006</v>
      </c>
      <c r="L9" s="72">
        <f t="shared" si="1"/>
        <v>332267</v>
      </c>
      <c r="M9" s="72">
        <f t="shared" si="1"/>
        <v>339467</v>
      </c>
      <c r="N9" s="72">
        <f t="shared" si="1"/>
        <v>346887</v>
      </c>
      <c r="O9" s="72">
        <f t="shared" si="1"/>
        <v>353729</v>
      </c>
      <c r="P9" s="129">
        <f t="shared" si="1"/>
        <v>360430.99999999994</v>
      </c>
      <c r="Q9" s="72">
        <f t="shared" si="1"/>
        <v>366841.00000000012</v>
      </c>
      <c r="R9" s="72">
        <f t="shared" si="1"/>
        <v>369331.49999999994</v>
      </c>
      <c r="S9" s="72">
        <f t="shared" si="1"/>
        <v>374388</v>
      </c>
      <c r="T9" s="72">
        <f t="shared" si="1"/>
        <v>378889</v>
      </c>
      <c r="U9" s="129">
        <f t="shared" si="1"/>
        <v>383818</v>
      </c>
      <c r="V9" s="319">
        <f t="shared" ref="V9:V13" si="2">VLOOKUP($A9, Table_Data_forecast, MATCH(V$7, Header_Table_Data_opex_proposed, 0), FALSE)</f>
        <v>391908</v>
      </c>
    </row>
    <row r="10" spans="1:25" s="66" customFormat="1" ht="13.7" customHeight="1">
      <c r="A10" s="66" t="s">
        <v>514</v>
      </c>
      <c r="B10" s="66" t="s">
        <v>512</v>
      </c>
      <c r="C10" s="72">
        <f t="shared" si="1"/>
        <v>5718.7325857100004</v>
      </c>
      <c r="D10" s="72">
        <f t="shared" si="1"/>
        <v>5769.8560802100001</v>
      </c>
      <c r="E10" s="72">
        <f t="shared" si="1"/>
        <v>5868.0882146499998</v>
      </c>
      <c r="F10" s="72">
        <f t="shared" si="1"/>
        <v>5926.7301499999994</v>
      </c>
      <c r="G10" s="72">
        <f t="shared" si="1"/>
        <v>5970.9719999999998</v>
      </c>
      <c r="H10" s="72">
        <f t="shared" si="1"/>
        <v>6041.5939481299993</v>
      </c>
      <c r="I10" s="72">
        <f t="shared" si="1"/>
        <v>6102.4391066500002</v>
      </c>
      <c r="J10" s="72">
        <f t="shared" si="1"/>
        <v>6134.8447602399992</v>
      </c>
      <c r="K10" s="72">
        <f t="shared" si="1"/>
        <v>6160.5729461899991</v>
      </c>
      <c r="L10" s="72">
        <f t="shared" si="1"/>
        <v>6246.3146799999995</v>
      </c>
      <c r="M10" s="72">
        <f t="shared" si="1"/>
        <v>6300.9202911100001</v>
      </c>
      <c r="N10" s="72">
        <f t="shared" si="1"/>
        <v>6408.9907576099995</v>
      </c>
      <c r="O10" s="72">
        <f t="shared" si="1"/>
        <v>6567.6</v>
      </c>
      <c r="P10" s="129">
        <f t="shared" si="1"/>
        <v>6627.926915</v>
      </c>
      <c r="Q10" s="72">
        <f t="shared" si="1"/>
        <v>6698.6166149999999</v>
      </c>
      <c r="R10" s="72">
        <f t="shared" si="1"/>
        <v>6755.8414250000005</v>
      </c>
      <c r="S10" s="72">
        <f t="shared" si="1"/>
        <v>6817.7999999999993</v>
      </c>
      <c r="T10" s="72">
        <f t="shared" si="1"/>
        <v>6898.5</v>
      </c>
      <c r="U10" s="129">
        <f t="shared" si="1"/>
        <v>7013.8026750000008</v>
      </c>
      <c r="V10" s="319">
        <f t="shared" si="2"/>
        <v>7101.0933080000004</v>
      </c>
    </row>
    <row r="11" spans="1:25" s="66" customFormat="1" ht="13.7" customHeight="1">
      <c r="A11" s="66" t="s">
        <v>517</v>
      </c>
      <c r="B11" s="66" t="s">
        <v>518</v>
      </c>
      <c r="C11" s="72">
        <f t="shared" si="1"/>
        <v>836.98500799999999</v>
      </c>
      <c r="D11" s="72">
        <f t="shared" si="1"/>
        <v>901.72535600000003</v>
      </c>
      <c r="E11" s="72">
        <f t="shared" si="1"/>
        <v>958.34431600000005</v>
      </c>
      <c r="F11" s="72">
        <f t="shared" si="1"/>
        <v>1019.66512</v>
      </c>
      <c r="G11" s="72">
        <f t="shared" si="1"/>
        <v>993.45596399999999</v>
      </c>
      <c r="H11" s="72">
        <f t="shared" si="1"/>
        <v>1017.041108</v>
      </c>
      <c r="I11" s="72">
        <f t="shared" si="1"/>
        <v>892.449252</v>
      </c>
      <c r="J11" s="72">
        <f t="shared" si="1"/>
        <v>977</v>
      </c>
      <c r="K11" s="72">
        <f t="shared" si="1"/>
        <v>1013.2929901</v>
      </c>
      <c r="L11" s="72">
        <f t="shared" si="1"/>
        <v>876.42929976000005</v>
      </c>
      <c r="M11" s="72">
        <f t="shared" si="1"/>
        <v>987.00584000000003</v>
      </c>
      <c r="N11" s="72">
        <f t="shared" si="1"/>
        <v>956.53558655999996</v>
      </c>
      <c r="O11" s="72">
        <f t="shared" si="1"/>
        <v>982.80725600000005</v>
      </c>
      <c r="P11" s="129">
        <f t="shared" si="1"/>
        <v>1026.0431919615999</v>
      </c>
      <c r="Q11" s="72">
        <f t="shared" si="1"/>
        <v>1050.4283640000001</v>
      </c>
      <c r="R11" s="72">
        <f>VLOOKUP($A11, Table_Data_EBRIN, MATCH(R$7, Header_Table_Data_EBRIN, 0), FALSE)</f>
        <v>947.88464399999998</v>
      </c>
      <c r="S11" s="72">
        <f>VLOOKUP($A11, Table_Data_EBRIN, MATCH(S$7, Header_Table_Data_EBRIN, 0), FALSE)</f>
        <v>993.43737799999997</v>
      </c>
      <c r="T11" s="72">
        <f>VLOOKUP($A11, Table_Data_EBRIN, MATCH(T$7, Header_Table_Data_EBRIN, 0), FALSE)</f>
        <v>1024.4343183891101</v>
      </c>
      <c r="U11" s="129">
        <f>VLOOKUP($A11, Table_Data_EBRIN, MATCH(U$7, Header_Table_Data_EBRIN, 0), FALSE)</f>
        <v>1101.0564443999999</v>
      </c>
      <c r="V11" s="319">
        <f t="shared" si="2"/>
        <v>1138.9999704000002</v>
      </c>
    </row>
    <row r="12" spans="1:25" s="66" customFormat="1" ht="13.7" customHeight="1">
      <c r="A12" s="66" t="s">
        <v>896</v>
      </c>
      <c r="B12" s="66" t="s">
        <v>998</v>
      </c>
      <c r="C12" s="72">
        <f>C11</f>
        <v>836.98500799999999</v>
      </c>
      <c r="D12" s="72">
        <f>MAX(C12,D11)</f>
        <v>901.72535600000003</v>
      </c>
      <c r="E12" s="72">
        <f>MAX(D12,E11)</f>
        <v>958.34431600000005</v>
      </c>
      <c r="F12" s="72">
        <f t="shared" ref="F12:S12" si="3">MAX(E12,F11)</f>
        <v>1019.66512</v>
      </c>
      <c r="G12" s="72">
        <f t="shared" si="3"/>
        <v>1019.66512</v>
      </c>
      <c r="H12" s="72">
        <f t="shared" si="3"/>
        <v>1019.66512</v>
      </c>
      <c r="I12" s="72">
        <f t="shared" si="3"/>
        <v>1019.66512</v>
      </c>
      <c r="J12" s="72">
        <f t="shared" si="3"/>
        <v>1019.66512</v>
      </c>
      <c r="K12" s="72">
        <f t="shared" si="3"/>
        <v>1019.66512</v>
      </c>
      <c r="L12" s="72">
        <f t="shared" si="3"/>
        <v>1019.66512</v>
      </c>
      <c r="M12" s="72">
        <f t="shared" si="3"/>
        <v>1019.66512</v>
      </c>
      <c r="N12" s="72">
        <f t="shared" si="3"/>
        <v>1019.66512</v>
      </c>
      <c r="O12" s="72">
        <f t="shared" si="3"/>
        <v>1019.66512</v>
      </c>
      <c r="P12" s="129">
        <f t="shared" si="3"/>
        <v>1026.0431919615999</v>
      </c>
      <c r="Q12" s="72">
        <f t="shared" si="3"/>
        <v>1050.4283640000001</v>
      </c>
      <c r="R12" s="72">
        <f t="shared" si="3"/>
        <v>1050.4283640000001</v>
      </c>
      <c r="S12" s="72">
        <f t="shared" si="3"/>
        <v>1050.4283640000001</v>
      </c>
      <c r="T12" s="72">
        <f t="shared" ref="T12:U12" si="4">MAX(S12,T11)</f>
        <v>1050.4283640000001</v>
      </c>
      <c r="U12" s="129">
        <f t="shared" si="4"/>
        <v>1101.0564443999999</v>
      </c>
      <c r="V12" s="319">
        <f t="shared" ref="V12" si="5">MAX(U12,V11)</f>
        <v>1138.9999704000002</v>
      </c>
    </row>
    <row r="13" spans="1:25" s="66" customFormat="1" ht="13.7" customHeight="1">
      <c r="A13" s="66" t="s">
        <v>513</v>
      </c>
      <c r="B13" s="66" t="s">
        <v>512</v>
      </c>
      <c r="C13" s="72">
        <f t="shared" ref="C13:U13" si="6">VLOOKUP($A13, Table_Data_EBRIN, MATCH(C$7, Header_Table_Data_EBRIN, 0), FALSE)</f>
        <v>1300.89040548</v>
      </c>
      <c r="D13" s="72">
        <f t="shared" si="6"/>
        <v>1344.330316</v>
      </c>
      <c r="E13" s="72">
        <f t="shared" si="6"/>
        <v>1415.67628883</v>
      </c>
      <c r="F13" s="72">
        <f t="shared" si="6"/>
        <v>1463.26622</v>
      </c>
      <c r="G13" s="72">
        <f t="shared" si="6"/>
        <v>1507.1591800000001</v>
      </c>
      <c r="H13" s="72">
        <f t="shared" si="6"/>
        <v>1565.6344853400001</v>
      </c>
      <c r="I13" s="72">
        <f t="shared" si="6"/>
        <v>1630.01</v>
      </c>
      <c r="J13" s="72">
        <f t="shared" si="6"/>
        <v>1679.2797602400001</v>
      </c>
      <c r="K13" s="72">
        <f t="shared" si="6"/>
        <v>1725.0657418599999</v>
      </c>
      <c r="L13" s="72">
        <f t="shared" si="6"/>
        <v>1795.4201599999999</v>
      </c>
      <c r="M13" s="72">
        <f t="shared" si="6"/>
        <v>1851.3087937099999</v>
      </c>
      <c r="N13" s="72">
        <f t="shared" si="6"/>
        <v>1956.1763526899999</v>
      </c>
      <c r="O13" s="72">
        <f t="shared" si="6"/>
        <v>2078.1</v>
      </c>
      <c r="P13" s="129">
        <f t="shared" si="6"/>
        <v>2150.291635</v>
      </c>
      <c r="Q13" s="72">
        <f t="shared" si="6"/>
        <v>2225.6166149999999</v>
      </c>
      <c r="R13" s="72">
        <f t="shared" si="6"/>
        <v>2249.2909690000001</v>
      </c>
      <c r="S13" s="72">
        <f t="shared" si="6"/>
        <v>2321.6999999999998</v>
      </c>
      <c r="T13" s="72">
        <f t="shared" si="6"/>
        <v>2408.9</v>
      </c>
      <c r="U13" s="129">
        <f t="shared" si="6"/>
        <v>2525.259125</v>
      </c>
      <c r="V13" s="319">
        <f t="shared" si="2"/>
        <v>2607.08259</v>
      </c>
    </row>
    <row r="14" spans="1:25" s="74" customFormat="1" ht="13.7" customHeight="1">
      <c r="A14" s="74" t="s">
        <v>897</v>
      </c>
      <c r="B14" s="74" t="s">
        <v>898</v>
      </c>
      <c r="C14" s="75">
        <f>C13/C10</f>
        <v>0.22747879639112203</v>
      </c>
      <c r="D14" s="75">
        <f t="shared" ref="D14:Q14" si="7">D13/D10</f>
        <v>0.23299200141419674</v>
      </c>
      <c r="E14" s="75">
        <f t="shared" si="7"/>
        <v>0.24125000120067852</v>
      </c>
      <c r="F14" s="75">
        <f t="shared" si="7"/>
        <v>0.24689266812662292</v>
      </c>
      <c r="G14" s="75">
        <f t="shared" si="7"/>
        <v>0.25241437742464712</v>
      </c>
      <c r="H14" s="75">
        <f t="shared" si="7"/>
        <v>0.25914262010683403</v>
      </c>
      <c r="I14" s="75">
        <f t="shared" si="7"/>
        <v>0.26710795003652427</v>
      </c>
      <c r="J14" s="75">
        <f t="shared" si="7"/>
        <v>0.27372815871779377</v>
      </c>
      <c r="K14" s="75">
        <f t="shared" si="7"/>
        <v>0.28001709531365349</v>
      </c>
      <c r="L14" s="75">
        <f t="shared" si="7"/>
        <v>0.28743671300274615</v>
      </c>
      <c r="M14" s="75">
        <f t="shared" si="7"/>
        <v>0.29381561869970341</v>
      </c>
      <c r="N14" s="75">
        <f t="shared" si="7"/>
        <v>0.30522377495508901</v>
      </c>
      <c r="O14" s="75">
        <f t="shared" si="7"/>
        <v>0.3164169559656495</v>
      </c>
      <c r="P14" s="130">
        <f t="shared" si="7"/>
        <v>0.32442899002606157</v>
      </c>
      <c r="Q14" s="75">
        <f t="shared" si="7"/>
        <v>0.33225018580944715</v>
      </c>
      <c r="R14" s="75">
        <f>R13/R10</f>
        <v>0.33294016651671188</v>
      </c>
      <c r="S14" s="75">
        <f>S13/S10</f>
        <v>0.34053506996391797</v>
      </c>
      <c r="T14" s="75">
        <f>T13/T10</f>
        <v>0.34919185330144237</v>
      </c>
      <c r="U14" s="130">
        <f>U13/U10</f>
        <v>0.36004137014019999</v>
      </c>
      <c r="V14" s="320">
        <f t="shared" ref="V14" si="8">V13/V10</f>
        <v>0.36713819646094414</v>
      </c>
    </row>
    <row r="15" spans="1:25" s="66" customFormat="1" ht="13.7" customHeight="1">
      <c r="A15" s="248" t="s">
        <v>519</v>
      </c>
      <c r="B15" s="66" t="s">
        <v>520</v>
      </c>
      <c r="C15" s="70">
        <f t="shared" ref="C15:U15" si="9">VLOOKUP($A15, Table_Data_opex_selected, MATCH(C$7, Header_Table_Data_EBRIN, 0), FALSE)</f>
        <v>46756.092287101899</v>
      </c>
      <c r="D15" s="70">
        <f t="shared" si="9"/>
        <v>51252.352222211397</v>
      </c>
      <c r="E15" s="70">
        <f t="shared" si="9"/>
        <v>43220.358648427202</v>
      </c>
      <c r="F15" s="70">
        <f t="shared" si="9"/>
        <v>48349.725749867001</v>
      </c>
      <c r="G15" s="70">
        <f t="shared" si="9"/>
        <v>58605.575110382997</v>
      </c>
      <c r="H15" s="70">
        <f t="shared" si="9"/>
        <v>66223.988115314729</v>
      </c>
      <c r="I15" s="70">
        <f t="shared" si="9"/>
        <v>82861.176102655692</v>
      </c>
      <c r="J15" s="70">
        <f t="shared" si="9"/>
        <v>83295.789556688193</v>
      </c>
      <c r="K15" s="70">
        <f t="shared" si="9"/>
        <v>81839.89075075349</v>
      </c>
      <c r="L15" s="70">
        <f t="shared" si="9"/>
        <v>83810.675510022906</v>
      </c>
      <c r="M15" s="70">
        <f t="shared" si="9"/>
        <v>89922.443806029289</v>
      </c>
      <c r="N15" s="70">
        <f t="shared" si="9"/>
        <v>95124.824283925991</v>
      </c>
      <c r="O15" s="70">
        <f t="shared" si="9"/>
        <v>90354.527270000006</v>
      </c>
      <c r="P15" s="131">
        <f t="shared" si="9"/>
        <v>92437.99136</v>
      </c>
      <c r="Q15" s="70">
        <f t="shared" si="9"/>
        <v>83587.755040000004</v>
      </c>
      <c r="R15" s="70">
        <f t="shared" si="9"/>
        <v>75656.824590000004</v>
      </c>
      <c r="S15" s="70">
        <f t="shared" si="9"/>
        <v>74664.096995365093</v>
      </c>
      <c r="T15" s="70">
        <f t="shared" si="9"/>
        <v>82877.291930000007</v>
      </c>
      <c r="U15" s="131">
        <f t="shared" si="9"/>
        <v>88592.699200000003</v>
      </c>
      <c r="V15" s="321">
        <f>'Data|Forecasts'!ER23</f>
        <v>92147.741814780631</v>
      </c>
    </row>
    <row r="16" spans="1:25" ht="13.7" customHeight="1">
      <c r="V16" s="322"/>
    </row>
    <row r="17" spans="1:25" s="133" customFormat="1" ht="13.7" customHeight="1">
      <c r="A17" s="133" t="s">
        <v>521</v>
      </c>
      <c r="B17" s="133" t="s">
        <v>5</v>
      </c>
      <c r="C17" s="134">
        <f t="shared" ref="C17:U17" si="10">VLOOKUP($A17, Table_Data_EBRIN, MATCH(C$7, Header_Table_Data_EBRIN, 0), FALSE)</f>
        <v>1.0258476465181641</v>
      </c>
      <c r="D17" s="134">
        <f t="shared" si="10"/>
        <v>1.0650547188806361</v>
      </c>
      <c r="E17" s="134">
        <f t="shared" si="10"/>
        <v>1.1122878618798167</v>
      </c>
      <c r="F17" s="134">
        <f t="shared" si="10"/>
        <v>1.1400308454887336</v>
      </c>
      <c r="G17" s="134">
        <f t="shared" si="10"/>
        <v>1.178546598199947</v>
      </c>
      <c r="H17" s="134">
        <f t="shared" si="10"/>
        <v>1.2206323874885738</v>
      </c>
      <c r="I17" s="134">
        <f t="shared" si="10"/>
        <v>1.2580479670432216</v>
      </c>
      <c r="J17" s="134">
        <f t="shared" si="10"/>
        <v>1.2966368788866152</v>
      </c>
      <c r="K17" s="134">
        <f t="shared" si="10"/>
        <v>1.3299716632564171</v>
      </c>
      <c r="L17" s="134">
        <f t="shared" si="10"/>
        <v>1.3538343217460784</v>
      </c>
      <c r="M17" s="134">
        <f t="shared" si="10"/>
        <v>1.3778751883264413</v>
      </c>
      <c r="N17" s="134">
        <f t="shared" si="10"/>
        <v>1.4051674292861043</v>
      </c>
      <c r="O17" s="134">
        <f t="shared" si="10"/>
        <v>1.4413653508395858</v>
      </c>
      <c r="P17" s="135">
        <f t="shared" si="10"/>
        <v>1.4719176204705369</v>
      </c>
      <c r="Q17" s="134">
        <f t="shared" si="10"/>
        <v>1.495454244929719</v>
      </c>
      <c r="R17" s="134">
        <f t="shared" si="10"/>
        <v>1.5051094987398133</v>
      </c>
      <c r="S17" s="134">
        <f t="shared" si="10"/>
        <v>1.5388261781330224</v>
      </c>
      <c r="T17" s="134">
        <f t="shared" si="10"/>
        <v>1.5955345396014755</v>
      </c>
      <c r="U17" s="135">
        <f t="shared" si="10"/>
        <v>1.6563963657194081</v>
      </c>
      <c r="V17" s="324">
        <f>U17*(1+'Data|CPI'!C335)</f>
        <v>1.6910040707668594</v>
      </c>
    </row>
    <row r="18" spans="1:25" s="77" customFormat="1" ht="13.7" customHeight="1">
      <c r="A18" s="68" t="s">
        <v>999</v>
      </c>
      <c r="B18" s="68" t="s">
        <v>1000</v>
      </c>
      <c r="C18" s="76">
        <v>0</v>
      </c>
      <c r="D18" s="76">
        <f>(D17 - C17)/C17</f>
        <v>3.8219196091685718E-2</v>
      </c>
      <c r="E18" s="76">
        <f t="shared" ref="E18:R18" si="11">(E17 - D17)/D17</f>
        <v>4.4348090442547616E-2</v>
      </c>
      <c r="F18" s="76">
        <f t="shared" si="11"/>
        <v>2.4942269496702071E-2</v>
      </c>
      <c r="G18" s="76">
        <f t="shared" si="11"/>
        <v>3.3784833860965972E-2</v>
      </c>
      <c r="H18" s="76">
        <f t="shared" si="11"/>
        <v>3.5709906891171338E-2</v>
      </c>
      <c r="I18" s="76">
        <f t="shared" si="11"/>
        <v>3.065261903432662E-2</v>
      </c>
      <c r="J18" s="76">
        <f t="shared" si="11"/>
        <v>3.0673641112499615E-2</v>
      </c>
      <c r="K18" s="76">
        <f t="shared" si="11"/>
        <v>2.5708650519354035E-2</v>
      </c>
      <c r="L18" s="76">
        <f t="shared" si="11"/>
        <v>1.7942230762446401E-2</v>
      </c>
      <c r="M18" s="76">
        <f t="shared" si="11"/>
        <v>1.7757613464368872E-2</v>
      </c>
      <c r="N18" s="76">
        <f t="shared" si="11"/>
        <v>1.9807484154506019E-2</v>
      </c>
      <c r="O18" s="76">
        <f t="shared" si="11"/>
        <v>2.576057542969945E-2</v>
      </c>
      <c r="P18" s="132">
        <f t="shared" si="11"/>
        <v>2.1196755987754622E-2</v>
      </c>
      <c r="Q18" s="76">
        <f t="shared" si="11"/>
        <v>1.5990449554954066E-2</v>
      </c>
      <c r="R18" s="76">
        <f t="shared" si="11"/>
        <v>6.4564020215463072E-3</v>
      </c>
      <c r="S18" s="76">
        <f t="shared" ref="S18" si="12">(S17 - R17)/R17</f>
        <v>2.2401479375048227E-2</v>
      </c>
      <c r="T18" s="76">
        <f t="shared" ref="T18:U18" si="13">(T17 - S17)/S17</f>
        <v>3.6851700519713315E-2</v>
      </c>
      <c r="U18" s="132">
        <f t="shared" si="13"/>
        <v>3.8145100972326373E-2</v>
      </c>
      <c r="V18" s="323">
        <f t="shared" ref="V18" si="14">(V17 - U17)/U17</f>
        <v>2.0893371757924925E-2</v>
      </c>
    </row>
    <row r="19" spans="1:25" s="66" customFormat="1" ht="13.7" customHeight="1">
      <c r="A19" s="66" t="s">
        <v>1001</v>
      </c>
      <c r="B19" s="202" t="s">
        <v>1002</v>
      </c>
      <c r="C19" s="70">
        <f>C15/C17*$V17</f>
        <v>77072.59714343978</v>
      </c>
      <c r="D19" s="70">
        <f t="shared" ref="D19:V19" si="15">D15/D17*$V17</f>
        <v>81374.162949321209</v>
      </c>
      <c r="E19" s="70">
        <f t="shared" si="15"/>
        <v>65707.632816360812</v>
      </c>
      <c r="F19" s="70">
        <f t="shared" si="15"/>
        <v>71716.992033172442</v>
      </c>
      <c r="G19" s="70">
        <f t="shared" si="15"/>
        <v>84088.542814220855</v>
      </c>
      <c r="H19" s="70">
        <f t="shared" si="15"/>
        <v>91743.455796564798</v>
      </c>
      <c r="I19" s="70">
        <f t="shared" si="15"/>
        <v>111377.77713471434</v>
      </c>
      <c r="J19" s="70">
        <f t="shared" si="15"/>
        <v>108629.88822209519</v>
      </c>
      <c r="K19" s="70">
        <f t="shared" si="15"/>
        <v>104056.04287221377</v>
      </c>
      <c r="L19" s="70">
        <f t="shared" si="15"/>
        <v>104683.55779190423</v>
      </c>
      <c r="M19" s="70">
        <f t="shared" si="15"/>
        <v>110357.75940924656</v>
      </c>
      <c r="N19" s="70">
        <f t="shared" si="15"/>
        <v>114474.94564887846</v>
      </c>
      <c r="O19" s="70">
        <f t="shared" si="15"/>
        <v>106003.5703902457</v>
      </c>
      <c r="P19" s="70">
        <f t="shared" si="15"/>
        <v>106196.85334923991</v>
      </c>
      <c r="Q19" s="70">
        <f t="shared" si="15"/>
        <v>94517.926254270584</v>
      </c>
      <c r="R19" s="70">
        <f t="shared" si="15"/>
        <v>85001.123486431738</v>
      </c>
      <c r="S19" s="70">
        <f t="shared" si="15"/>
        <v>82047.793151319667</v>
      </c>
      <c r="T19" s="70">
        <f t="shared" si="15"/>
        <v>87836.292195071073</v>
      </c>
      <c r="U19" s="131">
        <f t="shared" ref="U19" si="16">U15/U17*$V17</f>
        <v>90443.699399423611</v>
      </c>
      <c r="V19" s="321">
        <f t="shared" si="15"/>
        <v>92147.741814780631</v>
      </c>
    </row>
    <row r="20" spans="1:25" ht="13.7" customHeight="1">
      <c r="F20" s="104"/>
      <c r="S20" s="185"/>
    </row>
    <row r="21" spans="1:25" s="4" customFormat="1" ht="13.7" customHeight="1">
      <c r="A21" s="2" t="s">
        <v>1003</v>
      </c>
      <c r="C21" s="3"/>
      <c r="D21" s="3"/>
      <c r="E21" s="3"/>
      <c r="F21" s="3"/>
      <c r="G21" s="5"/>
      <c r="H21" s="6"/>
      <c r="I21" s="5"/>
      <c r="J21" s="6"/>
      <c r="K21" s="5"/>
      <c r="L21" s="5"/>
      <c r="M21" s="5"/>
      <c r="N21" s="5"/>
      <c r="O21" s="5"/>
      <c r="P21" s="5"/>
      <c r="Q21" s="5"/>
      <c r="R21" s="5"/>
      <c r="S21" s="6"/>
      <c r="T21" s="6"/>
      <c r="U21" s="5"/>
      <c r="V21" s="5"/>
      <c r="W21" s="5"/>
      <c r="X21" s="5"/>
      <c r="Y21" s="5"/>
    </row>
    <row r="22" spans="1:25" ht="13.7" customHeight="1">
      <c r="A22" s="23" t="s">
        <v>1004</v>
      </c>
      <c r="C22" s="73"/>
      <c r="D22" s="73"/>
      <c r="E22" s="73"/>
      <c r="F22" s="73"/>
      <c r="G22" s="73"/>
      <c r="H22" s="73"/>
      <c r="I22" s="73"/>
      <c r="J22" s="73"/>
      <c r="K22" s="73"/>
      <c r="L22" s="73"/>
      <c r="M22" s="73"/>
      <c r="N22" s="73"/>
      <c r="O22" s="73"/>
      <c r="P22" s="73"/>
      <c r="Q22" s="73"/>
      <c r="R22" s="73"/>
      <c r="S22" s="73"/>
      <c r="T22" s="73"/>
    </row>
    <row r="23" spans="1:25" ht="13.7" customHeight="1">
      <c r="D23" s="24" t="s">
        <v>1005</v>
      </c>
    </row>
    <row r="24" spans="1:25" ht="13.7" customHeight="1">
      <c r="A24" s="24" t="s">
        <v>286</v>
      </c>
      <c r="B24" s="24" t="s">
        <v>287</v>
      </c>
      <c r="C24" s="250" t="str">
        <f>"Average, 2006 - "&amp;Parameter_Period_end</f>
        <v>Average, 2006 - 2024</v>
      </c>
      <c r="D24" s="249">
        <v>2018</v>
      </c>
      <c r="E24" s="249">
        <v>2019</v>
      </c>
      <c r="F24" s="249">
        <v>2020</v>
      </c>
      <c r="G24" s="249">
        <v>2021</v>
      </c>
      <c r="H24" s="249">
        <v>2022</v>
      </c>
      <c r="I24" s="249">
        <v>2023</v>
      </c>
      <c r="J24" s="249">
        <f>I24+1</f>
        <v>2024</v>
      </c>
      <c r="K24" s="249">
        <f>J24+1</f>
        <v>2025</v>
      </c>
    </row>
    <row r="25" spans="1:25" ht="13.7" customHeight="1">
      <c r="A25" s="23" t="s">
        <v>515</v>
      </c>
      <c r="B25" s="23" t="s">
        <v>516</v>
      </c>
      <c r="C25" s="105">
        <f>AVERAGEIF($8:$8, "&lt;="&amp;Parameter_Period_end, 9:9)</f>
        <v>335860.99999999633</v>
      </c>
      <c r="D25" s="78">
        <f>LN(O9/$C25)</f>
        <v>5.1833699344249966E-2</v>
      </c>
      <c r="E25" s="49">
        <f t="shared" ref="D25:I26" si="17">LN(P9/$C25)</f>
        <v>7.0603153679858449E-2</v>
      </c>
      <c r="F25" s="49">
        <f t="shared" si="17"/>
        <v>8.8231127777617782E-2</v>
      </c>
      <c r="G25" s="49">
        <f>LN(R9/$C25)</f>
        <v>9.4997230834391225E-2</v>
      </c>
      <c r="H25" s="49">
        <f t="shared" si="17"/>
        <v>0.10859530891424149</v>
      </c>
      <c r="I25" s="49">
        <f t="shared" si="17"/>
        <v>0.12054590230294115</v>
      </c>
      <c r="J25" s="49">
        <f t="shared" ref="J25:J26" si="18">LN(U9/$C25)</f>
        <v>0.13347109800714974</v>
      </c>
      <c r="K25" s="49">
        <f t="shared" ref="K25:K26" si="19">LN(V9/$C25)</f>
        <v>0.15432973447450268</v>
      </c>
    </row>
    <row r="26" spans="1:25" ht="13.7" customHeight="1">
      <c r="A26" s="23" t="s">
        <v>514</v>
      </c>
      <c r="B26" s="23" t="s">
        <v>512</v>
      </c>
      <c r="C26" s="105">
        <f>AVERAGEIF($8:$8, "&lt;="&amp;Parameter_Period_end, 10:10)</f>
        <v>6317.3759552894744</v>
      </c>
      <c r="D26" s="78">
        <f t="shared" si="17"/>
        <v>3.8844543962956231E-2</v>
      </c>
      <c r="E26" s="49">
        <f t="shared" si="17"/>
        <v>4.7988147805854177E-2</v>
      </c>
      <c r="F26" s="49">
        <f t="shared" si="17"/>
        <v>5.8597104712032111E-2</v>
      </c>
      <c r="G26" s="49">
        <f t="shared" si="17"/>
        <v>6.7103601948475297E-2</v>
      </c>
      <c r="H26" s="49">
        <f t="shared" si="17"/>
        <v>7.6232914177101666E-2</v>
      </c>
      <c r="I26" s="49">
        <f t="shared" si="17"/>
        <v>8.8000071673171601E-2</v>
      </c>
      <c r="J26" s="49">
        <f t="shared" si="18"/>
        <v>0.1045760933097912</v>
      </c>
      <c r="K26" s="49">
        <f t="shared" si="19"/>
        <v>0.11694483424195612</v>
      </c>
    </row>
    <row r="27" spans="1:25" ht="13.7" customHeight="1">
      <c r="A27" s="23" t="s">
        <v>896</v>
      </c>
      <c r="B27" s="23" t="s">
        <v>998</v>
      </c>
      <c r="C27" s="105">
        <f>AVERAGEIF($8:$8, "&lt;="&amp;Parameter_Period_end, 12:12)</f>
        <v>1011.7115248611368</v>
      </c>
      <c r="D27" s="78">
        <f t="shared" ref="D27:I27" si="20">LN(O12/$C27)</f>
        <v>7.8307839194602085E-3</v>
      </c>
      <c r="E27" s="49">
        <f t="shared" si="20"/>
        <v>1.4066367546486918E-2</v>
      </c>
      <c r="F27" s="49">
        <f t="shared" si="20"/>
        <v>3.7554570943853269E-2</v>
      </c>
      <c r="G27" s="49">
        <f t="shared" si="20"/>
        <v>3.7554570943853269E-2</v>
      </c>
      <c r="H27" s="49">
        <f t="shared" si="20"/>
        <v>3.7554570943853269E-2</v>
      </c>
      <c r="I27" s="49">
        <f t="shared" si="20"/>
        <v>3.7554570943853269E-2</v>
      </c>
      <c r="J27" s="49">
        <f t="shared" ref="J27" si="21">LN(U12/$C27)</f>
        <v>8.4626647166996083E-2</v>
      </c>
      <c r="K27" s="49">
        <f t="shared" ref="K27" si="22">LN(V12/$C27)</f>
        <v>0.11850718273285743</v>
      </c>
    </row>
    <row r="28" spans="1:25" ht="13.7" customHeight="1">
      <c r="A28" s="23" t="s">
        <v>897</v>
      </c>
      <c r="B28" s="23" t="s">
        <v>898</v>
      </c>
      <c r="C28" s="106">
        <f>AVERAGEIF($8:$8, "&lt;="&amp;Parameter_Period_end, 14:14)</f>
        <v>0.29070022984805488</v>
      </c>
      <c r="D28" s="78">
        <f t="shared" ref="D28:I28" si="23">LN(O14/$C28)</f>
        <v>8.4768226505432087E-2</v>
      </c>
      <c r="E28" s="49">
        <f t="shared" si="23"/>
        <v>0.10977408507477955</v>
      </c>
      <c r="F28" s="49">
        <f t="shared" si="23"/>
        <v>0.1335956586035878</v>
      </c>
      <c r="G28" s="49">
        <f t="shared" si="23"/>
        <v>0.13567019547053991</v>
      </c>
      <c r="H28" s="49">
        <f t="shared" si="23"/>
        <v>0.15822551753914058</v>
      </c>
      <c r="I28" s="49">
        <f t="shared" si="23"/>
        <v>0.18332889585139861</v>
      </c>
      <c r="J28" s="49">
        <f t="shared" ref="J28" si="24">LN(U14/$C28)</f>
        <v>0.21392634366830657</v>
      </c>
      <c r="K28" s="49">
        <f t="shared" ref="K28" si="25">LN(V14/$C28)</f>
        <v>0.23344573605352129</v>
      </c>
    </row>
    <row r="29" spans="1:25" ht="13.7" customHeight="1">
      <c r="A29" s="23" t="s">
        <v>1001</v>
      </c>
      <c r="B29" s="202" t="str">
        <f>B19</f>
        <v>$'000RY2025</v>
      </c>
      <c r="C29" s="105">
        <f>AVERAGEIF($8:$8, "&lt;="&amp;Parameter_Period_end, 19:19)</f>
        <v>93543.716466217593</v>
      </c>
      <c r="D29" s="78">
        <f t="shared" ref="D29:I29" si="26">LN(O19/$C29)</f>
        <v>0.12504389365874055</v>
      </c>
      <c r="E29" s="49">
        <f t="shared" si="26"/>
        <v>0.12686559607611089</v>
      </c>
      <c r="F29" s="49">
        <f t="shared" si="26"/>
        <v>1.0360629509192986E-2</v>
      </c>
      <c r="G29" s="49">
        <f t="shared" si="26"/>
        <v>-9.5764408922517252E-2</v>
      </c>
      <c r="H29" s="49">
        <f t="shared" si="26"/>
        <v>-0.13112696202707777</v>
      </c>
      <c r="I29" s="49">
        <f t="shared" si="26"/>
        <v>-6.2954116836599655E-2</v>
      </c>
      <c r="J29" s="49">
        <f t="shared" ref="J29" si="27">LN(U19/$C29)</f>
        <v>-3.3701331779034484E-2</v>
      </c>
      <c r="K29" s="49">
        <f t="shared" ref="K29" si="28">LN(V19/$C29)</f>
        <v>-1.5035704534184317E-2</v>
      </c>
    </row>
    <row r="30" spans="1:25" ht="13.7" customHeight="1">
      <c r="C30" s="104"/>
      <c r="D30" s="77"/>
      <c r="E30" s="77"/>
      <c r="F30" s="77"/>
      <c r="G30" s="77"/>
      <c r="H30" s="77"/>
      <c r="I30" s="77"/>
    </row>
    <row r="31" spans="1:25" s="4" customFormat="1" ht="13.7" customHeight="1">
      <c r="A31" s="2" t="s">
        <v>1006</v>
      </c>
      <c r="C31" s="3"/>
      <c r="D31" s="3"/>
      <c r="E31" s="3"/>
      <c r="F31" s="3"/>
      <c r="G31" s="5"/>
      <c r="H31" s="6"/>
      <c r="I31" s="5"/>
      <c r="J31" s="6"/>
      <c r="K31" s="5"/>
      <c r="L31" s="5"/>
      <c r="M31" s="5"/>
      <c r="N31" s="5"/>
      <c r="O31" s="5"/>
      <c r="P31" s="5"/>
      <c r="Q31" s="5"/>
      <c r="R31" s="5"/>
      <c r="S31" s="6"/>
      <c r="T31" s="6"/>
      <c r="U31" s="5"/>
      <c r="V31" s="5"/>
      <c r="W31" s="5"/>
      <c r="X31" s="5"/>
      <c r="Y31" s="5"/>
    </row>
    <row r="32" spans="1:25" ht="13.7" customHeight="1">
      <c r="C32" s="73"/>
      <c r="D32" s="73"/>
      <c r="E32" s="73"/>
      <c r="F32" s="73"/>
      <c r="G32" s="73"/>
      <c r="H32" s="73"/>
      <c r="I32" s="73"/>
      <c r="J32" s="73"/>
      <c r="K32" s="73"/>
      <c r="L32" s="73"/>
      <c r="M32" s="73"/>
      <c r="N32" s="73"/>
      <c r="O32" s="73"/>
      <c r="P32" s="73"/>
      <c r="Q32" s="73"/>
      <c r="R32" s="73"/>
      <c r="S32" s="73"/>
      <c r="T32" s="73"/>
    </row>
    <row r="33" spans="1:26" ht="13.7" customHeight="1">
      <c r="D33" s="24" t="s">
        <v>1005</v>
      </c>
    </row>
    <row r="34" spans="1:26" ht="13.7" customHeight="1">
      <c r="A34" s="24" t="s">
        <v>286</v>
      </c>
      <c r="B34" s="24" t="s">
        <v>287</v>
      </c>
      <c r="C34" s="250" t="str">
        <f>"Average, 2012 - "&amp;Parameter_Period_end</f>
        <v>Average, 2012 - 2024</v>
      </c>
      <c r="D34" s="249">
        <v>2018</v>
      </c>
      <c r="E34" s="249">
        <v>2019</v>
      </c>
      <c r="F34" s="249">
        <v>2020</v>
      </c>
      <c r="G34" s="249">
        <v>2021</v>
      </c>
      <c r="H34" s="249">
        <v>2022</v>
      </c>
      <c r="I34" s="249">
        <v>2023</v>
      </c>
      <c r="J34" s="249">
        <f>I34+1</f>
        <v>2024</v>
      </c>
      <c r="K34" s="249">
        <f>J34+1</f>
        <v>2025</v>
      </c>
    </row>
    <row r="35" spans="1:26" ht="13.7" customHeight="1">
      <c r="A35" s="23" t="s">
        <v>515</v>
      </c>
      <c r="B35" s="23" t="s">
        <v>516</v>
      </c>
      <c r="C35" s="105">
        <f>AVERAGEIF($I$8:$XFD$8, "&lt;="&amp;Parameter_Period_end, I9:XFD9)</f>
        <v>351108.11538461538</v>
      </c>
      <c r="D35" s="78">
        <f>LN(O9/$C35)</f>
        <v>7.436886161825835E-3</v>
      </c>
      <c r="E35" s="78">
        <f t="shared" ref="E35:I36" si="29">LN(P9/$C35)</f>
        <v>2.6206340497434279E-2</v>
      </c>
      <c r="F35" s="78">
        <f t="shared" si="29"/>
        <v>4.3834314595193477E-2</v>
      </c>
      <c r="G35" s="78">
        <f t="shared" si="29"/>
        <v>5.0600417651967211E-2</v>
      </c>
      <c r="H35" s="78">
        <f t="shared" si="29"/>
        <v>6.4198495731817309E-2</v>
      </c>
      <c r="I35" s="78">
        <f t="shared" si="29"/>
        <v>7.6149089120517086E-2</v>
      </c>
      <c r="J35" s="78">
        <f t="shared" ref="J35:J36" si="30">LN(U9/$C35)</f>
        <v>8.9074284824725583E-2</v>
      </c>
      <c r="K35" s="78">
        <f t="shared" ref="K35:K36" si="31">LN(V9/$C35)</f>
        <v>0.1099329212920785</v>
      </c>
    </row>
    <row r="36" spans="1:26" ht="13.7" customHeight="1">
      <c r="A36" s="23" t="s">
        <v>514</v>
      </c>
      <c r="B36" s="23" t="s">
        <v>512</v>
      </c>
      <c r="C36" s="105">
        <f>AVERAGEIF($I$8:$XFD$8, "&lt;="&amp;Parameter_Period_end, I10:XFD10)</f>
        <v>6518.0130901384609</v>
      </c>
      <c r="D36" s="78">
        <f t="shared" ref="D36" si="32">LN(O10/$C36)</f>
        <v>7.5788802363897763E-3</v>
      </c>
      <c r="E36" s="78">
        <f t="shared" si="29"/>
        <v>1.6722484079287725E-2</v>
      </c>
      <c r="F36" s="78">
        <f t="shared" si="29"/>
        <v>2.7331440985465676E-2</v>
      </c>
      <c r="G36" s="78">
        <f t="shared" si="29"/>
        <v>3.5837938221908866E-2</v>
      </c>
      <c r="H36" s="78">
        <f t="shared" si="29"/>
        <v>4.4967250450535214E-2</v>
      </c>
      <c r="I36" s="78">
        <f t="shared" si="29"/>
        <v>5.6734407946605163E-2</v>
      </c>
      <c r="J36" s="78">
        <f t="shared" si="30"/>
        <v>7.3310429583224729E-2</v>
      </c>
      <c r="K36" s="78">
        <f t="shared" si="31"/>
        <v>8.5679170515389799E-2</v>
      </c>
    </row>
    <row r="37" spans="1:26" ht="13.7" customHeight="1">
      <c r="A37" s="23" t="s">
        <v>896</v>
      </c>
      <c r="B37" s="23" t="s">
        <v>998</v>
      </c>
      <c r="C37" s="105">
        <f>AVERAGEIF($I$8:$XFD$8, "&lt;="&amp;Parameter_Period_end, I12:XFD12)</f>
        <v>1035.8822255662767</v>
      </c>
      <c r="D37" s="78">
        <f>LN(O12/$C37)</f>
        <v>-1.5779195825243533E-2</v>
      </c>
      <c r="E37" s="78">
        <f t="shared" ref="E37:I37" si="33">LN(P12/$C37)</f>
        <v>-9.5436121982168231E-3</v>
      </c>
      <c r="F37" s="78">
        <f t="shared" si="33"/>
        <v>1.394459119914968E-2</v>
      </c>
      <c r="G37" s="78">
        <f t="shared" si="33"/>
        <v>1.394459119914968E-2</v>
      </c>
      <c r="H37" s="78">
        <f t="shared" si="33"/>
        <v>1.394459119914968E-2</v>
      </c>
      <c r="I37" s="78">
        <f t="shared" si="33"/>
        <v>1.394459119914968E-2</v>
      </c>
      <c r="J37" s="78">
        <f t="shared" ref="J37" si="34">LN(U12/$C37)</f>
        <v>6.1016667422292531E-2</v>
      </c>
      <c r="K37" s="78">
        <f t="shared" ref="K37" si="35">LN(V12/$C37)</f>
        <v>9.4897202988153739E-2</v>
      </c>
    </row>
    <row r="38" spans="1:26" ht="13.7" customHeight="1">
      <c r="A38" s="23" t="s">
        <v>897</v>
      </c>
      <c r="B38" s="23" t="s">
        <v>898</v>
      </c>
      <c r="C38" s="106">
        <f>AVERAGEIF($I$8:$XFD$8, "&lt;="&amp;Parameter_Period_end, I14:XFD14)</f>
        <v>0.31254876172684154</v>
      </c>
      <c r="D38" s="78">
        <f>LN(O14/$C38)</f>
        <v>1.2300330211172482E-2</v>
      </c>
      <c r="E38" s="78">
        <f t="shared" ref="E38:I38" si="36">LN(P14/$C38)</f>
        <v>3.7306188780519972E-2</v>
      </c>
      <c r="F38" s="78">
        <f>LN(Q14/$C38)</f>
        <v>6.1127762309328253E-2</v>
      </c>
      <c r="G38" s="78">
        <f t="shared" si="36"/>
        <v>6.3202299176280327E-2</v>
      </c>
      <c r="H38" s="78">
        <f t="shared" si="36"/>
        <v>8.5757621244881205E-2</v>
      </c>
      <c r="I38" s="78">
        <f t="shared" si="36"/>
        <v>0.1108609995571392</v>
      </c>
      <c r="J38" s="78">
        <f t="shared" ref="J38" si="37">LN(U14/$C38)</f>
        <v>0.14145844737404706</v>
      </c>
      <c r="K38" s="78">
        <f t="shared" ref="K38" si="38">LN(V14/$C38)</f>
        <v>0.16097783975926178</v>
      </c>
    </row>
    <row r="39" spans="1:26" ht="13.7" customHeight="1">
      <c r="A39" s="23" t="s">
        <v>1001</v>
      </c>
      <c r="B39" s="202" t="str">
        <f>B19</f>
        <v>$'000RY2025</v>
      </c>
      <c r="C39" s="105">
        <f>AVERAGEIF($I$8:$XFD$8, "&lt;="&amp;Parameter_Period_end, I19:XFD19)</f>
        <v>100432.86379269652</v>
      </c>
      <c r="D39" s="78">
        <f>LN(O19/$C39)</f>
        <v>5.3983294161835088E-2</v>
      </c>
      <c r="E39" s="78">
        <f t="shared" ref="E39:I39" si="39">LN(P19/$C39)</f>
        <v>5.5804996579205395E-2</v>
      </c>
      <c r="F39" s="78">
        <f t="shared" si="39"/>
        <v>-6.0699969987712578E-2</v>
      </c>
      <c r="G39" s="78">
        <f t="shared" si="39"/>
        <v>-0.16682500841942274</v>
      </c>
      <c r="H39" s="78">
        <f t="shared" si="39"/>
        <v>-0.20218756152398329</v>
      </c>
      <c r="I39" s="78">
        <f t="shared" si="39"/>
        <v>-0.13401471633350523</v>
      </c>
      <c r="J39" s="78">
        <f t="shared" ref="J39" si="40">LN(U19/$C39)</f>
        <v>-0.10476193127593993</v>
      </c>
      <c r="K39" s="78">
        <f t="shared" ref="K39" si="41">LN(V19/$C39)</f>
        <v>-8.6096304031089699E-2</v>
      </c>
    </row>
    <row r="40" spans="1:26" ht="13.7" customHeight="1">
      <c r="C40" s="104"/>
    </row>
    <row r="41" spans="1:26" s="4" customFormat="1" ht="13.7" customHeight="1">
      <c r="A41" s="2" t="s">
        <v>227</v>
      </c>
      <c r="D41" s="3"/>
      <c r="E41" s="3"/>
      <c r="F41" s="3"/>
      <c r="G41" s="3"/>
      <c r="H41" s="5"/>
      <c r="I41" s="6"/>
      <c r="J41" s="5"/>
      <c r="K41" s="6"/>
      <c r="L41" s="5"/>
      <c r="M41" s="5"/>
      <c r="N41" s="5"/>
      <c r="O41" s="5"/>
      <c r="P41" s="5"/>
      <c r="Q41" s="5"/>
      <c r="R41" s="5"/>
      <c r="S41" s="5"/>
      <c r="T41" s="6"/>
      <c r="U41" s="6"/>
      <c r="V41" s="5"/>
      <c r="W41" s="5"/>
      <c r="X41" s="5"/>
      <c r="Y41" s="5"/>
      <c r="Z41" s="5"/>
    </row>
    <row r="42" spans="1:26" ht="13.7" customHeight="1">
      <c r="C42" s="73"/>
      <c r="D42" s="73"/>
      <c r="E42" s="73"/>
      <c r="F42" s="73"/>
      <c r="G42" s="73"/>
      <c r="H42" s="73"/>
      <c r="I42" s="73"/>
      <c r="J42" s="73"/>
      <c r="K42" s="73"/>
      <c r="L42" s="73"/>
      <c r="M42" s="73"/>
      <c r="N42" s="73"/>
      <c r="O42" s="73"/>
      <c r="P42" s="73"/>
      <c r="Q42" s="73"/>
      <c r="R42" s="73"/>
      <c r="S42" s="73"/>
      <c r="T42" s="73"/>
    </row>
  </sheetData>
  <hyperlinks>
    <hyperlink ref="A2" location="Index!A1" display="Index" xr:uid="{00000000-0004-0000-0A00-000000000000}"/>
  </hyperlinks>
  <pageMargins left="0.7" right="0.7" top="0.75" bottom="0.75" header="0.3" footer="0.3"/>
  <pageSetup paperSize="9" scale="86" fitToWidth="0" orientation="landscape" r:id="rId1"/>
  <ignoredErrors>
    <ignoredError sqref="C12:Q12 R12 C14:Q1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CC"/>
  </sheetPr>
  <dimension ref="A1:P27"/>
  <sheetViews>
    <sheetView workbookViewId="0"/>
  </sheetViews>
  <sheetFormatPr defaultColWidth="8.85546875" defaultRowHeight="14.25"/>
  <cols>
    <col min="1" max="1" width="11.140625" style="21" bestFit="1" customWidth="1"/>
    <col min="2" max="2" width="12.42578125" style="21" customWidth="1"/>
    <col min="3" max="3" width="13.42578125" style="21" bestFit="1" customWidth="1"/>
    <col min="4" max="4" width="12.140625" style="21" bestFit="1" customWidth="1"/>
    <col min="5" max="5" width="35.85546875" style="21" bestFit="1" customWidth="1"/>
    <col min="6" max="16384" width="8.85546875" style="21"/>
  </cols>
  <sheetData>
    <row r="1" spans="1:16" s="7" customFormat="1" ht="15.75">
      <c r="A1" s="1" t="s">
        <v>0</v>
      </c>
    </row>
    <row r="2" spans="1:16" s="16" customFormat="1" ht="13.7" customHeight="1">
      <c r="A2" s="85" t="s">
        <v>5</v>
      </c>
      <c r="C2" s="15"/>
      <c r="E2" s="84"/>
    </row>
    <row r="3" spans="1:16" s="9" customFormat="1" ht="13.7" customHeight="1" thickBot="1">
      <c r="A3" s="8" t="s">
        <v>34</v>
      </c>
    </row>
    <row r="4" spans="1:16" s="9" customFormat="1" ht="13.7" customHeight="1"/>
    <row r="5" spans="1:16" s="4" customFormat="1" ht="13.7" customHeight="1">
      <c r="A5" s="2" t="s">
        <v>932</v>
      </c>
      <c r="C5" s="3"/>
      <c r="D5" s="5"/>
      <c r="E5" s="5"/>
      <c r="F5" s="5"/>
      <c r="G5" s="5"/>
      <c r="H5" s="5"/>
      <c r="I5" s="5"/>
      <c r="J5" s="6"/>
      <c r="K5" s="6"/>
      <c r="L5" s="5"/>
      <c r="M5" s="5"/>
      <c r="N5" s="5"/>
      <c r="O5" s="5"/>
      <c r="P5" s="5"/>
    </row>
    <row r="6" spans="1:16" s="9" customFormat="1" ht="13.7" customHeight="1"/>
    <row r="7" spans="1:16" s="9" customFormat="1" ht="13.7" customHeight="1">
      <c r="A7" s="10" t="s">
        <v>932</v>
      </c>
      <c r="C7" s="39">
        <f>Parameter_Efficiency_target</f>
        <v>0.75</v>
      </c>
    </row>
    <row r="8" spans="1:16" s="9" customFormat="1" ht="13.7" customHeight="1">
      <c r="A8" s="10"/>
      <c r="B8" s="10"/>
    </row>
    <row r="9" spans="1:16" s="4" customFormat="1" ht="13.7" customHeight="1">
      <c r="A9" s="2" t="s">
        <v>1007</v>
      </c>
      <c r="C9" s="3"/>
      <c r="D9" s="5"/>
      <c r="E9" s="5"/>
      <c r="F9" s="5"/>
      <c r="G9" s="5"/>
      <c r="H9" s="5"/>
      <c r="I9" s="5"/>
      <c r="J9" s="6"/>
      <c r="K9" s="6"/>
      <c r="L9" s="5"/>
      <c r="M9" s="5"/>
      <c r="N9" s="5"/>
      <c r="O9" s="5"/>
      <c r="P9" s="5"/>
    </row>
    <row r="10" spans="1:16" ht="13.7" customHeight="1"/>
    <row r="11" spans="1:16" s="24" customFormat="1" ht="13.7" customHeight="1">
      <c r="A11" s="24" t="s">
        <v>233</v>
      </c>
      <c r="B11" s="24" t="s">
        <v>1008</v>
      </c>
      <c r="C11" s="24" t="s">
        <v>1009</v>
      </c>
      <c r="D11" s="24" t="s">
        <v>932</v>
      </c>
      <c r="E11" s="24" t="s">
        <v>1010</v>
      </c>
    </row>
    <row r="12" spans="1:16" s="23" customFormat="1" ht="13.7" customHeight="1">
      <c r="A12" s="252" t="str">
        <f>Parameter_DNSP</f>
        <v>JEN</v>
      </c>
      <c r="B12" s="23" t="s">
        <v>1011</v>
      </c>
      <c r="C12" s="48">
        <f>Parameter_OEF_total_long</f>
        <v>-2.4055706413974517E-2</v>
      </c>
      <c r="D12" s="48">
        <f>Parameter_Efficiency_target/(1 + Parameter_OEF_total_long)</f>
        <v>0.76848648527283037</v>
      </c>
      <c r="E12" s="48">
        <f>MAX(0, 1 - VLOOKUP(Parameter_DNSP, Table_Efficiency_scores_long_LSECD, MATCH(Parameter_Scenario_number, Header_Table_Econometrics, 0), FALSE)/D12)</f>
        <v>4.8551127427548857E-2</v>
      </c>
    </row>
    <row r="13" spans="1:16" s="23" customFormat="1" ht="13.7" customHeight="1">
      <c r="A13" s="252" t="str">
        <f>Parameter_DNSP</f>
        <v>JEN</v>
      </c>
      <c r="B13" s="23" t="s">
        <v>1012</v>
      </c>
      <c r="C13" s="48">
        <f>Parameter_OEF_total_long</f>
        <v>-2.4055706413974517E-2</v>
      </c>
      <c r="D13" s="48">
        <f>Parameter_Efficiency_target/(1 + Parameter_OEF_total_long)</f>
        <v>0.76848648527283037</v>
      </c>
      <c r="E13" s="48">
        <f>MAX(0, 1 - VLOOKUP(Parameter_DNSP, Table_Efficiency_scores_long_SFACD, MATCH(Parameter_Scenario_number, Header_Table_Econometrics, 0), FALSE)/D13)</f>
        <v>3.5079452650699006E-2</v>
      </c>
    </row>
    <row r="14" spans="1:16" s="23" customFormat="1" ht="13.7" customHeight="1">
      <c r="A14" s="252" t="str">
        <f>Parameter_DNSP</f>
        <v>JEN</v>
      </c>
      <c r="B14" s="23" t="s">
        <v>1013</v>
      </c>
      <c r="C14" s="48">
        <f>Parameter_OEF_total_long</f>
        <v>-2.4055706413974517E-2</v>
      </c>
      <c r="D14" s="48">
        <f>Parameter_Efficiency_target/(1 + Parameter_OEF_total_long)</f>
        <v>0.76848648527283037</v>
      </c>
      <c r="E14" s="48">
        <f>MAX(0, 1 - VLOOKUP(Parameter_DNSP, Table_Efficiency_scores_long_LSETLG, MATCH(Parameter_Scenario_number, Header_Table_Econometrics, 0), FALSE)/D14)</f>
        <v>0.21761682017538386</v>
      </c>
    </row>
    <row r="15" spans="1:16" s="23" customFormat="1" ht="13.7" customHeight="1">
      <c r="A15" s="306" t="str">
        <f>Parameter_DNSP</f>
        <v>JEN</v>
      </c>
      <c r="B15" s="50" t="s">
        <v>1014</v>
      </c>
      <c r="C15" s="51">
        <f>Parameter_OEF_total_long</f>
        <v>-2.4055706413974517E-2</v>
      </c>
      <c r="D15" s="51">
        <f>Parameter_Efficiency_target/(1 + Parameter_OEF_total_long)</f>
        <v>0.76848648527283037</v>
      </c>
      <c r="E15" s="51">
        <f>MAX(0, 1 - VLOOKUP(Parameter_DNSP, Table_Efficiency_scores_long_SFATLG, MATCH(Parameter_Scenario_number, Header_Table_Econometrics, 0), FALSE)/D15)</f>
        <v>4.6139113637427398E-2</v>
      </c>
    </row>
    <row r="16" spans="1:16" s="23" customFormat="1" ht="13.7" customHeight="1">
      <c r="A16" s="249" t="str">
        <f>Parameter_DNSP</f>
        <v>JEN</v>
      </c>
      <c r="B16" s="24" t="s">
        <v>1015</v>
      </c>
      <c r="C16" s="52">
        <f>AVERAGE(C12:C15)</f>
        <v>-2.4055706413974517E-2</v>
      </c>
      <c r="D16" s="52">
        <f>AVERAGE(D12:D15)</f>
        <v>0.76848648527283037</v>
      </c>
      <c r="E16" s="52">
        <f>AVERAGE(E12:E15)</f>
        <v>8.6846628472764781E-2</v>
      </c>
    </row>
    <row r="17" spans="1:16" s="9" customFormat="1" ht="13.7" customHeight="1"/>
    <row r="18" spans="1:16" s="4" customFormat="1" ht="13.7" customHeight="1">
      <c r="A18" s="2" t="s">
        <v>1016</v>
      </c>
      <c r="C18" s="3"/>
      <c r="D18" s="5"/>
      <c r="E18" s="5"/>
      <c r="F18" s="5"/>
      <c r="G18" s="5"/>
      <c r="H18" s="5"/>
      <c r="I18" s="5"/>
      <c r="J18" s="6"/>
      <c r="K18" s="6"/>
      <c r="L18" s="5"/>
      <c r="M18" s="5"/>
      <c r="N18" s="5"/>
      <c r="O18" s="5"/>
      <c r="P18" s="5"/>
    </row>
    <row r="19" spans="1:16" ht="13.7" customHeight="1"/>
    <row r="20" spans="1:16" s="24" customFormat="1" ht="13.7" customHeight="1">
      <c r="A20" s="24" t="s">
        <v>233</v>
      </c>
      <c r="B20" s="24" t="s">
        <v>1008</v>
      </c>
      <c r="C20" s="24" t="s">
        <v>1009</v>
      </c>
      <c r="D20" s="24" t="s">
        <v>932</v>
      </c>
      <c r="E20" s="24" t="s">
        <v>1010</v>
      </c>
    </row>
    <row r="21" spans="1:16" s="23" customFormat="1" ht="13.7" customHeight="1">
      <c r="A21" s="252" t="str">
        <f>Parameter_DNSP</f>
        <v>JEN</v>
      </c>
      <c r="B21" s="23" t="s">
        <v>1011</v>
      </c>
      <c r="C21" s="48">
        <f>Parameter_OEF_total_short</f>
        <v>-2.6303944071478569E-2</v>
      </c>
      <c r="D21" s="48">
        <f>Parameter_Efficiency_target/(1 + Parameter_OEF_total_short)</f>
        <v>0.77026089962416067</v>
      </c>
      <c r="E21" s="48">
        <f>MAX(0, 1 - VLOOKUP(Parameter_DNSP, Table_Efficiency_scores_short_LSECD, MATCH(Parameter_Scenario_number, Header_Table_Econometrics, 0), FALSE)/D21)</f>
        <v>0.13708122282273072</v>
      </c>
    </row>
    <row r="22" spans="1:16" s="23" customFormat="1" ht="13.7" customHeight="1">
      <c r="A22" s="252" t="str">
        <f>Parameter_DNSP</f>
        <v>JEN</v>
      </c>
      <c r="B22" s="23" t="s">
        <v>1012</v>
      </c>
      <c r="C22" s="48">
        <f>Parameter_OEF_total_short</f>
        <v>-2.6303944071478569E-2</v>
      </c>
      <c r="D22" s="48">
        <f>Parameter_Efficiency_target/(1 + Parameter_OEF_total_short)</f>
        <v>0.77026089962416067</v>
      </c>
      <c r="E22" s="48">
        <f>MAX(0, 1 - VLOOKUP(Parameter_DNSP, Table_Efficiency_scores_short_SFACD, MATCH(Parameter_Scenario_number, Header_Table_Econometrics, 0), FALSE)/D22)</f>
        <v>0.17577927127058557</v>
      </c>
    </row>
    <row r="23" spans="1:16" s="23" customFormat="1" ht="13.7" customHeight="1">
      <c r="A23" s="252" t="str">
        <f>Parameter_DNSP</f>
        <v>JEN</v>
      </c>
      <c r="B23" s="23" t="s">
        <v>1013</v>
      </c>
      <c r="C23" s="48">
        <f>Parameter_OEF_total_short</f>
        <v>-2.6303944071478569E-2</v>
      </c>
      <c r="D23" s="48">
        <f>Parameter_Efficiency_target/(1 + Parameter_OEF_total_short)</f>
        <v>0.77026089962416067</v>
      </c>
      <c r="E23" s="48">
        <f>MAX(0, 1 - VLOOKUP(Parameter_DNSP, Table_Efficiency_scores_short_LSETLG, MATCH(Parameter_Scenario_number, Header_Table_Econometrics, 0), FALSE)/D23)</f>
        <v>0.27237924623679577</v>
      </c>
    </row>
    <row r="24" spans="1:16" s="23" customFormat="1" ht="13.7" customHeight="1">
      <c r="A24" s="306" t="str">
        <f>Parameter_DNSP</f>
        <v>JEN</v>
      </c>
      <c r="B24" s="50" t="s">
        <v>1014</v>
      </c>
      <c r="C24" s="51">
        <f>Parameter_OEF_total_short</f>
        <v>-2.6303944071478569E-2</v>
      </c>
      <c r="D24" s="51">
        <f>Parameter_Efficiency_target/(1 + Parameter_OEF_total_short)</f>
        <v>0.77026089962416067</v>
      </c>
      <c r="E24" s="51">
        <f>MAX(0, 1 - VLOOKUP(Parameter_DNSP, Table_Efficiency_scores_short_SFATLG, MATCH(Parameter_Scenario_number, Header_Table_Econometrics, 0), FALSE)/D24)</f>
        <v>0.65290293181121783</v>
      </c>
    </row>
    <row r="25" spans="1:16" s="23" customFormat="1" ht="13.7" customHeight="1">
      <c r="A25" s="249" t="str">
        <f>Parameter_DNSP</f>
        <v>JEN</v>
      </c>
      <c r="B25" s="24" t="s">
        <v>1015</v>
      </c>
      <c r="C25" s="52">
        <f>AVERAGE(C21:C24)</f>
        <v>-2.6303944071478569E-2</v>
      </c>
      <c r="D25" s="52">
        <f>AVERAGE(D21:D24)</f>
        <v>0.77026089962416067</v>
      </c>
      <c r="E25" s="52">
        <f>AVERAGE(E21:E24)</f>
        <v>0.3095356680353325</v>
      </c>
    </row>
    <row r="26" spans="1:16" s="9" customFormat="1" ht="13.7" customHeight="1"/>
    <row r="27" spans="1:16" s="22" customFormat="1" ht="13.7" customHeight="1">
      <c r="A27" s="2" t="s">
        <v>227</v>
      </c>
      <c r="B27" s="4"/>
      <c r="C27" s="4"/>
    </row>
  </sheetData>
  <hyperlinks>
    <hyperlink ref="A2" location="Index!A1" display="Index"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A1:P149"/>
  <sheetViews>
    <sheetView workbookViewId="0"/>
  </sheetViews>
  <sheetFormatPr defaultColWidth="8.85546875" defaultRowHeight="14.25"/>
  <cols>
    <col min="1" max="1" width="8.42578125" style="21" bestFit="1" customWidth="1"/>
    <col min="2" max="2" width="36.140625" style="21" bestFit="1" customWidth="1"/>
    <col min="3" max="8" width="11.42578125" style="21" customWidth="1"/>
    <col min="9" max="10" width="8.85546875" style="21"/>
    <col min="11" max="12" width="10.85546875" style="21" bestFit="1" customWidth="1"/>
    <col min="13" max="16384" width="8.85546875" style="21"/>
  </cols>
  <sheetData>
    <row r="1" spans="1:16" s="7" customFormat="1" ht="15.6" customHeight="1">
      <c r="A1" s="1" t="s">
        <v>0</v>
      </c>
    </row>
    <row r="2" spans="1:16" s="16" customFormat="1" ht="13.7" customHeight="1">
      <c r="A2" s="85" t="s">
        <v>5</v>
      </c>
      <c r="C2" s="15"/>
      <c r="E2" s="84"/>
    </row>
    <row r="3" spans="1:16" s="9" customFormat="1" ht="13.7" customHeight="1" thickBot="1">
      <c r="A3" s="8" t="s">
        <v>36</v>
      </c>
    </row>
    <row r="4" spans="1:16" s="9" customFormat="1" ht="13.7" customHeight="1"/>
    <row r="5" spans="1:16" s="4" customFormat="1" ht="13.7" customHeight="1">
      <c r="A5" s="2" t="s">
        <v>1017</v>
      </c>
      <c r="C5" s="3"/>
      <c r="D5" s="5"/>
      <c r="E5" s="5"/>
      <c r="F5" s="5"/>
      <c r="G5" s="5"/>
      <c r="H5" s="5"/>
      <c r="I5" s="5"/>
      <c r="J5" s="6"/>
      <c r="K5" s="6"/>
      <c r="L5" s="5"/>
      <c r="M5" s="5"/>
      <c r="N5" s="5"/>
      <c r="O5" s="5"/>
      <c r="P5" s="5"/>
    </row>
    <row r="6" spans="1:16" ht="13.7" customHeight="1"/>
    <row r="7" spans="1:16" ht="13.7" customHeight="1">
      <c r="B7" s="23" t="s">
        <v>1018</v>
      </c>
      <c r="C7" s="41">
        <f>Parameter_Period_start_short</f>
        <v>2012</v>
      </c>
    </row>
    <row r="8" spans="1:16" ht="13.7" customHeight="1">
      <c r="B8" s="23" t="s">
        <v>1019</v>
      </c>
      <c r="C8" s="41">
        <f>Parameter_Period_end</f>
        <v>2024</v>
      </c>
    </row>
    <row r="9" spans="1:16" ht="13.7" customHeight="1">
      <c r="B9" s="23" t="s">
        <v>1020</v>
      </c>
      <c r="C9" s="40">
        <f>(Parameter_Period_start_short + Parameter_Period_end)/2</f>
        <v>2018</v>
      </c>
    </row>
    <row r="10" spans="1:16" ht="13.7" customHeight="1">
      <c r="B10" s="217" t="str">
        <f>"Average 2012-"&amp;RIGHT(Parameter_Period_end, 2)&amp;" opex("&amp;'Calc|Cost drivers'!B39&amp;")"</f>
        <v>Average 2012-24 opex($'000RY2025)</v>
      </c>
      <c r="C10" s="43">
        <f>'Calc|Cost drivers'!$C$39</f>
        <v>100432.86379269652</v>
      </c>
    </row>
    <row r="11" spans="1:16" ht="13.7" customHeight="1">
      <c r="B11" s="23"/>
    </row>
    <row r="12" spans="1:16" s="23" customFormat="1" ht="13.7" customHeight="1">
      <c r="A12" s="32"/>
      <c r="B12" s="32"/>
      <c r="C12" s="249">
        <v>2018</v>
      </c>
      <c r="D12" s="249">
        <v>2019</v>
      </c>
      <c r="E12" s="249">
        <v>2020</v>
      </c>
      <c r="F12" s="249">
        <v>2021</v>
      </c>
      <c r="G12" s="249">
        <v>2022</v>
      </c>
      <c r="H12" s="249">
        <v>2023</v>
      </c>
      <c r="I12" s="249">
        <f>H12+1</f>
        <v>2024</v>
      </c>
      <c r="J12" s="249">
        <f>I12+1</f>
        <v>2025</v>
      </c>
    </row>
    <row r="13" spans="1:16" s="23" customFormat="1" ht="13.7" customHeight="1">
      <c r="B13" s="23" t="s">
        <v>1021</v>
      </c>
      <c r="C13" s="49">
        <f>'Calc|Cost drivers'!D35</f>
        <v>7.436886161825835E-3</v>
      </c>
      <c r="D13" s="49">
        <f>'Calc|Cost drivers'!E35</f>
        <v>2.6206340497434279E-2</v>
      </c>
      <c r="E13" s="49">
        <f>'Calc|Cost drivers'!F35</f>
        <v>4.3834314595193477E-2</v>
      </c>
      <c r="F13" s="49">
        <f>'Calc|Cost drivers'!G35</f>
        <v>5.0600417651967211E-2</v>
      </c>
      <c r="G13" s="49">
        <f>'Calc|Cost drivers'!H35</f>
        <v>6.4198495731817309E-2</v>
      </c>
      <c r="H13" s="49">
        <f>'Calc|Cost drivers'!I35</f>
        <v>7.6149089120517086E-2</v>
      </c>
      <c r="I13" s="49">
        <f>'Calc|Cost drivers'!J35</f>
        <v>8.9074284824725583E-2</v>
      </c>
      <c r="J13" s="49">
        <f>'Calc|Cost drivers'!K35</f>
        <v>0.1099329212920785</v>
      </c>
    </row>
    <row r="14" spans="1:16" s="23" customFormat="1" ht="13.7" customHeight="1">
      <c r="B14" s="23" t="s">
        <v>910</v>
      </c>
      <c r="C14" s="49">
        <f>'Calc|Cost drivers'!D36</f>
        <v>7.5788802363897763E-3</v>
      </c>
      <c r="D14" s="49">
        <f>'Calc|Cost drivers'!E36</f>
        <v>1.6722484079287725E-2</v>
      </c>
      <c r="E14" s="49">
        <f>'Calc|Cost drivers'!F36</f>
        <v>2.7331440985465676E-2</v>
      </c>
      <c r="F14" s="49">
        <f>'Calc|Cost drivers'!G36</f>
        <v>3.5837938221908866E-2</v>
      </c>
      <c r="G14" s="49">
        <f>'Calc|Cost drivers'!H36</f>
        <v>4.4967250450535214E-2</v>
      </c>
      <c r="H14" s="49">
        <f>'Calc|Cost drivers'!I36</f>
        <v>5.6734407946605163E-2</v>
      </c>
      <c r="I14" s="49">
        <f>'Calc|Cost drivers'!J36</f>
        <v>7.3310429583224729E-2</v>
      </c>
      <c r="J14" s="49">
        <f>'Calc|Cost drivers'!K36</f>
        <v>8.5679170515389799E-2</v>
      </c>
    </row>
    <row r="15" spans="1:16" s="23" customFormat="1" ht="13.7" customHeight="1">
      <c r="B15" s="23" t="s">
        <v>896</v>
      </c>
      <c r="C15" s="49">
        <f>'Calc|Cost drivers'!D37</f>
        <v>-1.5779195825243533E-2</v>
      </c>
      <c r="D15" s="49">
        <f>'Calc|Cost drivers'!E37</f>
        <v>-9.5436121982168231E-3</v>
      </c>
      <c r="E15" s="49">
        <f>'Calc|Cost drivers'!F37</f>
        <v>1.394459119914968E-2</v>
      </c>
      <c r="F15" s="49">
        <f>'Calc|Cost drivers'!G37</f>
        <v>1.394459119914968E-2</v>
      </c>
      <c r="G15" s="49">
        <f>'Calc|Cost drivers'!H37</f>
        <v>1.394459119914968E-2</v>
      </c>
      <c r="H15" s="49">
        <f>'Calc|Cost drivers'!I37</f>
        <v>1.394459119914968E-2</v>
      </c>
      <c r="I15" s="49">
        <f>'Calc|Cost drivers'!J37</f>
        <v>6.1016667422292531E-2</v>
      </c>
      <c r="J15" s="49">
        <f>'Calc|Cost drivers'!K37</f>
        <v>9.4897202988153739E-2</v>
      </c>
    </row>
    <row r="16" spans="1:16" s="23" customFormat="1" ht="13.7" customHeight="1">
      <c r="B16" s="23" t="s">
        <v>897</v>
      </c>
      <c r="C16" s="49">
        <f>'Calc|Cost drivers'!D38</f>
        <v>1.2300330211172482E-2</v>
      </c>
      <c r="D16" s="49">
        <f>'Calc|Cost drivers'!E38</f>
        <v>3.7306188780519972E-2</v>
      </c>
      <c r="E16" s="49">
        <f>'Calc|Cost drivers'!F38</f>
        <v>6.1127762309328253E-2</v>
      </c>
      <c r="F16" s="49">
        <f>'Calc|Cost drivers'!G38</f>
        <v>6.3202299176280327E-2</v>
      </c>
      <c r="G16" s="49">
        <f>'Calc|Cost drivers'!H38</f>
        <v>8.5757621244881205E-2</v>
      </c>
      <c r="H16" s="49">
        <f>'Calc|Cost drivers'!I38</f>
        <v>0.1108609995571392</v>
      </c>
      <c r="I16" s="49">
        <f>'Calc|Cost drivers'!J38</f>
        <v>0.14145844737404706</v>
      </c>
      <c r="J16" s="49">
        <f>'Calc|Cost drivers'!K38</f>
        <v>0.16097783975926178</v>
      </c>
    </row>
    <row r="17" spans="1:16" ht="13.7" customHeight="1"/>
    <row r="18" spans="1:16" s="4" customFormat="1" ht="13.7" customHeight="1">
      <c r="A18" s="2" t="s">
        <v>1022</v>
      </c>
      <c r="C18" s="3"/>
      <c r="D18" s="5"/>
      <c r="E18" s="5"/>
      <c r="F18" s="5"/>
      <c r="G18" s="5"/>
      <c r="H18" s="5"/>
      <c r="I18" s="5"/>
      <c r="J18" s="6"/>
      <c r="K18" s="6"/>
      <c r="L18" s="5"/>
      <c r="M18" s="5"/>
      <c r="N18" s="5"/>
      <c r="O18" s="5"/>
      <c r="P18" s="5"/>
    </row>
    <row r="19" spans="1:16" ht="13.7" customHeight="1"/>
    <row r="20" spans="1:16" s="23" customFormat="1" ht="13.7" customHeight="1">
      <c r="A20" s="32" t="s">
        <v>943</v>
      </c>
      <c r="B20" s="32" t="s">
        <v>46</v>
      </c>
      <c r="C20" s="24" t="s">
        <v>921</v>
      </c>
      <c r="D20" s="24" t="s">
        <v>1023</v>
      </c>
    </row>
    <row r="21" spans="1:16" s="23" customFormat="1" ht="13.7" customHeight="1">
      <c r="A21" s="23" t="s">
        <v>944</v>
      </c>
      <c r="B21" s="23" t="s">
        <v>1021</v>
      </c>
      <c r="C21" s="53">
        <f>VLOOKUP(A21, Table_Coefficients_short_LSECD, MATCH(Parameter_Scenario_number, Header_Table_Econometrics, 0), FALSE)</f>
        <v>0.51516110000000004</v>
      </c>
      <c r="D21" s="53">
        <f>C21/SUM($C$21:$C$23)</f>
        <v>0.53324387988644106</v>
      </c>
      <c r="E21" s="200"/>
    </row>
    <row r="22" spans="1:16" s="23" customFormat="1" ht="13.7" customHeight="1">
      <c r="A22" s="23" t="s">
        <v>946</v>
      </c>
      <c r="B22" s="23" t="s">
        <v>910</v>
      </c>
      <c r="C22" s="53">
        <f>VLOOKUP(A22, Table_Coefficients_short_LSECD, MATCH(Parameter_Scenario_number, Header_Table_Econometrics, 0), FALSE)</f>
        <v>0.26789590000000002</v>
      </c>
      <c r="D22" s="53">
        <f t="shared" ref="D22:D23" si="0">C22/SUM($C$21:$C$23)</f>
        <v>0.27729937124846971</v>
      </c>
    </row>
    <row r="23" spans="1:16" s="23" customFormat="1" ht="13.7" customHeight="1">
      <c r="A23" s="23" t="s">
        <v>948</v>
      </c>
      <c r="B23" s="23" t="s">
        <v>896</v>
      </c>
      <c r="C23" s="53">
        <f>VLOOKUP(A23, Table_Coefficients_short_LSECD, MATCH(Parameter_Scenario_number, Header_Table_Econometrics, 0), FALSE)</f>
        <v>0.1830321</v>
      </c>
      <c r="D23" s="53">
        <f t="shared" si="0"/>
        <v>0.18945674886508912</v>
      </c>
    </row>
    <row r="24" spans="1:16" s="23" customFormat="1" ht="13.7" customHeight="1">
      <c r="A24" s="23" t="s">
        <v>950</v>
      </c>
      <c r="B24" s="23" t="s">
        <v>897</v>
      </c>
      <c r="C24" s="53">
        <f>VLOOKUP(A24, Table_Coefficients_short_LSECD, MATCH(Parameter_Scenario_number, Header_Table_Econometrics, 0), FALSE)</f>
        <v>-8.9825299999999997E-2</v>
      </c>
    </row>
    <row r="25" spans="1:16" s="23" customFormat="1" ht="13.7" customHeight="1">
      <c r="A25" s="23" t="s">
        <v>952</v>
      </c>
      <c r="B25" s="23" t="s">
        <v>1024</v>
      </c>
      <c r="C25" s="53">
        <f>VLOOKUP(A25, Table_Coefficients_short_LSECD, MATCH(Parameter_Scenario_number, Header_Table_Econometrics, 0), FALSE)</f>
        <v>5.1183000000000001E-3</v>
      </c>
    </row>
    <row r="26" spans="1:16" ht="13.7" customHeight="1"/>
    <row r="27" spans="1:16" s="4" customFormat="1" ht="13.7" customHeight="1">
      <c r="A27" s="2" t="s">
        <v>1025</v>
      </c>
      <c r="C27" s="3"/>
      <c r="D27" s="5"/>
      <c r="E27" s="5"/>
      <c r="F27" s="5"/>
      <c r="G27" s="5"/>
      <c r="H27" s="5"/>
      <c r="I27" s="5"/>
      <c r="J27" s="6"/>
      <c r="K27" s="6"/>
      <c r="L27" s="5"/>
      <c r="M27" s="5"/>
      <c r="N27" s="5"/>
      <c r="O27" s="5"/>
      <c r="P27" s="5"/>
    </row>
    <row r="28" spans="1:16" ht="13.7" customHeight="1"/>
    <row r="29" spans="1:16" ht="13.7" customHeight="1">
      <c r="B29" s="23" t="s">
        <v>1026</v>
      </c>
      <c r="C29" s="47">
        <f>'Calc|Efficiency target'!E21</f>
        <v>0.13708122282273072</v>
      </c>
    </row>
    <row r="30" spans="1:16" ht="13.7" customHeight="1">
      <c r="B30" s="217" t="str">
        <f>"Target opex ("&amp;'Calc|Cost drivers'!B39&amp;")"</f>
        <v>Target opex ($'000RY2025)</v>
      </c>
      <c r="C30" s="43">
        <f>$C$10*(1 - C29)</f>
        <v>86665.404012404921</v>
      </c>
      <c r="D30" s="292"/>
    </row>
    <row r="31" spans="1:16" ht="13.7" customHeight="1">
      <c r="B31" s="23"/>
      <c r="C31" s="23"/>
    </row>
    <row r="32" spans="1:16" s="23" customFormat="1" ht="13.7" customHeight="1">
      <c r="A32" s="32"/>
      <c r="B32" s="32"/>
      <c r="C32" s="249">
        <v>2018</v>
      </c>
      <c r="D32" s="249">
        <v>2019</v>
      </c>
      <c r="E32" s="249">
        <v>2020</v>
      </c>
      <c r="F32" s="249">
        <v>2021</v>
      </c>
      <c r="G32" s="249">
        <v>2022</v>
      </c>
      <c r="H32" s="249">
        <v>2023</v>
      </c>
      <c r="I32" s="249">
        <f>H32+1</f>
        <v>2024</v>
      </c>
      <c r="J32" s="249">
        <f>I32+1</f>
        <v>2025</v>
      </c>
    </row>
    <row r="33" spans="2:12" s="23" customFormat="1" ht="13.7" customHeight="1">
      <c r="B33" s="24" t="s">
        <v>1027</v>
      </c>
      <c r="C33" s="54">
        <f>$D21*C$13 + $D22*C$14 + $D23*C$15</f>
        <v>3.0778176147679029E-3</v>
      </c>
      <c r="D33" s="54">
        <f t="shared" ref="D33:J33" si="1">$D21*D$13 + $D22*D$14 + $D23*D$15</f>
        <v>1.680340326587269E-2</v>
      </c>
      <c r="E33" s="54">
        <f t="shared" si="1"/>
        <v>3.3595268300331743E-2</v>
      </c>
      <c r="F33" s="54">
        <f t="shared" si="1"/>
        <v>3.956209768122982E-2</v>
      </c>
      <c r="G33" s="54">
        <f t="shared" si="1"/>
        <v>4.9344742136456905E-2</v>
      </c>
      <c r="H33" s="54">
        <f t="shared" si="1"/>
        <v>5.8980348297034337E-2</v>
      </c>
      <c r="I33" s="54">
        <f t="shared" si="1"/>
        <v>7.9387272703839981E-2</v>
      </c>
      <c r="J33" s="54">
        <f t="shared" si="1"/>
        <v>0.10035875314457274</v>
      </c>
    </row>
    <row r="34" spans="2:12" ht="13.7" customHeight="1"/>
    <row r="35" spans="2:12" ht="13.7" customHeight="1">
      <c r="C35" s="249">
        <v>2018</v>
      </c>
      <c r="D35" s="249">
        <v>2019</v>
      </c>
      <c r="E35" s="249">
        <v>2020</v>
      </c>
      <c r="F35" s="249">
        <v>2021</v>
      </c>
      <c r="G35" s="249">
        <v>2022</v>
      </c>
      <c r="H35" s="249">
        <v>2023</v>
      </c>
      <c r="I35" s="249">
        <f>H35+1</f>
        <v>2024</v>
      </c>
      <c r="J35" s="249">
        <f>I35+1</f>
        <v>2025</v>
      </c>
    </row>
    <row r="36" spans="2:12" ht="13.7" customHeight="1">
      <c r="B36" s="32"/>
      <c r="C36" s="308">
        <f t="shared" ref="C36:E36" si="2">C35 - $C$9</f>
        <v>0</v>
      </c>
      <c r="D36" s="308">
        <f t="shared" si="2"/>
        <v>1</v>
      </c>
      <c r="E36" s="308">
        <f t="shared" si="2"/>
        <v>2</v>
      </c>
      <c r="F36" s="308">
        <f>IF(Parameter_Victorian_or_non_Victorian="Non-Victorian", F35 - $C$9, F35 - $C$9 - 0.5)</f>
        <v>2.5</v>
      </c>
      <c r="G36" s="308">
        <f>IF(Parameter_Victorian_or_non_Victorian="Non-Victorian", G35 - $C$9, G35 - $C$9 - 0.5)</f>
        <v>3.5</v>
      </c>
      <c r="H36" s="308">
        <f>IF(Parameter_Victorian_or_non_Victorian="Non-Victorian", H35 - $C$9, H35 - $C$9 - 0.5)</f>
        <v>4.5</v>
      </c>
      <c r="I36" s="308">
        <f>IF(Parameter_Victorian_or_non_Victorian="Non-Victorian", I35 - $C$9, I35 - $C$9 - 0.5)</f>
        <v>5.5</v>
      </c>
      <c r="J36" s="308">
        <f>IF(Parameter_Victorian_or_non_Victorian="Non-Victorian", J35 - $C$9, J35 - $C$9 - 0.5)</f>
        <v>6.5</v>
      </c>
    </row>
    <row r="37" spans="2:12" ht="13.7" customHeight="1">
      <c r="B37" s="25" t="s">
        <v>1024</v>
      </c>
      <c r="C37" s="49">
        <f>-$C25*C36</f>
        <v>0</v>
      </c>
      <c r="D37" s="49">
        <f t="shared" ref="D37:H37" si="3">-$C25*D36</f>
        <v>-5.1183000000000001E-3</v>
      </c>
      <c r="E37" s="49">
        <f t="shared" si="3"/>
        <v>-1.02366E-2</v>
      </c>
      <c r="F37" s="49">
        <f t="shared" si="3"/>
        <v>-1.279575E-2</v>
      </c>
      <c r="G37" s="49">
        <f t="shared" si="3"/>
        <v>-1.7914050000000001E-2</v>
      </c>
      <c r="H37" s="49">
        <f t="shared" si="3"/>
        <v>-2.303235E-2</v>
      </c>
      <c r="I37" s="49">
        <f t="shared" ref="I37:J37" si="4">-$C25*I36</f>
        <v>-2.8150649999999999E-2</v>
      </c>
      <c r="J37" s="49">
        <f t="shared" si="4"/>
        <v>-3.3268949999999999E-2</v>
      </c>
    </row>
    <row r="38" spans="2:12" ht="13.7" customHeight="1">
      <c r="B38" s="25" t="s">
        <v>1028</v>
      </c>
      <c r="C38" s="49">
        <f t="shared" ref="C38:H38" si="5">IF(C35 &lt;= Parameter_Period_end, 0, -Parameter_Technology_growth_rate * (C35 - Parameter_Period_end))</f>
        <v>0</v>
      </c>
      <c r="D38" s="49">
        <f t="shared" si="5"/>
        <v>0</v>
      </c>
      <c r="E38" s="49">
        <f t="shared" si="5"/>
        <v>0</v>
      </c>
      <c r="F38" s="49">
        <f t="shared" si="5"/>
        <v>0</v>
      </c>
      <c r="G38" s="49">
        <f t="shared" si="5"/>
        <v>0</v>
      </c>
      <c r="H38" s="49">
        <f t="shared" si="5"/>
        <v>0</v>
      </c>
      <c r="I38" s="49">
        <f t="shared" ref="I38:J38" si="6">IF(I35 &lt;= Parameter_Period_end, 0, -Parameter_Technology_growth_rate * (I35 - Parameter_Period_end))</f>
        <v>0</v>
      </c>
      <c r="J38" s="49">
        <f t="shared" si="6"/>
        <v>0</v>
      </c>
    </row>
    <row r="39" spans="2:12" ht="13.7" customHeight="1">
      <c r="B39" s="25" t="s">
        <v>1029</v>
      </c>
      <c r="C39" s="49">
        <f t="shared" ref="C39:H39" si="7">IF(OR(C35 &lt;= Parameter_Period_end, Parameter_Apply_fixed_growth_rate = "0 - No"), C37, -$C25 * (Parameter_Period_end - $C$9) + C38)</f>
        <v>0</v>
      </c>
      <c r="D39" s="49">
        <f t="shared" si="7"/>
        <v>-5.1183000000000001E-3</v>
      </c>
      <c r="E39" s="49">
        <f t="shared" si="7"/>
        <v>-1.02366E-2</v>
      </c>
      <c r="F39" s="49">
        <f t="shared" si="7"/>
        <v>-1.279575E-2</v>
      </c>
      <c r="G39" s="49">
        <f t="shared" si="7"/>
        <v>-1.7914050000000001E-2</v>
      </c>
      <c r="H39" s="49">
        <f t="shared" si="7"/>
        <v>-2.303235E-2</v>
      </c>
      <c r="I39" s="49">
        <f t="shared" ref="I39:J39" si="8">IF(OR(I35 &lt;= Parameter_Period_end, Parameter_Apply_fixed_growth_rate = "0 - No"), I37, -$C25 * (Parameter_Period_end - $C$9) + I38)</f>
        <v>-2.8150649999999999E-2</v>
      </c>
      <c r="J39" s="49">
        <f t="shared" si="8"/>
        <v>-3.3268949999999999E-2</v>
      </c>
    </row>
    <row r="40" spans="2:12" ht="13.7" customHeight="1"/>
    <row r="41" spans="2:12" ht="13.7" customHeight="1">
      <c r="B41" s="25" t="s">
        <v>1030</v>
      </c>
      <c r="C41" s="49">
        <f t="shared" ref="C41:H41" si="9">(1 - $C21 - $C22 - $C23) * C33</f>
        <v>1.0437156535263269E-4</v>
      </c>
      <c r="D41" s="49">
        <f t="shared" si="9"/>
        <v>5.6981852780868113E-4</v>
      </c>
      <c r="E41" s="49">
        <f t="shared" si="9"/>
        <v>1.1392457838057177E-3</v>
      </c>
      <c r="F41" s="49">
        <f t="shared" si="9"/>
        <v>1.3415863382584138E-3</v>
      </c>
      <c r="G41" s="49">
        <f t="shared" si="9"/>
        <v>1.6733246161151733E-3</v>
      </c>
      <c r="H41" s="49">
        <f t="shared" si="9"/>
        <v>2.000076693065898E-3</v>
      </c>
      <c r="I41" s="49">
        <f t="shared" ref="I41:J41" si="10">(1 - $C21 - $C22 - $C23) * I33</f>
        <v>2.6920938659326424E-3</v>
      </c>
      <c r="J41" s="49">
        <f t="shared" si="10"/>
        <v>3.4032556420102856E-3</v>
      </c>
    </row>
    <row r="42" spans="2:12" ht="13.7" customHeight="1">
      <c r="B42" s="25" t="s">
        <v>1031</v>
      </c>
      <c r="C42" s="49">
        <f t="shared" ref="C42:H42" si="11">C$16 * $C24</f>
        <v>-1.1048808513176315E-3</v>
      </c>
      <c r="D42" s="49">
        <f t="shared" si="11"/>
        <v>-3.3510395990668405E-3</v>
      </c>
      <c r="E42" s="49">
        <f t="shared" si="11"/>
        <v>-5.4908195877641031E-3</v>
      </c>
      <c r="F42" s="49">
        <f t="shared" si="11"/>
        <v>-5.6771654841991327E-3</v>
      </c>
      <c r="G42" s="49">
        <f t="shared" si="11"/>
        <v>-7.7032040556078273E-3</v>
      </c>
      <c r="H42" s="49">
        <f t="shared" si="11"/>
        <v>-9.9581225435198956E-3</v>
      </c>
      <c r="I42" s="49">
        <f t="shared" ref="I42:J42" si="12">I$16 * $C24</f>
        <v>-1.2706547472907989E-2</v>
      </c>
      <c r="J42" s="49">
        <f t="shared" si="12"/>
        <v>-1.4459882749727617E-2</v>
      </c>
    </row>
    <row r="43" spans="2:12" ht="13.7" customHeight="1"/>
    <row r="44" spans="2:12" ht="13.7" customHeight="1">
      <c r="B44" s="32" t="s">
        <v>1032</v>
      </c>
      <c r="C44" s="49">
        <f t="shared" ref="C44:H44" si="13">C39 + C41 - C42</f>
        <v>1.2092524166702643E-3</v>
      </c>
      <c r="D44" s="49">
        <f t="shared" si="13"/>
        <v>-1.1974418731244786E-3</v>
      </c>
      <c r="E44" s="49">
        <f t="shared" si="13"/>
        <v>-3.6065346284301801E-3</v>
      </c>
      <c r="F44" s="49">
        <f t="shared" si="13"/>
        <v>-5.776998177542454E-3</v>
      </c>
      <c r="G44" s="49">
        <f t="shared" si="13"/>
        <v>-8.5375213282770004E-3</v>
      </c>
      <c r="H44" s="49">
        <f t="shared" si="13"/>
        <v>-1.1074150763414205E-2</v>
      </c>
      <c r="I44" s="49">
        <f t="shared" ref="I44:J44" si="14">I39 + I41 - I42</f>
        <v>-1.2752008661159369E-2</v>
      </c>
      <c r="J44" s="49">
        <f t="shared" si="14"/>
        <v>-1.5405811608262095E-2</v>
      </c>
    </row>
    <row r="45" spans="2:12" ht="13.7" customHeight="1">
      <c r="B45" s="32" t="s">
        <v>1033</v>
      </c>
      <c r="C45" s="49">
        <v>0</v>
      </c>
      <c r="D45" s="49">
        <v>0</v>
      </c>
      <c r="E45" s="49">
        <v>0</v>
      </c>
      <c r="F45" s="49">
        <v>0</v>
      </c>
      <c r="G45" s="49">
        <v>0</v>
      </c>
      <c r="H45" s="49">
        <v>0</v>
      </c>
      <c r="I45" s="49">
        <v>0</v>
      </c>
      <c r="J45" s="49">
        <v>0</v>
      </c>
    </row>
    <row r="46" spans="2:12" ht="13.7" customHeight="1">
      <c r="B46" s="32" t="s">
        <v>1034</v>
      </c>
      <c r="C46" s="49">
        <f t="shared" ref="C46:H46" si="15">(1 + C33)*(1 + C45)*(1 - C44) - 1</f>
        <v>1.8648433397088215E-3</v>
      </c>
      <c r="D46" s="49">
        <f t="shared" si="15"/>
        <v>1.8020966237678682E-2</v>
      </c>
      <c r="E46" s="49">
        <f t="shared" si="15"/>
        <v>3.7322965427238453E-2</v>
      </c>
      <c r="F46" s="49">
        <f t="shared" si="15"/>
        <v>4.5567646024976538E-2</v>
      </c>
      <c r="G46" s="49">
        <f t="shared" si="15"/>
        <v>5.8303545253162392E-2</v>
      </c>
      <c r="H46" s="49">
        <f t="shared" si="15"/>
        <v>7.0707656329568547E-2</v>
      </c>
      <c r="I46" s="49">
        <f t="shared" ref="I46:J46" si="16">(1 + I33)*(1 + I45)*(1 - I44) - 1</f>
        <v>9.3151628554104748E-2</v>
      </c>
      <c r="J46" s="49">
        <f t="shared" si="16"/>
        <v>0.11731067279702012</v>
      </c>
      <c r="K46" s="184"/>
    </row>
    <row r="47" spans="2:12" ht="13.7" customHeight="1">
      <c r="B47" s="220" t="str">
        <f>"Target opex quantity ("&amp;'Calc|Cost drivers'!B$39&amp;")"</f>
        <v>Target opex quantity ($'000RY2025)</v>
      </c>
      <c r="C47" s="140">
        <f t="shared" ref="C47:H47" si="17">$C30*EXP(C46)</f>
        <v>86827.172203146198</v>
      </c>
      <c r="D47" s="140">
        <f t="shared" si="17"/>
        <v>88241.35576913775</v>
      </c>
      <c r="E47" s="140">
        <f t="shared" si="17"/>
        <v>89961.134536774305</v>
      </c>
      <c r="F47" s="140">
        <f t="shared" si="17"/>
        <v>90705.901320592646</v>
      </c>
      <c r="G47" s="140">
        <f t="shared" si="17"/>
        <v>91868.510259499148</v>
      </c>
      <c r="H47" s="140">
        <f t="shared" si="17"/>
        <v>93015.154313247302</v>
      </c>
      <c r="I47" s="140">
        <f t="shared" ref="I47" si="18">$C30*EXP(I46)</f>
        <v>95126.387458270299</v>
      </c>
      <c r="J47" s="140">
        <f>$C30*EXP(J46)</f>
        <v>97452.535681706708</v>
      </c>
      <c r="K47" s="247"/>
      <c r="L47" s="247"/>
    </row>
    <row r="48" spans="2:12" ht="13.7" customHeight="1"/>
    <row r="49" spans="1:16" s="4" customFormat="1" ht="13.7" customHeight="1">
      <c r="A49" s="2" t="s">
        <v>1035</v>
      </c>
      <c r="C49" s="3"/>
      <c r="D49" s="5"/>
      <c r="E49" s="5"/>
      <c r="F49" s="5"/>
      <c r="G49" s="5"/>
      <c r="H49" s="5"/>
      <c r="I49" s="5"/>
      <c r="J49" s="6"/>
      <c r="K49" s="6"/>
      <c r="L49" s="5"/>
      <c r="M49" s="5"/>
      <c r="N49" s="5"/>
      <c r="O49" s="5"/>
      <c r="P49" s="5"/>
    </row>
    <row r="50" spans="1:16" ht="13.7" customHeight="1"/>
    <row r="51" spans="1:16" s="23" customFormat="1" ht="13.7" customHeight="1">
      <c r="A51" s="32" t="s">
        <v>943</v>
      </c>
      <c r="B51" s="32" t="s">
        <v>46</v>
      </c>
      <c r="C51" s="24" t="s">
        <v>921</v>
      </c>
      <c r="D51" s="24" t="s">
        <v>1023</v>
      </c>
    </row>
    <row r="52" spans="1:16" s="23" customFormat="1" ht="13.7" customHeight="1">
      <c r="A52" s="23" t="s">
        <v>944</v>
      </c>
      <c r="B52" s="23" t="s">
        <v>1021</v>
      </c>
      <c r="C52" s="53">
        <f>VLOOKUP(A52, Table_Coefficients_short_SFACD, MATCH(Parameter_Scenario_number, Header_Table_Econometrics, 0), FALSE)</f>
        <v>0.20033110000000001</v>
      </c>
      <c r="D52" s="53">
        <f>C52/SUM($C$52:$C$54)</f>
        <v>0.21073338454807758</v>
      </c>
    </row>
    <row r="53" spans="1:16" s="23" customFormat="1" ht="13.7" customHeight="1">
      <c r="A53" s="23" t="s">
        <v>946</v>
      </c>
      <c r="B53" s="23" t="s">
        <v>910</v>
      </c>
      <c r="C53" s="53">
        <f>VLOOKUP(A53, Table_Coefficients_short_SFACD, MATCH(Parameter_Scenario_number, Header_Table_Econometrics, 0), FALSE)</f>
        <v>0.33215640000000002</v>
      </c>
      <c r="D53" s="53">
        <f t="shared" ref="D53:D54" si="19">C53/SUM($C$52:$C$54)</f>
        <v>0.34940377390881933</v>
      </c>
    </row>
    <row r="54" spans="1:16" s="23" customFormat="1" ht="13.7" customHeight="1">
      <c r="A54" s="23" t="s">
        <v>948</v>
      </c>
      <c r="B54" s="23" t="s">
        <v>896</v>
      </c>
      <c r="C54" s="53">
        <f>VLOOKUP(A54, Table_Coefficients_short_SFACD, MATCH(Parameter_Scenario_number, Header_Table_Econometrics, 0), FALSE)</f>
        <v>0.41815020000000003</v>
      </c>
      <c r="D54" s="53">
        <f t="shared" si="19"/>
        <v>0.43986284154310312</v>
      </c>
    </row>
    <row r="55" spans="1:16" s="23" customFormat="1" ht="13.7" customHeight="1">
      <c r="A55" s="23" t="s">
        <v>950</v>
      </c>
      <c r="B55" s="23" t="s">
        <v>897</v>
      </c>
      <c r="C55" s="53">
        <f>VLOOKUP(A55, Table_Coefficients_short_SFACD, MATCH(Parameter_Scenario_number, Header_Table_Econometrics, 0), FALSE)</f>
        <v>1.53004E-2</v>
      </c>
    </row>
    <row r="56" spans="1:16" s="23" customFormat="1" ht="13.7" customHeight="1">
      <c r="A56" s="23" t="s">
        <v>952</v>
      </c>
      <c r="B56" s="23" t="s">
        <v>1024</v>
      </c>
      <c r="C56" s="53">
        <f>VLOOKUP(A56, Table_Coefficients_short_SFACD, MATCH(Parameter_Scenario_number, Header_Table_Econometrics, 0), FALSE)</f>
        <v>2.8747999999999998E-3</v>
      </c>
    </row>
    <row r="57" spans="1:16" ht="13.7" customHeight="1"/>
    <row r="58" spans="1:16" s="4" customFormat="1" ht="13.7" customHeight="1">
      <c r="A58" s="2" t="s">
        <v>1036</v>
      </c>
      <c r="C58" s="3"/>
      <c r="D58" s="5"/>
      <c r="E58" s="5"/>
      <c r="F58" s="5"/>
      <c r="G58" s="5"/>
      <c r="H58" s="5"/>
      <c r="I58" s="5"/>
      <c r="J58" s="6"/>
      <c r="K58" s="6"/>
      <c r="L58" s="5"/>
      <c r="M58" s="5"/>
      <c r="N58" s="5"/>
      <c r="O58" s="5"/>
      <c r="P58" s="5"/>
    </row>
    <row r="59" spans="1:16" ht="13.7" customHeight="1"/>
    <row r="60" spans="1:16" ht="13.7" customHeight="1">
      <c r="B60" s="23" t="s">
        <v>1026</v>
      </c>
      <c r="C60" s="47">
        <f>'Calc|Efficiency target'!E22</f>
        <v>0.17577927127058557</v>
      </c>
    </row>
    <row r="61" spans="1:16" ht="13.7" customHeight="1">
      <c r="B61" s="217" t="str">
        <f>B30</f>
        <v>Target opex ($'000RY2025)</v>
      </c>
      <c r="C61" s="43">
        <f>$C$10*(1 - C60)</f>
        <v>82778.84818359834</v>
      </c>
    </row>
    <row r="62" spans="1:16" ht="13.7" customHeight="1">
      <c r="B62" s="23"/>
      <c r="C62" s="23"/>
    </row>
    <row r="63" spans="1:16" s="23" customFormat="1" ht="13.7" customHeight="1">
      <c r="A63" s="32"/>
      <c r="B63" s="32"/>
      <c r="C63" s="249">
        <v>2018</v>
      </c>
      <c r="D63" s="249">
        <v>2019</v>
      </c>
      <c r="E63" s="249">
        <v>2020</v>
      </c>
      <c r="F63" s="249">
        <v>2021</v>
      </c>
      <c r="G63" s="249">
        <v>2022</v>
      </c>
      <c r="H63" s="249">
        <v>2023</v>
      </c>
      <c r="I63" s="249">
        <f>H63+1</f>
        <v>2024</v>
      </c>
      <c r="J63" s="249">
        <f>I63+1</f>
        <v>2025</v>
      </c>
    </row>
    <row r="64" spans="1:16" s="23" customFormat="1" ht="13.7" customHeight="1">
      <c r="B64" s="24" t="s">
        <v>1027</v>
      </c>
      <c r="C64" s="54">
        <f>$D52*C$13 + $D53*C$14 + $D54*C$15</f>
        <v>-2.7253923649788172E-3</v>
      </c>
      <c r="D64" s="54">
        <f t="shared" ref="D64:J64" si="20">$D52*D$13 + $D53*D$14 + $D54*D$15</f>
        <v>7.1675694959838828E-3</v>
      </c>
      <c r="E64" s="54">
        <f t="shared" si="20"/>
        <v>2.4920769609693128E-2</v>
      </c>
      <c r="F64" s="54">
        <f t="shared" si="20"/>
        <v>2.9318815644206346E-2</v>
      </c>
      <c r="G64" s="54">
        <f t="shared" si="20"/>
        <v>3.5374200807196166E-2</v>
      </c>
      <c r="H64" s="54">
        <f t="shared" si="20"/>
        <v>4.2004079036661035E-2</v>
      </c>
      <c r="I64" s="54">
        <f t="shared" si="20"/>
        <v>7.1224830994429444E-2</v>
      </c>
      <c r="J64" s="54">
        <f t="shared" si="20"/>
        <v>9.4844915461453516E-2</v>
      </c>
    </row>
    <row r="65" spans="1:16" ht="13.7" customHeight="1"/>
    <row r="66" spans="1:16" ht="13.7" customHeight="1">
      <c r="C66" s="249">
        <v>2018</v>
      </c>
      <c r="D66" s="249">
        <v>2019</v>
      </c>
      <c r="E66" s="249">
        <v>2020</v>
      </c>
      <c r="F66" s="249">
        <v>2021</v>
      </c>
      <c r="G66" s="249">
        <v>2022</v>
      </c>
      <c r="H66" s="249">
        <v>2023</v>
      </c>
      <c r="I66" s="249">
        <f>H66+1</f>
        <v>2024</v>
      </c>
      <c r="J66" s="249">
        <f>I66+1</f>
        <v>2025</v>
      </c>
    </row>
    <row r="67" spans="1:16" ht="13.7" customHeight="1">
      <c r="B67" s="32"/>
      <c r="C67" s="308">
        <f t="shared" ref="C67:E67" si="21">C66 - $C$9</f>
        <v>0</v>
      </c>
      <c r="D67" s="308">
        <f t="shared" si="21"/>
        <v>1</v>
      </c>
      <c r="E67" s="308">
        <f t="shared" si="21"/>
        <v>2</v>
      </c>
      <c r="F67" s="308">
        <f>IF(Parameter_Victorian_or_non_Victorian="Non-Victorian", F66 - $C$9, F66 - $C$9 - 0.5)</f>
        <v>2.5</v>
      </c>
      <c r="G67" s="308">
        <f>IF(Parameter_Victorian_or_non_Victorian="Non-Victorian", G66 - $C$9, G66 - $C$9 - 0.5)</f>
        <v>3.5</v>
      </c>
      <c r="H67" s="308">
        <f>IF(Parameter_Victorian_or_non_Victorian="Non-Victorian", H66 - $C$9, H66 - $C$9 - 0.5)</f>
        <v>4.5</v>
      </c>
      <c r="I67" s="308">
        <f>IF(Parameter_Victorian_or_non_Victorian="Non-Victorian", I66 - $C$9, I66 - $C$9 - 0.5)</f>
        <v>5.5</v>
      </c>
      <c r="J67" s="308">
        <f>IF(Parameter_Victorian_or_non_Victorian="Non-Victorian", J66 - $C$9, J66 - $C$9 - 0.5)</f>
        <v>6.5</v>
      </c>
    </row>
    <row r="68" spans="1:16" ht="13.7" customHeight="1">
      <c r="B68" s="25" t="s">
        <v>1024</v>
      </c>
      <c r="C68" s="49">
        <f>-$C56*C67</f>
        <v>0</v>
      </c>
      <c r="D68" s="49">
        <f t="shared" ref="D68:H68" si="22">-$C56*D67</f>
        <v>-2.8747999999999998E-3</v>
      </c>
      <c r="E68" s="49">
        <f t="shared" si="22"/>
        <v>-5.7495999999999997E-3</v>
      </c>
      <c r="F68" s="49">
        <f t="shared" si="22"/>
        <v>-7.1869999999999998E-3</v>
      </c>
      <c r="G68" s="49">
        <f t="shared" si="22"/>
        <v>-1.0061799999999999E-2</v>
      </c>
      <c r="H68" s="49">
        <f t="shared" si="22"/>
        <v>-1.2936599999999999E-2</v>
      </c>
      <c r="I68" s="49">
        <f t="shared" ref="I68:J68" si="23">-$C56*I67</f>
        <v>-1.58114E-2</v>
      </c>
      <c r="J68" s="49">
        <f t="shared" si="23"/>
        <v>-1.86862E-2</v>
      </c>
    </row>
    <row r="69" spans="1:16" ht="13.7" customHeight="1">
      <c r="B69" s="25" t="s">
        <v>1028</v>
      </c>
      <c r="C69" s="49">
        <f t="shared" ref="C69:H69" si="24">IF(C66 &lt;= Parameter_Period_end, 0, -Parameter_Technology_growth_rate * (C66 - Parameter_Period_end))</f>
        <v>0</v>
      </c>
      <c r="D69" s="49">
        <f t="shared" si="24"/>
        <v>0</v>
      </c>
      <c r="E69" s="49">
        <f t="shared" si="24"/>
        <v>0</v>
      </c>
      <c r="F69" s="49">
        <f t="shared" si="24"/>
        <v>0</v>
      </c>
      <c r="G69" s="49">
        <f t="shared" si="24"/>
        <v>0</v>
      </c>
      <c r="H69" s="49">
        <f t="shared" si="24"/>
        <v>0</v>
      </c>
      <c r="I69" s="49">
        <f t="shared" ref="I69:J69" si="25">IF(I66 &lt;= Parameter_Period_end, 0, -Parameter_Technology_growth_rate * (I66 - Parameter_Period_end))</f>
        <v>0</v>
      </c>
      <c r="J69" s="49">
        <f t="shared" si="25"/>
        <v>0</v>
      </c>
    </row>
    <row r="70" spans="1:16" ht="13.7" customHeight="1">
      <c r="B70" s="25" t="s">
        <v>1029</v>
      </c>
      <c r="C70" s="49">
        <f t="shared" ref="C70:H70" si="26">IF(OR(C66 &lt;= Parameter_Period_end, Parameter_Apply_fixed_growth_rate = "0 - No"), C68, -$C56 * (Parameter_Period_end - $C$9) + C69)</f>
        <v>0</v>
      </c>
      <c r="D70" s="49">
        <f t="shared" si="26"/>
        <v>-2.8747999999999998E-3</v>
      </c>
      <c r="E70" s="49">
        <f t="shared" si="26"/>
        <v>-5.7495999999999997E-3</v>
      </c>
      <c r="F70" s="49">
        <f t="shared" si="26"/>
        <v>-7.1869999999999998E-3</v>
      </c>
      <c r="G70" s="49">
        <f t="shared" si="26"/>
        <v>-1.0061799999999999E-2</v>
      </c>
      <c r="H70" s="49">
        <f t="shared" si="26"/>
        <v>-1.2936599999999999E-2</v>
      </c>
      <c r="I70" s="49">
        <f t="shared" ref="I70:J70" si="27">IF(OR(I66 &lt;= Parameter_Period_end, Parameter_Apply_fixed_growth_rate = "0 - No"), I68, -$C56 * (Parameter_Period_end - $C$9) + I69)</f>
        <v>-1.58114E-2</v>
      </c>
      <c r="J70" s="49">
        <f t="shared" si="27"/>
        <v>-1.86862E-2</v>
      </c>
    </row>
    <row r="71" spans="1:16" ht="13.7" customHeight="1">
      <c r="B71" s="32"/>
      <c r="C71" s="55"/>
      <c r="D71" s="55"/>
      <c r="E71" s="55"/>
      <c r="F71" s="55"/>
      <c r="G71" s="55"/>
      <c r="H71" s="55"/>
      <c r="I71" s="55"/>
      <c r="J71" s="55"/>
    </row>
    <row r="72" spans="1:16" ht="13.7" customHeight="1">
      <c r="B72" s="25" t="s">
        <v>1030</v>
      </c>
      <c r="C72" s="49">
        <f t="shared" ref="C72:H72" si="28">(1 - $C52 - $C53 - $C54) * C64</f>
        <v>-1.345316355377938E-4</v>
      </c>
      <c r="D72" s="49">
        <f t="shared" si="28"/>
        <v>3.5380771573160499E-4</v>
      </c>
      <c r="E72" s="49">
        <f t="shared" si="28"/>
        <v>1.2301465057045543E-3</v>
      </c>
      <c r="F72" s="49">
        <f t="shared" si="28"/>
        <v>1.4472441734740061E-3</v>
      </c>
      <c r="G72" s="49">
        <f t="shared" si="28"/>
        <v>1.7461519125050583E-3</v>
      </c>
      <c r="H72" s="49">
        <f t="shared" si="28"/>
        <v>2.0734179506313719E-3</v>
      </c>
      <c r="I72" s="49">
        <f t="shared" ref="I72:J72" si="29">(1 - $C52 - $C53 - $C54) * I64</f>
        <v>3.5158214749963224E-3</v>
      </c>
      <c r="J72" s="49">
        <f t="shared" si="29"/>
        <v>4.6817631704829041E-3</v>
      </c>
    </row>
    <row r="73" spans="1:16" ht="13.7" customHeight="1">
      <c r="B73" s="25" t="s">
        <v>1031</v>
      </c>
      <c r="C73" s="49">
        <f t="shared" ref="C73:H73" si="30">C$16 * $C55</f>
        <v>1.8819997236302346E-4</v>
      </c>
      <c r="D73" s="49">
        <f t="shared" si="30"/>
        <v>5.7079961081746777E-4</v>
      </c>
      <c r="E73" s="49">
        <f t="shared" si="30"/>
        <v>9.3527921443764604E-4</v>
      </c>
      <c r="F73" s="49">
        <f t="shared" si="30"/>
        <v>9.6702045831675951E-4</v>
      </c>
      <c r="G73" s="49">
        <f t="shared" si="30"/>
        <v>1.3121259080951804E-3</v>
      </c>
      <c r="H73" s="49">
        <f t="shared" si="30"/>
        <v>1.6962176376240526E-3</v>
      </c>
      <c r="I73" s="49">
        <f t="shared" ref="I73:J73" si="31">I$16 * $C55</f>
        <v>2.1643708282018696E-3</v>
      </c>
      <c r="J73" s="49">
        <f t="shared" si="31"/>
        <v>2.463025339452609E-3</v>
      </c>
    </row>
    <row r="74" spans="1:16" ht="13.7" customHeight="1"/>
    <row r="75" spans="1:16" ht="13.7" customHeight="1">
      <c r="B75" s="32" t="s">
        <v>1032</v>
      </c>
      <c r="C75" s="49">
        <f>C70 + C72 - C73</f>
        <v>-3.2273160790081729E-4</v>
      </c>
      <c r="D75" s="49">
        <f t="shared" ref="D75:H75" si="32">D70 + D72 - D73</f>
        <v>-3.0917918950858626E-3</v>
      </c>
      <c r="E75" s="49">
        <f t="shared" si="32"/>
        <v>-5.4547327087330916E-3</v>
      </c>
      <c r="F75" s="49">
        <f t="shared" si="32"/>
        <v>-6.7067762848427529E-3</v>
      </c>
      <c r="G75" s="49">
        <f t="shared" si="32"/>
        <v>-9.62777399559012E-3</v>
      </c>
      <c r="H75" s="49">
        <f t="shared" si="32"/>
        <v>-1.255939968699268E-2</v>
      </c>
      <c r="I75" s="49">
        <f t="shared" ref="I75:J75" si="33">I70 + I72 - I73</f>
        <v>-1.4459949353205548E-2</v>
      </c>
      <c r="J75" s="49">
        <f t="shared" si="33"/>
        <v>-1.6467462168969705E-2</v>
      </c>
    </row>
    <row r="76" spans="1:16" ht="13.7" customHeight="1">
      <c r="B76" s="32" t="s">
        <v>1033</v>
      </c>
      <c r="C76" s="49">
        <v>0</v>
      </c>
      <c r="D76" s="49">
        <v>0</v>
      </c>
      <c r="E76" s="49">
        <v>0</v>
      </c>
      <c r="F76" s="49">
        <v>0</v>
      </c>
      <c r="G76" s="49">
        <v>0</v>
      </c>
      <c r="H76" s="49">
        <v>0</v>
      </c>
      <c r="I76" s="49">
        <v>0</v>
      </c>
      <c r="J76" s="49">
        <v>0</v>
      </c>
    </row>
    <row r="77" spans="1:16" ht="13.7" customHeight="1">
      <c r="B77" s="32" t="s">
        <v>1034</v>
      </c>
      <c r="C77" s="49">
        <f t="shared" ref="C77:H77" si="34">(1 + C64)*(1 + C76)*(1 - C75) - 1</f>
        <v>-2.4035403273380274E-3</v>
      </c>
      <c r="D77" s="49">
        <f t="shared" si="34"/>
        <v>1.0281522024344847E-2</v>
      </c>
      <c r="E77" s="49">
        <f t="shared" si="34"/>
        <v>3.0511438455542939E-2</v>
      </c>
      <c r="F77" s="49">
        <f t="shared" si="34"/>
        <v>3.6222226666511315E-2</v>
      </c>
      <c r="G77" s="49">
        <f t="shared" si="34"/>
        <v>4.5342549613432537E-2</v>
      </c>
      <c r="H77" s="49">
        <f t="shared" si="34"/>
        <v>5.509102474075922E-2</v>
      </c>
      <c r="I77" s="49">
        <f t="shared" ref="I77:J77" si="35">(1 + I64)*(1 + I76)*(1 - I75) - 1</f>
        <v>8.6714687796505041E-2</v>
      </c>
      <c r="J77" s="49">
        <f t="shared" si="35"/>
        <v>0.11287423268770391</v>
      </c>
    </row>
    <row r="78" spans="1:16" ht="13.7" customHeight="1">
      <c r="B78" s="220" t="str">
        <f>B47</f>
        <v>Target opex quantity ($'000RY2025)</v>
      </c>
      <c r="C78" s="140">
        <f t="shared" ref="C78:H78" si="36">$C61*EXP(C77)</f>
        <v>82580.124799241457</v>
      </c>
      <c r="D78" s="140">
        <f t="shared" si="36"/>
        <v>83634.331031161259</v>
      </c>
      <c r="E78" s="140">
        <f t="shared" si="36"/>
        <v>85343.476202184451</v>
      </c>
      <c r="F78" s="140">
        <f t="shared" si="36"/>
        <v>85832.249030650477</v>
      </c>
      <c r="G78" s="140">
        <f t="shared" si="36"/>
        <v>86618.647514073818</v>
      </c>
      <c r="H78" s="140">
        <f t="shared" si="36"/>
        <v>87467.176456746543</v>
      </c>
      <c r="I78" s="140">
        <f t="shared" ref="I78:J78" si="37">$C61*EXP(I77)</f>
        <v>90277.409712921915</v>
      </c>
      <c r="J78" s="140">
        <f t="shared" si="37"/>
        <v>92670.186185880972</v>
      </c>
    </row>
    <row r="79" spans="1:16" ht="13.7" customHeight="1"/>
    <row r="80" spans="1:16" s="4" customFormat="1" ht="13.7" customHeight="1">
      <c r="A80" s="2" t="s">
        <v>1037</v>
      </c>
      <c r="C80" s="3"/>
      <c r="D80" s="5"/>
      <c r="E80" s="5"/>
      <c r="F80" s="5"/>
      <c r="G80" s="5"/>
      <c r="H80" s="5"/>
      <c r="I80" s="5"/>
      <c r="J80" s="6"/>
      <c r="K80" s="6"/>
      <c r="L80" s="5"/>
      <c r="M80" s="5"/>
      <c r="N80" s="5"/>
      <c r="O80" s="5"/>
      <c r="P80" s="5"/>
    </row>
    <row r="81" spans="1:16" ht="13.7" customHeight="1"/>
    <row r="82" spans="1:16" s="23" customFormat="1" ht="13.7" customHeight="1">
      <c r="A82" s="32" t="s">
        <v>943</v>
      </c>
      <c r="B82" s="32" t="s">
        <v>46</v>
      </c>
      <c r="C82" s="24" t="s">
        <v>921</v>
      </c>
      <c r="D82" s="24" t="s">
        <v>1023</v>
      </c>
    </row>
    <row r="83" spans="1:16" s="23" customFormat="1" ht="13.7" customHeight="1">
      <c r="A83" s="23" t="s">
        <v>944</v>
      </c>
      <c r="B83" s="23" t="s">
        <v>1021</v>
      </c>
      <c r="C83" s="53">
        <f>VLOOKUP(A83, Table_Coefficients_short_LSETLG, MATCH(Parameter_Scenario_number, Header_Table_Econometrics, 0), FALSE)</f>
        <v>0.29974460000000003</v>
      </c>
      <c r="D83" s="53">
        <f>C83/SUM($C$83:$C$85)</f>
        <v>0.31395067989483327</v>
      </c>
    </row>
    <row r="84" spans="1:16" s="23" customFormat="1" ht="13.7" customHeight="1">
      <c r="A84" s="23" t="s">
        <v>946</v>
      </c>
      <c r="B84" s="23" t="s">
        <v>910</v>
      </c>
      <c r="C84" s="53">
        <f>VLOOKUP(A84, Table_Coefficients_short_LSETLG, MATCH(Parameter_Scenario_number, Header_Table_Econometrics, 0), FALSE)</f>
        <v>0.27871760000000001</v>
      </c>
      <c r="D84" s="53">
        <f t="shared" ref="D84:D85" si="38">C84/SUM($C$83:$C$85)</f>
        <v>0.29192712735661019</v>
      </c>
    </row>
    <row r="85" spans="1:16" s="23" customFormat="1" ht="13.7" customHeight="1">
      <c r="A85" s="23" t="s">
        <v>948</v>
      </c>
      <c r="B85" s="23" t="s">
        <v>896</v>
      </c>
      <c r="C85" s="53">
        <f>VLOOKUP(A85, Table_Coefficients_short_LSETLG, MATCH(Parameter_Scenario_number, Header_Table_Econometrics, 0), FALSE)</f>
        <v>0.37628840000000002</v>
      </c>
      <c r="D85" s="53">
        <f t="shared" si="38"/>
        <v>0.39412219274855653</v>
      </c>
    </row>
    <row r="86" spans="1:16" s="23" customFormat="1" ht="13.7" customHeight="1">
      <c r="A86" s="23" t="s">
        <v>950</v>
      </c>
      <c r="B86" s="23" t="s">
        <v>897</v>
      </c>
      <c r="C86" s="53">
        <f>VLOOKUP(A86, Table_Coefficients_short_LSETLG, MATCH(Parameter_Scenario_number, Header_Table_Econometrics, 0), FALSE)</f>
        <v>-8.8359400000000005E-2</v>
      </c>
    </row>
    <row r="87" spans="1:16" s="23" customFormat="1" ht="13.7" customHeight="1">
      <c r="A87" s="23" t="s">
        <v>952</v>
      </c>
      <c r="B87" s="23" t="s">
        <v>1024</v>
      </c>
      <c r="C87" s="53">
        <f>VLOOKUP(A87, Table_Coefficients_short_LSETLG, MATCH(Parameter_Scenario_number, Header_Table_Econometrics, 0), FALSE)</f>
        <v>7.1596999999999997E-3</v>
      </c>
    </row>
    <row r="88" spans="1:16" ht="13.7" customHeight="1"/>
    <row r="89" spans="1:16" s="4" customFormat="1" ht="13.7" customHeight="1">
      <c r="A89" s="2" t="s">
        <v>1038</v>
      </c>
      <c r="C89" s="3"/>
      <c r="D89" s="5"/>
      <c r="E89" s="5"/>
      <c r="F89" s="5"/>
      <c r="G89" s="5"/>
      <c r="H89" s="5"/>
      <c r="I89" s="5"/>
      <c r="J89" s="6"/>
      <c r="K89" s="6"/>
      <c r="L89" s="5"/>
      <c r="M89" s="5"/>
      <c r="N89" s="5"/>
      <c r="O89" s="5"/>
      <c r="P89" s="5"/>
    </row>
    <row r="90" spans="1:16" ht="13.7" customHeight="1"/>
    <row r="91" spans="1:16" ht="13.7" customHeight="1">
      <c r="B91" s="23" t="s">
        <v>1026</v>
      </c>
      <c r="C91" s="47">
        <f>'Calc|Efficiency target'!E23</f>
        <v>0.27237924623679577</v>
      </c>
    </row>
    <row r="92" spans="1:16" ht="13.7" customHeight="1">
      <c r="B92" s="217" t="str">
        <f>B30</f>
        <v>Target opex ($'000RY2025)</v>
      </c>
      <c r="C92" s="43">
        <f>$C$10*(1 - C91)</f>
        <v>73077.036055439065</v>
      </c>
    </row>
    <row r="93" spans="1:16" ht="13.7" customHeight="1">
      <c r="B93" s="23"/>
      <c r="C93" s="23"/>
    </row>
    <row r="94" spans="1:16" s="23" customFormat="1" ht="13.7" customHeight="1">
      <c r="A94" s="32"/>
      <c r="B94" s="32"/>
      <c r="C94" s="249">
        <v>2018</v>
      </c>
      <c r="D94" s="249">
        <v>2019</v>
      </c>
      <c r="E94" s="249">
        <v>2020</v>
      </c>
      <c r="F94" s="249">
        <v>2021</v>
      </c>
      <c r="G94" s="249">
        <v>2022</v>
      </c>
      <c r="H94" s="249">
        <v>2023</v>
      </c>
      <c r="I94" s="249">
        <f>H94+1</f>
        <v>2024</v>
      </c>
      <c r="J94" s="249">
        <f>I94+1</f>
        <v>2025</v>
      </c>
    </row>
    <row r="95" spans="1:16" s="23" customFormat="1" ht="13.7" customHeight="1">
      <c r="B95" s="24" t="s">
        <v>1027</v>
      </c>
      <c r="C95" s="54">
        <f>$D83*C$13 + $D84*C$14 + $D85*C$15</f>
        <v>-1.6716350556590974E-3</v>
      </c>
      <c r="D95" s="54">
        <f t="shared" ref="D95:J95" si="39">$D83*D$13 + $D84*D$14 + $D85*D$15</f>
        <v>9.3478957899550234E-3</v>
      </c>
      <c r="E95" s="54">
        <f t="shared" si="39"/>
        <v>2.7236474783679819E-2</v>
      </c>
      <c r="F95" s="54">
        <f t="shared" si="39"/>
        <v>3.1843974740694246E-2</v>
      </c>
      <c r="G95" s="54">
        <f t="shared" si="39"/>
        <v>3.8778194492770673E-2</v>
      </c>
      <c r="H95" s="54">
        <f t="shared" si="39"/>
        <v>4.596524389728017E-2</v>
      </c>
      <c r="I95" s="54">
        <f t="shared" si="39"/>
        <v>7.3414258154061829E-2</v>
      </c>
      <c r="J95" s="54">
        <f t="shared" si="39"/>
        <v>9.6926683232724187E-2</v>
      </c>
    </row>
    <row r="96" spans="1:16" ht="13.7" customHeight="1"/>
    <row r="97" spans="1:16" ht="13.7" customHeight="1">
      <c r="C97" s="249">
        <v>2018</v>
      </c>
      <c r="D97" s="249">
        <v>2019</v>
      </c>
      <c r="E97" s="249">
        <v>2020</v>
      </c>
      <c r="F97" s="249">
        <v>2021</v>
      </c>
      <c r="G97" s="249">
        <v>2022</v>
      </c>
      <c r="H97" s="249">
        <v>2023</v>
      </c>
      <c r="I97" s="249">
        <f>H97+1</f>
        <v>2024</v>
      </c>
      <c r="J97" s="249">
        <f>I97+1</f>
        <v>2025</v>
      </c>
    </row>
    <row r="98" spans="1:16" ht="13.7" customHeight="1">
      <c r="B98" s="32"/>
      <c r="C98" s="308">
        <f t="shared" ref="C98:E98" si="40">C97 - $C$9</f>
        <v>0</v>
      </c>
      <c r="D98" s="308">
        <f t="shared" si="40"/>
        <v>1</v>
      </c>
      <c r="E98" s="308">
        <f t="shared" si="40"/>
        <v>2</v>
      </c>
      <c r="F98" s="308">
        <f>IF(Parameter_Victorian_or_non_Victorian="Non-Victorian", F97 - $C$9, F97 - $C$9 - 0.5)</f>
        <v>2.5</v>
      </c>
      <c r="G98" s="308">
        <f>IF(Parameter_Victorian_or_non_Victorian="Non-Victorian", G97 - $C$9, G97 - $C$9 - 0.5)</f>
        <v>3.5</v>
      </c>
      <c r="H98" s="308">
        <f>IF(Parameter_Victorian_or_non_Victorian="Non-Victorian", H97 - $C$9, H97 - $C$9 - 0.5)</f>
        <v>4.5</v>
      </c>
      <c r="I98" s="308">
        <f>IF(Parameter_Victorian_or_non_Victorian="Non-Victorian", I97 - $C$9, I97 - $C$9 - 0.5)</f>
        <v>5.5</v>
      </c>
      <c r="J98" s="308">
        <f>IF(Parameter_Victorian_or_non_Victorian="Non-Victorian", J97 - $C$9, J97 - $C$9 - 0.5)</f>
        <v>6.5</v>
      </c>
    </row>
    <row r="99" spans="1:16" ht="13.7" customHeight="1">
      <c r="B99" s="25" t="s">
        <v>1024</v>
      </c>
      <c r="C99" s="49">
        <f>-$C87*C98</f>
        <v>0</v>
      </c>
      <c r="D99" s="49">
        <f t="shared" ref="D99:H99" si="41">-$C87*D98</f>
        <v>-7.1596999999999997E-3</v>
      </c>
      <c r="E99" s="49">
        <f t="shared" si="41"/>
        <v>-1.4319399999999999E-2</v>
      </c>
      <c r="F99" s="49">
        <f t="shared" si="41"/>
        <v>-1.7899249999999998E-2</v>
      </c>
      <c r="G99" s="49">
        <f t="shared" si="41"/>
        <v>-2.505895E-2</v>
      </c>
      <c r="H99" s="49">
        <f t="shared" si="41"/>
        <v>-3.2218650000000001E-2</v>
      </c>
      <c r="I99" s="49">
        <f t="shared" ref="I99:J99" si="42">-$C87*I98</f>
        <v>-3.9378349999999999E-2</v>
      </c>
      <c r="J99" s="49">
        <f t="shared" si="42"/>
        <v>-4.6538049999999997E-2</v>
      </c>
    </row>
    <row r="100" spans="1:16" ht="13.7" customHeight="1">
      <c r="B100" s="25" t="s">
        <v>1028</v>
      </c>
      <c r="C100" s="49">
        <f t="shared" ref="C100:H100" si="43">IF(C97 &lt;= Parameter_Period_end, 0, -Parameter_Technology_growth_rate * (C97 - Parameter_Period_end))</f>
        <v>0</v>
      </c>
      <c r="D100" s="49">
        <f t="shared" si="43"/>
        <v>0</v>
      </c>
      <c r="E100" s="49">
        <f t="shared" si="43"/>
        <v>0</v>
      </c>
      <c r="F100" s="49">
        <f t="shared" si="43"/>
        <v>0</v>
      </c>
      <c r="G100" s="49">
        <f t="shared" si="43"/>
        <v>0</v>
      </c>
      <c r="H100" s="49">
        <f t="shared" si="43"/>
        <v>0</v>
      </c>
      <c r="I100" s="49">
        <f t="shared" ref="I100:J100" si="44">IF(I97 &lt;= Parameter_Period_end, 0, -Parameter_Technology_growth_rate * (I97 - Parameter_Period_end))</f>
        <v>0</v>
      </c>
      <c r="J100" s="49">
        <f t="shared" si="44"/>
        <v>0</v>
      </c>
    </row>
    <row r="101" spans="1:16" ht="13.7" customHeight="1">
      <c r="B101" s="25" t="s">
        <v>1029</v>
      </c>
      <c r="C101" s="49">
        <f t="shared" ref="C101:H101" si="45">IF(OR(C97 &lt;= Parameter_Period_end, Parameter_Apply_fixed_growth_rate = "0 - No"), C99, -$C87 * (Parameter_Period_end - $C$9) + C100)</f>
        <v>0</v>
      </c>
      <c r="D101" s="49">
        <f t="shared" si="45"/>
        <v>-7.1596999999999997E-3</v>
      </c>
      <c r="E101" s="49">
        <f t="shared" si="45"/>
        <v>-1.4319399999999999E-2</v>
      </c>
      <c r="F101" s="49">
        <f t="shared" si="45"/>
        <v>-1.7899249999999998E-2</v>
      </c>
      <c r="G101" s="49">
        <f t="shared" si="45"/>
        <v>-2.505895E-2</v>
      </c>
      <c r="H101" s="49">
        <f t="shared" si="45"/>
        <v>-3.2218650000000001E-2</v>
      </c>
      <c r="I101" s="49">
        <f t="shared" ref="I101:J101" si="46">IF(OR(I97 &lt;= Parameter_Period_end, Parameter_Apply_fixed_growth_rate = "0 - No"), I99, -$C87 * (Parameter_Period_end - $C$9) + I100)</f>
        <v>-3.9378349999999999E-2</v>
      </c>
      <c r="J101" s="49">
        <f t="shared" si="46"/>
        <v>-4.6538049999999997E-2</v>
      </c>
    </row>
    <row r="102" spans="1:16" ht="13.7" customHeight="1"/>
    <row r="103" spans="1:16" ht="13.7" customHeight="1">
      <c r="B103" s="25" t="s">
        <v>1030</v>
      </c>
      <c r="C103" s="49">
        <f t="shared" ref="C103:H103" si="47">(1 - $C83 - $C84 - $C85) * C95</f>
        <v>-7.5640483287540657E-5</v>
      </c>
      <c r="D103" s="49">
        <f t="shared" si="47"/>
        <v>4.2298667575799029E-4</v>
      </c>
      <c r="E103" s="49">
        <f t="shared" si="47"/>
        <v>1.2324341420766399E-3</v>
      </c>
      <c r="F103" s="49">
        <f t="shared" si="47"/>
        <v>1.4409207506315682E-3</v>
      </c>
      <c r="G103" s="49">
        <f t="shared" si="47"/>
        <v>1.7546900338811749E-3</v>
      </c>
      <c r="H103" s="49">
        <f t="shared" si="47"/>
        <v>2.0798997072055867E-3</v>
      </c>
      <c r="I103" s="49">
        <f t="shared" ref="I103:J103" si="48">(1 - $C83 - $C84 - $C85) * I95</f>
        <v>3.321951132916401E-3</v>
      </c>
      <c r="J103" s="49">
        <f t="shared" si="48"/>
        <v>4.3858742602708237E-3</v>
      </c>
    </row>
    <row r="104" spans="1:16" ht="13.7" customHeight="1">
      <c r="B104" s="25" t="s">
        <v>1031</v>
      </c>
      <c r="C104" s="49">
        <f t="shared" ref="C104:H104" si="49">C$16 * $C86</f>
        <v>-1.086849797261074E-3</v>
      </c>
      <c r="D104" s="49">
        <f t="shared" si="49"/>
        <v>-3.2963524569334765E-3</v>
      </c>
      <c r="E104" s="49">
        <f t="shared" si="49"/>
        <v>-5.4012124009948587E-3</v>
      </c>
      <c r="F104" s="49">
        <f t="shared" si="49"/>
        <v>-5.5845172338366243E-3</v>
      </c>
      <c r="G104" s="49">
        <f t="shared" si="49"/>
        <v>-7.5774919586249568E-3</v>
      </c>
      <c r="H104" s="49">
        <f t="shared" si="49"/>
        <v>-9.7956114042690862E-3</v>
      </c>
      <c r="I104" s="49">
        <f t="shared" ref="I104:J104" si="50">I$16 * $C86</f>
        <v>-1.2499183534902375E-2</v>
      </c>
      <c r="J104" s="49">
        <f t="shared" si="50"/>
        <v>-1.4223905334424516E-2</v>
      </c>
    </row>
    <row r="105" spans="1:16" ht="13.7" customHeight="1"/>
    <row r="106" spans="1:16" ht="13.7" customHeight="1">
      <c r="B106" s="32" t="s">
        <v>1032</v>
      </c>
      <c r="C106" s="49">
        <f>C101 + C103 - C104</f>
        <v>1.0112093139735333E-3</v>
      </c>
      <c r="D106" s="49">
        <f t="shared" ref="D106:H106" si="51">D101 + D103 - D104</f>
        <v>-3.4403608673085327E-3</v>
      </c>
      <c r="E106" s="49">
        <f t="shared" si="51"/>
        <v>-7.6857534569285011E-3</v>
      </c>
      <c r="F106" s="49">
        <f t="shared" si="51"/>
        <v>-1.0873812015531805E-2</v>
      </c>
      <c r="G106" s="49">
        <f t="shared" si="51"/>
        <v>-1.5726768007493869E-2</v>
      </c>
      <c r="H106" s="49">
        <f t="shared" si="51"/>
        <v>-2.034313888852533E-2</v>
      </c>
      <c r="I106" s="49">
        <f t="shared" ref="I106:J106" si="52">I101 + I103 - I104</f>
        <v>-2.3557215332181219E-2</v>
      </c>
      <c r="J106" s="49">
        <f t="shared" si="52"/>
        <v>-2.7928270405304656E-2</v>
      </c>
    </row>
    <row r="107" spans="1:16" ht="13.7" customHeight="1">
      <c r="B107" s="32" t="s">
        <v>1033</v>
      </c>
      <c r="C107" s="49">
        <v>0</v>
      </c>
      <c r="D107" s="49">
        <v>0</v>
      </c>
      <c r="E107" s="49">
        <v>0</v>
      </c>
      <c r="F107" s="49">
        <v>0</v>
      </c>
      <c r="G107" s="49">
        <v>0</v>
      </c>
      <c r="H107" s="49">
        <v>0</v>
      </c>
      <c r="I107" s="49">
        <v>0</v>
      </c>
      <c r="J107" s="49">
        <v>0</v>
      </c>
    </row>
    <row r="108" spans="1:16" ht="13.7" customHeight="1">
      <c r="B108" s="32" t="s">
        <v>1034</v>
      </c>
      <c r="C108" s="49">
        <f t="shared" ref="C108:H108" si="53">(1 + C95)*(1 + C107)*(1 - C106) - 1</f>
        <v>-2.681153996694885E-3</v>
      </c>
      <c r="D108" s="49">
        <f t="shared" si="53"/>
        <v>1.2820416792131084E-2</v>
      </c>
      <c r="E108" s="49">
        <f t="shared" si="53"/>
        <v>3.5131561070831596E-2</v>
      </c>
      <c r="F108" s="49">
        <f t="shared" si="53"/>
        <v>4.3064052151383647E-2</v>
      </c>
      <c r="G108" s="49">
        <f t="shared" si="53"/>
        <v>5.5114818168801927E-2</v>
      </c>
      <c r="H108" s="49">
        <f t="shared" si="53"/>
        <v>6.7243460126452881E-2</v>
      </c>
      <c r="I108" s="49">
        <f t="shared" ref="I108:J108" si="54">(1 + I95)*(1 + I107)*(1 - I106) - 1</f>
        <v>9.8700908974030499E-2</v>
      </c>
      <c r="J108" s="49">
        <f t="shared" si="54"/>
        <v>0.12756194825684153</v>
      </c>
    </row>
    <row r="109" spans="1:16" ht="13.7" customHeight="1">
      <c r="B109" s="220" t="str">
        <f>B47</f>
        <v>Target opex quantity ($'000RY2025)</v>
      </c>
      <c r="C109" s="140">
        <f t="shared" ref="C109:H109" si="55">$C92*EXP(C108)</f>
        <v>72881.367693872133</v>
      </c>
      <c r="D109" s="140">
        <f t="shared" si="55"/>
        <v>74019.945446375103</v>
      </c>
      <c r="E109" s="140">
        <f t="shared" si="55"/>
        <v>75689.975998962749</v>
      </c>
      <c r="F109" s="140">
        <f t="shared" si="55"/>
        <v>76292.773741431534</v>
      </c>
      <c r="G109" s="140">
        <f t="shared" si="55"/>
        <v>77217.722081155938</v>
      </c>
      <c r="H109" s="140">
        <f t="shared" si="55"/>
        <v>78159.970732647853</v>
      </c>
      <c r="I109" s="140">
        <f t="shared" ref="I109:J109" si="56">$C92*EXP(I108)</f>
        <v>80657.765158728158</v>
      </c>
      <c r="J109" s="140">
        <f t="shared" si="56"/>
        <v>83019.549932000562</v>
      </c>
    </row>
    <row r="110" spans="1:16" ht="13.7" customHeight="1"/>
    <row r="111" spans="1:16" s="4" customFormat="1" ht="13.7" customHeight="1">
      <c r="A111" s="2" t="s">
        <v>1039</v>
      </c>
      <c r="C111" s="3"/>
      <c r="D111" s="5"/>
      <c r="E111" s="5"/>
      <c r="F111" s="5"/>
      <c r="G111" s="5"/>
      <c r="H111" s="5"/>
      <c r="I111" s="5"/>
      <c r="J111" s="6"/>
      <c r="K111" s="6"/>
      <c r="L111" s="5"/>
      <c r="M111" s="5"/>
      <c r="N111" s="5"/>
      <c r="O111" s="5"/>
      <c r="P111" s="5"/>
    </row>
    <row r="112" spans="1:16" ht="13.7" customHeight="1"/>
    <row r="113" spans="1:16" s="23" customFormat="1" ht="13.7" customHeight="1">
      <c r="A113" s="32" t="s">
        <v>943</v>
      </c>
      <c r="B113" s="32" t="s">
        <v>46</v>
      </c>
      <c r="C113" s="24" t="s">
        <v>921</v>
      </c>
      <c r="D113" s="24" t="s">
        <v>1023</v>
      </c>
    </row>
    <row r="114" spans="1:16" s="23" customFormat="1" ht="13.7" customHeight="1">
      <c r="A114" s="23" t="s">
        <v>944</v>
      </c>
      <c r="B114" s="23" t="s">
        <v>1021</v>
      </c>
      <c r="C114" s="53">
        <f>VLOOKUP(A114, Table_Coefficients_short_SFATLG, MATCH(Parameter_Scenario_number, Header_Table_Econometrics, 0), FALSE)</f>
        <v>-0.17745250000000001</v>
      </c>
      <c r="D114" s="53">
        <f>C114/SUM($C$114:$C$116)</f>
        <v>-0.24320682005635141</v>
      </c>
    </row>
    <row r="115" spans="1:16" s="23" customFormat="1" ht="13.7" customHeight="1">
      <c r="A115" s="23" t="s">
        <v>946</v>
      </c>
      <c r="B115" s="23" t="s">
        <v>910</v>
      </c>
      <c r="C115" s="53">
        <f>VLOOKUP(A115, Table_Coefficients_short_SFATLG, MATCH(Parameter_Scenario_number, Header_Table_Econometrics, 0), FALSE)</f>
        <v>0.51991129999999997</v>
      </c>
      <c r="D115" s="53">
        <f t="shared" ref="D115:D116" si="57">C115/SUM($C$114:$C$116)</f>
        <v>0.71256237012363144</v>
      </c>
    </row>
    <row r="116" spans="1:16" s="23" customFormat="1" ht="13.7" customHeight="1">
      <c r="A116" s="23" t="s">
        <v>948</v>
      </c>
      <c r="B116" s="23" t="s">
        <v>896</v>
      </c>
      <c r="C116" s="53">
        <f>VLOOKUP(A116, Table_Coefficients_short_SFATLG, MATCH(Parameter_Scenario_number, Header_Table_Econometrics, 0), FALSE)</f>
        <v>0.3871774</v>
      </c>
      <c r="D116" s="53">
        <f t="shared" si="57"/>
        <v>0.53064444993271997</v>
      </c>
    </row>
    <row r="117" spans="1:16" s="23" customFormat="1" ht="13.7" customHeight="1">
      <c r="A117" s="23" t="s">
        <v>950</v>
      </c>
      <c r="B117" s="23" t="s">
        <v>897</v>
      </c>
      <c r="C117" s="53">
        <f>VLOOKUP(A117, Table_Coefficients_short_SFATLG, MATCH(Parameter_Scenario_number, Header_Table_Econometrics, 0), FALSE)</f>
        <v>4.3214900000000001E-2</v>
      </c>
    </row>
    <row r="118" spans="1:16" s="23" customFormat="1" ht="13.7" customHeight="1">
      <c r="A118" s="23" t="s">
        <v>952</v>
      </c>
      <c r="B118" s="23" t="s">
        <v>1024</v>
      </c>
      <c r="C118" s="53">
        <f>VLOOKUP(A118, Table_Coefficients_short_SFATLG, MATCH(Parameter_Scenario_number, Header_Table_Econometrics, 0), FALSE)</f>
        <v>7.4159999999999998E-3</v>
      </c>
    </row>
    <row r="119" spans="1:16" ht="13.7" customHeight="1"/>
    <row r="120" spans="1:16" s="4" customFormat="1" ht="13.7" customHeight="1">
      <c r="A120" s="2" t="s">
        <v>1040</v>
      </c>
      <c r="C120" s="3"/>
      <c r="D120" s="5"/>
      <c r="E120" s="5"/>
      <c r="F120" s="5"/>
      <c r="G120" s="5"/>
      <c r="H120" s="5"/>
      <c r="I120" s="5"/>
      <c r="J120" s="6"/>
      <c r="K120" s="6"/>
      <c r="L120" s="5"/>
      <c r="M120" s="5"/>
      <c r="N120" s="5"/>
      <c r="O120" s="5"/>
      <c r="P120" s="5"/>
    </row>
    <row r="121" spans="1:16" ht="13.7" customHeight="1"/>
    <row r="122" spans="1:16" ht="13.7" customHeight="1">
      <c r="B122" s="23" t="s">
        <v>1026</v>
      </c>
      <c r="C122" s="47">
        <f>'Calc|Efficiency target'!E24</f>
        <v>0.65290293181121783</v>
      </c>
    </row>
    <row r="123" spans="1:16" ht="13.7" customHeight="1">
      <c r="B123" s="217" t="str">
        <f>B30</f>
        <v>Target opex ($'000RY2025)</v>
      </c>
      <c r="C123" s="43">
        <f>$C$10*(1 - C122)</f>
        <v>34859.952572248258</v>
      </c>
    </row>
    <row r="124" spans="1:16" ht="13.7" customHeight="1">
      <c r="B124" s="23"/>
      <c r="C124" s="23"/>
    </row>
    <row r="125" spans="1:16" s="23" customFormat="1" ht="13.7" customHeight="1">
      <c r="A125" s="32"/>
      <c r="B125" s="32"/>
      <c r="C125" s="249">
        <v>2018</v>
      </c>
      <c r="D125" s="249">
        <v>2019</v>
      </c>
      <c r="E125" s="249">
        <v>2020</v>
      </c>
      <c r="F125" s="249">
        <v>2021</v>
      </c>
      <c r="G125" s="249">
        <v>2022</v>
      </c>
      <c r="H125" s="249">
        <v>2023</v>
      </c>
      <c r="I125" s="249">
        <f>H125+1</f>
        <v>2024</v>
      </c>
      <c r="J125" s="249">
        <f>I125+1</f>
        <v>2025</v>
      </c>
    </row>
    <row r="126" spans="1:16" s="23" customFormat="1" ht="13.7" customHeight="1">
      <c r="B126" s="24" t="s">
        <v>1027</v>
      </c>
      <c r="C126" s="54">
        <f>$D114*C$13 + $D115*C$14 + $D116*C$15</f>
        <v>-4.7814192594807245E-3</v>
      </c>
      <c r="D126" s="54">
        <f t="shared" ref="D126:J126" si="58">$D114*D$13 + $D115*D$14 + $D116*D$15</f>
        <v>4.7798730690301779E-4</v>
      </c>
      <c r="E126" s="54">
        <f t="shared" si="58"/>
        <v>1.6214172031860295E-2</v>
      </c>
      <c r="F126" s="54">
        <f t="shared" si="58"/>
        <v>2.0630019455498874E-2</v>
      </c>
      <c r="G126" s="54">
        <f t="shared" si="58"/>
        <v>2.38280784860492E-2</v>
      </c>
      <c r="H126" s="54">
        <f t="shared" si="58"/>
        <v>2.9306446305214728E-2</v>
      </c>
      <c r="I126" s="54">
        <f t="shared" si="58"/>
        <v>6.2952935818619105E-2</v>
      </c>
      <c r="J126" s="54">
        <f t="shared" si="58"/>
        <v>8.4671990685523835E-2</v>
      </c>
    </row>
    <row r="127" spans="1:16" ht="13.7" customHeight="1"/>
    <row r="128" spans="1:16" ht="13.7" customHeight="1">
      <c r="C128" s="249">
        <v>2018</v>
      </c>
      <c r="D128" s="249">
        <v>2019</v>
      </c>
      <c r="E128" s="249">
        <v>2020</v>
      </c>
      <c r="F128" s="249">
        <v>2021</v>
      </c>
      <c r="G128" s="249">
        <v>2022</v>
      </c>
      <c r="H128" s="249">
        <v>2023</v>
      </c>
      <c r="I128" s="249">
        <f>H128+1</f>
        <v>2024</v>
      </c>
      <c r="J128" s="249">
        <f>I128+1</f>
        <v>2025</v>
      </c>
    </row>
    <row r="129" spans="1:10" ht="13.7" customHeight="1">
      <c r="B129" s="32"/>
      <c r="C129" s="308">
        <f t="shared" ref="C129:E129" si="59">C128 - $C$9</f>
        <v>0</v>
      </c>
      <c r="D129" s="308">
        <f t="shared" si="59"/>
        <v>1</v>
      </c>
      <c r="E129" s="308">
        <f t="shared" si="59"/>
        <v>2</v>
      </c>
      <c r="F129" s="308">
        <f>IF(Parameter_Victorian_or_non_Victorian="Non-Victorian", F128 - $C$9, F128 - $C$9 - 0.5)</f>
        <v>2.5</v>
      </c>
      <c r="G129" s="308">
        <f>IF(Parameter_Victorian_or_non_Victorian="Non-Victorian", G128 - $C$9, G128 - $C$9 - 0.5)</f>
        <v>3.5</v>
      </c>
      <c r="H129" s="308">
        <f>IF(Parameter_Victorian_or_non_Victorian="Non-Victorian", H128 - $C$9, H128 - $C$9 - 0.5)</f>
        <v>4.5</v>
      </c>
      <c r="I129" s="308">
        <f>IF(Parameter_Victorian_or_non_Victorian="Non-Victorian", I128 - $C$9, I128 - $C$9 - 0.5)</f>
        <v>5.5</v>
      </c>
      <c r="J129" s="308">
        <f>IF(Parameter_Victorian_or_non_Victorian="Non-Victorian", J128 - $C$9, J128 - $C$9 - 0.5)</f>
        <v>6.5</v>
      </c>
    </row>
    <row r="130" spans="1:10" ht="13.7" customHeight="1">
      <c r="B130" s="25" t="s">
        <v>1024</v>
      </c>
      <c r="C130" s="49">
        <f>-$C118*C129</f>
        <v>0</v>
      </c>
      <c r="D130" s="49">
        <f t="shared" ref="D130:H130" si="60">-$C118*D129</f>
        <v>-7.4159999999999998E-3</v>
      </c>
      <c r="E130" s="49">
        <f t="shared" si="60"/>
        <v>-1.4832E-2</v>
      </c>
      <c r="F130" s="49">
        <f t="shared" si="60"/>
        <v>-1.8540000000000001E-2</v>
      </c>
      <c r="G130" s="49">
        <f t="shared" si="60"/>
        <v>-2.5956E-2</v>
      </c>
      <c r="H130" s="49">
        <f t="shared" si="60"/>
        <v>-3.3371999999999999E-2</v>
      </c>
      <c r="I130" s="49">
        <f t="shared" ref="I130:J130" si="61">-$C118*I129</f>
        <v>-4.0787999999999998E-2</v>
      </c>
      <c r="J130" s="49">
        <f t="shared" si="61"/>
        <v>-4.8203999999999997E-2</v>
      </c>
    </row>
    <row r="131" spans="1:10" ht="13.7" customHeight="1">
      <c r="B131" s="25" t="s">
        <v>1028</v>
      </c>
      <c r="C131" s="49">
        <f t="shared" ref="C131:H131" si="62">IF(C128 &lt;= Parameter_Period_end, 0, -Parameter_Technology_growth_rate * (C128 - Parameter_Period_end))</f>
        <v>0</v>
      </c>
      <c r="D131" s="49">
        <f t="shared" si="62"/>
        <v>0</v>
      </c>
      <c r="E131" s="49">
        <f t="shared" si="62"/>
        <v>0</v>
      </c>
      <c r="F131" s="49">
        <f t="shared" si="62"/>
        <v>0</v>
      </c>
      <c r="G131" s="49">
        <f t="shared" si="62"/>
        <v>0</v>
      </c>
      <c r="H131" s="49">
        <f t="shared" si="62"/>
        <v>0</v>
      </c>
      <c r="I131" s="49">
        <f t="shared" ref="I131:J131" si="63">IF(I128 &lt;= Parameter_Period_end, 0, -Parameter_Technology_growth_rate * (I128 - Parameter_Period_end))</f>
        <v>0</v>
      </c>
      <c r="J131" s="49">
        <f t="shared" si="63"/>
        <v>0</v>
      </c>
    </row>
    <row r="132" spans="1:10" ht="13.7" customHeight="1">
      <c r="B132" s="25" t="s">
        <v>1029</v>
      </c>
      <c r="C132" s="49">
        <f t="shared" ref="C132:H132" si="64">IF(OR(C128 &lt;= Parameter_Period_end, Parameter_Apply_fixed_growth_rate = "0 - No"), C130, -$C118 * (Parameter_Period_end - $C$9) + C131)</f>
        <v>0</v>
      </c>
      <c r="D132" s="49">
        <f t="shared" si="64"/>
        <v>-7.4159999999999998E-3</v>
      </c>
      <c r="E132" s="49">
        <f t="shared" si="64"/>
        <v>-1.4832E-2</v>
      </c>
      <c r="F132" s="49">
        <f t="shared" si="64"/>
        <v>-1.8540000000000001E-2</v>
      </c>
      <c r="G132" s="49">
        <f t="shared" si="64"/>
        <v>-2.5956E-2</v>
      </c>
      <c r="H132" s="49">
        <f t="shared" si="64"/>
        <v>-3.3371999999999999E-2</v>
      </c>
      <c r="I132" s="49">
        <f t="shared" ref="I132:J132" si="65">IF(OR(I128 &lt;= Parameter_Period_end, Parameter_Apply_fixed_growth_rate = "0 - No"), I130, -$C118 * (Parameter_Period_end - $C$9) + I131)</f>
        <v>-4.0787999999999998E-2</v>
      </c>
      <c r="J132" s="49">
        <f t="shared" si="65"/>
        <v>-4.8203999999999997E-2</v>
      </c>
    </row>
    <row r="133" spans="1:10" ht="13.7" customHeight="1"/>
    <row r="134" spans="1:10" ht="13.7" customHeight="1">
      <c r="B134" s="25" t="s">
        <v>1030</v>
      </c>
      <c r="C134" s="49">
        <f t="shared" ref="C134:H134" si="66">(1 - $C114 - $C115 - $C116) * C126</f>
        <v>-1.2927226803863948E-3</v>
      </c>
      <c r="D134" s="49">
        <f t="shared" si="66"/>
        <v>1.2923046464606615E-4</v>
      </c>
      <c r="E134" s="49">
        <f t="shared" si="66"/>
        <v>4.3837251643874713E-3</v>
      </c>
      <c r="F134" s="49">
        <f t="shared" si="66"/>
        <v>5.5776104540626072E-3</v>
      </c>
      <c r="G134" s="49">
        <f t="shared" si="66"/>
        <v>6.4422498461865095E-3</v>
      </c>
      <c r="H134" s="49">
        <f t="shared" si="66"/>
        <v>7.9234021875738154E-3</v>
      </c>
      <c r="I134" s="49">
        <f t="shared" ref="I134:J134" si="67">(1 - $C114 - $C115 - $C116) * I126</f>
        <v>1.7020194949077975E-2</v>
      </c>
      <c r="J134" s="49">
        <f t="shared" si="67"/>
        <v>2.2892241155302834E-2</v>
      </c>
    </row>
    <row r="135" spans="1:10" ht="13.7" customHeight="1">
      <c r="B135" s="25" t="s">
        <v>1031</v>
      </c>
      <c r="C135" s="49">
        <f t="shared" ref="C135:H135" si="68">C$16 * $C117</f>
        <v>5.3155754004279769E-4</v>
      </c>
      <c r="D135" s="49">
        <f t="shared" si="68"/>
        <v>1.6121832175312926E-3</v>
      </c>
      <c r="E135" s="49">
        <f t="shared" si="68"/>
        <v>2.6416301354213897E-3</v>
      </c>
      <c r="F135" s="49">
        <f t="shared" si="68"/>
        <v>2.7312810386730369E-3</v>
      </c>
      <c r="G135" s="49">
        <f t="shared" si="68"/>
        <v>3.7060070263354168E-3</v>
      </c>
      <c r="H135" s="49">
        <f t="shared" si="68"/>
        <v>4.7908470097618146E-3</v>
      </c>
      <c r="I135" s="49">
        <f t="shared" ref="I135:J135" si="69">I$16 * $C117</f>
        <v>6.1131126574247062E-3</v>
      </c>
      <c r="J135" s="49">
        <f t="shared" si="69"/>
        <v>6.9566412474125214E-3</v>
      </c>
    </row>
    <row r="136" spans="1:10" ht="13.7" customHeight="1"/>
    <row r="137" spans="1:10" ht="13.7" customHeight="1">
      <c r="B137" s="32" t="s">
        <v>1032</v>
      </c>
      <c r="C137" s="49">
        <f>C132 + C134 - C135</f>
        <v>-1.8242802204291924E-3</v>
      </c>
      <c r="D137" s="49">
        <f t="shared" ref="D137:H137" si="70">D132 + D134 - D135</f>
        <v>-8.8989527528852263E-3</v>
      </c>
      <c r="E137" s="49">
        <f t="shared" si="70"/>
        <v>-1.3089904971033918E-2</v>
      </c>
      <c r="F137" s="49">
        <f t="shared" si="70"/>
        <v>-1.5693670584610429E-2</v>
      </c>
      <c r="G137" s="49">
        <f t="shared" si="70"/>
        <v>-2.3219757180148907E-2</v>
      </c>
      <c r="H137" s="49">
        <f t="shared" si="70"/>
        <v>-3.0239444822187999E-2</v>
      </c>
      <c r="I137" s="49">
        <f t="shared" ref="I137:J137" si="71">I132 + I134 - I135</f>
        <v>-2.9880917708346728E-2</v>
      </c>
      <c r="J137" s="49">
        <f t="shared" si="71"/>
        <v>-3.2268400092109684E-2</v>
      </c>
    </row>
    <row r="138" spans="1:10" ht="13.7" customHeight="1">
      <c r="B138" s="32" t="s">
        <v>1033</v>
      </c>
      <c r="C138" s="49">
        <v>0</v>
      </c>
      <c r="D138" s="49">
        <v>0</v>
      </c>
      <c r="E138" s="49">
        <v>0</v>
      </c>
      <c r="F138" s="49">
        <v>0</v>
      </c>
      <c r="G138" s="49">
        <v>0</v>
      </c>
      <c r="H138" s="49">
        <v>0</v>
      </c>
      <c r="I138" s="49">
        <v>0</v>
      </c>
      <c r="J138" s="49">
        <v>0</v>
      </c>
    </row>
    <row r="139" spans="1:10" ht="13.7" customHeight="1">
      <c r="B139" s="32" t="s">
        <v>1034</v>
      </c>
      <c r="C139" s="49">
        <f t="shared" ref="C139:H139" si="72">(1 + C126)*(1 + C138)*(1 - C137) - 1</f>
        <v>-2.965861687632243E-3</v>
      </c>
      <c r="D139" s="49">
        <f t="shared" si="72"/>
        <v>9.3811936462488976E-3</v>
      </c>
      <c r="E139" s="49">
        <f t="shared" si="72"/>
        <v>2.9516318973975331E-2</v>
      </c>
      <c r="F139" s="49">
        <f t="shared" si="72"/>
        <v>3.6647450769598189E-2</v>
      </c>
      <c r="G139" s="49">
        <f t="shared" si="72"/>
        <v>4.7601117862713593E-2</v>
      </c>
      <c r="H139" s="49">
        <f t="shared" si="72"/>
        <v>6.0432101793383763E-2</v>
      </c>
      <c r="I139" s="49">
        <f t="shared" ref="I139:J139" si="73">(1 + I126)*(1 + I138)*(1 - I137) - 1</f>
        <v>9.471494502166089E-2</v>
      </c>
      <c r="J139" s="49">
        <f t="shared" si="73"/>
        <v>0.1196726204496692</v>
      </c>
    </row>
    <row r="140" spans="1:10" ht="13.7" customHeight="1">
      <c r="B140" s="220" t="str">
        <f>B47</f>
        <v>Target opex quantity ($'000RY2025)</v>
      </c>
      <c r="C140" s="140">
        <f>$C123*EXP(C139)</f>
        <v>34756.715942938688</v>
      </c>
      <c r="D140" s="140">
        <f t="shared" ref="D140:H140" si="74">$C123*EXP(D139)</f>
        <v>35188.519302215493</v>
      </c>
      <c r="E140" s="140">
        <f t="shared" si="74"/>
        <v>35904.22578818375</v>
      </c>
      <c r="F140" s="140">
        <f t="shared" si="74"/>
        <v>36161.178647750574</v>
      </c>
      <c r="G140" s="140">
        <f t="shared" si="74"/>
        <v>36559.453463051817</v>
      </c>
      <c r="H140" s="140">
        <f t="shared" si="74"/>
        <v>37031.569603067837</v>
      </c>
      <c r="I140" s="140">
        <f t="shared" ref="I140:J140" si="75">$C123*EXP(I139)</f>
        <v>38323.129779273047</v>
      </c>
      <c r="J140" s="140">
        <f t="shared" si="75"/>
        <v>39291.621392256988</v>
      </c>
    </row>
    <row r="142" spans="1:10" s="22" customFormat="1" ht="13.7" customHeight="1">
      <c r="A142" s="2" t="s">
        <v>227</v>
      </c>
      <c r="B142" s="4"/>
      <c r="C142" s="4"/>
    </row>
    <row r="144" spans="1:10" ht="13.7" customHeight="1">
      <c r="A144" s="32"/>
      <c r="B144" s="32"/>
    </row>
    <row r="145" spans="1:2" ht="13.7" customHeight="1">
      <c r="A145" s="23"/>
      <c r="B145" s="23"/>
    </row>
    <row r="146" spans="1:2" ht="13.7" customHeight="1">
      <c r="A146" s="23"/>
      <c r="B146" s="23"/>
    </row>
    <row r="147" spans="1:2" ht="13.7" customHeight="1">
      <c r="A147" s="23"/>
      <c r="B147" s="23"/>
    </row>
    <row r="148" spans="1:2" ht="13.7" customHeight="1">
      <c r="A148" s="23"/>
      <c r="B148" s="23"/>
    </row>
    <row r="149" spans="1:2" ht="13.7" customHeight="1">
      <c r="A149" s="23"/>
      <c r="B149" s="23"/>
    </row>
  </sheetData>
  <hyperlinks>
    <hyperlink ref="A2" location="Index!A1" display="Index" xr:uid="{00000000-0004-0000-0C00-000000000000}"/>
  </hyperlinks>
  <pageMargins left="0.7" right="0.7" top="0.75" bottom="0.75" header="0.3" footer="0.3"/>
  <ignoredErrors>
    <ignoredError sqref="C21 C22:C25"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FFCC"/>
  </sheetPr>
  <dimension ref="A1:P149"/>
  <sheetViews>
    <sheetView zoomScaleNormal="100" workbookViewId="0"/>
  </sheetViews>
  <sheetFormatPr defaultColWidth="8.85546875" defaultRowHeight="13.7" customHeight="1"/>
  <cols>
    <col min="1" max="1" width="8.42578125" style="21" bestFit="1" customWidth="1"/>
    <col min="2" max="2" width="36.140625" style="21" bestFit="1" customWidth="1"/>
    <col min="3" max="8" width="11.42578125" style="21" customWidth="1"/>
    <col min="9" max="16384" width="8.85546875" style="21"/>
  </cols>
  <sheetData>
    <row r="1" spans="1:16" s="7" customFormat="1" ht="15.6" customHeight="1">
      <c r="A1" s="1" t="s">
        <v>0</v>
      </c>
    </row>
    <row r="2" spans="1:16" s="16" customFormat="1" ht="13.7" customHeight="1">
      <c r="A2" s="85" t="s">
        <v>5</v>
      </c>
      <c r="C2" s="15"/>
      <c r="E2" s="84"/>
    </row>
    <row r="3" spans="1:16" s="9" customFormat="1" ht="13.7" customHeight="1" thickBot="1">
      <c r="A3" s="8" t="s">
        <v>38</v>
      </c>
    </row>
    <row r="4" spans="1:16" s="9" customFormat="1" ht="13.7" customHeight="1"/>
    <row r="5" spans="1:16" s="4" customFormat="1" ht="13.7" customHeight="1">
      <c r="A5" s="2" t="s">
        <v>1017</v>
      </c>
      <c r="C5" s="3"/>
      <c r="D5" s="5"/>
      <c r="E5" s="5"/>
      <c r="F5" s="5"/>
      <c r="G5" s="5"/>
      <c r="H5" s="5"/>
      <c r="I5" s="5"/>
      <c r="J5" s="6"/>
      <c r="K5" s="6"/>
      <c r="L5" s="5"/>
      <c r="M5" s="5"/>
      <c r="N5" s="5"/>
      <c r="O5" s="5"/>
      <c r="P5" s="5"/>
    </row>
    <row r="7" spans="1:16" ht="13.7" customHeight="1">
      <c r="B7" s="23" t="s">
        <v>1018</v>
      </c>
      <c r="C7" s="41">
        <f>Parameter_Period_start_long</f>
        <v>2006</v>
      </c>
    </row>
    <row r="8" spans="1:16" ht="13.7" customHeight="1">
      <c r="B8" s="23" t="s">
        <v>1019</v>
      </c>
      <c r="C8" s="41">
        <f>Parameter_Period_end</f>
        <v>2024</v>
      </c>
    </row>
    <row r="9" spans="1:16" ht="13.7" customHeight="1">
      <c r="B9" s="23" t="s">
        <v>1020</v>
      </c>
      <c r="C9" s="40">
        <f>(Parameter_Period_start_long + Parameter_Period_end)/2</f>
        <v>2015</v>
      </c>
    </row>
    <row r="10" spans="1:16" ht="13.7" customHeight="1">
      <c r="B10" s="217" t="str">
        <f>"Average 2006-"&amp;RIGHT(Parameter_Period_end, 2)&amp;" opex ("&amp;'Calc|Cost drivers'!B29&amp;")"</f>
        <v>Average 2006-24 opex ($'000RY2025)</v>
      </c>
      <c r="C10" s="43">
        <f>'Calc|Cost drivers'!$C$29</f>
        <v>93543.716466217593</v>
      </c>
    </row>
    <row r="11" spans="1:16" ht="13.7" customHeight="1">
      <c r="B11" s="23"/>
    </row>
    <row r="12" spans="1:16" s="23" customFormat="1" ht="13.7" customHeight="1">
      <c r="A12" s="32"/>
      <c r="B12" s="32"/>
      <c r="C12" s="249">
        <v>2018</v>
      </c>
      <c r="D12" s="249">
        <v>2019</v>
      </c>
      <c r="E12" s="249">
        <v>2020</v>
      </c>
      <c r="F12" s="249">
        <v>2021</v>
      </c>
      <c r="G12" s="249">
        <v>2022</v>
      </c>
      <c r="H12" s="249">
        <v>2023</v>
      </c>
      <c r="I12" s="249">
        <f>H12+1</f>
        <v>2024</v>
      </c>
      <c r="J12" s="249">
        <f>I12+1</f>
        <v>2025</v>
      </c>
    </row>
    <row r="13" spans="1:16" s="23" customFormat="1" ht="13.7" customHeight="1">
      <c r="B13" s="23" t="s">
        <v>1021</v>
      </c>
      <c r="C13" s="49">
        <f>'Calc|Cost drivers'!D25</f>
        <v>5.1833699344249966E-2</v>
      </c>
      <c r="D13" s="49">
        <f>'Calc|Cost drivers'!E25</f>
        <v>7.0603153679858449E-2</v>
      </c>
      <c r="E13" s="49">
        <f>'Calc|Cost drivers'!F25</f>
        <v>8.8231127777617782E-2</v>
      </c>
      <c r="F13" s="49">
        <f>'Calc|Cost drivers'!G25</f>
        <v>9.4997230834391225E-2</v>
      </c>
      <c r="G13" s="49">
        <f>'Calc|Cost drivers'!H25</f>
        <v>0.10859530891424149</v>
      </c>
      <c r="H13" s="49">
        <f>'Calc|Cost drivers'!I25</f>
        <v>0.12054590230294115</v>
      </c>
      <c r="I13" s="49">
        <f>'Calc|Cost drivers'!J25</f>
        <v>0.13347109800714974</v>
      </c>
      <c r="J13" s="49">
        <f>'Calc|Cost drivers'!K25</f>
        <v>0.15432973447450268</v>
      </c>
    </row>
    <row r="14" spans="1:16" s="23" customFormat="1" ht="13.7" customHeight="1">
      <c r="B14" s="23" t="s">
        <v>910</v>
      </c>
      <c r="C14" s="49">
        <f>'Calc|Cost drivers'!D26</f>
        <v>3.8844543962956231E-2</v>
      </c>
      <c r="D14" s="49">
        <f>'Calc|Cost drivers'!E26</f>
        <v>4.7988147805854177E-2</v>
      </c>
      <c r="E14" s="49">
        <f>'Calc|Cost drivers'!F26</f>
        <v>5.8597104712032111E-2</v>
      </c>
      <c r="F14" s="49">
        <f>'Calc|Cost drivers'!G26</f>
        <v>6.7103601948475297E-2</v>
      </c>
      <c r="G14" s="49">
        <f>'Calc|Cost drivers'!H26</f>
        <v>7.6232914177101666E-2</v>
      </c>
      <c r="H14" s="49">
        <f>'Calc|Cost drivers'!I26</f>
        <v>8.8000071673171601E-2</v>
      </c>
      <c r="I14" s="49">
        <f>'Calc|Cost drivers'!J26</f>
        <v>0.1045760933097912</v>
      </c>
      <c r="J14" s="49">
        <f>'Calc|Cost drivers'!K26</f>
        <v>0.11694483424195612</v>
      </c>
    </row>
    <row r="15" spans="1:16" s="23" customFormat="1" ht="13.7" customHeight="1">
      <c r="B15" s="23" t="s">
        <v>896</v>
      </c>
      <c r="C15" s="49">
        <f>'Calc|Cost drivers'!D27</f>
        <v>7.8307839194602085E-3</v>
      </c>
      <c r="D15" s="49">
        <f>'Calc|Cost drivers'!E27</f>
        <v>1.4066367546486918E-2</v>
      </c>
      <c r="E15" s="49">
        <f>'Calc|Cost drivers'!F27</f>
        <v>3.7554570943853269E-2</v>
      </c>
      <c r="F15" s="49">
        <f>'Calc|Cost drivers'!G27</f>
        <v>3.7554570943853269E-2</v>
      </c>
      <c r="G15" s="49">
        <f>'Calc|Cost drivers'!H27</f>
        <v>3.7554570943853269E-2</v>
      </c>
      <c r="H15" s="49">
        <f>'Calc|Cost drivers'!I27</f>
        <v>3.7554570943853269E-2</v>
      </c>
      <c r="I15" s="49">
        <f>'Calc|Cost drivers'!J27</f>
        <v>8.4626647166996083E-2</v>
      </c>
      <c r="J15" s="49">
        <f>'Calc|Cost drivers'!K27</f>
        <v>0.11850718273285743</v>
      </c>
    </row>
    <row r="16" spans="1:16" s="23" customFormat="1" ht="13.7" customHeight="1">
      <c r="B16" s="23" t="s">
        <v>897</v>
      </c>
      <c r="C16" s="49">
        <f>'Calc|Cost drivers'!D28</f>
        <v>8.4768226505432087E-2</v>
      </c>
      <c r="D16" s="49">
        <f>'Calc|Cost drivers'!E28</f>
        <v>0.10977408507477955</v>
      </c>
      <c r="E16" s="49">
        <f>'Calc|Cost drivers'!F28</f>
        <v>0.1335956586035878</v>
      </c>
      <c r="F16" s="49">
        <f>'Calc|Cost drivers'!G28</f>
        <v>0.13567019547053991</v>
      </c>
      <c r="G16" s="49">
        <f>'Calc|Cost drivers'!H28</f>
        <v>0.15822551753914058</v>
      </c>
      <c r="H16" s="49">
        <f>'Calc|Cost drivers'!I28</f>
        <v>0.18332889585139861</v>
      </c>
      <c r="I16" s="49">
        <f>'Calc|Cost drivers'!J28</f>
        <v>0.21392634366830657</v>
      </c>
      <c r="J16" s="49">
        <f>'Calc|Cost drivers'!K28</f>
        <v>0.23344573605352129</v>
      </c>
    </row>
    <row r="18" spans="1:16" s="4" customFormat="1" ht="13.7" customHeight="1">
      <c r="A18" s="2" t="s">
        <v>1022</v>
      </c>
      <c r="C18" s="3"/>
      <c r="D18" s="5"/>
      <c r="E18" s="5"/>
      <c r="F18" s="5"/>
      <c r="G18" s="5"/>
      <c r="H18" s="5"/>
      <c r="I18" s="5"/>
      <c r="J18" s="6"/>
      <c r="K18" s="6"/>
      <c r="L18" s="5"/>
      <c r="M18" s="5"/>
      <c r="N18" s="5"/>
      <c r="O18" s="5"/>
      <c r="P18" s="5"/>
    </row>
    <row r="20" spans="1:16" s="23" customFormat="1" ht="13.7" customHeight="1">
      <c r="A20" s="32" t="s">
        <v>943</v>
      </c>
      <c r="B20" s="32" t="s">
        <v>46</v>
      </c>
      <c r="C20" s="24" t="s">
        <v>921</v>
      </c>
      <c r="D20" s="24" t="s">
        <v>1023</v>
      </c>
    </row>
    <row r="21" spans="1:16" s="23" customFormat="1" ht="13.7" customHeight="1">
      <c r="A21" s="23" t="s">
        <v>944</v>
      </c>
      <c r="B21" s="23" t="s">
        <v>1021</v>
      </c>
      <c r="C21" s="53">
        <f>VLOOKUP(A21, Table_Coefficients_long_LSECD, MATCH(Parameter_Scenario_number, Header_Table_Econometrics, 0), FALSE)</f>
        <v>0.5183875</v>
      </c>
      <c r="D21" s="53">
        <f>C21/SUM($C$21:$C$23)</f>
        <v>0.53822043877029024</v>
      </c>
    </row>
    <row r="22" spans="1:16" s="23" customFormat="1" ht="13.7" customHeight="1">
      <c r="A22" s="23" t="s">
        <v>946</v>
      </c>
      <c r="B22" s="23" t="s">
        <v>910</v>
      </c>
      <c r="C22" s="53">
        <f>VLOOKUP(A22, Table_Coefficients_long_LSECD, MATCH(Parameter_Scenario_number, Header_Table_Econometrics, 0), FALSE)</f>
        <v>0.2287825</v>
      </c>
      <c r="D22" s="53">
        <f t="shared" ref="D22:D23" si="0">C22/SUM($C$21:$C$23)</f>
        <v>0.23753546822206156</v>
      </c>
    </row>
    <row r="23" spans="1:16" s="23" customFormat="1" ht="13.7" customHeight="1">
      <c r="A23" s="23" t="s">
        <v>948</v>
      </c>
      <c r="B23" s="23" t="s">
        <v>896</v>
      </c>
      <c r="C23" s="53">
        <f>VLOOKUP(A23, Table_Coefficients_long_LSECD, MATCH(Parameter_Scenario_number, Header_Table_Econometrics, 0), FALSE)</f>
        <v>0.2159809</v>
      </c>
      <c r="D23" s="53">
        <f t="shared" si="0"/>
        <v>0.22424409300764811</v>
      </c>
    </row>
    <row r="24" spans="1:16" s="23" customFormat="1" ht="13.7" customHeight="1">
      <c r="A24" s="23" t="s">
        <v>950</v>
      </c>
      <c r="B24" s="23" t="s">
        <v>897</v>
      </c>
      <c r="C24" s="53">
        <f>VLOOKUP(A24, Table_Coefficients_long_LSECD, MATCH(Parameter_Scenario_number, Header_Table_Econometrics, 0), FALSE)</f>
        <v>-9.2380900000000002E-2</v>
      </c>
    </row>
    <row r="25" spans="1:16" s="23" customFormat="1" ht="13.7" customHeight="1">
      <c r="A25" s="23" t="s">
        <v>952</v>
      </c>
      <c r="B25" s="23" t="s">
        <v>1024</v>
      </c>
      <c r="C25" s="53">
        <f>VLOOKUP(A25, Table_Coefficients_long_LSECD, MATCH(Parameter_Scenario_number, Header_Table_Econometrics, 0), FALSE)</f>
        <v>1.0117299999999999E-2</v>
      </c>
    </row>
    <row r="27" spans="1:16" s="4" customFormat="1" ht="13.7" customHeight="1">
      <c r="A27" s="2" t="s">
        <v>1025</v>
      </c>
      <c r="C27" s="3"/>
      <c r="D27" s="5"/>
      <c r="E27" s="5"/>
      <c r="F27" s="5"/>
      <c r="G27" s="5"/>
      <c r="H27" s="5"/>
      <c r="I27" s="5"/>
      <c r="J27" s="6"/>
      <c r="K27" s="6"/>
      <c r="L27" s="5"/>
      <c r="M27" s="5"/>
      <c r="N27" s="5"/>
      <c r="O27" s="5"/>
      <c r="P27" s="5"/>
    </row>
    <row r="29" spans="1:16" ht="13.7" customHeight="1">
      <c r="B29" s="23" t="s">
        <v>1026</v>
      </c>
      <c r="C29" s="47">
        <f>'Calc|Efficiency target'!E12</f>
        <v>4.8551127427548857E-2</v>
      </c>
    </row>
    <row r="30" spans="1:16" ht="13.7" customHeight="1">
      <c r="B30" s="217" t="str">
        <f>"Target opex ("&amp;'Calc|Cost drivers'!B29&amp;")"</f>
        <v>Target opex ($'000RY2025)</v>
      </c>
      <c r="C30" s="43">
        <f>$C$10*(1 - C29)</f>
        <v>89002.063568019759</v>
      </c>
    </row>
    <row r="31" spans="1:16" ht="13.7" customHeight="1">
      <c r="B31" s="23"/>
      <c r="C31" s="23"/>
    </row>
    <row r="32" spans="1:16" s="23" customFormat="1" ht="13.7" customHeight="1">
      <c r="A32" s="32"/>
      <c r="B32" s="32"/>
      <c r="C32" s="249">
        <v>2018</v>
      </c>
      <c r="D32" s="249">
        <v>2019</v>
      </c>
      <c r="E32" s="249">
        <v>2020</v>
      </c>
      <c r="F32" s="249">
        <v>2021</v>
      </c>
      <c r="G32" s="249">
        <v>2022</v>
      </c>
      <c r="H32" s="249">
        <v>2023</v>
      </c>
      <c r="I32" s="249">
        <f>H32+1</f>
        <v>2024</v>
      </c>
      <c r="J32" s="249">
        <f>I32+1</f>
        <v>2025</v>
      </c>
    </row>
    <row r="33" spans="2:10" s="23" customFormat="1" ht="13.7" customHeight="1">
      <c r="B33" s="24" t="s">
        <v>1027</v>
      </c>
      <c r="C33" s="54">
        <f>$D21*C$13 + $D22*C$14 + $D23*C$15</f>
        <v>3.8880920379821014E-2</v>
      </c>
      <c r="D33" s="54">
        <f t="shared" ref="D33:I33" si="1">$D21*D$13 + $D22*D$14 + $D23*D$15</f>
        <v>5.255324734268689E-2</v>
      </c>
      <c r="E33" s="54">
        <f t="shared" si="1"/>
        <v>6.9828077709492453E-2</v>
      </c>
      <c r="F33" s="54">
        <f t="shared" si="1"/>
        <v>7.5490327469462271E-2</v>
      </c>
      <c r="G33" s="54">
        <f t="shared" si="1"/>
        <v>8.4977626474804099E-2</v>
      </c>
      <c r="H33" s="54">
        <f t="shared" si="1"/>
        <v>9.4204797357507086E-2</v>
      </c>
      <c r="I33" s="54">
        <f t="shared" si="1"/>
        <v>0.11565442995997707</v>
      </c>
      <c r="J33" s="54">
        <f>$D21*J$13 + $D22*J$14 + $D23*J$15</f>
        <v>0.13741649906880488</v>
      </c>
    </row>
    <row r="35" spans="2:10" ht="13.7" customHeight="1">
      <c r="C35" s="249">
        <v>2018</v>
      </c>
      <c r="D35" s="249">
        <v>2019</v>
      </c>
      <c r="E35" s="249">
        <v>2020</v>
      </c>
      <c r="F35" s="249">
        <v>2021</v>
      </c>
      <c r="G35" s="249">
        <v>2022</v>
      </c>
      <c r="H35" s="249">
        <v>2023</v>
      </c>
      <c r="I35" s="249">
        <f>H35+1</f>
        <v>2024</v>
      </c>
      <c r="J35" s="249">
        <f>I35+1</f>
        <v>2025</v>
      </c>
    </row>
    <row r="36" spans="2:10" ht="13.7" customHeight="1">
      <c r="B36" s="32"/>
      <c r="C36" s="308">
        <f t="shared" ref="C36:E36" si="2">C35 - $C$9</f>
        <v>3</v>
      </c>
      <c r="D36" s="308">
        <f t="shared" si="2"/>
        <v>4</v>
      </c>
      <c r="E36" s="308">
        <f t="shared" si="2"/>
        <v>5</v>
      </c>
      <c r="F36" s="308">
        <f>IF(Parameter_Victorian_or_non_Victorian="Non-Victorian", F35 - $C$9, F35 - $C$9 - 0.5)</f>
        <v>5.5</v>
      </c>
      <c r="G36" s="308">
        <f>IF(Parameter_Victorian_or_non_Victorian="Non-Victorian", G35 - $C$9, G35 - $C$9 - 0.5)</f>
        <v>6.5</v>
      </c>
      <c r="H36" s="308">
        <f>IF(Parameter_Victorian_or_non_Victorian="Non-Victorian", H35 - $C$9, H35 - $C$9 - 0.5)</f>
        <v>7.5</v>
      </c>
      <c r="I36" s="308">
        <f>IF(Parameter_Victorian_or_non_Victorian="Non-Victorian", I35 - $C$9, I35 - $C$9 - 0.5)</f>
        <v>8.5</v>
      </c>
      <c r="J36" s="308">
        <f>IF(Parameter_Victorian_or_non_Victorian="Non-Victorian", J35 - $C$9, J35 - $C$9 - 0.5)</f>
        <v>9.5</v>
      </c>
    </row>
    <row r="37" spans="2:10" ht="13.7" customHeight="1">
      <c r="B37" s="25" t="s">
        <v>1024</v>
      </c>
      <c r="C37" s="49">
        <f>-$C25*C36</f>
        <v>-3.0351899999999998E-2</v>
      </c>
      <c r="D37" s="49">
        <f t="shared" ref="D37:H37" si="3">-$C25*D36</f>
        <v>-4.0469199999999997E-2</v>
      </c>
      <c r="E37" s="49">
        <f t="shared" si="3"/>
        <v>-5.0586499999999993E-2</v>
      </c>
      <c r="F37" s="49">
        <f t="shared" si="3"/>
        <v>-5.5645149999999997E-2</v>
      </c>
      <c r="G37" s="49">
        <f t="shared" si="3"/>
        <v>-6.576245E-2</v>
      </c>
      <c r="H37" s="49">
        <f t="shared" si="3"/>
        <v>-7.5879749999999996E-2</v>
      </c>
      <c r="I37" s="49">
        <f t="shared" ref="I37:J37" si="4">-$C25*I36</f>
        <v>-8.5997049999999992E-2</v>
      </c>
      <c r="J37" s="49">
        <f t="shared" si="4"/>
        <v>-9.6114349999999987E-2</v>
      </c>
    </row>
    <row r="38" spans="2:10" ht="13.7" customHeight="1">
      <c r="B38" s="25" t="s">
        <v>1028</v>
      </c>
      <c r="C38" s="49">
        <f t="shared" ref="C38:H38" si="5">IF(C35 &lt;= Parameter_Period_end, 0, -Parameter_Technology_growth_rate * (C35 - Parameter_Period_end))</f>
        <v>0</v>
      </c>
      <c r="D38" s="49">
        <f t="shared" si="5"/>
        <v>0</v>
      </c>
      <c r="E38" s="49">
        <f t="shared" si="5"/>
        <v>0</v>
      </c>
      <c r="F38" s="49">
        <f t="shared" si="5"/>
        <v>0</v>
      </c>
      <c r="G38" s="49">
        <f t="shared" si="5"/>
        <v>0</v>
      </c>
      <c r="H38" s="49">
        <f t="shared" si="5"/>
        <v>0</v>
      </c>
      <c r="I38" s="49">
        <f t="shared" ref="I38:J38" si="6">IF(I35 &lt;= Parameter_Period_end, 0, -Parameter_Technology_growth_rate * (I35 - Parameter_Period_end))</f>
        <v>0</v>
      </c>
      <c r="J38" s="49">
        <f t="shared" si="6"/>
        <v>0</v>
      </c>
    </row>
    <row r="39" spans="2:10" ht="13.7" customHeight="1">
      <c r="B39" s="25" t="s">
        <v>1029</v>
      </c>
      <c r="C39" s="49">
        <f t="shared" ref="C39:H39" si="7">IF(OR(C35 &lt;= Parameter_Period_end, Parameter_Apply_fixed_growth_rate = "0 - No"), C37, -$C25 * (Parameter_Period_end - $C$9) + C38)</f>
        <v>-3.0351899999999998E-2</v>
      </c>
      <c r="D39" s="49">
        <f t="shared" si="7"/>
        <v>-4.0469199999999997E-2</v>
      </c>
      <c r="E39" s="49">
        <f t="shared" si="7"/>
        <v>-5.0586499999999993E-2</v>
      </c>
      <c r="F39" s="49">
        <f t="shared" si="7"/>
        <v>-5.5645149999999997E-2</v>
      </c>
      <c r="G39" s="49">
        <f t="shared" si="7"/>
        <v>-6.576245E-2</v>
      </c>
      <c r="H39" s="49">
        <f t="shared" si="7"/>
        <v>-7.5879749999999996E-2</v>
      </c>
      <c r="I39" s="49">
        <f t="shared" ref="I39:J39" si="8">IF(OR(I35 &lt;= Parameter_Period_end, Parameter_Apply_fixed_growth_rate = "0 - No"), I37, -$C25 * (Parameter_Period_end - $C$9) + I38)</f>
        <v>-8.5997049999999992E-2</v>
      </c>
      <c r="J39" s="49">
        <f t="shared" si="8"/>
        <v>-9.6114349999999987E-2</v>
      </c>
    </row>
    <row r="40" spans="2:10" ht="13.7" customHeight="1">
      <c r="B40" s="32"/>
      <c r="C40" s="55"/>
      <c r="D40" s="55"/>
      <c r="E40" s="55"/>
      <c r="F40" s="55"/>
      <c r="G40" s="55"/>
      <c r="H40" s="55"/>
    </row>
    <row r="41" spans="2:10" ht="13.7" customHeight="1">
      <c r="B41" s="25" t="s">
        <v>1030</v>
      </c>
      <c r="C41" s="49">
        <f t="shared" ref="C41:H41" si="9">(1 - $C21 - $C22 - $C23) * C33</f>
        <v>1.4327269231680624E-3</v>
      </c>
      <c r="D41" s="49">
        <f t="shared" si="9"/>
        <v>1.9365398666554032E-3</v>
      </c>
      <c r="E41" s="49">
        <f t="shared" si="9"/>
        <v>2.5731018183248579E-3</v>
      </c>
      <c r="F41" s="49">
        <f t="shared" si="9"/>
        <v>2.7817506259549618E-3</v>
      </c>
      <c r="G41" s="49">
        <f t="shared" si="9"/>
        <v>3.1313490557327035E-3</v>
      </c>
      <c r="H41" s="49">
        <f t="shared" si="9"/>
        <v>3.4713619983065139E-3</v>
      </c>
      <c r="I41" s="49">
        <f t="shared" ref="I41:J41" si="10">(1 - $C21 - $C22 - $C23) * I33</f>
        <v>4.2617616550381906E-3</v>
      </c>
      <c r="J41" s="49">
        <f t="shared" si="10"/>
        <v>5.063674315836297E-3</v>
      </c>
    </row>
    <row r="42" spans="2:10" ht="13.7" customHeight="1">
      <c r="B42" s="25" t="s">
        <v>1031</v>
      </c>
      <c r="C42" s="49">
        <f t="shared" ref="C42:H42" si="11">C$16 * $C24</f>
        <v>-7.8309650559756708E-3</v>
      </c>
      <c r="D42" s="49">
        <f t="shared" si="11"/>
        <v>-1.0141028775884702E-2</v>
      </c>
      <c r="E42" s="49">
        <f t="shared" si="11"/>
        <v>-1.2341687177892184E-2</v>
      </c>
      <c r="F42" s="49">
        <f t="shared" si="11"/>
        <v>-1.25333347607444E-2</v>
      </c>
      <c r="G42" s="49">
        <f t="shared" si="11"/>
        <v>-1.4617015713231592E-2</v>
      </c>
      <c r="H42" s="49">
        <f t="shared" si="11"/>
        <v>-1.6936088394758471E-2</v>
      </c>
      <c r="I42" s="49">
        <f t="shared" ref="I42:J42" si="12">I$16 * $C24</f>
        <v>-1.9762708161787462E-2</v>
      </c>
      <c r="J42" s="49">
        <f t="shared" si="12"/>
        <v>-2.1565927197786744E-2</v>
      </c>
    </row>
    <row r="44" spans="2:10" ht="13.7" customHeight="1">
      <c r="B44" s="32" t="s">
        <v>1032</v>
      </c>
      <c r="C44" s="49">
        <f>C39 + C41 - C42</f>
        <v>-2.1088208020856265E-2</v>
      </c>
      <c r="D44" s="49">
        <f t="shared" ref="D44:H44" si="13">D39 + D41 - D42</f>
        <v>-2.8391631357459896E-2</v>
      </c>
      <c r="E44" s="49">
        <f t="shared" si="13"/>
        <v>-3.5671711003782948E-2</v>
      </c>
      <c r="F44" s="49">
        <f t="shared" si="13"/>
        <v>-4.0330064613300638E-2</v>
      </c>
      <c r="G44" s="49">
        <f t="shared" si="13"/>
        <v>-4.8014085231035702E-2</v>
      </c>
      <c r="H44" s="49">
        <f t="shared" si="13"/>
        <v>-5.5472299606935012E-2</v>
      </c>
      <c r="I44" s="49">
        <f t="shared" ref="I44" si="14">I39 + I41 - I42</f>
        <v>-6.1972580183174336E-2</v>
      </c>
      <c r="J44" s="49">
        <f>J39 + J41 - J42</f>
        <v>-6.9484748486376952E-2</v>
      </c>
    </row>
    <row r="45" spans="2:10" ht="13.7" customHeight="1">
      <c r="B45" s="32" t="s">
        <v>1033</v>
      </c>
      <c r="C45" s="49">
        <v>0</v>
      </c>
      <c r="D45" s="49">
        <v>0</v>
      </c>
      <c r="E45" s="49">
        <v>0</v>
      </c>
      <c r="F45" s="49">
        <v>0</v>
      </c>
      <c r="G45" s="49">
        <v>0</v>
      </c>
      <c r="H45" s="49">
        <v>0</v>
      </c>
      <c r="I45" s="49">
        <v>0</v>
      </c>
      <c r="J45" s="49">
        <v>0</v>
      </c>
    </row>
    <row r="46" spans="2:10" ht="13.7" customHeight="1">
      <c r="B46" s="32" t="s">
        <v>1034</v>
      </c>
      <c r="C46" s="49">
        <f t="shared" ref="C46:H46" si="15">(1 + C33)*(1 + C45)*(1 - C44) - 1</f>
        <v>6.0789057337689467E-2</v>
      </c>
      <c r="D46" s="49">
        <f t="shared" si="15"/>
        <v>8.2436951125337776E-2</v>
      </c>
      <c r="E46" s="49">
        <f t="shared" si="15"/>
        <v>0.10799067572127807</v>
      </c>
      <c r="F46" s="49">
        <f t="shared" si="15"/>
        <v>0.1188649218672857</v>
      </c>
      <c r="G46" s="49">
        <f t="shared" si="15"/>
        <v>0.13707183470613216</v>
      </c>
      <c r="H46" s="49">
        <f t="shared" si="15"/>
        <v>0.15490285370786827</v>
      </c>
      <c r="I46" s="49">
        <f t="shared" ref="I46" si="16">(1 + I33)*(1 + I45)*(1 - I44) - 1</f>
        <v>0.18479441357738535</v>
      </c>
      <c r="J46" s="49">
        <f>(1 + J33)*(1 + J45)*(1 - J44) - 1</f>
        <v>0.21644959843085632</v>
      </c>
    </row>
    <row r="47" spans="2:10" ht="13.7" customHeight="1">
      <c r="B47" s="220" t="str">
        <f>"Target opex quantity ("&amp;'Calc|Cost drivers'!B29&amp;")"</f>
        <v>Target opex quantity ($'000RY2025)</v>
      </c>
      <c r="C47" s="140">
        <f t="shared" ref="C47:H47" si="17">$C30*EXP(C46)</f>
        <v>94580.243614070627</v>
      </c>
      <c r="D47" s="140">
        <f t="shared" si="17"/>
        <v>96650.029100533444</v>
      </c>
      <c r="E47" s="140">
        <f t="shared" si="17"/>
        <v>99151.623731009837</v>
      </c>
      <c r="F47" s="140">
        <f t="shared" si="17"/>
        <v>100235.70650204299</v>
      </c>
      <c r="G47" s="140">
        <f t="shared" si="17"/>
        <v>102077.40421317639</v>
      </c>
      <c r="H47" s="140">
        <f t="shared" si="17"/>
        <v>103913.87274219036</v>
      </c>
      <c r="I47" s="140">
        <f t="shared" ref="I47:J47" si="18">$C30*EXP(I46)</f>
        <v>107066.91032859572</v>
      </c>
      <c r="J47" s="140">
        <f t="shared" si="18"/>
        <v>110510.34694127858</v>
      </c>
    </row>
    <row r="49" spans="1:16" s="4" customFormat="1" ht="13.7" customHeight="1">
      <c r="A49" s="2" t="s">
        <v>1035</v>
      </c>
      <c r="C49" s="3"/>
      <c r="D49" s="5"/>
      <c r="E49" s="5"/>
      <c r="F49" s="5"/>
      <c r="G49" s="5"/>
      <c r="H49" s="5"/>
      <c r="I49" s="5"/>
      <c r="J49" s="6"/>
      <c r="K49" s="6"/>
      <c r="L49" s="5"/>
      <c r="M49" s="5"/>
      <c r="N49" s="5"/>
      <c r="O49" s="5"/>
      <c r="P49" s="5"/>
    </row>
    <row r="51" spans="1:16" s="23" customFormat="1" ht="13.7" customHeight="1">
      <c r="A51" s="32" t="s">
        <v>943</v>
      </c>
      <c r="B51" s="32" t="s">
        <v>46</v>
      </c>
      <c r="C51" s="24" t="s">
        <v>921</v>
      </c>
      <c r="D51" s="24" t="s">
        <v>1023</v>
      </c>
    </row>
    <row r="52" spans="1:16" s="23" customFormat="1" ht="13.7" customHeight="1">
      <c r="A52" s="23" t="s">
        <v>944</v>
      </c>
      <c r="B52" s="23" t="s">
        <v>1021</v>
      </c>
      <c r="C52" s="53">
        <f>VLOOKUP(A52, Table_Coefficients_long_SFACD, MATCH(Parameter_Scenario_number, Header_Table_Econometrics, 0), FALSE)</f>
        <v>0.24244830000000001</v>
      </c>
      <c r="D52" s="53">
        <f>C52/SUM($C$52:$C$54)</f>
        <v>0.25127222678811834</v>
      </c>
    </row>
    <row r="53" spans="1:16" s="23" customFormat="1" ht="13.7" customHeight="1">
      <c r="A53" s="23" t="s">
        <v>946</v>
      </c>
      <c r="B53" s="23" t="s">
        <v>910</v>
      </c>
      <c r="C53" s="53">
        <f>VLOOKUP(A53, Table_Coefficients_long_SFACD, MATCH(Parameter_Scenario_number, Header_Table_Econometrics, 0), FALSE)</f>
        <v>0.1390005</v>
      </c>
      <c r="D53" s="53">
        <f t="shared" ref="D53:D54" si="19">C53/SUM($C$52:$C$54)</f>
        <v>0.1440594351854059</v>
      </c>
    </row>
    <row r="54" spans="1:16" s="23" customFormat="1" ht="13.7" customHeight="1">
      <c r="A54" s="23" t="s">
        <v>948</v>
      </c>
      <c r="B54" s="23" t="s">
        <v>896</v>
      </c>
      <c r="C54" s="53">
        <f>VLOOKUP(A54, Table_Coefficients_long_SFACD, MATCH(Parameter_Scenario_number, Header_Table_Econometrics, 0), FALSE)</f>
        <v>0.58343420000000001</v>
      </c>
      <c r="D54" s="53">
        <f t="shared" si="19"/>
        <v>0.60466833802647568</v>
      </c>
    </row>
    <row r="55" spans="1:16" s="23" customFormat="1" ht="13.7" customHeight="1">
      <c r="A55" s="23" t="s">
        <v>950</v>
      </c>
      <c r="B55" s="23" t="s">
        <v>897</v>
      </c>
      <c r="C55" s="53">
        <f>VLOOKUP(A55, Table_Coefficients_long_SFACD, MATCH(Parameter_Scenario_number, Header_Table_Econometrics, 0), FALSE)</f>
        <v>-0.1236119</v>
      </c>
    </row>
    <row r="56" spans="1:16" s="23" customFormat="1" ht="13.7" customHeight="1">
      <c r="A56" s="23" t="s">
        <v>952</v>
      </c>
      <c r="B56" s="23" t="s">
        <v>1024</v>
      </c>
      <c r="C56" s="182">
        <f>VLOOKUP(A56, Table_Coefficients_long_SFACD, MATCH(Parameter_Scenario_number, Header_Table_Econometrics, 0), FALSE)</f>
        <v>9.9758999999999994E-3</v>
      </c>
    </row>
    <row r="58" spans="1:16" s="4" customFormat="1" ht="13.7" customHeight="1">
      <c r="A58" s="2" t="s">
        <v>1036</v>
      </c>
      <c r="C58" s="3"/>
      <c r="D58" s="5"/>
      <c r="E58" s="5"/>
      <c r="F58" s="5"/>
      <c r="G58" s="5"/>
      <c r="H58" s="5"/>
      <c r="I58" s="5"/>
      <c r="J58" s="6"/>
      <c r="K58" s="6"/>
      <c r="L58" s="5"/>
      <c r="M58" s="5"/>
      <c r="N58" s="5"/>
      <c r="O58" s="5"/>
      <c r="P58" s="5"/>
    </row>
    <row r="60" spans="1:16" ht="13.7" customHeight="1">
      <c r="B60" s="23" t="s">
        <v>1026</v>
      </c>
      <c r="C60" s="47">
        <f>'Calc|Efficiency target'!E13</f>
        <v>3.5079452650699006E-2</v>
      </c>
    </row>
    <row r="61" spans="1:16" ht="13.7" customHeight="1">
      <c r="B61" s="217" t="str">
        <f>B30</f>
        <v>Target opex ($'000RY2025)</v>
      </c>
      <c r="C61" s="43">
        <f>$C$10*(1 - C60)</f>
        <v>90262.254093670505</v>
      </c>
    </row>
    <row r="62" spans="1:16" ht="13.7" customHeight="1">
      <c r="B62" s="23"/>
      <c r="C62" s="23"/>
    </row>
    <row r="63" spans="1:16" s="23" customFormat="1" ht="13.7" customHeight="1">
      <c r="A63" s="32"/>
      <c r="B63" s="32"/>
      <c r="C63" s="249">
        <v>2018</v>
      </c>
      <c r="D63" s="249">
        <v>2019</v>
      </c>
      <c r="E63" s="249">
        <v>2020</v>
      </c>
      <c r="F63" s="249">
        <v>2021</v>
      </c>
      <c r="G63" s="249">
        <v>2022</v>
      </c>
      <c r="H63" s="249">
        <v>2023</v>
      </c>
      <c r="I63" s="249">
        <f>H63+1</f>
        <v>2024</v>
      </c>
      <c r="J63" s="249">
        <f>I63+1</f>
        <v>2025</v>
      </c>
    </row>
    <row r="64" spans="1:16" s="23" customFormat="1" ht="13.7" customHeight="1">
      <c r="B64" s="24" t="s">
        <v>1027</v>
      </c>
      <c r="C64" s="54">
        <f>$D52*C$13 + $D53*C$14 + $D54*C$15</f>
        <v>2.3355319218258116E-2</v>
      </c>
      <c r="D64" s="54">
        <f t="shared" ref="D64:J64" si="20">$D52*D$13 + $D53*D$14 + $D54*D$15</f>
        <v>3.3159244198310692E-2</v>
      </c>
      <c r="E64" s="54">
        <f t="shared" si="20"/>
        <v>5.3319557754941585E-2</v>
      </c>
      <c r="F64" s="54">
        <f t="shared" si="20"/>
        <v>5.6245132723983168E-2</v>
      </c>
      <c r="G64" s="54">
        <f t="shared" si="20"/>
        <v>6.0977115646432975E-2</v>
      </c>
      <c r="H64" s="54">
        <f t="shared" si="20"/>
        <v>6.5675137921272456E-2</v>
      </c>
      <c r="I64" s="54">
        <f t="shared" si="20"/>
        <v>9.9773807039437001E-2</v>
      </c>
      <c r="J64" s="54">
        <f t="shared" si="20"/>
        <v>0.1272833240370512</v>
      </c>
    </row>
    <row r="66" spans="1:16" ht="13.7" customHeight="1">
      <c r="C66" s="249">
        <v>2018</v>
      </c>
      <c r="D66" s="249">
        <v>2019</v>
      </c>
      <c r="E66" s="249">
        <v>2020</v>
      </c>
      <c r="F66" s="249">
        <v>2021</v>
      </c>
      <c r="G66" s="249">
        <v>2022</v>
      </c>
      <c r="H66" s="249">
        <v>2023</v>
      </c>
      <c r="I66" s="249">
        <f>H66+1</f>
        <v>2024</v>
      </c>
      <c r="J66" s="249">
        <f>I66+1</f>
        <v>2025</v>
      </c>
    </row>
    <row r="67" spans="1:16" ht="13.7" customHeight="1">
      <c r="B67" s="32"/>
      <c r="C67" s="308">
        <f t="shared" ref="C67:E67" si="21">C66 - $C$9</f>
        <v>3</v>
      </c>
      <c r="D67" s="308">
        <f t="shared" si="21"/>
        <v>4</v>
      </c>
      <c r="E67" s="308">
        <f t="shared" si="21"/>
        <v>5</v>
      </c>
      <c r="F67" s="308">
        <f>IF(Parameter_Victorian_or_non_Victorian="Non-Victorian", F66 - $C$9, F66 - $C$9 - 0.5)</f>
        <v>5.5</v>
      </c>
      <c r="G67" s="308">
        <f>IF(Parameter_Victorian_or_non_Victorian="Non-Victorian", G66 - $C$9, G66 - $C$9 - 0.5)</f>
        <v>6.5</v>
      </c>
      <c r="H67" s="308">
        <f>IF(Parameter_Victorian_or_non_Victorian="Non-Victorian", H66 - $C$9, H66 - $C$9 - 0.5)</f>
        <v>7.5</v>
      </c>
      <c r="I67" s="308">
        <f>IF(Parameter_Victorian_or_non_Victorian="Non-Victorian", I66 - $C$9, I66 - $C$9 - 0.5)</f>
        <v>8.5</v>
      </c>
      <c r="J67" s="308">
        <f>IF(Parameter_Victorian_or_non_Victorian="Non-Victorian", J66 - $C$9, J66 - $C$9 - 0.5)</f>
        <v>9.5</v>
      </c>
    </row>
    <row r="68" spans="1:16" ht="13.7" customHeight="1">
      <c r="B68" s="25" t="s">
        <v>1024</v>
      </c>
      <c r="C68" s="49">
        <f>-$C56*C67</f>
        <v>-2.9927699999999998E-2</v>
      </c>
      <c r="D68" s="49">
        <f t="shared" ref="D68:H68" si="22">-$C56*D67</f>
        <v>-3.9903599999999997E-2</v>
      </c>
      <c r="E68" s="49">
        <f t="shared" si="22"/>
        <v>-4.9879499999999993E-2</v>
      </c>
      <c r="F68" s="49">
        <f t="shared" si="22"/>
        <v>-5.4867449999999998E-2</v>
      </c>
      <c r="G68" s="49">
        <f t="shared" si="22"/>
        <v>-6.4843349999999994E-2</v>
      </c>
      <c r="H68" s="49">
        <f t="shared" si="22"/>
        <v>-7.481924999999999E-2</v>
      </c>
      <c r="I68" s="49">
        <f t="shared" ref="I68:J68" si="23">-$C56*I67</f>
        <v>-8.479515E-2</v>
      </c>
      <c r="J68" s="49">
        <f t="shared" si="23"/>
        <v>-9.4771049999999996E-2</v>
      </c>
    </row>
    <row r="69" spans="1:16" ht="13.7" customHeight="1">
      <c r="B69" s="25" t="s">
        <v>1028</v>
      </c>
      <c r="C69" s="49">
        <f t="shared" ref="C69:H69" si="24">IF(C66 &lt;= Parameter_Period_end, 0, -Parameter_Technology_growth_rate * (C66 - Parameter_Period_end))</f>
        <v>0</v>
      </c>
      <c r="D69" s="49">
        <f t="shared" si="24"/>
        <v>0</v>
      </c>
      <c r="E69" s="49">
        <f t="shared" si="24"/>
        <v>0</v>
      </c>
      <c r="F69" s="49">
        <f t="shared" si="24"/>
        <v>0</v>
      </c>
      <c r="G69" s="49">
        <f t="shared" si="24"/>
        <v>0</v>
      </c>
      <c r="H69" s="49">
        <f t="shared" si="24"/>
        <v>0</v>
      </c>
      <c r="I69" s="49">
        <f t="shared" ref="I69:J69" si="25">IF(I66 &lt;= Parameter_Period_end, 0, -Parameter_Technology_growth_rate * (I66 - Parameter_Period_end))</f>
        <v>0</v>
      </c>
      <c r="J69" s="49">
        <f t="shared" si="25"/>
        <v>0</v>
      </c>
    </row>
    <row r="70" spans="1:16" ht="13.7" customHeight="1">
      <c r="B70" s="25" t="s">
        <v>1029</v>
      </c>
      <c r="C70" s="49">
        <f t="shared" ref="C70:H70" si="26">IF(OR(C66 &lt;= Parameter_Period_end, Parameter_Apply_fixed_growth_rate = "0 - No"), C68, -$C56 * (Parameter_Period_end - $C$9) + C69)</f>
        <v>-2.9927699999999998E-2</v>
      </c>
      <c r="D70" s="49">
        <f t="shared" si="26"/>
        <v>-3.9903599999999997E-2</v>
      </c>
      <c r="E70" s="49">
        <f t="shared" si="26"/>
        <v>-4.9879499999999993E-2</v>
      </c>
      <c r="F70" s="49">
        <f t="shared" si="26"/>
        <v>-5.4867449999999998E-2</v>
      </c>
      <c r="G70" s="49">
        <f t="shared" si="26"/>
        <v>-6.4843349999999994E-2</v>
      </c>
      <c r="H70" s="49">
        <f t="shared" si="26"/>
        <v>-7.481924999999999E-2</v>
      </c>
      <c r="I70" s="49">
        <f t="shared" ref="I70:J70" si="27">IF(OR(I66 &lt;= Parameter_Period_end, Parameter_Apply_fixed_growth_rate = "0 - No"), I68, -$C56 * (Parameter_Period_end - $C$9) + I69)</f>
        <v>-8.479515E-2</v>
      </c>
      <c r="J70" s="49">
        <f t="shared" si="27"/>
        <v>-9.4771049999999996E-2</v>
      </c>
    </row>
    <row r="71" spans="1:16" ht="13.7" customHeight="1">
      <c r="B71" s="32"/>
      <c r="C71" s="55"/>
      <c r="D71" s="55"/>
      <c r="E71" s="55"/>
      <c r="F71" s="55"/>
      <c r="G71" s="55"/>
      <c r="H71" s="55"/>
      <c r="I71" s="55"/>
      <c r="J71" s="55"/>
    </row>
    <row r="72" spans="1:16" ht="13.7" customHeight="1">
      <c r="B72" s="25" t="s">
        <v>1030</v>
      </c>
      <c r="C72" s="49">
        <f t="shared" ref="C72:H72" si="28">(1 - $C52 - $C53 - $C54) * C64</f>
        <v>8.2016874498757177E-4</v>
      </c>
      <c r="D72" s="49">
        <f t="shared" si="28"/>
        <v>1.1644531785120788E-3</v>
      </c>
      <c r="E72" s="49">
        <f t="shared" si="28"/>
        <v>1.8724229096802871E-3</v>
      </c>
      <c r="F72" s="49">
        <f t="shared" si="28"/>
        <v>1.9751603258681204E-3</v>
      </c>
      <c r="G72" s="49">
        <f t="shared" si="28"/>
        <v>2.1413333701557906E-3</v>
      </c>
      <c r="H72" s="49">
        <f t="shared" si="28"/>
        <v>2.3063138183813292E-3</v>
      </c>
      <c r="I72" s="49">
        <f t="shared" ref="I72:J72" si="29">(1 - $C52 - $C53 - $C54) * I64</f>
        <v>3.5037567818039157E-3</v>
      </c>
      <c r="J72" s="49">
        <f t="shared" si="29"/>
        <v>4.469808490209135E-3</v>
      </c>
    </row>
    <row r="73" spans="1:16" ht="13.7" customHeight="1">
      <c r="B73" s="25" t="s">
        <v>1031</v>
      </c>
      <c r="C73" s="49">
        <f t="shared" ref="C73:H73" si="30">C$16 * $C55</f>
        <v>-1.0478361537966821E-2</v>
      </c>
      <c r="D73" s="49">
        <f t="shared" si="30"/>
        <v>-1.3569383226855141E-2</v>
      </c>
      <c r="E73" s="49">
        <f t="shared" si="30"/>
        <v>-1.6514013191740833E-2</v>
      </c>
      <c r="F73" s="49">
        <f t="shared" si="30"/>
        <v>-1.6770450635484831E-2</v>
      </c>
      <c r="G73" s="49">
        <f t="shared" si="30"/>
        <v>-1.9558556851496489E-2</v>
      </c>
      <c r="H73" s="49">
        <f t="shared" si="30"/>
        <v>-2.2661633141093498E-2</v>
      </c>
      <c r="I73" s="49">
        <f t="shared" ref="I73:J73" si="31">I$16 * $C55</f>
        <v>-2.6443841800892345E-2</v>
      </c>
      <c r="J73" s="49">
        <f t="shared" si="31"/>
        <v>-2.8856670980474269E-2</v>
      </c>
    </row>
    <row r="75" spans="1:16" ht="13.7" customHeight="1">
      <c r="B75" s="32" t="s">
        <v>1032</v>
      </c>
      <c r="C75" s="49">
        <f>C70 + C72 - C73</f>
        <v>-1.8629169717045604E-2</v>
      </c>
      <c r="D75" s="49">
        <f t="shared" ref="D75:H75" si="32">D70 + D72 - D73</f>
        <v>-2.5169763594632778E-2</v>
      </c>
      <c r="E75" s="49">
        <f t="shared" si="32"/>
        <v>-3.1493063898578873E-2</v>
      </c>
      <c r="F75" s="49">
        <f t="shared" si="32"/>
        <v>-3.6121839038647047E-2</v>
      </c>
      <c r="G75" s="49">
        <f t="shared" si="32"/>
        <v>-4.3143459778347715E-2</v>
      </c>
      <c r="H75" s="49">
        <f t="shared" si="32"/>
        <v>-4.9851303040525166E-2</v>
      </c>
      <c r="I75" s="49">
        <f t="shared" ref="I75:J75" si="33">I70 + I72 - I73</f>
        <v>-5.4847551417303742E-2</v>
      </c>
      <c r="J75" s="49">
        <f t="shared" si="33"/>
        <v>-6.1444570529316594E-2</v>
      </c>
    </row>
    <row r="76" spans="1:16" ht="13.7" customHeight="1">
      <c r="B76" s="32" t="s">
        <v>1033</v>
      </c>
      <c r="C76" s="49">
        <v>0</v>
      </c>
      <c r="D76" s="49">
        <v>0</v>
      </c>
      <c r="E76" s="49">
        <v>0</v>
      </c>
      <c r="F76" s="49">
        <v>0</v>
      </c>
      <c r="G76" s="49">
        <v>0</v>
      </c>
      <c r="H76" s="49">
        <v>0</v>
      </c>
      <c r="I76" s="49">
        <v>0</v>
      </c>
      <c r="J76" s="49">
        <v>0</v>
      </c>
    </row>
    <row r="77" spans="1:16" ht="13.7" customHeight="1">
      <c r="B77" s="32" t="s">
        <v>1034</v>
      </c>
      <c r="C77" s="49">
        <f t="shared" ref="C77:H77" si="34">(1 + C64)*(1 + C76)*(1 - C75) - 1</f>
        <v>4.2419579140816399E-2</v>
      </c>
      <c r="D77" s="49">
        <f t="shared" si="34"/>
        <v>5.9163618130391615E-2</v>
      </c>
      <c r="E77" s="49">
        <f t="shared" si="34"/>
        <v>8.6491817892940803E-2</v>
      </c>
      <c r="F77" s="49">
        <f t="shared" si="34"/>
        <v>9.4398649393593326E-2</v>
      </c>
      <c r="G77" s="49">
        <f t="shared" si="34"/>
        <v>0.10675133916107216</v>
      </c>
      <c r="H77" s="49">
        <f t="shared" si="34"/>
        <v>0.1188004321645395</v>
      </c>
      <c r="I77" s="49">
        <f t="shared" ref="I77:J77" si="35">(1 + I64)*(1 + I76)*(1 - I75) - 1</f>
        <v>0.16009370746843632</v>
      </c>
      <c r="J77" s="49">
        <f t="shared" si="35"/>
        <v>0.19654876374736818</v>
      </c>
    </row>
    <row r="78" spans="1:16" ht="13.7" customHeight="1">
      <c r="B78" s="220" t="str">
        <f>B47</f>
        <v>Target opex quantity ($'000RY2025)</v>
      </c>
      <c r="C78" s="140">
        <f t="shared" ref="C78:H78" si="36">$C61*EXP(C77)</f>
        <v>94173.51138657608</v>
      </c>
      <c r="D78" s="140">
        <f t="shared" si="36"/>
        <v>95763.631700572048</v>
      </c>
      <c r="E78" s="140">
        <f t="shared" si="36"/>
        <v>98416.766944505449</v>
      </c>
      <c r="F78" s="140">
        <f t="shared" si="36"/>
        <v>99198.016270792592</v>
      </c>
      <c r="G78" s="140">
        <f t="shared" si="36"/>
        <v>100430.97811089906</v>
      </c>
      <c r="H78" s="140">
        <f t="shared" si="36"/>
        <v>101648.39999251926</v>
      </c>
      <c r="I78" s="140">
        <f t="shared" ref="I78:J78" si="37">$C61*EXP(I77)</f>
        <v>105933.66272941195</v>
      </c>
      <c r="J78" s="140">
        <f t="shared" si="37"/>
        <v>109866.7349825735</v>
      </c>
    </row>
    <row r="80" spans="1:16" s="4" customFormat="1" ht="13.7" customHeight="1">
      <c r="A80" s="2" t="s">
        <v>1037</v>
      </c>
      <c r="C80" s="3"/>
      <c r="D80" s="5"/>
      <c r="E80" s="5"/>
      <c r="F80" s="5"/>
      <c r="G80" s="5"/>
      <c r="H80" s="5"/>
      <c r="I80" s="5"/>
      <c r="J80" s="6"/>
      <c r="K80" s="6"/>
      <c r="L80" s="5"/>
      <c r="M80" s="5"/>
      <c r="N80" s="5"/>
      <c r="O80" s="5"/>
      <c r="P80" s="5"/>
    </row>
    <row r="82" spans="1:16" s="23" customFormat="1" ht="13.7" customHeight="1">
      <c r="A82" s="32" t="s">
        <v>943</v>
      </c>
      <c r="B82" s="32" t="s">
        <v>46</v>
      </c>
      <c r="C82" s="24" t="s">
        <v>921</v>
      </c>
      <c r="D82" s="24" t="s">
        <v>1023</v>
      </c>
    </row>
    <row r="83" spans="1:16" s="23" customFormat="1" ht="13.7" customHeight="1">
      <c r="A83" s="23" t="s">
        <v>944</v>
      </c>
      <c r="B83" s="23" t="s">
        <v>1021</v>
      </c>
      <c r="C83" s="53">
        <f>VLOOKUP(A83, Table_Coefficients_long_LSETLG, MATCH(Parameter_Scenario_number, Header_Table_Econometrics, 0), FALSE)</f>
        <v>0.35791430000000002</v>
      </c>
      <c r="D83" s="53">
        <f>C83/SUM($C$83:$C$85)</f>
        <v>0.3748978080300342</v>
      </c>
    </row>
    <row r="84" spans="1:16" s="23" customFormat="1" ht="13.7" customHeight="1">
      <c r="A84" s="23" t="s">
        <v>946</v>
      </c>
      <c r="B84" s="23" t="s">
        <v>910</v>
      </c>
      <c r="C84" s="53">
        <f>VLOOKUP(A84, Table_Coefficients_long_LSETLG, MATCH(Parameter_Scenario_number, Header_Table_Econometrics, 0), FALSE)</f>
        <v>0.2330788</v>
      </c>
      <c r="D84" s="53">
        <f t="shared" ref="D84:D85" si="38">C84/SUM($C$83:$C$85)</f>
        <v>0.24413869805780528</v>
      </c>
    </row>
    <row r="85" spans="1:16" s="23" customFormat="1" ht="13.7" customHeight="1">
      <c r="A85" s="23" t="s">
        <v>948</v>
      </c>
      <c r="B85" s="23" t="s">
        <v>896</v>
      </c>
      <c r="C85" s="53">
        <f>VLOOKUP(A85, Table_Coefficients_long_LSETLG, MATCH(Parameter_Scenario_number, Header_Table_Econometrics, 0), FALSE)</f>
        <v>0.36370520000000001</v>
      </c>
      <c r="D85" s="53">
        <f t="shared" si="38"/>
        <v>0.38096349391216056</v>
      </c>
    </row>
    <row r="86" spans="1:16" s="23" customFormat="1" ht="13.7" customHeight="1">
      <c r="A86" s="23" t="s">
        <v>950</v>
      </c>
      <c r="B86" s="23" t="s">
        <v>897</v>
      </c>
      <c r="C86" s="53">
        <f>VLOOKUP(A86, Table_Coefficients_long_LSETLG, MATCH(Parameter_Scenario_number, Header_Table_Econometrics, 0), FALSE)</f>
        <v>-0.10311670000000001</v>
      </c>
    </row>
    <row r="87" spans="1:16" s="23" customFormat="1" ht="13.7" customHeight="1">
      <c r="A87" s="23" t="s">
        <v>952</v>
      </c>
      <c r="B87" s="23" t="s">
        <v>1024</v>
      </c>
      <c r="C87" s="182">
        <f>VLOOKUP(A87, Table_Coefficients_long_LSETLG, MATCH(Parameter_Scenario_number, Header_Table_Econometrics, 0), FALSE)</f>
        <v>1.1817100000000001E-2</v>
      </c>
    </row>
    <row r="89" spans="1:16" s="4" customFormat="1" ht="13.7" customHeight="1">
      <c r="A89" s="2" t="s">
        <v>1038</v>
      </c>
      <c r="C89" s="3"/>
      <c r="D89" s="5"/>
      <c r="E89" s="5"/>
      <c r="F89" s="5"/>
      <c r="G89" s="5"/>
      <c r="H89" s="5"/>
      <c r="I89" s="5"/>
      <c r="J89" s="6"/>
      <c r="K89" s="6"/>
      <c r="L89" s="5"/>
      <c r="M89" s="5"/>
      <c r="N89" s="5"/>
      <c r="O89" s="5"/>
      <c r="P89" s="5"/>
    </row>
    <row r="91" spans="1:16" ht="13.7" customHeight="1">
      <c r="B91" s="23" t="s">
        <v>1026</v>
      </c>
      <c r="C91" s="47">
        <f>'Calc|Efficiency target'!E14</f>
        <v>0.21761682017538386</v>
      </c>
    </row>
    <row r="92" spans="1:16" ht="13.7" customHeight="1">
      <c r="B92" s="217" t="str">
        <f>B30</f>
        <v>Target opex ($'000RY2025)</v>
      </c>
      <c r="C92" s="43">
        <f>$C$10*(1 - C91)</f>
        <v>73187.030341451624</v>
      </c>
    </row>
    <row r="93" spans="1:16" ht="13.7" customHeight="1">
      <c r="B93" s="23"/>
      <c r="C93" s="23"/>
    </row>
    <row r="94" spans="1:16" s="23" customFormat="1" ht="13.7" customHeight="1">
      <c r="A94" s="32"/>
      <c r="B94" s="32"/>
      <c r="C94" s="249">
        <v>2018</v>
      </c>
      <c r="D94" s="249">
        <v>2019</v>
      </c>
      <c r="E94" s="249">
        <v>2020</v>
      </c>
      <c r="F94" s="249">
        <v>2021</v>
      </c>
      <c r="G94" s="249">
        <v>2022</v>
      </c>
      <c r="H94" s="249">
        <v>2023</v>
      </c>
      <c r="I94" s="249">
        <f>H94+1</f>
        <v>2024</v>
      </c>
      <c r="J94" s="249">
        <f>I94+1</f>
        <v>2025</v>
      </c>
    </row>
    <row r="95" spans="1:16" s="23" customFormat="1" ht="13.7" customHeight="1">
      <c r="B95" s="24" t="s">
        <v>1027</v>
      </c>
      <c r="C95" s="54">
        <f>$D83*C$13 + $D84*C$14 + $D85*C$15</f>
        <v>3.1899039458041172E-2</v>
      </c>
      <c r="D95" s="54">
        <f t="shared" ref="D95:J95" si="39">$D83*D$13 + $D84*D$14 + $D85*D$15</f>
        <v>4.3543504009275619E-2</v>
      </c>
      <c r="E95" s="54">
        <f t="shared" si="39"/>
        <v>6.1690397817341626E-2</v>
      </c>
      <c r="F95" s="54">
        <f t="shared" si="39"/>
        <v>6.6303760182568852E-2</v>
      </c>
      <c r="G95" s="54">
        <f t="shared" si="39"/>
        <v>7.3630468249786016E-2</v>
      </c>
      <c r="H95" s="54">
        <f t="shared" si="39"/>
        <v>8.0983538026799404E-2</v>
      </c>
      <c r="I95" s="54">
        <f t="shared" si="39"/>
        <v>0.10780875652967675</v>
      </c>
      <c r="J95" s="54">
        <f t="shared" si="39"/>
        <v>0.1315555491323615</v>
      </c>
    </row>
    <row r="97" spans="1:16" ht="13.7" customHeight="1">
      <c r="C97" s="249">
        <v>2018</v>
      </c>
      <c r="D97" s="249">
        <v>2019</v>
      </c>
      <c r="E97" s="249">
        <v>2020</v>
      </c>
      <c r="F97" s="249">
        <v>2021</v>
      </c>
      <c r="G97" s="249">
        <v>2022</v>
      </c>
      <c r="H97" s="249">
        <v>2023</v>
      </c>
      <c r="I97" s="249">
        <f>H97+1</f>
        <v>2024</v>
      </c>
      <c r="J97" s="249">
        <f>I97+1</f>
        <v>2025</v>
      </c>
    </row>
    <row r="98" spans="1:16" ht="13.7" customHeight="1">
      <c r="B98" s="32"/>
      <c r="C98" s="308">
        <f t="shared" ref="C98:E98" si="40">C97 - $C$9</f>
        <v>3</v>
      </c>
      <c r="D98" s="308">
        <f t="shared" si="40"/>
        <v>4</v>
      </c>
      <c r="E98" s="308">
        <f t="shared" si="40"/>
        <v>5</v>
      </c>
      <c r="F98" s="308">
        <f>IF(Parameter_Victorian_or_non_Victorian="Non-Victorian", F97 - $C$9, F97 - $C$9 - 0.5)</f>
        <v>5.5</v>
      </c>
      <c r="G98" s="308">
        <f>IF(Parameter_Victorian_or_non_Victorian="Non-Victorian", G97 - $C$9, G97 - $C$9 - 0.5)</f>
        <v>6.5</v>
      </c>
      <c r="H98" s="308">
        <f>IF(Parameter_Victorian_or_non_Victorian="Non-Victorian", H97 - $C$9, H97 - $C$9 - 0.5)</f>
        <v>7.5</v>
      </c>
      <c r="I98" s="308">
        <f>IF(Parameter_Victorian_or_non_Victorian="Non-Victorian", I97 - $C$9, I97 - $C$9 - 0.5)</f>
        <v>8.5</v>
      </c>
      <c r="J98" s="308">
        <f>IF(Parameter_Victorian_or_non_Victorian="Non-Victorian", J97 - $C$9, J97 - $C$9 - 0.5)</f>
        <v>9.5</v>
      </c>
    </row>
    <row r="99" spans="1:16" ht="13.7" customHeight="1">
      <c r="B99" s="25" t="s">
        <v>1024</v>
      </c>
      <c r="C99" s="49">
        <f>-$C87*C98</f>
        <v>-3.5451300000000005E-2</v>
      </c>
      <c r="D99" s="49">
        <f t="shared" ref="D99:H99" si="41">-$C87*D98</f>
        <v>-4.7268400000000002E-2</v>
      </c>
      <c r="E99" s="49">
        <f t="shared" si="41"/>
        <v>-5.9085499999999999E-2</v>
      </c>
      <c r="F99" s="49">
        <f t="shared" si="41"/>
        <v>-6.4994049999999998E-2</v>
      </c>
      <c r="G99" s="49">
        <f t="shared" si="41"/>
        <v>-7.6811150000000009E-2</v>
      </c>
      <c r="H99" s="49">
        <f t="shared" si="41"/>
        <v>-8.8628250000000006E-2</v>
      </c>
      <c r="I99" s="49">
        <f t="shared" ref="I99:J99" si="42">-$C87*I98</f>
        <v>-0.10044535</v>
      </c>
      <c r="J99" s="49">
        <f t="shared" si="42"/>
        <v>-0.11226245</v>
      </c>
    </row>
    <row r="100" spans="1:16" ht="13.7" customHeight="1">
      <c r="B100" s="25" t="s">
        <v>1028</v>
      </c>
      <c r="C100" s="49">
        <f t="shared" ref="C100:H100" si="43">IF(C97 &lt;= Parameter_Period_end, 0, -Parameter_Technology_growth_rate * (C97 - Parameter_Period_end))</f>
        <v>0</v>
      </c>
      <c r="D100" s="49">
        <f t="shared" si="43"/>
        <v>0</v>
      </c>
      <c r="E100" s="49">
        <f t="shared" si="43"/>
        <v>0</v>
      </c>
      <c r="F100" s="49">
        <f t="shared" si="43"/>
        <v>0</v>
      </c>
      <c r="G100" s="49">
        <f t="shared" si="43"/>
        <v>0</v>
      </c>
      <c r="H100" s="49">
        <f t="shared" si="43"/>
        <v>0</v>
      </c>
      <c r="I100" s="49">
        <f t="shared" ref="I100:J100" si="44">IF(I97 &lt;= Parameter_Period_end, 0, -Parameter_Technology_growth_rate * (I97 - Parameter_Period_end))</f>
        <v>0</v>
      </c>
      <c r="J100" s="49">
        <f t="shared" si="44"/>
        <v>0</v>
      </c>
    </row>
    <row r="101" spans="1:16" ht="13.7" customHeight="1">
      <c r="B101" s="25" t="s">
        <v>1029</v>
      </c>
      <c r="C101" s="49">
        <f t="shared" ref="C101:H101" si="45">IF(OR(C97 &lt;= Parameter_Period_end, Parameter_Apply_fixed_growth_rate = "0 - No"), C99, -$C87 * (Parameter_Period_end - $C$9) + C100)</f>
        <v>-3.5451300000000005E-2</v>
      </c>
      <c r="D101" s="49">
        <f t="shared" si="45"/>
        <v>-4.7268400000000002E-2</v>
      </c>
      <c r="E101" s="49">
        <f t="shared" si="45"/>
        <v>-5.9085499999999999E-2</v>
      </c>
      <c r="F101" s="49">
        <f t="shared" si="45"/>
        <v>-6.4994049999999998E-2</v>
      </c>
      <c r="G101" s="49">
        <f t="shared" si="45"/>
        <v>-7.6811150000000009E-2</v>
      </c>
      <c r="H101" s="49">
        <f t="shared" si="45"/>
        <v>-8.8628250000000006E-2</v>
      </c>
      <c r="I101" s="49">
        <f t="shared" ref="I101:J101" si="46">IF(OR(I97 &lt;= Parameter_Period_end, Parameter_Apply_fixed_growth_rate = "0 - No"), I99, -$C87 * (Parameter_Period_end - $C$9) + I100)</f>
        <v>-0.10044535</v>
      </c>
      <c r="J101" s="49">
        <f t="shared" si="46"/>
        <v>-0.11226245</v>
      </c>
    </row>
    <row r="102" spans="1:16" ht="13.7" customHeight="1">
      <c r="B102" s="32"/>
      <c r="C102" s="55"/>
      <c r="D102" s="55"/>
      <c r="E102" s="55"/>
      <c r="F102" s="55"/>
      <c r="G102" s="55"/>
      <c r="H102" s="55"/>
      <c r="I102" s="55"/>
      <c r="J102" s="55"/>
    </row>
    <row r="103" spans="1:16" ht="13.7" customHeight="1">
      <c r="B103" s="25" t="s">
        <v>1030</v>
      </c>
      <c r="C103" s="49">
        <f t="shared" ref="C103:H103" si="47">(1 - $C83 - $C84 - $C85) * C95</f>
        <v>1.445080715816342E-3</v>
      </c>
      <c r="D103" s="49">
        <f t="shared" si="47"/>
        <v>1.9725947555769988E-3</v>
      </c>
      <c r="E103" s="49">
        <f t="shared" si="47"/>
        <v>2.7946798948018615E-3</v>
      </c>
      <c r="F103" s="49">
        <f t="shared" si="47"/>
        <v>3.0036730526626755E-3</v>
      </c>
      <c r="G103" s="49">
        <f t="shared" si="47"/>
        <v>3.3355853835113271E-3</v>
      </c>
      <c r="H103" s="49">
        <f t="shared" si="47"/>
        <v>3.6686919446286539E-3</v>
      </c>
      <c r="I103" s="49">
        <f t="shared" ref="I103:J103" si="48">(1 - $C83 - $C84 - $C85) * I95</f>
        <v>4.8839199456804511E-3</v>
      </c>
      <c r="J103" s="49">
        <f t="shared" si="48"/>
        <v>5.9596900201294937E-3</v>
      </c>
    </row>
    <row r="104" spans="1:16" ht="13.7" customHeight="1">
      <c r="B104" s="25" t="s">
        <v>1031</v>
      </c>
      <c r="C104" s="49">
        <f t="shared" ref="C104:H104" si="49">C$16 * $C86</f>
        <v>-8.7410197820926901E-3</v>
      </c>
      <c r="D104" s="49">
        <f t="shared" si="49"/>
        <v>-1.1319541398430522E-2</v>
      </c>
      <c r="E104" s="49">
        <f t="shared" si="49"/>
        <v>-1.3775943449528583E-2</v>
      </c>
      <c r="F104" s="49">
        <f t="shared" si="49"/>
        <v>-1.3989862845277022E-2</v>
      </c>
      <c r="G104" s="49">
        <f t="shared" si="49"/>
        <v>-1.6315693224428298E-2</v>
      </c>
      <c r="H104" s="49">
        <f t="shared" si="49"/>
        <v>-1.8904270754839917E-2</v>
      </c>
      <c r="I104" s="49">
        <f t="shared" ref="I104:J104" si="50">I$16 * $C86</f>
        <v>-2.2059378602141667E-2</v>
      </c>
      <c r="J104" s="49">
        <f t="shared" si="50"/>
        <v>-2.407215393091014E-2</v>
      </c>
    </row>
    <row r="106" spans="1:16" ht="13.7" customHeight="1">
      <c r="B106" s="32" t="s">
        <v>1032</v>
      </c>
      <c r="C106" s="49">
        <f>C101 + C103 - C104</f>
        <v>-2.5265199502090968E-2</v>
      </c>
      <c r="D106" s="49">
        <f t="shared" ref="D106:H106" si="51">D101 + D103 - D104</f>
        <v>-3.3976263845992484E-2</v>
      </c>
      <c r="E106" s="49">
        <f t="shared" si="51"/>
        <v>-4.2514876655669553E-2</v>
      </c>
      <c r="F106" s="49">
        <f t="shared" si="51"/>
        <v>-4.8000514102060299E-2</v>
      </c>
      <c r="G106" s="49">
        <f t="shared" si="51"/>
        <v>-5.7159871392060385E-2</v>
      </c>
      <c r="H106" s="49">
        <f t="shared" si="51"/>
        <v>-6.6055287300531437E-2</v>
      </c>
      <c r="I106" s="49">
        <f t="shared" ref="I106:J106" si="52">I101 + I103 - I104</f>
        <v>-7.3502051452177891E-2</v>
      </c>
      <c r="J106" s="49">
        <f t="shared" si="52"/>
        <v>-8.2230606048960361E-2</v>
      </c>
    </row>
    <row r="107" spans="1:16" ht="13.7" customHeight="1">
      <c r="B107" s="32" t="s">
        <v>1033</v>
      </c>
      <c r="C107" s="49">
        <v>0</v>
      </c>
      <c r="D107" s="49">
        <v>0</v>
      </c>
      <c r="E107" s="49">
        <v>0</v>
      </c>
      <c r="F107" s="49">
        <v>0</v>
      </c>
      <c r="G107" s="49">
        <v>0</v>
      </c>
      <c r="H107" s="49">
        <v>0</v>
      </c>
      <c r="I107" s="49">
        <v>0</v>
      </c>
      <c r="J107" s="49">
        <v>0</v>
      </c>
    </row>
    <row r="108" spans="1:16" ht="13.7" customHeight="1">
      <c r="B108" s="32" t="s">
        <v>1034</v>
      </c>
      <c r="C108" s="49">
        <f t="shared" ref="C108:H108" si="53">(1 + C95)*(1 + C107)*(1 - C106) - 1</f>
        <v>5.7970174555964649E-2</v>
      </c>
      <c r="D108" s="49">
        <f t="shared" si="53"/>
        <v>7.8999213436266036E-2</v>
      </c>
      <c r="E108" s="49">
        <f t="shared" si="53"/>
        <v>0.10682803412705466</v>
      </c>
      <c r="F108" s="49">
        <f t="shared" si="53"/>
        <v>0.11748688886029224</v>
      </c>
      <c r="G108" s="49">
        <f t="shared" si="53"/>
        <v>0.13499904773754134</v>
      </c>
      <c r="H108" s="49">
        <f t="shared" si="53"/>
        <v>0.15238821619830434</v>
      </c>
      <c r="I108" s="49">
        <f t="shared" ref="I108:J108" si="54">(1 + I95)*(1 + I107)*(1 - I106) - 1</f>
        <v>0.18923497275129431</v>
      </c>
      <c r="J108" s="49">
        <f t="shared" si="54"/>
        <v>0.22460404771557974</v>
      </c>
    </row>
    <row r="109" spans="1:16" ht="13.7" customHeight="1">
      <c r="B109" s="220" t="str">
        <f>B47</f>
        <v>Target opex quantity ($'000RY2025)</v>
      </c>
      <c r="C109" s="140">
        <f t="shared" ref="C109:H109" si="55">$C92*EXP(C108)</f>
        <v>77555.080395134923</v>
      </c>
      <c r="D109" s="140">
        <f t="shared" si="55"/>
        <v>79203.258256575151</v>
      </c>
      <c r="E109" s="140">
        <f t="shared" si="55"/>
        <v>81438.347229919556</v>
      </c>
      <c r="F109" s="140">
        <f t="shared" si="55"/>
        <v>82311.029376684848</v>
      </c>
      <c r="G109" s="140">
        <f t="shared" si="55"/>
        <v>83765.16859676376</v>
      </c>
      <c r="H109" s="140">
        <f t="shared" si="55"/>
        <v>85234.513542787288</v>
      </c>
      <c r="I109" s="140">
        <f t="shared" ref="I109:J109" si="56">$C92*EXP(I108)</f>
        <v>88433.706913384565</v>
      </c>
      <c r="J109" s="140">
        <f t="shared" si="56"/>
        <v>91617.497287117716</v>
      </c>
    </row>
    <row r="111" spans="1:16" s="4" customFormat="1" ht="13.7" customHeight="1">
      <c r="A111" s="2" t="s">
        <v>1039</v>
      </c>
      <c r="C111" s="3"/>
      <c r="D111" s="5"/>
      <c r="E111" s="5"/>
      <c r="F111" s="5"/>
      <c r="G111" s="5"/>
      <c r="H111" s="5"/>
      <c r="I111" s="5"/>
      <c r="J111" s="6"/>
      <c r="K111" s="6"/>
      <c r="L111" s="5"/>
      <c r="M111" s="5"/>
      <c r="N111" s="5"/>
      <c r="O111" s="5"/>
      <c r="P111" s="5"/>
    </row>
    <row r="113" spans="1:16" s="23" customFormat="1" ht="13.7" customHeight="1">
      <c r="A113" s="32" t="s">
        <v>943</v>
      </c>
      <c r="B113" s="32" t="s">
        <v>46</v>
      </c>
      <c r="C113" s="24" t="s">
        <v>921</v>
      </c>
      <c r="D113" s="24" t="s">
        <v>1023</v>
      </c>
    </row>
    <row r="114" spans="1:16" s="23" customFormat="1" ht="13.7" customHeight="1">
      <c r="A114" s="23" t="s">
        <v>944</v>
      </c>
      <c r="B114" s="23" t="s">
        <v>1021</v>
      </c>
      <c r="C114" s="53">
        <f>VLOOKUP(A114, Table_Coefficients_long_SFATLG, MATCH(Parameter_Scenario_number, Header_Table_Econometrics, 0), FALSE)</f>
        <v>0.26710089999999997</v>
      </c>
      <c r="D114" s="53">
        <f>C114/SUM($C$114:$C$116)</f>
        <v>0.28867119078788595</v>
      </c>
    </row>
    <row r="115" spans="1:16" s="23" customFormat="1" ht="13.7" customHeight="1">
      <c r="A115" s="23" t="s">
        <v>946</v>
      </c>
      <c r="B115" s="23" t="s">
        <v>910</v>
      </c>
      <c r="C115" s="53">
        <f>VLOOKUP(A115, Table_Coefficients_long_SFATLG, MATCH(Parameter_Scenario_number, Header_Table_Econometrics, 0), FALSE)</f>
        <v>0.18735499999999999</v>
      </c>
      <c r="D115" s="53">
        <f t="shared" ref="D115:D116" si="57">C115/SUM($C$114:$C$116)</f>
        <v>0.20248524415329328</v>
      </c>
    </row>
    <row r="116" spans="1:16" s="23" customFormat="1" ht="13.7" customHeight="1">
      <c r="A116" s="23" t="s">
        <v>948</v>
      </c>
      <c r="B116" s="23" t="s">
        <v>896</v>
      </c>
      <c r="C116" s="53">
        <f>VLOOKUP(A116, Table_Coefficients_long_SFATLG, MATCH(Parameter_Scenario_number, Header_Table_Econometrics, 0), FALSE)</f>
        <v>0.4708214</v>
      </c>
      <c r="D116" s="53">
        <f t="shared" si="57"/>
        <v>0.50884356505882078</v>
      </c>
    </row>
    <row r="117" spans="1:16" s="23" customFormat="1" ht="13.7" customHeight="1">
      <c r="A117" s="23" t="s">
        <v>950</v>
      </c>
      <c r="B117" s="23" t="s">
        <v>897</v>
      </c>
      <c r="C117" s="53">
        <f>VLOOKUP(A117, Table_Coefficients_long_SFATLG, MATCH(Parameter_Scenario_number, Header_Table_Econometrics, 0), FALSE)</f>
        <v>-0.1065203</v>
      </c>
    </row>
    <row r="118" spans="1:16" s="23" customFormat="1" ht="13.7" customHeight="1">
      <c r="A118" s="23" t="s">
        <v>952</v>
      </c>
      <c r="B118" s="23" t="s">
        <v>1024</v>
      </c>
      <c r="C118" s="183">
        <f>VLOOKUP(A118, Table_Coefficients_long_SFATLG, MATCH(Parameter_Scenario_number, Header_Table_Econometrics, 0), FALSE)</f>
        <v>9.6515999999999998E-3</v>
      </c>
    </row>
    <row r="120" spans="1:16" s="4" customFormat="1" ht="13.7" customHeight="1">
      <c r="A120" s="2" t="s">
        <v>1040</v>
      </c>
      <c r="C120" s="3"/>
      <c r="D120" s="5"/>
      <c r="E120" s="5"/>
      <c r="F120" s="5"/>
      <c r="G120" s="5"/>
      <c r="H120" s="5"/>
      <c r="I120" s="5"/>
      <c r="J120" s="6"/>
      <c r="K120" s="6"/>
      <c r="L120" s="5"/>
      <c r="M120" s="5"/>
      <c r="N120" s="5"/>
      <c r="O120" s="5"/>
      <c r="P120" s="5"/>
    </row>
    <row r="122" spans="1:16" ht="13.7" customHeight="1">
      <c r="B122" s="23" t="s">
        <v>1026</v>
      </c>
      <c r="C122" s="47">
        <f>'Calc|Efficiency target'!E15</f>
        <v>4.6139113637427398E-2</v>
      </c>
    </row>
    <row r="123" spans="1:16" ht="13.7" customHeight="1">
      <c r="B123" s="217" t="str">
        <f>B30</f>
        <v>Target opex ($'000RY2025)</v>
      </c>
      <c r="C123" s="43">
        <f>$C$10*(1 - C122)</f>
        <v>89227.692302115494</v>
      </c>
    </row>
    <row r="124" spans="1:16" ht="13.7" customHeight="1">
      <c r="B124" s="23"/>
      <c r="C124" s="23"/>
    </row>
    <row r="125" spans="1:16" s="23" customFormat="1" ht="13.7" customHeight="1">
      <c r="A125" s="32"/>
      <c r="B125" s="32"/>
      <c r="C125" s="249">
        <v>2018</v>
      </c>
      <c r="D125" s="249">
        <v>2019</v>
      </c>
      <c r="E125" s="249">
        <v>2020</v>
      </c>
      <c r="F125" s="249">
        <v>2021</v>
      </c>
      <c r="G125" s="249">
        <v>2022</v>
      </c>
      <c r="H125" s="249">
        <v>2023</v>
      </c>
      <c r="I125" s="249">
        <f>H125+1</f>
        <v>2024</v>
      </c>
      <c r="J125" s="249">
        <f>I125+1</f>
        <v>2025</v>
      </c>
    </row>
    <row r="126" spans="1:16" s="23" customFormat="1" ht="13.7" customHeight="1">
      <c r="B126" s="24" t="s">
        <v>1027</v>
      </c>
      <c r="C126" s="54">
        <f>$D114*C$13 + $D115*C$14 + $D116*C$15</f>
        <v>2.6812986687791848E-2</v>
      </c>
      <c r="D126" s="54">
        <f t="shared" ref="D126:J126" si="58">$D114*D$13 + $D115*D$14 + $D116*D$15</f>
        <v>3.7255568880859659E-2</v>
      </c>
      <c r="E126" s="54">
        <f t="shared" si="58"/>
        <v>5.6444235537739661E-2</v>
      </c>
      <c r="F126" s="54">
        <f t="shared" si="58"/>
        <v>6.0119854733942518E-2</v>
      </c>
      <c r="G126" s="54">
        <f t="shared" si="58"/>
        <v>6.5893779141244599E-2</v>
      </c>
      <c r="H126" s="54">
        <f t="shared" si="58"/>
        <v>7.1726246923964343E-2</v>
      </c>
      <c r="I126" s="54">
        <f t="shared" si="58"/>
        <v>0.10276610142735043</v>
      </c>
      <c r="J126" s="54">
        <f t="shared" si="58"/>
        <v>0.12853176888554613</v>
      </c>
    </row>
    <row r="128" spans="1:16" ht="13.7" customHeight="1">
      <c r="C128" s="249">
        <v>2018</v>
      </c>
      <c r="D128" s="249">
        <v>2019</v>
      </c>
      <c r="E128" s="249">
        <v>2020</v>
      </c>
      <c r="F128" s="249">
        <v>2021</v>
      </c>
      <c r="G128" s="249">
        <v>2022</v>
      </c>
      <c r="H128" s="249">
        <v>2023</v>
      </c>
      <c r="I128" s="249">
        <f>H128+1</f>
        <v>2024</v>
      </c>
      <c r="J128" s="249">
        <f>I128+1</f>
        <v>2025</v>
      </c>
    </row>
    <row r="129" spans="1:10" ht="13.7" customHeight="1">
      <c r="B129" s="32"/>
      <c r="C129" s="308">
        <f t="shared" ref="C129:E129" si="59">C128 - $C$9</f>
        <v>3</v>
      </c>
      <c r="D129" s="308">
        <f t="shared" si="59"/>
        <v>4</v>
      </c>
      <c r="E129" s="308">
        <f t="shared" si="59"/>
        <v>5</v>
      </c>
      <c r="F129" s="308">
        <f>IF(Parameter_Victorian_or_non_Victorian="Non-Victorian", F128 - $C$9, F128 - $C$9 - 0.5)</f>
        <v>5.5</v>
      </c>
      <c r="G129" s="308">
        <f>IF(Parameter_Victorian_or_non_Victorian="Non-Victorian", G128 - $C$9, G128 - $C$9 - 0.5)</f>
        <v>6.5</v>
      </c>
      <c r="H129" s="308">
        <f>IF(Parameter_Victorian_or_non_Victorian="Non-Victorian", H128 - $C$9, H128 - $C$9 - 0.5)</f>
        <v>7.5</v>
      </c>
      <c r="I129" s="308">
        <f>IF(Parameter_Victorian_or_non_Victorian="Non-Victorian", I128 - $C$9, I128 - $C$9 - 0.5)</f>
        <v>8.5</v>
      </c>
      <c r="J129" s="308">
        <f>IF(Parameter_Victorian_or_non_Victorian="Non-Victorian", J128 - $C$9, J128 - $C$9 - 0.5)</f>
        <v>9.5</v>
      </c>
    </row>
    <row r="130" spans="1:10" ht="13.7" customHeight="1">
      <c r="B130" s="25" t="s">
        <v>1024</v>
      </c>
      <c r="C130" s="49">
        <f>-$C118*C129</f>
        <v>-2.8954799999999999E-2</v>
      </c>
      <c r="D130" s="49">
        <f t="shared" ref="D130:H130" si="60">-$C118*D129</f>
        <v>-3.8606399999999999E-2</v>
      </c>
      <c r="E130" s="49">
        <f t="shared" si="60"/>
        <v>-4.8257999999999995E-2</v>
      </c>
      <c r="F130" s="49">
        <f t="shared" si="60"/>
        <v>-5.30838E-2</v>
      </c>
      <c r="G130" s="49">
        <f t="shared" si="60"/>
        <v>-6.2735399999999997E-2</v>
      </c>
      <c r="H130" s="49">
        <f t="shared" si="60"/>
        <v>-7.2386999999999993E-2</v>
      </c>
      <c r="I130" s="49">
        <f t="shared" ref="I130:J130" si="61">-$C118*I129</f>
        <v>-8.2038600000000003E-2</v>
      </c>
      <c r="J130" s="49">
        <f t="shared" si="61"/>
        <v>-9.1690199999999999E-2</v>
      </c>
    </row>
    <row r="131" spans="1:10" ht="13.7" customHeight="1">
      <c r="B131" s="25" t="s">
        <v>1028</v>
      </c>
      <c r="C131" s="49">
        <f t="shared" ref="C131:H131" si="62">IF(C128 &lt;= Parameter_Period_end, 0, -Parameter_Technology_growth_rate * (C128 - Parameter_Period_end))</f>
        <v>0</v>
      </c>
      <c r="D131" s="49">
        <f t="shared" si="62"/>
        <v>0</v>
      </c>
      <c r="E131" s="49">
        <f t="shared" si="62"/>
        <v>0</v>
      </c>
      <c r="F131" s="49">
        <f t="shared" si="62"/>
        <v>0</v>
      </c>
      <c r="G131" s="49">
        <f t="shared" si="62"/>
        <v>0</v>
      </c>
      <c r="H131" s="49">
        <f t="shared" si="62"/>
        <v>0</v>
      </c>
      <c r="I131" s="49">
        <f t="shared" ref="I131:J131" si="63">IF(I128 &lt;= Parameter_Period_end, 0, -Parameter_Technology_growth_rate * (I128 - Parameter_Period_end))</f>
        <v>0</v>
      </c>
      <c r="J131" s="49">
        <f t="shared" si="63"/>
        <v>0</v>
      </c>
    </row>
    <row r="132" spans="1:10" ht="13.7" customHeight="1">
      <c r="B132" s="25" t="s">
        <v>1029</v>
      </c>
      <c r="C132" s="49">
        <f t="shared" ref="C132:H132" si="64">IF(OR(C128 &lt;= Parameter_Period_end, Parameter_Apply_fixed_growth_rate = "0 - No"), C130, -$C118 * (Parameter_Period_end - $C$9) + C131)</f>
        <v>-2.8954799999999999E-2</v>
      </c>
      <c r="D132" s="49">
        <f t="shared" si="64"/>
        <v>-3.8606399999999999E-2</v>
      </c>
      <c r="E132" s="49">
        <f t="shared" si="64"/>
        <v>-4.8257999999999995E-2</v>
      </c>
      <c r="F132" s="49">
        <f t="shared" si="64"/>
        <v>-5.30838E-2</v>
      </c>
      <c r="G132" s="49">
        <f t="shared" si="64"/>
        <v>-6.2735399999999997E-2</v>
      </c>
      <c r="H132" s="49">
        <f t="shared" si="64"/>
        <v>-7.2386999999999993E-2</v>
      </c>
      <c r="I132" s="49">
        <f t="shared" ref="I132:J132" si="65">IF(OR(I128 &lt;= Parameter_Period_end, Parameter_Apply_fixed_growth_rate = "0 - No"), I130, -$C118 * (Parameter_Period_end - $C$9) + I131)</f>
        <v>-8.2038600000000003E-2</v>
      </c>
      <c r="J132" s="49">
        <f t="shared" si="65"/>
        <v>-9.1690199999999999E-2</v>
      </c>
    </row>
    <row r="133" spans="1:10" ht="13.7" customHeight="1">
      <c r="B133" s="32"/>
      <c r="C133" s="55"/>
      <c r="D133" s="55"/>
      <c r="E133" s="55"/>
      <c r="F133" s="55"/>
      <c r="G133" s="55"/>
      <c r="H133" s="55"/>
      <c r="I133" s="55"/>
      <c r="J133" s="55"/>
    </row>
    <row r="134" spans="1:10" ht="13.7" customHeight="1">
      <c r="B134" s="25" t="s">
        <v>1030</v>
      </c>
      <c r="C134" s="49">
        <f t="shared" ref="C134:H134" si="66">(1 - $C114 - $C115 - $C116) * C126</f>
        <v>2.0035387603758665E-3</v>
      </c>
      <c r="D134" s="49">
        <f t="shared" si="66"/>
        <v>2.7838366968138155E-3</v>
      </c>
      <c r="E134" s="49">
        <f t="shared" si="66"/>
        <v>4.2176656788158644E-3</v>
      </c>
      <c r="F134" s="49">
        <f t="shared" si="66"/>
        <v>4.4923178693279716E-3</v>
      </c>
      <c r="G134" s="49">
        <f t="shared" si="66"/>
        <v>4.9237610906374832E-3</v>
      </c>
      <c r="H134" s="49">
        <f t="shared" si="66"/>
        <v>5.3595788310253165E-3</v>
      </c>
      <c r="I134" s="49">
        <f t="shared" ref="I134:J134" si="67">(1 - $C114 - $C115 - $C116) * I126</f>
        <v>7.6789605671254866E-3</v>
      </c>
      <c r="J134" s="49">
        <f t="shared" si="67"/>
        <v>9.6042408069040089E-3</v>
      </c>
    </row>
    <row r="135" spans="1:10" ht="13.7" customHeight="1">
      <c r="B135" s="25" t="s">
        <v>1031</v>
      </c>
      <c r="C135" s="49">
        <f t="shared" ref="C135:H135" si="68">C$16 * $C117</f>
        <v>-9.0295369178265781E-3</v>
      </c>
      <c r="D135" s="49">
        <f t="shared" si="68"/>
        <v>-1.1693168474391041E-2</v>
      </c>
      <c r="E135" s="49">
        <f t="shared" si="68"/>
        <v>-1.4230649633151753E-2</v>
      </c>
      <c r="F135" s="49">
        <f t="shared" si="68"/>
        <v>-1.4451629922580552E-2</v>
      </c>
      <c r="G135" s="49">
        <f t="shared" si="68"/>
        <v>-1.6854229595924516E-2</v>
      </c>
      <c r="H135" s="49">
        <f t="shared" si="68"/>
        <v>-1.9528248984759734E-2</v>
      </c>
      <c r="I135" s="49">
        <f t="shared" ref="I135:J135" si="69">I$16 * $C117</f>
        <v>-2.2787498305451116E-2</v>
      </c>
      <c r="J135" s="49">
        <f t="shared" si="69"/>
        <v>-2.4866709838141904E-2</v>
      </c>
    </row>
    <row r="137" spans="1:10" ht="13.7" customHeight="1">
      <c r="B137" s="32" t="s">
        <v>1032</v>
      </c>
      <c r="C137" s="49">
        <f>C132 + C134 - C135</f>
        <v>-1.7921724321797554E-2</v>
      </c>
      <c r="D137" s="49">
        <f t="shared" ref="D137:H137" si="70">D132 + D134 - D135</f>
        <v>-2.4129394828795146E-2</v>
      </c>
      <c r="E137" s="49">
        <f t="shared" si="70"/>
        <v>-2.9809684688032377E-2</v>
      </c>
      <c r="F137" s="49">
        <f t="shared" si="70"/>
        <v>-3.4139852208091473E-2</v>
      </c>
      <c r="G137" s="49">
        <f t="shared" si="70"/>
        <v>-4.0957409313437998E-2</v>
      </c>
      <c r="H137" s="49">
        <f t="shared" si="70"/>
        <v>-4.7499172184214941E-2</v>
      </c>
      <c r="I137" s="49">
        <f t="shared" ref="I137:J137" si="71">I132 + I134 - I135</f>
        <v>-5.1572141127423407E-2</v>
      </c>
      <c r="J137" s="49">
        <f t="shared" si="71"/>
        <v>-5.7219249354954094E-2</v>
      </c>
    </row>
    <row r="138" spans="1:10" ht="13.7" customHeight="1">
      <c r="B138" s="32" t="s">
        <v>1033</v>
      </c>
      <c r="C138" s="49">
        <v>0</v>
      </c>
      <c r="D138" s="49">
        <v>0</v>
      </c>
      <c r="E138" s="49">
        <v>0</v>
      </c>
      <c r="F138" s="49">
        <v>0</v>
      </c>
      <c r="G138" s="49">
        <v>0</v>
      </c>
      <c r="H138" s="49">
        <v>0</v>
      </c>
      <c r="I138" s="49">
        <v>0</v>
      </c>
      <c r="J138" s="49">
        <v>0</v>
      </c>
    </row>
    <row r="139" spans="1:10" ht="13.7" customHeight="1">
      <c r="B139" s="32" t="s">
        <v>1034</v>
      </c>
      <c r="C139" s="49">
        <f t="shared" ref="C139:H139" si="72">(1 + C126)*(1 + C138)*(1 - C137) - 1</f>
        <v>4.5215245965251949E-2</v>
      </c>
      <c r="D139" s="49">
        <f t="shared" si="72"/>
        <v>6.2283918040752173E-2</v>
      </c>
      <c r="E139" s="49">
        <f t="shared" si="72"/>
        <v>8.7936505089609263E-2</v>
      </c>
      <c r="F139" s="49">
        <f t="shared" si="72"/>
        <v>9.6312189897422851E-2</v>
      </c>
      <c r="G139" s="49">
        <f t="shared" si="72"/>
        <v>0.10955002693817972</v>
      </c>
      <c r="H139" s="49">
        <f t="shared" si="72"/>
        <v>0.12263235646094817</v>
      </c>
      <c r="I139" s="49">
        <f t="shared" ref="I139:J139" si="73">(1 + I126)*(1 + I138)*(1 - I137) - 1</f>
        <v>0.15963811044070031</v>
      </c>
      <c r="J139" s="49">
        <f t="shared" si="73"/>
        <v>0.19310550957439565</v>
      </c>
    </row>
    <row r="140" spans="1:10" ht="13.7" customHeight="1">
      <c r="B140" s="220" t="str">
        <f>B47</f>
        <v>Target opex quantity ($'000RY2025)</v>
      </c>
      <c r="C140" s="140">
        <f>$C123*EXP(C139)</f>
        <v>93354.74409293248</v>
      </c>
      <c r="D140" s="140">
        <f t="shared" ref="D140:H140" si="74">$C123*EXP(D139)</f>
        <v>94961.862275263964</v>
      </c>
      <c r="E140" s="140">
        <f t="shared" si="74"/>
        <v>97429.393682873124</v>
      </c>
      <c r="F140" s="140">
        <f t="shared" si="74"/>
        <v>98248.858574606653</v>
      </c>
      <c r="G140" s="140">
        <f t="shared" si="74"/>
        <v>99558.107647412719</v>
      </c>
      <c r="H140" s="140">
        <f t="shared" si="74"/>
        <v>100869.11644494807</v>
      </c>
      <c r="I140" s="140">
        <f t="shared" ref="I140:J140" si="75">$C123*EXP(I139)</f>
        <v>104671.78043060645</v>
      </c>
      <c r="J140" s="140">
        <f t="shared" si="75"/>
        <v>108234.15183552478</v>
      </c>
    </row>
    <row r="142" spans="1:10" s="22" customFormat="1" ht="13.7" customHeight="1">
      <c r="A142" s="2" t="s">
        <v>227</v>
      </c>
      <c r="B142" s="4"/>
      <c r="C142" s="4"/>
    </row>
    <row r="144" spans="1:10" ht="13.7" customHeight="1">
      <c r="A144" s="32"/>
      <c r="B144" s="32"/>
    </row>
    <row r="145" spans="1:2" ht="13.7" customHeight="1">
      <c r="A145" s="23"/>
      <c r="B145" s="23"/>
    </row>
    <row r="146" spans="1:2" ht="13.7" customHeight="1">
      <c r="A146" s="23"/>
      <c r="B146" s="23"/>
    </row>
    <row r="147" spans="1:2" ht="13.7" customHeight="1">
      <c r="A147" s="23"/>
      <c r="B147" s="23"/>
    </row>
    <row r="148" spans="1:2" ht="13.7" customHeight="1">
      <c r="A148" s="23"/>
      <c r="B148" s="23"/>
    </row>
    <row r="149" spans="1:2" ht="13.7" customHeight="1">
      <c r="A149" s="23"/>
      <c r="B149" s="23"/>
    </row>
  </sheetData>
  <hyperlinks>
    <hyperlink ref="A2" location="Index!A1" display="Index"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FF"/>
  </sheetPr>
  <dimension ref="A1:AN107"/>
  <sheetViews>
    <sheetView zoomScaleNormal="100" workbookViewId="0"/>
  </sheetViews>
  <sheetFormatPr defaultColWidth="8.85546875" defaultRowHeight="13.7" customHeight="1"/>
  <cols>
    <col min="1" max="1" width="29.42578125" style="21" customWidth="1"/>
    <col min="2" max="2" width="17.42578125" style="21" bestFit="1" customWidth="1"/>
    <col min="3" max="3" width="19.42578125" style="21" bestFit="1" customWidth="1"/>
    <col min="4" max="7" width="11.42578125" style="21" customWidth="1"/>
    <col min="8" max="8" width="13.7109375" style="21" customWidth="1"/>
    <col min="9" max="9" width="8.85546875" style="21"/>
    <col min="10" max="11" width="11.42578125" style="21" customWidth="1"/>
    <col min="12" max="16" width="8.85546875" style="21"/>
    <col min="17" max="17" width="8.85546875" style="21" customWidth="1"/>
    <col min="18" max="20" width="8.85546875" style="21"/>
    <col min="21" max="21" width="25.42578125" style="21" bestFit="1" customWidth="1"/>
    <col min="22" max="22" width="9.42578125" style="21" bestFit="1" customWidth="1"/>
    <col min="23" max="27" width="8.85546875" style="21"/>
    <col min="28" max="28" width="14.42578125" style="21" bestFit="1" customWidth="1"/>
    <col min="29" max="29" width="8.85546875" style="21"/>
    <col min="30" max="30" width="25.42578125" style="21" bestFit="1" customWidth="1"/>
    <col min="31" max="16384" width="8.85546875" style="21"/>
  </cols>
  <sheetData>
    <row r="1" spans="1:16" s="7" customFormat="1" ht="15.6" customHeight="1">
      <c r="A1" s="1" t="s">
        <v>0</v>
      </c>
    </row>
    <row r="2" spans="1:16" s="16" customFormat="1" ht="13.7" customHeight="1">
      <c r="A2" s="85" t="s">
        <v>5</v>
      </c>
      <c r="C2" s="15"/>
      <c r="E2" s="84"/>
    </row>
    <row r="3" spans="1:16" s="9" customFormat="1" ht="13.7" customHeight="1" thickBot="1">
      <c r="A3" s="8" t="s">
        <v>40</v>
      </c>
    </row>
    <row r="4" spans="1:16" s="9" customFormat="1" ht="13.7" customHeight="1"/>
    <row r="5" spans="1:16" s="4" customFormat="1" ht="13.7" customHeight="1">
      <c r="A5" s="2" t="s">
        <v>1041</v>
      </c>
      <c r="C5" s="3"/>
      <c r="D5" s="5"/>
      <c r="E5" s="5"/>
      <c r="F5" s="5"/>
      <c r="G5" s="5"/>
      <c r="H5" s="5"/>
      <c r="I5" s="5"/>
      <c r="J5" s="6"/>
      <c r="K5" s="6"/>
      <c r="L5" s="5"/>
      <c r="M5" s="5"/>
      <c r="N5" s="5"/>
      <c r="O5" s="5"/>
      <c r="P5" s="5"/>
    </row>
    <row r="6" spans="1:16" s="9" customFormat="1" ht="13.7" customHeight="1"/>
    <row r="7" spans="1:16" s="9" customFormat="1" ht="13.7" customHeight="1"/>
    <row r="8" spans="1:16" s="9" customFormat="1" ht="13.7" customHeight="1"/>
    <row r="9" spans="1:16" s="9" customFormat="1" ht="13.7" customHeight="1"/>
    <row r="10" spans="1:16" s="9" customFormat="1" ht="13.7" customHeight="1"/>
    <row r="11" spans="1:16" s="9" customFormat="1" ht="13.7" customHeight="1"/>
    <row r="12" spans="1:16" s="9" customFormat="1" ht="13.7" customHeight="1"/>
    <row r="13" spans="1:16" s="9" customFormat="1" ht="13.7" customHeight="1"/>
    <row r="14" spans="1:16" s="9" customFormat="1" ht="13.7" customHeight="1"/>
    <row r="15" spans="1:16" s="9" customFormat="1" ht="13.7" customHeight="1"/>
    <row r="16" spans="1:16" s="9" customFormat="1" ht="13.7" customHeight="1"/>
    <row r="17" spans="1:16" s="9" customFormat="1" ht="13.7" customHeight="1"/>
    <row r="18" spans="1:16" s="9" customFormat="1" ht="13.7" customHeight="1"/>
    <row r="19" spans="1:16" s="9" customFormat="1" ht="13.7" customHeight="1"/>
    <row r="20" spans="1:16" s="9" customFormat="1" ht="13.7" customHeight="1"/>
    <row r="21" spans="1:16" s="9" customFormat="1" ht="13.7" customHeight="1"/>
    <row r="22" spans="1:16" s="9" customFormat="1" ht="13.7" customHeight="1"/>
    <row r="23" spans="1:16" s="9" customFormat="1" ht="13.7" customHeight="1"/>
    <row r="24" spans="1:16" s="9" customFormat="1" ht="13.7" customHeight="1"/>
    <row r="25" spans="1:16" s="9" customFormat="1" ht="13.7" customHeight="1"/>
    <row r="26" spans="1:16" s="9" customFormat="1" ht="13.7" customHeight="1"/>
    <row r="27" spans="1:16" s="9" customFormat="1" ht="13.7" customHeight="1"/>
    <row r="28" spans="1:16" s="9" customFormat="1" ht="13.7" customHeight="1"/>
    <row r="29" spans="1:16" s="4" customFormat="1" ht="13.7" customHeight="1">
      <c r="A29" s="2" t="s">
        <v>1042</v>
      </c>
      <c r="C29" s="3"/>
      <c r="D29" s="5"/>
      <c r="E29" s="5"/>
      <c r="F29" s="5"/>
      <c r="G29" s="5"/>
      <c r="H29" s="5"/>
      <c r="I29" s="5"/>
      <c r="J29" s="6"/>
      <c r="K29" s="6"/>
      <c r="L29" s="5"/>
      <c r="M29" s="5"/>
      <c r="N29" s="5"/>
      <c r="O29" s="5"/>
      <c r="P29" s="5"/>
    </row>
    <row r="30" spans="1:16" s="9" customFormat="1" ht="13.7" customHeight="1"/>
    <row r="31" spans="1:16" s="9" customFormat="1" ht="13.7" customHeight="1">
      <c r="A31" s="11" t="s">
        <v>1008</v>
      </c>
      <c r="B31" s="155" t="s">
        <v>1043</v>
      </c>
      <c r="C31" s="155" t="s">
        <v>993</v>
      </c>
    </row>
    <row r="32" spans="1:16" s="9" customFormat="1" ht="13.7" customHeight="1">
      <c r="A32" s="10" t="s">
        <v>1044</v>
      </c>
      <c r="B32" s="42">
        <v>1</v>
      </c>
      <c r="C32" s="42" t="s">
        <v>1045</v>
      </c>
    </row>
    <row r="33" spans="1:40" s="9" customFormat="1" ht="13.7" customHeight="1">
      <c r="A33" s="10" t="s">
        <v>1046</v>
      </c>
      <c r="B33" s="42">
        <v>1</v>
      </c>
      <c r="C33" s="42" t="s">
        <v>1045</v>
      </c>
    </row>
    <row r="34" spans="1:40" s="9" customFormat="1" ht="13.7" customHeight="1">
      <c r="A34" s="10" t="s">
        <v>1047</v>
      </c>
      <c r="B34" s="140">
        <f>IF(C34 &gt;= 7, 0, 1 - VLOOKUP(Parameter_DNSP, Table_Monotonicity_violations_long_LSETLG, MATCH(Parameter_Scenario_number, Header_Table_Econometrics, 0), FALSE))</f>
        <v>1</v>
      </c>
      <c r="C34" s="140" cm="1">
        <f t="array" ref="C34">INDEX(List_Number_of_violations_Long_LSETLG, , MATCH(Parameter_Scenario_number, Header_Table_Econometrics, 0))</f>
        <v>1</v>
      </c>
    </row>
    <row r="35" spans="1:40" s="9" customFormat="1" ht="13.7" customHeight="1">
      <c r="A35" s="10" t="s">
        <v>1048</v>
      </c>
      <c r="B35" s="140">
        <f>IF(C35 &gt;= 7, 0, 1 - VLOOKUP(Parameter_DNSP, Table_Monotonicity_violations_long_SFATLG, MATCH(Parameter_Scenario_number, Header_Table_Econometrics, 0), FALSE))</f>
        <v>0</v>
      </c>
      <c r="C35" s="140" cm="1">
        <f t="array" ref="C35">INDEX(List_Number_of_violations_Long_SFATLG, , MATCH(Parameter_Scenario_number, Header_Table_Econometrics, 0))</f>
        <v>13</v>
      </c>
    </row>
    <row r="36" spans="1:40" s="9" customFormat="1" ht="13.7" customHeight="1"/>
    <row r="37" spans="1:40" s="4" customFormat="1" ht="13.7" customHeight="1">
      <c r="A37" s="2" t="s">
        <v>1049</v>
      </c>
      <c r="C37" s="3"/>
      <c r="D37" s="5"/>
      <c r="E37" s="5"/>
      <c r="F37" s="5"/>
      <c r="G37" s="5"/>
      <c r="H37" s="5"/>
      <c r="I37" s="5"/>
      <c r="J37" s="6"/>
      <c r="K37" s="6"/>
      <c r="L37" s="5"/>
      <c r="M37" s="5"/>
      <c r="N37" s="5"/>
      <c r="O37" s="5"/>
      <c r="P37" s="5"/>
    </row>
    <row r="38" spans="1:40" s="9" customFormat="1" ht="13.7" customHeight="1"/>
    <row r="39" spans="1:40" s="9" customFormat="1" ht="13.7" customHeight="1">
      <c r="A39" s="11" t="s">
        <v>1008</v>
      </c>
      <c r="B39" s="155" t="s">
        <v>1043</v>
      </c>
      <c r="C39" s="155" t="s">
        <v>993</v>
      </c>
    </row>
    <row r="40" spans="1:40" s="9" customFormat="1" ht="13.7" customHeight="1">
      <c r="A40" s="10" t="s">
        <v>1044</v>
      </c>
      <c r="B40" s="150">
        <v>1</v>
      </c>
      <c r="C40" s="150" t="s">
        <v>1045</v>
      </c>
    </row>
    <row r="41" spans="1:40" s="9" customFormat="1" ht="13.7" customHeight="1">
      <c r="A41" s="10" t="s">
        <v>1046</v>
      </c>
      <c r="B41" s="150">
        <v>1</v>
      </c>
      <c r="C41" s="150" t="s">
        <v>1045</v>
      </c>
    </row>
    <row r="42" spans="1:40" s="9" customFormat="1" ht="13.7" customHeight="1">
      <c r="A42" s="10" t="s">
        <v>1047</v>
      </c>
      <c r="B42" s="140">
        <f>IF(C42 &gt;= 7, 0, 1 - VLOOKUP(Parameter_DNSP, Table_Monotonicity_violations_short_LSETLG, MATCH(Parameter_Scenario_number, Header_Table_Econometrics, 0), FALSE))</f>
        <v>0</v>
      </c>
      <c r="C42" s="140" cm="1">
        <f t="array" ref="C42">INDEX(List_Number_of_violations_Short_LSETLG, , MATCH(Parameter_Scenario_number, Header_Table_Econometrics, 0))</f>
        <v>6</v>
      </c>
    </row>
    <row r="43" spans="1:40" s="9" customFormat="1" ht="13.7" customHeight="1">
      <c r="A43" s="10" t="s">
        <v>1048</v>
      </c>
      <c r="B43" s="140">
        <f>IF(C43 &gt;= 7, 0, 1 - VLOOKUP(Parameter_DNSP, Table_Monotonicity_violations_short_SFATLG, MATCH(Parameter_Scenario_number, Header_Table_Econometrics, 0), FALSE))</f>
        <v>0</v>
      </c>
      <c r="C43" s="140" cm="1">
        <f t="array" ref="C43">INDEX(List_Number_of_violations_Short_SFATLG, , MATCH(Parameter_Scenario_number, Header_Table_Econometrics, 0))</f>
        <v>13</v>
      </c>
    </row>
    <row r="44" spans="1:40" s="9" customFormat="1" ht="13.7" customHeight="1"/>
    <row r="45" spans="1:40" s="4" customFormat="1" ht="13.7" customHeight="1">
      <c r="A45" s="2" t="s">
        <v>1050</v>
      </c>
      <c r="C45" s="3"/>
      <c r="D45" s="5"/>
      <c r="E45" s="5"/>
      <c r="F45" s="5"/>
      <c r="G45" s="5"/>
      <c r="H45" s="5"/>
      <c r="I45" s="5"/>
      <c r="J45" s="6"/>
      <c r="K45" s="6"/>
      <c r="L45" s="5"/>
      <c r="M45" s="5"/>
      <c r="N45" s="5"/>
      <c r="O45" s="5"/>
      <c r="P45" s="5"/>
    </row>
    <row r="46" spans="1:40" ht="13.7" customHeight="1">
      <c r="J46" s="310">
        <f>H64</f>
        <v>103.99819307032327</v>
      </c>
      <c r="AN46" s="310">
        <f>I64</f>
        <v>108.3364626249716</v>
      </c>
    </row>
    <row r="47" spans="1:40" ht="13.7" customHeight="1">
      <c r="A47" s="24" t="s">
        <v>1051</v>
      </c>
      <c r="J47" s="310">
        <f>H64</f>
        <v>103.99819307032327</v>
      </c>
      <c r="AN47" s="310">
        <f>$AN$46</f>
        <v>108.3364626249716</v>
      </c>
    </row>
    <row r="48" spans="1:40" ht="13.7" customHeight="1">
      <c r="A48" s="24"/>
      <c r="J48" s="310">
        <f>H64</f>
        <v>103.99819307032327</v>
      </c>
      <c r="AN48" s="310">
        <f t="shared" ref="AN48:AN50" si="0">$AN$46</f>
        <v>108.3364626249716</v>
      </c>
    </row>
    <row r="49" spans="1:40" ht="13.7" customHeight="1">
      <c r="J49" s="310">
        <f>H64</f>
        <v>103.99819307032327</v>
      </c>
      <c r="AN49" s="310">
        <f t="shared" si="0"/>
        <v>108.3364626249716</v>
      </c>
    </row>
    <row r="50" spans="1:40" ht="13.7" customHeight="1">
      <c r="A50" s="23" t="s">
        <v>233</v>
      </c>
      <c r="B50" s="45" t="str">
        <f>Parameter_DNSP</f>
        <v>JEN</v>
      </c>
      <c r="J50" s="310">
        <f>H64</f>
        <v>103.99819307032327</v>
      </c>
      <c r="K50" s="107"/>
      <c r="AN50" s="310">
        <f t="shared" si="0"/>
        <v>108.3364626249716</v>
      </c>
    </row>
    <row r="51" spans="1:40" ht="13.7" customHeight="1">
      <c r="A51" s="23" t="s">
        <v>1052</v>
      </c>
      <c r="B51" s="57">
        <f>Parameter_Period_start_long</f>
        <v>2006</v>
      </c>
      <c r="J51" s="23"/>
      <c r="K51" s="108"/>
    </row>
    <row r="52" spans="1:40" ht="13.7" customHeight="1">
      <c r="A52" s="23" t="s">
        <v>928</v>
      </c>
      <c r="B52" s="57">
        <f>Parameter_Period_end</f>
        <v>2024</v>
      </c>
      <c r="J52" s="23"/>
      <c r="K52" s="108"/>
    </row>
    <row r="53" spans="1:40" ht="13.7" customHeight="1">
      <c r="A53" s="23" t="s">
        <v>1053</v>
      </c>
      <c r="B53" s="57">
        <f>Parameter_Base_year</f>
        <v>2025</v>
      </c>
      <c r="J53" s="23"/>
      <c r="K53" s="108"/>
    </row>
    <row r="54" spans="1:40" ht="13.7" customHeight="1">
      <c r="A54" s="23" t="s">
        <v>932</v>
      </c>
      <c r="B54" s="45">
        <f>Parameter_Efficiency_target</f>
        <v>0.75</v>
      </c>
      <c r="G54" s="247"/>
      <c r="J54" s="23"/>
      <c r="K54" s="107"/>
    </row>
    <row r="56" spans="1:40" ht="13.7" customHeight="1">
      <c r="B56" s="249" t="str">
        <f>"Target opex:"</f>
        <v>Target opex:</v>
      </c>
      <c r="C56" s="138" t="s">
        <v>1054</v>
      </c>
      <c r="K56" s="24"/>
      <c r="AE56" s="24"/>
      <c r="AF56" s="24"/>
    </row>
    <row r="57" spans="1:40" s="254" customFormat="1" ht="13.7" customHeight="1">
      <c r="A57" s="249" t="s">
        <v>1008</v>
      </c>
      <c r="B57" s="249">
        <f t="shared" ref="B57:E57" si="1">C57-1</f>
        <v>2020</v>
      </c>
      <c r="C57" s="249">
        <f t="shared" si="1"/>
        <v>2021</v>
      </c>
      <c r="D57" s="249">
        <f t="shared" si="1"/>
        <v>2022</v>
      </c>
      <c r="E57" s="249">
        <f t="shared" si="1"/>
        <v>2023</v>
      </c>
      <c r="F57" s="249">
        <f>G57-1</f>
        <v>2024</v>
      </c>
      <c r="G57" s="249">
        <v>2025</v>
      </c>
      <c r="H57" s="253" t="str">
        <f>"Base year "&amp;"("&amp;Parameter_Base_year&amp;")"</f>
        <v>Base year (2025)</v>
      </c>
      <c r="I57" s="325" t="s">
        <v>1055</v>
      </c>
      <c r="J57" s="249"/>
      <c r="K57" s="249"/>
      <c r="L57" s="249"/>
      <c r="M57" s="249"/>
      <c r="N57" s="249"/>
      <c r="O57" s="249"/>
      <c r="P57" s="249"/>
      <c r="Q57" s="253"/>
      <c r="U57" s="21"/>
      <c r="V57" s="21"/>
      <c r="W57" s="21"/>
      <c r="X57" s="21"/>
      <c r="Y57" s="21"/>
      <c r="Z57" s="21"/>
      <c r="AA57" s="21"/>
      <c r="AB57" s="21"/>
      <c r="AC57" s="21"/>
      <c r="AD57" s="249"/>
      <c r="AE57" s="249"/>
      <c r="AF57" s="249"/>
      <c r="AG57" s="249"/>
      <c r="AH57" s="249"/>
      <c r="AI57" s="249"/>
      <c r="AJ57" s="249"/>
      <c r="AK57" s="249"/>
      <c r="AL57" s="253"/>
    </row>
    <row r="58" spans="1:40" s="254" customFormat="1" ht="13.7" customHeight="1">
      <c r="A58" s="311" t="s">
        <v>1056</v>
      </c>
      <c r="B58" s="58">
        <f>'Calc|Opex forecasts - Long'!E47/1000</f>
        <v>99.151623731009835</v>
      </c>
      <c r="C58" s="58">
        <f>'Calc|Opex forecasts - Long'!F47/1000</f>
        <v>100.23570650204299</v>
      </c>
      <c r="D58" s="58">
        <f>'Calc|Opex forecasts - Long'!G47/1000</f>
        <v>102.07740421317638</v>
      </c>
      <c r="E58" s="58">
        <f>'Calc|Opex forecasts - Long'!H47/1000</f>
        <v>103.91387274219036</v>
      </c>
      <c r="F58" s="58">
        <f>'Calc|Opex forecasts - Long'!I47/1000</f>
        <v>107.06691032859572</v>
      </c>
      <c r="G58" s="58">
        <f>'Calc|Opex forecasts - Long'!J47/1000+IF('Input|Parameters'!B62="1 - Yes",'Input|Parameters'!B61,0)</f>
        <v>110.51034694127858</v>
      </c>
      <c r="H58" s="58">
        <f>VLOOKUP(A58, Table_Summary_long, MATCH(Parameter_Base_year, Header_Table_Summary_long, 0), FALSE)</f>
        <v>110.51034694127858</v>
      </c>
      <c r="I58" s="58">
        <f>H58*VLOOKUP(G$57,'Lookup tables'!$A$61:$C$81,IF(Parameter_Victorian_or_non_Victorian="Non-Victorian",3,2),FALSE)</f>
        <v>115.12027005104636</v>
      </c>
      <c r="J58" s="252"/>
      <c r="K58" s="255"/>
      <c r="L58" s="255"/>
      <c r="M58" s="255"/>
      <c r="N58" s="255"/>
      <c r="O58" s="255"/>
      <c r="P58" s="255"/>
      <c r="Q58" s="255"/>
      <c r="U58" s="21"/>
      <c r="V58" s="21"/>
      <c r="W58" s="21"/>
      <c r="X58" s="21"/>
      <c r="Y58" s="21"/>
      <c r="Z58" s="21"/>
      <c r="AA58" s="21"/>
      <c r="AB58" s="21"/>
      <c r="AC58" s="21"/>
      <c r="AD58" s="252"/>
      <c r="AE58" s="255"/>
      <c r="AF58" s="255"/>
      <c r="AG58" s="255"/>
      <c r="AH58" s="255"/>
      <c r="AI58" s="255"/>
      <c r="AJ58" s="255"/>
      <c r="AK58" s="255"/>
      <c r="AL58" s="255"/>
    </row>
    <row r="59" spans="1:40" s="254" customFormat="1" ht="13.7" customHeight="1">
      <c r="A59" s="311" t="s">
        <v>1057</v>
      </c>
      <c r="B59" s="58">
        <f>'Calc|Opex forecasts - Long'!E78/1000</f>
        <v>98.416766944505454</v>
      </c>
      <c r="C59" s="58">
        <f>'Calc|Opex forecasts - Long'!F78/1000</f>
        <v>99.198016270792593</v>
      </c>
      <c r="D59" s="58">
        <f>'Calc|Opex forecasts - Long'!G78/1000</f>
        <v>100.43097811089906</v>
      </c>
      <c r="E59" s="58">
        <f>'Calc|Opex forecasts - Long'!H78/1000</f>
        <v>101.64839999251926</v>
      </c>
      <c r="F59" s="58">
        <f>'Calc|Opex forecasts - Long'!I78/1000</f>
        <v>105.93366272941195</v>
      </c>
      <c r="G59" s="58">
        <f>'Calc|Opex forecasts - Long'!J78/1000+IF('Input|Parameters'!B62="1 - Yes",'Input|Parameters'!B61,0)</f>
        <v>109.8667349825735</v>
      </c>
      <c r="H59" s="58">
        <f>VLOOKUP(A59, Table_Summary_long, MATCH(Parameter_Base_year, Header_Table_Summary_long, 0), FALSE)</f>
        <v>109.8667349825735</v>
      </c>
      <c r="I59" s="58">
        <f>H59*VLOOKUP(G$57,'Lookup tables'!$A$61:$C$81,IF(Parameter_Victorian_or_non_Victorian="Non-Victorian",3,2),FALSE)</f>
        <v>114.44980991274291</v>
      </c>
      <c r="J59" s="252"/>
      <c r="K59" s="255"/>
      <c r="L59" s="255"/>
      <c r="M59" s="255"/>
      <c r="N59" s="255"/>
      <c r="O59" s="255"/>
      <c r="P59" s="255"/>
      <c r="Q59" s="255"/>
      <c r="U59" s="21"/>
      <c r="V59" s="21"/>
      <c r="W59" s="21"/>
      <c r="X59" s="21"/>
      <c r="Y59" s="21"/>
      <c r="Z59" s="21"/>
      <c r="AA59" s="21"/>
      <c r="AB59" s="21"/>
      <c r="AC59" s="21"/>
      <c r="AD59" s="252"/>
      <c r="AE59" s="255"/>
      <c r="AF59" s="255"/>
      <c r="AG59" s="255"/>
      <c r="AH59" s="255"/>
      <c r="AI59" s="255"/>
      <c r="AJ59" s="255"/>
      <c r="AK59" s="255"/>
      <c r="AL59" s="255"/>
    </row>
    <row r="60" spans="1:40" s="254" customFormat="1" ht="13.7" customHeight="1">
      <c r="A60" s="311" t="s">
        <v>1058</v>
      </c>
      <c r="B60" s="58">
        <f>'Calc|Opex forecasts - Long'!E109/1000</f>
        <v>81.438347229919557</v>
      </c>
      <c r="C60" s="58">
        <f>'Calc|Opex forecasts - Long'!F109/1000</f>
        <v>82.311029376684843</v>
      </c>
      <c r="D60" s="58">
        <f>'Calc|Opex forecasts - Long'!G109/1000</f>
        <v>83.765168596763758</v>
      </c>
      <c r="E60" s="58">
        <f>'Calc|Opex forecasts - Long'!H109/1000</f>
        <v>85.234513542787283</v>
      </c>
      <c r="F60" s="58">
        <f>'Calc|Opex forecasts - Long'!I109/1000</f>
        <v>88.433706913384569</v>
      </c>
      <c r="G60" s="58">
        <f>'Calc|Opex forecasts - Long'!J109/1000+IF('Input|Parameters'!B62="1 - Yes",'Input|Parameters'!B61,0)</f>
        <v>91.617497287117715</v>
      </c>
      <c r="H60" s="156">
        <f>IF(B34 = 1, VLOOKUP(A60, Table_Summary_long, MATCH(Parameter_Base_year, Header_Table_Summary_long, 0), FALSE), 0)</f>
        <v>91.617497287117715</v>
      </c>
      <c r="I60" s="58">
        <f>H60*VLOOKUP(G$57,'Lookup tables'!$A$61:$C$81,IF(Parameter_Victorian_or_non_Victorian="Non-Victorian",3,2),FALSE)</f>
        <v>95.439307911125553</v>
      </c>
      <c r="J60" s="252"/>
      <c r="K60" s="255"/>
      <c r="L60" s="255"/>
      <c r="M60" s="255"/>
      <c r="N60" s="255"/>
      <c r="O60" s="255"/>
      <c r="P60" s="255"/>
      <c r="Q60" s="255"/>
      <c r="U60" s="21"/>
      <c r="V60" s="21"/>
      <c r="W60" s="21"/>
      <c r="X60" s="21"/>
      <c r="Y60" s="21"/>
      <c r="Z60" s="21"/>
      <c r="AA60" s="21"/>
      <c r="AB60" s="21"/>
      <c r="AC60" s="21"/>
      <c r="AD60" s="252"/>
      <c r="AE60" s="255"/>
      <c r="AF60" s="255"/>
      <c r="AG60" s="255"/>
      <c r="AH60" s="255"/>
      <c r="AI60" s="255"/>
      <c r="AJ60" s="255"/>
      <c r="AK60" s="255"/>
      <c r="AL60" s="255"/>
    </row>
    <row r="61" spans="1:40" s="254" customFormat="1" ht="13.7" customHeight="1">
      <c r="A61" s="311" t="s">
        <v>1059</v>
      </c>
      <c r="B61" s="58">
        <f>'Calc|Opex forecasts - Long'!E140/1000</f>
        <v>97.429393682873126</v>
      </c>
      <c r="C61" s="58">
        <f>'Calc|Opex forecasts - Long'!F140/1000</f>
        <v>98.248858574606658</v>
      </c>
      <c r="D61" s="58">
        <f>'Calc|Opex forecasts - Long'!G140/1000</f>
        <v>99.558107647412712</v>
      </c>
      <c r="E61" s="58">
        <f>'Calc|Opex forecasts - Long'!H140/1000</f>
        <v>100.86911644494808</v>
      </c>
      <c r="F61" s="58">
        <f>'Calc|Opex forecasts - Long'!I140/1000</f>
        <v>104.67178043060645</v>
      </c>
      <c r="G61" s="58">
        <f>'Calc|Opex forecasts - Long'!J140/1000+IF('Input|Parameters'!B62="1 - Yes",'Input|Parameters'!B61,0)</f>
        <v>108.23415183552478</v>
      </c>
      <c r="H61" s="156">
        <f>IF(B35 = 1, VLOOKUP(A61, Table_Summary_long, MATCH(Parameter_Base_year, Header_Table_Summary_long, 0), FALSE), 0)</f>
        <v>0</v>
      </c>
      <c r="I61" s="58">
        <f>H61*VLOOKUP(G$57,'Lookup tables'!$A$61:$C$81,IF(Parameter_Victorian_or_non_Victorian="Non-Victorian",3,2),FALSE)</f>
        <v>0</v>
      </c>
      <c r="J61" s="252"/>
      <c r="K61" s="255"/>
      <c r="L61" s="255"/>
      <c r="M61" s="255"/>
      <c r="N61" s="255"/>
      <c r="O61" s="255"/>
      <c r="P61" s="255"/>
      <c r="Q61" s="255"/>
      <c r="U61" s="21"/>
      <c r="V61" s="21"/>
      <c r="W61" s="21"/>
      <c r="X61" s="21"/>
      <c r="Y61" s="21"/>
      <c r="Z61" s="21"/>
      <c r="AA61" s="21"/>
      <c r="AB61" s="21"/>
      <c r="AC61" s="21"/>
      <c r="AD61" s="252"/>
      <c r="AE61" s="255"/>
      <c r="AF61" s="255"/>
      <c r="AG61" s="255"/>
      <c r="AH61" s="255"/>
      <c r="AI61" s="255"/>
      <c r="AJ61" s="255"/>
      <c r="AK61" s="255"/>
      <c r="AL61" s="255"/>
    </row>
    <row r="62" spans="1:40" s="254" customFormat="1" ht="13.7" customHeight="1">
      <c r="A62" s="252" t="s">
        <v>1060</v>
      </c>
      <c r="B62" s="58">
        <f>'Calc|Cost drivers'!O19/1000</f>
        <v>106.0035703902457</v>
      </c>
      <c r="C62" s="58">
        <f>'Calc|Cost drivers'!P19/1000</f>
        <v>106.19685334923992</v>
      </c>
      <c r="D62" s="58">
        <f>'Calc|Cost drivers'!Q19/1000</f>
        <v>94.517926254270577</v>
      </c>
      <c r="E62" s="58">
        <f>'Calc|Cost drivers'!R19/1000</f>
        <v>85.001123486431737</v>
      </c>
      <c r="F62" s="58">
        <f>'Calc|Cost drivers'!S19/1000</f>
        <v>82.047793151319667</v>
      </c>
      <c r="G62" s="58">
        <f>'Calc|Cost drivers'!V19/1000</f>
        <v>92.14774181478063</v>
      </c>
      <c r="H62" s="58">
        <f>VLOOKUP(A62, Table_Summary_long, MATCH(Parameter_Base_year, Header_Table_Summary_long, 0), FALSE)</f>
        <v>92.14774181478063</v>
      </c>
      <c r="I62" s="58">
        <f>H62*VLOOKUP(G$57,'Lookup tables'!$A$61:$C$81,IF(Parameter_Victorian_or_non_Victorian="Non-Victorian",3,2),FALSE)</f>
        <v>95.991671512427786</v>
      </c>
      <c r="J62" s="252"/>
      <c r="K62" s="255"/>
      <c r="L62" s="255"/>
      <c r="M62" s="255"/>
      <c r="N62" s="255"/>
      <c r="O62" s="255"/>
      <c r="P62" s="255"/>
      <c r="Q62" s="255"/>
      <c r="U62" s="21"/>
      <c r="V62" s="21"/>
      <c r="W62" s="21"/>
      <c r="X62" s="21"/>
      <c r="Y62" s="21"/>
      <c r="Z62" s="21"/>
      <c r="AA62" s="21"/>
      <c r="AB62" s="21"/>
      <c r="AC62" s="21"/>
      <c r="AD62" s="252"/>
      <c r="AE62" s="255"/>
      <c r="AF62" s="255"/>
      <c r="AG62" s="255"/>
      <c r="AH62" s="255"/>
      <c r="AI62" s="255"/>
      <c r="AJ62" s="255"/>
      <c r="AK62" s="255"/>
      <c r="AL62" s="255"/>
    </row>
    <row r="63" spans="1:40" s="254" customFormat="1" ht="13.7" customHeight="1">
      <c r="A63" s="252"/>
      <c r="B63" s="256"/>
      <c r="C63" s="256"/>
      <c r="D63" s="256"/>
      <c r="E63" s="256"/>
      <c r="F63" s="256"/>
      <c r="G63" s="256"/>
      <c r="H63" s="257"/>
      <c r="I63" s="257"/>
      <c r="J63" s="252"/>
      <c r="K63" s="258"/>
      <c r="L63" s="258"/>
      <c r="M63" s="258"/>
      <c r="N63" s="258"/>
      <c r="O63" s="258"/>
      <c r="P63" s="258"/>
      <c r="Q63" s="259"/>
      <c r="U63" s="21"/>
      <c r="V63" s="21"/>
      <c r="W63" s="21"/>
      <c r="X63" s="21"/>
      <c r="Y63" s="21"/>
      <c r="Z63" s="21"/>
      <c r="AA63" s="21"/>
      <c r="AB63" s="21"/>
      <c r="AC63" s="21"/>
      <c r="AD63" s="252"/>
      <c r="AE63" s="260"/>
      <c r="AF63" s="260"/>
      <c r="AG63" s="260"/>
      <c r="AH63" s="260"/>
      <c r="AI63" s="260"/>
      <c r="AJ63" s="260"/>
      <c r="AK63" s="260"/>
      <c r="AL63" s="259"/>
    </row>
    <row r="64" spans="1:40" s="254" customFormat="1" ht="13.7" customHeight="1">
      <c r="A64" s="249" t="s">
        <v>1061</v>
      </c>
      <c r="B64" s="58">
        <f t="shared" ref="B64:F64" si="2">AVERAGEIF($B$32:$B$35, 1, B58:B61)</f>
        <v>93.002245968478277</v>
      </c>
      <c r="C64" s="58">
        <f t="shared" si="2"/>
        <v>93.914917383173474</v>
      </c>
      <c r="D64" s="58">
        <f t="shared" si="2"/>
        <v>95.42451697361308</v>
      </c>
      <c r="E64" s="58">
        <f t="shared" si="2"/>
        <v>96.932262092498959</v>
      </c>
      <c r="F64" s="58">
        <f t="shared" si="2"/>
        <v>100.47809332379741</v>
      </c>
      <c r="G64" s="58">
        <f>AVERAGEIF($B$32:$B$35, 1, G58:G61)</f>
        <v>103.99819307032327</v>
      </c>
      <c r="H64" s="58">
        <f>AVERAGEIF($B$32:$B$35,1,H58:H61)</f>
        <v>103.99819307032327</v>
      </c>
      <c r="I64" s="58">
        <f>H64*VLOOKUP(G$57,'Lookup tables'!$A$61:$C$81,IF(Parameter_Victorian_or_non_Victorian="Non-Victorian",3,2),FALSE)</f>
        <v>108.3364626249716</v>
      </c>
      <c r="J64" s="249"/>
      <c r="K64" s="255"/>
      <c r="L64" s="255"/>
      <c r="M64" s="255"/>
      <c r="N64" s="255"/>
      <c r="O64" s="255"/>
      <c r="P64" s="255"/>
      <c r="Q64" s="255"/>
      <c r="U64" s="21"/>
      <c r="V64" s="21"/>
      <c r="W64" s="21"/>
      <c r="X64" s="21"/>
      <c r="Y64" s="21"/>
      <c r="Z64" s="21"/>
      <c r="AA64" s="21"/>
      <c r="AB64" s="21"/>
      <c r="AC64" s="21"/>
      <c r="AD64" s="249"/>
      <c r="AE64" s="255"/>
      <c r="AF64" s="255"/>
      <c r="AG64" s="255"/>
      <c r="AH64" s="255"/>
      <c r="AI64" s="255"/>
      <c r="AJ64" s="255"/>
      <c r="AK64" s="255"/>
      <c r="AL64" s="255"/>
    </row>
    <row r="65" spans="1:40" s="254" customFormat="1" ht="13.7" customHeight="1">
      <c r="A65" s="249" t="s">
        <v>1062</v>
      </c>
      <c r="B65" s="79">
        <f>B64 - B62</f>
        <v>-13.001324421767421</v>
      </c>
      <c r="C65" s="79">
        <f t="shared" ref="C65:G65" si="3">C64 - C62</f>
        <v>-12.281935966066442</v>
      </c>
      <c r="D65" s="79">
        <f t="shared" si="3"/>
        <v>0.90659071934250335</v>
      </c>
      <c r="E65" s="79">
        <f t="shared" si="3"/>
        <v>11.931138606067222</v>
      </c>
      <c r="F65" s="79">
        <f t="shared" si="3"/>
        <v>18.430300172477743</v>
      </c>
      <c r="G65" s="79">
        <f t="shared" si="3"/>
        <v>11.850451255542637</v>
      </c>
      <c r="H65" s="79">
        <f>H64 - H62</f>
        <v>11.850451255542637</v>
      </c>
      <c r="I65" s="79">
        <f>I64 - I62</f>
        <v>12.344791112543817</v>
      </c>
      <c r="J65" s="249"/>
      <c r="K65" s="262"/>
      <c r="L65" s="262"/>
      <c r="M65" s="262"/>
      <c r="N65" s="262"/>
      <c r="O65" s="262"/>
      <c r="P65" s="262"/>
      <c r="Q65" s="262"/>
      <c r="U65" s="21"/>
      <c r="V65" s="21"/>
      <c r="W65" s="21"/>
      <c r="X65" s="21"/>
      <c r="Y65" s="21"/>
      <c r="Z65" s="21"/>
      <c r="AA65" s="21"/>
      <c r="AB65" s="21"/>
      <c r="AC65" s="21"/>
      <c r="AD65" s="249"/>
      <c r="AE65" s="262"/>
      <c r="AF65" s="262"/>
      <c r="AG65" s="262"/>
      <c r="AH65" s="262"/>
      <c r="AI65" s="262"/>
      <c r="AJ65" s="262"/>
      <c r="AK65" s="262"/>
      <c r="AL65" s="262"/>
    </row>
    <row r="66" spans="1:40" s="254" customFormat="1" ht="13.7" customHeight="1">
      <c r="A66" s="252" t="s">
        <v>1063</v>
      </c>
      <c r="B66" s="59">
        <f>B65/B62</f>
        <v>-0.12264987277224565</v>
      </c>
      <c r="C66" s="59">
        <f t="shared" ref="C66:I66" si="4">C65/C62</f>
        <v>-0.11565254128270598</v>
      </c>
      <c r="D66" s="59">
        <f t="shared" si="4"/>
        <v>9.5917330740372762E-3</v>
      </c>
      <c r="E66" s="59">
        <f t="shared" si="4"/>
        <v>0.14036448127620013</v>
      </c>
      <c r="F66" s="59">
        <f t="shared" si="4"/>
        <v>0.22462883478763387</v>
      </c>
      <c r="G66" s="59">
        <f t="shared" si="4"/>
        <v>0.12860273102907235</v>
      </c>
      <c r="H66" s="136">
        <f t="shared" si="4"/>
        <v>0.12860273102907235</v>
      </c>
      <c r="I66" s="136">
        <f t="shared" si="4"/>
        <v>0.12860273102907235</v>
      </c>
      <c r="J66" s="252"/>
      <c r="K66" s="263"/>
      <c r="L66" s="263"/>
      <c r="M66" s="263"/>
      <c r="N66" s="263"/>
      <c r="O66" s="263"/>
      <c r="P66" s="263"/>
      <c r="Q66" s="263"/>
      <c r="U66" s="21"/>
      <c r="V66" s="21"/>
      <c r="W66" s="21"/>
      <c r="X66" s="21"/>
      <c r="Y66" s="21"/>
      <c r="Z66" s="21"/>
      <c r="AA66" s="21"/>
      <c r="AB66" s="21"/>
      <c r="AC66" s="21"/>
      <c r="AD66" s="252"/>
      <c r="AE66" s="263"/>
      <c r="AF66" s="263"/>
      <c r="AG66" s="263"/>
      <c r="AH66" s="263"/>
      <c r="AI66" s="263"/>
      <c r="AJ66" s="263"/>
      <c r="AK66" s="263"/>
      <c r="AL66" s="264"/>
    </row>
    <row r="67" spans="1:40" s="254" customFormat="1" ht="13.7" customHeight="1">
      <c r="A67" s="252"/>
      <c r="B67" s="263"/>
      <c r="C67" s="263"/>
      <c r="D67" s="263"/>
      <c r="E67" s="263"/>
      <c r="F67" s="263"/>
      <c r="G67" s="263"/>
      <c r="H67" s="264"/>
      <c r="J67" s="252"/>
      <c r="K67" s="263"/>
      <c r="L67" s="263"/>
      <c r="M67" s="263"/>
      <c r="N67" s="263"/>
      <c r="O67" s="263"/>
      <c r="P67" s="263"/>
      <c r="Q67" s="263"/>
      <c r="U67" s="21"/>
      <c r="V67" s="21"/>
      <c r="W67" s="21"/>
      <c r="X67" s="21"/>
      <c r="Y67" s="21"/>
      <c r="Z67" s="21"/>
      <c r="AA67" s="21"/>
      <c r="AB67" s="21"/>
      <c r="AC67" s="21"/>
      <c r="AD67" s="252"/>
      <c r="AE67" s="263"/>
      <c r="AF67" s="263"/>
      <c r="AG67" s="263"/>
      <c r="AH67" s="263"/>
      <c r="AI67" s="263"/>
      <c r="AJ67" s="263"/>
      <c r="AK67" s="263"/>
      <c r="AL67" s="264"/>
    </row>
    <row r="68" spans="1:40" s="254" customFormat="1" ht="13.7" customHeight="1">
      <c r="A68" s="252" t="s">
        <v>1064</v>
      </c>
      <c r="B68" s="58">
        <f>'Calc|Cost drivers'!Q15/1000</f>
        <v>83.587755040000005</v>
      </c>
      <c r="C68" s="58">
        <f>'Calc|Cost drivers'!R15/1000</f>
        <v>75.656824589999999</v>
      </c>
      <c r="D68" s="58">
        <f>'Calc|Cost drivers'!S15/1000</f>
        <v>74.664096995365099</v>
      </c>
      <c r="E68" s="58">
        <f>'Calc|Cost drivers'!T15/1000</f>
        <v>82.877291930000013</v>
      </c>
      <c r="F68" s="58">
        <f>'Calc|Cost drivers'!U15/1000</f>
        <v>88.592699199999998</v>
      </c>
      <c r="G68" s="58">
        <f>'Calc|Cost drivers'!V15/1000</f>
        <v>92.14774181478063</v>
      </c>
      <c r="H68" s="58">
        <f>VLOOKUP(A68, Table_Summary_long, MATCH(Parameter_Base_year, Header_Table_Summary_long, 0), FALSE)</f>
        <v>92.14774181478063</v>
      </c>
      <c r="U68" s="21"/>
      <c r="V68" s="21"/>
      <c r="W68" s="21"/>
      <c r="X68" s="21"/>
      <c r="Y68" s="21"/>
      <c r="Z68" s="21"/>
      <c r="AA68" s="21"/>
      <c r="AB68" s="21"/>
      <c r="AC68" s="21"/>
      <c r="AD68" s="252"/>
      <c r="AE68" s="255"/>
      <c r="AF68" s="255"/>
      <c r="AG68" s="255"/>
      <c r="AH68" s="255"/>
      <c r="AI68" s="255"/>
      <c r="AJ68" s="255"/>
      <c r="AK68" s="255"/>
      <c r="AL68" s="255"/>
    </row>
    <row r="69" spans="1:40" s="254" customFormat="1" ht="13.7" customHeight="1">
      <c r="A69" s="252" t="s">
        <v>1065</v>
      </c>
      <c r="B69" s="58">
        <f>B68*(1+B66)</f>
        <v>73.335727519026378</v>
      </c>
      <c r="C69" s="58">
        <f t="shared" ref="C69:F69" si="5">C68*(1+C66)</f>
        <v>66.906920560786574</v>
      </c>
      <c r="D69" s="58">
        <f t="shared" si="5"/>
        <v>75.380255083958673</v>
      </c>
      <c r="E69" s="58">
        <f t="shared" si="5"/>
        <v>94.510320021330671</v>
      </c>
      <c r="F69" s="58">
        <f t="shared" si="5"/>
        <v>108.49317399198735</v>
      </c>
      <c r="G69" s="58">
        <f>G68*(1+G66)</f>
        <v>103.99819307032325</v>
      </c>
      <c r="H69" s="58">
        <f>VLOOKUP(A69, Table_Summary_long, MATCH(Parameter_Base_year, Header_Table_Summary_long, 0), FALSE)+H48</f>
        <v>103.99819307032325</v>
      </c>
      <c r="U69" s="21"/>
      <c r="V69" s="21"/>
      <c r="W69" s="21"/>
      <c r="X69" s="21"/>
      <c r="Y69" s="21"/>
      <c r="Z69" s="21"/>
      <c r="AA69" s="21"/>
      <c r="AB69" s="21"/>
      <c r="AC69" s="21"/>
      <c r="AD69" s="252"/>
      <c r="AE69" s="255"/>
      <c r="AF69" s="255"/>
      <c r="AG69" s="255"/>
      <c r="AH69" s="255"/>
      <c r="AI69" s="255"/>
      <c r="AJ69" s="255"/>
      <c r="AK69" s="255"/>
      <c r="AL69" s="255"/>
    </row>
    <row r="70" spans="1:40" s="254" customFormat="1" ht="13.7" customHeight="1">
      <c r="A70" s="138"/>
      <c r="B70" s="252"/>
      <c r="C70" s="252"/>
      <c r="D70" s="252"/>
      <c r="E70" s="252"/>
      <c r="F70" s="265"/>
      <c r="G70" s="252"/>
      <c r="H70" s="141">
        <f>MIN(H68,H69)</f>
        <v>92.14774181478063</v>
      </c>
      <c r="U70" s="21"/>
      <c r="V70" s="21"/>
      <c r="W70" s="21"/>
      <c r="X70" s="21"/>
      <c r="Y70" s="21"/>
      <c r="Z70" s="21"/>
      <c r="AA70" s="21"/>
      <c r="AB70" s="21"/>
      <c r="AC70" s="21"/>
      <c r="AD70" s="249"/>
      <c r="AE70" s="252"/>
      <c r="AF70" s="252"/>
      <c r="AG70" s="252"/>
      <c r="AH70" s="252"/>
      <c r="AI70" s="258"/>
      <c r="AJ70" s="252"/>
      <c r="AK70" s="252"/>
      <c r="AL70" s="266"/>
    </row>
    <row r="71" spans="1:40" s="254" customFormat="1" ht="13.7" customHeight="1">
      <c r="A71" s="252" t="str">
        <f>"Actual / proposed opex ($m, "&amp;Parameter_Results_dollar_basis&amp;")"</f>
        <v>Actual / proposed opex ($m, Jun-2026)</v>
      </c>
      <c r="B71" s="58">
        <f>B68*VLOOKUP(B$57,'Lookup tables'!$A$61:$C$81,IF(Parameter_Victorian_or_non_Victorian="Non-Victorian",3,2),FALSE)</f>
        <v>106.74441276863817</v>
      </c>
      <c r="C71" s="58">
        <f>C68*VLOOKUP(C$57,'Lookup tables'!$A$61:$C$81,IF(Parameter_Victorian_or_non_Victorian="Non-Victorian",3,2),FALSE)</f>
        <v>94.308103905968352</v>
      </c>
      <c r="D71" s="58">
        <f>D68*VLOOKUP(D$57,'Lookup tables'!$A$61:$C$81,IF(Parameter_Victorian_or_non_Victorian="Non-Victorian",3,2),FALSE)</f>
        <v>89.924810578027802</v>
      </c>
      <c r="E71" s="58">
        <f>E68*VLOOKUP(E$57,'Lookup tables'!$A$61:$C$81,IF(Parameter_Victorian_or_non_Victorian="Non-Victorian",3,2),FALSE)</f>
        <v>92.567028644815821</v>
      </c>
      <c r="F71" s="58">
        <f>F68*VLOOKUP(F$57,'Lookup tables'!$A$61:$C$81,IF(Parameter_Victorian_or_non_Victorian="Non-Victorian",3,2),FALSE)</f>
        <v>95.097330098573394</v>
      </c>
      <c r="G71" s="58">
        <f>G68*VLOOKUP(G$57,'Lookup tables'!$A$61:$C$81,IF(Parameter_Victorian_or_non_Victorian="Non-Victorian",3,2),FALSE)</f>
        <v>95.991671512427786</v>
      </c>
      <c r="H71" s="58">
        <f>VLOOKUP(A71, Table_Summary_long, MATCH(Parameter_Base_year, Header_Table_Summary_long, 0), FALSE)</f>
        <v>95.991671512427786</v>
      </c>
      <c r="U71" s="21"/>
      <c r="V71" s="21"/>
      <c r="W71" s="21"/>
      <c r="X71" s="21"/>
      <c r="Y71" s="21"/>
      <c r="Z71" s="21"/>
      <c r="AA71" s="21"/>
      <c r="AB71" s="21"/>
      <c r="AC71" s="21"/>
      <c r="AD71" s="252"/>
      <c r="AE71" s="267"/>
      <c r="AF71" s="267"/>
      <c r="AG71" s="267"/>
      <c r="AH71" s="267"/>
      <c r="AI71" s="267"/>
      <c r="AJ71" s="267"/>
      <c r="AK71" s="267"/>
      <c r="AL71" s="268"/>
    </row>
    <row r="72" spans="1:40" s="254" customFormat="1" ht="12.6" customHeight="1">
      <c r="A72" s="252" t="str">
        <f>"Model average ($m, "&amp;Parameter_Results_dollar_basis&amp;")"</f>
        <v>Model average ($m, Jun-2026)</v>
      </c>
      <c r="B72" s="58">
        <f>B69*VLOOKUP(B$57,'Lookup tables'!$A$61:$C$81,IF(Parameter_Victorian_or_non_Victorian="Non-Victorian",3,2),FALSE)</f>
        <v>93.65222412341663</v>
      </c>
      <c r="C72" s="58">
        <f>C69*VLOOKUP(C$57,'Lookup tables'!$A$61:$C$81,IF(Parameter_Victorian_or_non_Victorian="Non-Victorian",3,2),FALSE)</f>
        <v>83.40113202568962</v>
      </c>
      <c r="D72" s="58">
        <f>D69*VLOOKUP(D$57,'Lookup tables'!$A$61:$C$81,IF(Parameter_Victorian_or_non_Victorian="Non-Victorian",3,2),FALSE)</f>
        <v>90.787345357825615</v>
      </c>
      <c r="E72" s="58">
        <f>E69*VLOOKUP(E$57,'Lookup tables'!$A$61:$C$81,IF(Parameter_Victorian_or_non_Victorian="Non-Victorian",3,2),FALSE)</f>
        <v>105.56015160382455</v>
      </c>
      <c r="F72" s="58">
        <f>F69*VLOOKUP(F$57,'Lookup tables'!$A$61:$C$81,IF(Parameter_Victorian_or_non_Victorian="Non-Victorian",3,2),FALSE)</f>
        <v>116.45893255003092</v>
      </c>
      <c r="G72" s="58">
        <f>G69*VLOOKUP(G$57,'Lookup tables'!$A$61:$C$81,IF(Parameter_Victorian_or_non_Victorian="Non-Victorian",3,2),FALSE)</f>
        <v>108.33646262497159</v>
      </c>
      <c r="H72" s="58">
        <f>VLOOKUP(A72, Table_Summary_long, MATCH(Parameter_Base_year, Header_Table_Summary_long, 0), FALSE)</f>
        <v>108.33646262497159</v>
      </c>
      <c r="U72" s="21"/>
      <c r="V72" s="21"/>
      <c r="W72" s="21"/>
      <c r="X72" s="21"/>
      <c r="Y72" s="21"/>
      <c r="Z72" s="21"/>
      <c r="AA72" s="21"/>
      <c r="AB72" s="21"/>
      <c r="AC72" s="21"/>
      <c r="AD72" s="252"/>
      <c r="AE72" s="267"/>
      <c r="AF72" s="267"/>
      <c r="AG72" s="267"/>
      <c r="AH72" s="267"/>
      <c r="AI72" s="267"/>
      <c r="AJ72" s="267"/>
      <c r="AK72" s="267"/>
      <c r="AL72" s="268"/>
    </row>
    <row r="73" spans="1:40" ht="13.7" customHeight="1">
      <c r="A73" s="23"/>
      <c r="B73" s="23"/>
      <c r="C73" s="23"/>
      <c r="D73" s="23"/>
      <c r="E73" s="23"/>
      <c r="F73" s="23"/>
      <c r="G73" s="23"/>
      <c r="H73" s="58">
        <f>MIN(H71,H72)</f>
        <v>95.991671512427786</v>
      </c>
      <c r="AD73" s="24"/>
      <c r="AE73" s="215"/>
      <c r="AF73" s="215"/>
      <c r="AG73" s="215"/>
      <c r="AH73" s="215"/>
      <c r="AI73" s="215"/>
      <c r="AJ73" s="215"/>
      <c r="AK73" s="23"/>
      <c r="AL73" s="212"/>
    </row>
    <row r="74" spans="1:40" ht="13.7" customHeight="1">
      <c r="A74" s="24"/>
      <c r="B74" s="23"/>
      <c r="C74" s="23"/>
      <c r="D74" s="23"/>
      <c r="E74" s="23"/>
      <c r="F74" s="56"/>
      <c r="G74" s="204"/>
      <c r="H74" s="204"/>
    </row>
    <row r="75" spans="1:40" s="4" customFormat="1" ht="13.7" customHeight="1">
      <c r="A75" s="2" t="s">
        <v>1066</v>
      </c>
      <c r="C75" s="3"/>
      <c r="D75" s="5"/>
      <c r="E75" s="5"/>
      <c r="F75" s="5"/>
      <c r="G75" s="5"/>
      <c r="H75" s="309"/>
      <c r="I75" s="309"/>
      <c r="J75" s="6"/>
      <c r="K75" s="6"/>
      <c r="L75" s="5"/>
      <c r="M75" s="5"/>
      <c r="N75" s="5"/>
      <c r="O75" s="5"/>
      <c r="P75" s="5"/>
    </row>
    <row r="76" spans="1:40" ht="13.7" customHeight="1">
      <c r="J76" s="310">
        <f>H94</f>
        <v>95.061360933793836</v>
      </c>
      <c r="AN76" s="310">
        <f>I94</f>
        <v>99.026831830808845</v>
      </c>
    </row>
    <row r="77" spans="1:40" ht="13.7" customHeight="1">
      <c r="A77" s="24" t="s">
        <v>1051</v>
      </c>
      <c r="J77" s="310">
        <f>H94</f>
        <v>95.061360933793836</v>
      </c>
      <c r="AN77" s="310">
        <f>$AN$76</f>
        <v>99.026831830808845</v>
      </c>
    </row>
    <row r="78" spans="1:40" ht="13.7" customHeight="1">
      <c r="A78" s="24"/>
      <c r="J78" s="310">
        <f>H94</f>
        <v>95.061360933793836</v>
      </c>
      <c r="AN78" s="310">
        <f t="shared" ref="AN78:AN80" si="6">$AN$76</f>
        <v>99.026831830808845</v>
      </c>
    </row>
    <row r="79" spans="1:40" ht="13.7" customHeight="1">
      <c r="J79" s="310">
        <f>H94</f>
        <v>95.061360933793836</v>
      </c>
      <c r="AN79" s="310">
        <f t="shared" si="6"/>
        <v>99.026831830808845</v>
      </c>
    </row>
    <row r="80" spans="1:40" ht="13.7" customHeight="1">
      <c r="A80" s="23" t="s">
        <v>233</v>
      </c>
      <c r="B80" s="45" t="str">
        <f>Parameter_DNSP</f>
        <v>JEN</v>
      </c>
      <c r="J80" s="310">
        <f>H94</f>
        <v>95.061360933793836</v>
      </c>
      <c r="AN80" s="310">
        <f t="shared" si="6"/>
        <v>99.026831830808845</v>
      </c>
    </row>
    <row r="81" spans="1:9" ht="13.7" customHeight="1">
      <c r="A81" s="23" t="s">
        <v>1052</v>
      </c>
      <c r="B81" s="57">
        <f>Parameter_Period_start_short</f>
        <v>2012</v>
      </c>
    </row>
    <row r="82" spans="1:9" ht="13.7" customHeight="1">
      <c r="A82" s="23" t="s">
        <v>928</v>
      </c>
      <c r="B82" s="57">
        <f>Parameter_Period_end</f>
        <v>2024</v>
      </c>
    </row>
    <row r="83" spans="1:9" ht="13.7" customHeight="1">
      <c r="A83" s="23" t="s">
        <v>1053</v>
      </c>
      <c r="B83" s="57">
        <f>Parameter_Base_year</f>
        <v>2025</v>
      </c>
    </row>
    <row r="84" spans="1:9" ht="13.7" customHeight="1">
      <c r="A84" s="23" t="s">
        <v>932</v>
      </c>
      <c r="B84" s="45">
        <f>Parameter_Efficiency_target</f>
        <v>0.75</v>
      </c>
    </row>
    <row r="86" spans="1:9" ht="13.7" customHeight="1">
      <c r="B86" s="249" t="str">
        <f>"Target opex:"</f>
        <v>Target opex:</v>
      </c>
      <c r="C86" s="249" t="str">
        <f>C56</f>
        <v>($m, $RY2025)</v>
      </c>
    </row>
    <row r="87" spans="1:9" ht="13.7" customHeight="1">
      <c r="A87" s="24" t="s">
        <v>1008</v>
      </c>
      <c r="B87" s="249">
        <v>2020</v>
      </c>
      <c r="C87" s="249">
        <v>2021</v>
      </c>
      <c r="D87" s="249">
        <v>2022</v>
      </c>
      <c r="E87" s="249">
        <v>2023</v>
      </c>
      <c r="F87" s="249">
        <v>2024</v>
      </c>
      <c r="G87" s="249">
        <v>2025</v>
      </c>
      <c r="H87" s="253" t="str">
        <f>"Base year "&amp;"("&amp;Parameter_Base_year&amp;")"</f>
        <v>Base year (2025)</v>
      </c>
      <c r="I87" s="325" t="s">
        <v>1055</v>
      </c>
    </row>
    <row r="88" spans="1:9" ht="13.7" customHeight="1">
      <c r="A88" s="311" t="s">
        <v>1056</v>
      </c>
      <c r="B88" s="58">
        <f>'Calc|Opex forecasts - Short'!E47/1000</f>
        <v>89.96113453677431</v>
      </c>
      <c r="C88" s="58">
        <f>'Calc|Opex forecasts - Short'!F47/1000</f>
        <v>90.705901320592645</v>
      </c>
      <c r="D88" s="58">
        <f>'Calc|Opex forecasts - Short'!G47/1000</f>
        <v>91.868510259499146</v>
      </c>
      <c r="E88" s="58">
        <f>'Calc|Opex forecasts - Short'!H47/1000</f>
        <v>93.015154313247308</v>
      </c>
      <c r="F88" s="58">
        <f>'Calc|Opex forecasts - Short'!I47/1000</f>
        <v>95.126387458270301</v>
      </c>
      <c r="G88" s="58">
        <f>'Calc|Opex forecasts - Short'!J47/1000+IF('Input|Parameters'!B62="1 - Yes",'Input|Parameters'!B61,0)</f>
        <v>97.452535681706706</v>
      </c>
      <c r="H88" s="58">
        <f>VLOOKUP(A88, Table_Summary_short, MATCH(Parameter_Base_year, Header_Table_Summary_short, 0), FALSE)</f>
        <v>97.452535681706706</v>
      </c>
      <c r="I88" s="58">
        <f>H88*VLOOKUP(G$57,'Lookup tables'!$A$61:$C$81,IF(Parameter_Victorian_or_non_Victorian="Non-Victorian",3,2),FALSE)</f>
        <v>101.51775408685101</v>
      </c>
    </row>
    <row r="89" spans="1:9" ht="13.7" customHeight="1">
      <c r="A89" s="311" t="s">
        <v>1057</v>
      </c>
      <c r="B89" s="58">
        <f>'Calc|Opex forecasts - Short'!E78/1000</f>
        <v>85.343476202184448</v>
      </c>
      <c r="C89" s="58">
        <f>'Calc|Opex forecasts - Short'!F78/1000</f>
        <v>85.832249030650473</v>
      </c>
      <c r="D89" s="58">
        <f>'Calc|Opex forecasts - Short'!G78/1000</f>
        <v>86.618647514073814</v>
      </c>
      <c r="E89" s="58">
        <f>'Calc|Opex forecasts - Short'!H78/1000</f>
        <v>87.467176456746543</v>
      </c>
      <c r="F89" s="58">
        <f>'Calc|Opex forecasts - Short'!I78/1000</f>
        <v>90.277409712921909</v>
      </c>
      <c r="G89" s="58">
        <f>'Calc|Opex forecasts - Short'!J78/1000+IF('Input|Parameters'!B62="1 - Yes",'Input|Parameters'!B61,0)</f>
        <v>92.670186185880965</v>
      </c>
      <c r="H89" s="58">
        <f>VLOOKUP(A89, Table_Summary_short, MATCH(Parameter_Base_year, Header_Table_Summary_short, 0), FALSE)</f>
        <v>92.670186185880965</v>
      </c>
      <c r="I89" s="58">
        <f>H89*VLOOKUP(G$57,'Lookup tables'!$A$61:$C$81,IF(Parameter_Victorian_or_non_Victorian="Non-Victorian",3,2),FALSE)</f>
        <v>96.535909574766677</v>
      </c>
    </row>
    <row r="90" spans="1:9" ht="13.7" customHeight="1">
      <c r="A90" s="311" t="s">
        <v>1058</v>
      </c>
      <c r="B90" s="58">
        <f>'Calc|Opex forecasts - Short'!E109/1000</f>
        <v>75.689975998962751</v>
      </c>
      <c r="C90" s="58">
        <f>'Calc|Opex forecasts - Short'!F109/1000</f>
        <v>76.292773741431532</v>
      </c>
      <c r="D90" s="58">
        <f>'Calc|Opex forecasts - Short'!G109/1000</f>
        <v>77.217722081155941</v>
      </c>
      <c r="E90" s="58">
        <f>'Calc|Opex forecasts - Short'!H109/1000</f>
        <v>78.159970732647849</v>
      </c>
      <c r="F90" s="58">
        <f>'Calc|Opex forecasts - Short'!I109/1000</f>
        <v>80.657765158728154</v>
      </c>
      <c r="G90" s="58">
        <f>'Calc|Opex forecasts - Short'!J109/1000+IF('Input|Parameters'!B62="1 - Yes",'Input|Parameters'!B61,0)</f>
        <v>83.019549932000558</v>
      </c>
      <c r="H90" s="156">
        <f>IF(B42 = 1, VLOOKUP(A90, Table_Summary_short, MATCH(Parameter_Base_year, Header_Table_Summary_short, 0), FALSE), 0)</f>
        <v>0</v>
      </c>
      <c r="I90" s="58">
        <f>H90*VLOOKUP(G$57,'Lookup tables'!$A$61:$C$81,IF(Parameter_Victorian_or_non_Victorian="Non-Victorian",3,2),FALSE)</f>
        <v>0</v>
      </c>
    </row>
    <row r="91" spans="1:9" ht="13.7" customHeight="1">
      <c r="A91" s="311" t="s">
        <v>1059</v>
      </c>
      <c r="B91" s="58">
        <f>'Calc|Opex forecasts - Short'!E140/1000</f>
        <v>35.904225788183751</v>
      </c>
      <c r="C91" s="58">
        <f>'Calc|Opex forecasts - Short'!F140/1000</f>
        <v>36.161178647750575</v>
      </c>
      <c r="D91" s="58">
        <f>'Calc|Opex forecasts - Short'!G140/1000</f>
        <v>36.559453463051817</v>
      </c>
      <c r="E91" s="58">
        <f>'Calc|Opex forecasts - Short'!H140/1000</f>
        <v>37.031569603067837</v>
      </c>
      <c r="F91" s="58">
        <f>'Calc|Opex forecasts - Short'!I140/1000</f>
        <v>38.323129779273046</v>
      </c>
      <c r="G91" s="58">
        <f>'Calc|Opex forecasts - Short'!J140/1000+IF('Input|Parameters'!B62="1 - Yes",'Input|Parameters'!B61,0)</f>
        <v>39.291621392256985</v>
      </c>
      <c r="H91" s="58">
        <f>IF(B43 = 1, VLOOKUP(A61, Table_Summary_short, MATCH(Parameter_Base_year, Header_Table_Summary_short, 0), FALSE), 0)</f>
        <v>0</v>
      </c>
      <c r="I91" s="58">
        <f>H91*VLOOKUP(G$57,'Lookup tables'!$A$61:$C$81,IF(Parameter_Victorian_or_non_Victorian="Non-Victorian",3,2),FALSE)</f>
        <v>0</v>
      </c>
    </row>
    <row r="92" spans="1:9" ht="13.7" customHeight="1">
      <c r="A92" s="252" t="s">
        <v>1060</v>
      </c>
      <c r="B92" s="58">
        <f>'Calc|Cost drivers'!O19/1000</f>
        <v>106.0035703902457</v>
      </c>
      <c r="C92" s="58">
        <f>'Calc|Cost drivers'!P19/1000</f>
        <v>106.19685334923992</v>
      </c>
      <c r="D92" s="58">
        <f>'Calc|Cost drivers'!Q19/1000</f>
        <v>94.517926254270577</v>
      </c>
      <c r="E92" s="58">
        <f>'Calc|Cost drivers'!R19/1000</f>
        <v>85.001123486431737</v>
      </c>
      <c r="F92" s="58">
        <f>'Calc|Cost drivers'!S19/1000</f>
        <v>82.047793151319667</v>
      </c>
      <c r="G92" s="58">
        <f>'Calc|Cost drivers'!V19/1000</f>
        <v>92.14774181478063</v>
      </c>
      <c r="H92" s="58">
        <f>VLOOKUP(A92, Table_Summary_short, MATCH(Parameter_Base_year, Header_Table_Summary_short, 0), FALSE)</f>
        <v>92.14774181478063</v>
      </c>
      <c r="I92" s="58">
        <f>H92*VLOOKUP(G$57,'Lookup tables'!$A$61:$C$81,IF(Parameter_Victorian_or_non_Victorian="Non-Victorian",3,2),FALSE)</f>
        <v>95.991671512427786</v>
      </c>
    </row>
    <row r="93" spans="1:9" ht="13.7" customHeight="1">
      <c r="A93" s="23"/>
      <c r="B93" s="56"/>
      <c r="C93" s="56"/>
      <c r="D93" s="56"/>
      <c r="E93" s="56"/>
      <c r="F93" s="56"/>
      <c r="G93" s="56"/>
      <c r="H93" s="56"/>
      <c r="I93" s="257"/>
    </row>
    <row r="94" spans="1:9" ht="13.7" customHeight="1">
      <c r="A94" s="24" t="s">
        <v>1061</v>
      </c>
      <c r="B94" s="58">
        <f>AVERAGEIF($B$40:$B$43, 1, B88:B91)</f>
        <v>87.652305369479379</v>
      </c>
      <c r="C94" s="58">
        <f t="shared" ref="C94:G94" si="7">AVERAGEIF($B$40:$B$43, 1, C88:C91)</f>
        <v>88.269075175621566</v>
      </c>
      <c r="D94" s="58">
        <f t="shared" si="7"/>
        <v>89.24357888678648</v>
      </c>
      <c r="E94" s="58">
        <f t="shared" si="7"/>
        <v>90.241165384996918</v>
      </c>
      <c r="F94" s="58">
        <f t="shared" si="7"/>
        <v>92.701898585596098</v>
      </c>
      <c r="G94" s="58">
        <f t="shared" si="7"/>
        <v>95.061360933793836</v>
      </c>
      <c r="H94" s="58">
        <f>AVERAGEIF($B$40:$B$43, 1, H88:H91)</f>
        <v>95.061360933793836</v>
      </c>
      <c r="I94" s="58">
        <f>H94*VLOOKUP(G$57,'Lookup tables'!$A$61:$C$81,IF(Parameter_Victorian_or_non_Victorian="Non-Victorian",3,2),FALSE)</f>
        <v>99.026831830808845</v>
      </c>
    </row>
    <row r="95" spans="1:9" ht="13.7" customHeight="1">
      <c r="A95" s="24" t="s">
        <v>1062</v>
      </c>
      <c r="B95" s="79">
        <f>B94 - B92</f>
        <v>-18.35126502076632</v>
      </c>
      <c r="C95" s="79">
        <f t="shared" ref="C95:H95" si="8">C94 - C92</f>
        <v>-17.92777817361835</v>
      </c>
      <c r="D95" s="79">
        <f t="shared" si="8"/>
        <v>-5.274347367484097</v>
      </c>
      <c r="E95" s="79">
        <f t="shared" si="8"/>
        <v>5.2400418985651811</v>
      </c>
      <c r="F95" s="79">
        <f t="shared" si="8"/>
        <v>10.654105434276431</v>
      </c>
      <c r="G95" s="79">
        <f t="shared" si="8"/>
        <v>2.9136191190132052</v>
      </c>
      <c r="H95" s="79">
        <f t="shared" si="8"/>
        <v>2.9136191190132052</v>
      </c>
      <c r="I95" s="79">
        <f>I94 - I92</f>
        <v>3.0351603183810596</v>
      </c>
    </row>
    <row r="96" spans="1:9" ht="13.7" customHeight="1">
      <c r="A96" s="23" t="s">
        <v>1063</v>
      </c>
      <c r="B96" s="59">
        <f>B95/B92</f>
        <v>-0.17311931054027005</v>
      </c>
      <c r="C96" s="59">
        <f t="shared" ref="C96:I96" si="9">C95/C92</f>
        <v>-0.16881647250564855</v>
      </c>
      <c r="D96" s="59">
        <f t="shared" si="9"/>
        <v>-5.5802614133694958E-2</v>
      </c>
      <c r="E96" s="59">
        <f t="shared" si="9"/>
        <v>6.1646736932855016E-2</v>
      </c>
      <c r="F96" s="59">
        <f t="shared" si="9"/>
        <v>0.12985243143136349</v>
      </c>
      <c r="G96" s="59">
        <f t="shared" si="9"/>
        <v>3.1618996424998193E-2</v>
      </c>
      <c r="H96" s="136">
        <f t="shared" si="9"/>
        <v>3.1618996424998193E-2</v>
      </c>
      <c r="I96" s="136">
        <f t="shared" si="9"/>
        <v>3.1618996424998241E-2</v>
      </c>
    </row>
    <row r="98" spans="1:28" ht="13.7" customHeight="1">
      <c r="A98" s="23" t="s">
        <v>1064</v>
      </c>
      <c r="B98" s="58">
        <f>'Calc|Cost drivers'!Q15/1000</f>
        <v>83.587755040000005</v>
      </c>
      <c r="C98" s="58">
        <f>'Calc|Cost drivers'!R15/1000</f>
        <v>75.656824589999999</v>
      </c>
      <c r="D98" s="58">
        <f>'Calc|Cost drivers'!S15/1000</f>
        <v>74.664096995365099</v>
      </c>
      <c r="E98" s="58">
        <f>'Calc|Cost drivers'!T15/1000</f>
        <v>82.877291930000013</v>
      </c>
      <c r="F98" s="58">
        <f>'Calc|Cost drivers'!U15/1000</f>
        <v>88.592699199999998</v>
      </c>
      <c r="G98" s="58">
        <f>'Calc|Cost drivers'!V15/1000</f>
        <v>92.14774181478063</v>
      </c>
      <c r="H98" s="58">
        <f>VLOOKUP(A98, Table_Summary_short, MATCH(Parameter_Base_year, Header_Table_Summary_short, 0), FALSE)</f>
        <v>92.14774181478063</v>
      </c>
    </row>
    <row r="99" spans="1:28" ht="13.7" customHeight="1">
      <c r="A99" s="23" t="s">
        <v>1065</v>
      </c>
      <c r="B99" s="58">
        <f>B98*(1+B96)</f>
        <v>69.11710051786622</v>
      </c>
      <c r="C99" s="58">
        <f t="shared" ref="C99:G99" si="10">C98*(1+C96)</f>
        <v>62.884706341737591</v>
      </c>
      <c r="D99" s="58">
        <f t="shared" si="10"/>
        <v>70.49764520109197</v>
      </c>
      <c r="E99" s="58">
        <f t="shared" si="10"/>
        <v>87.98640654331615</v>
      </c>
      <c r="F99" s="58">
        <f t="shared" si="10"/>
        <v>100.09667659818741</v>
      </c>
      <c r="G99" s="58">
        <f t="shared" si="10"/>
        <v>95.061360933793836</v>
      </c>
      <c r="H99" s="58">
        <f>VLOOKUP(A99, Table_Summary_short, MATCH(Parameter_Base_year, Header_Table_Summary_short, 0), FALSE)</f>
        <v>95.061360933793836</v>
      </c>
      <c r="AA99" s="109"/>
      <c r="AB99" s="109"/>
    </row>
    <row r="100" spans="1:28" ht="13.7" customHeight="1">
      <c r="A100" s="24"/>
      <c r="F100" s="56"/>
      <c r="H100" s="141">
        <f>MIN(H98,H99)</f>
        <v>92.14774181478063</v>
      </c>
      <c r="AA100" s="23"/>
      <c r="AB100" s="212"/>
    </row>
    <row r="101" spans="1:28" ht="13.7" customHeight="1">
      <c r="A101" s="252" t="str">
        <f>"Actual / proposed opex ($m, "&amp;Parameter_Results_dollar_basis&amp;")"</f>
        <v>Actual / proposed opex ($m, Jun-2026)</v>
      </c>
      <c r="B101" s="58">
        <f>B98*VLOOKUP(B$57,'Lookup tables'!$A$61:$C$81,IF(Parameter_Victorian_or_non_Victorian="Non-Victorian",3,2),FALSE)</f>
        <v>106.74441276863817</v>
      </c>
      <c r="C101" s="58">
        <f>C98*VLOOKUP(C$57,'Lookup tables'!$A$61:$C$81,IF(Parameter_Victorian_or_non_Victorian="Non-Victorian",3,2),FALSE)</f>
        <v>94.308103905968352</v>
      </c>
      <c r="D101" s="58">
        <f>D98*VLOOKUP(D$57,'Lookup tables'!$A$61:$C$81,IF(Parameter_Victorian_or_non_Victorian="Non-Victorian",3,2),FALSE)</f>
        <v>89.924810578027802</v>
      </c>
      <c r="E101" s="58">
        <f>E98*VLOOKUP(E$57,'Lookup tables'!$A$61:$C$81,IF(Parameter_Victorian_or_non_Victorian="Non-Victorian",3,2),FALSE)</f>
        <v>92.567028644815821</v>
      </c>
      <c r="F101" s="58">
        <f>F98*VLOOKUP(F$57,'Lookup tables'!$A$61:$C$81,IF(Parameter_Victorian_or_non_Victorian="Non-Victorian",3,2),FALSE)</f>
        <v>95.097330098573394</v>
      </c>
      <c r="G101" s="58">
        <f>G98*VLOOKUP(G$57,'Lookup tables'!$A$61:$C$81,IF(Parameter_Victorian_or_non_Victorian="Non-Victorian",3,2),FALSE)</f>
        <v>95.991671512427786</v>
      </c>
      <c r="H101" s="58">
        <f>VLOOKUP(A101, Table_Summary_short, MATCH(Parameter_Base_year, Header_Table_Summary_short, 0), FALSE)</f>
        <v>95.991671512427786</v>
      </c>
      <c r="AA101" s="213"/>
      <c r="AB101" s="214"/>
    </row>
    <row r="102" spans="1:28" ht="13.7" customHeight="1">
      <c r="A102" s="252" t="str">
        <f>"Model average ($m, "&amp;Parameter_Results_dollar_basis&amp;")"</f>
        <v>Model average ($m, Jun-2026)</v>
      </c>
      <c r="B102" s="58">
        <f>B99*VLOOKUP(B$57,'Lookup tables'!$A$61:$C$81,IF(Parameter_Victorian_or_non_Victorian="Non-Victorian",3,2),FALSE)</f>
        <v>88.264893626105533</v>
      </c>
      <c r="C102" s="58">
        <f>C99*VLOOKUP(C$57,'Lookup tables'!$A$61:$C$81,IF(Parameter_Victorian_or_non_Victorian="Non-Victorian",3,2),FALSE)</f>
        <v>78.387342475866603</v>
      </c>
      <c r="D102" s="58">
        <f>D99*VLOOKUP(D$57,'Lookup tables'!$A$61:$C$81,IF(Parameter_Victorian_or_non_Victorian="Non-Victorian",3,2),FALSE)</f>
        <v>84.906771072296522</v>
      </c>
      <c r="E102" s="58">
        <f>E99*VLOOKUP(E$57,'Lookup tables'!$A$61:$C$81,IF(Parameter_Victorian_or_non_Victorian="Non-Victorian",3,2),FALSE)</f>
        <v>98.273483908338832</v>
      </c>
      <c r="F102" s="58">
        <f>F99*VLOOKUP(F$57,'Lookup tables'!$A$61:$C$81,IF(Parameter_Victorian_or_non_Victorian="Non-Victorian",3,2),FALSE)</f>
        <v>107.44594963450413</v>
      </c>
      <c r="G102" s="58">
        <f>G99*VLOOKUP(G$57,'Lookup tables'!$A$61:$C$81,IF(Parameter_Victorian_or_non_Victorian="Non-Victorian",3,2),FALSE)</f>
        <v>99.026831830808845</v>
      </c>
      <c r="H102" s="58">
        <f>VLOOKUP(A102, Table_Summary_short, MATCH(Parameter_Base_year, Header_Table_Summary_short, 0), FALSE)</f>
        <v>99.026831830808845</v>
      </c>
      <c r="AA102" s="213"/>
      <c r="AB102" s="214"/>
    </row>
    <row r="103" spans="1:28" ht="13.7" customHeight="1">
      <c r="A103" s="24"/>
      <c r="B103" s="215"/>
      <c r="C103" s="215"/>
      <c r="D103" s="215"/>
      <c r="E103" s="215"/>
      <c r="F103" s="215"/>
      <c r="G103" s="215"/>
      <c r="H103" s="141">
        <f>MIN(H101,H102)</f>
        <v>95.991671512427786</v>
      </c>
      <c r="AA103" s="215"/>
      <c r="AB103" s="212"/>
    </row>
    <row r="104" spans="1:28" s="22" customFormat="1" ht="13.7" customHeight="1">
      <c r="A104" s="2" t="s">
        <v>227</v>
      </c>
      <c r="B104" s="4"/>
      <c r="C104" s="4"/>
    </row>
    <row r="107" spans="1:28" ht="13.7" customHeight="1">
      <c r="H107" s="236"/>
    </row>
  </sheetData>
  <hyperlinks>
    <hyperlink ref="A2" location="Index!A1" display="Index" xr:uid="{00000000-0004-0000-0E00-000000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pageSetUpPr fitToPage="1"/>
  </sheetPr>
  <dimension ref="A1:Y122"/>
  <sheetViews>
    <sheetView zoomScaleNormal="100" workbookViewId="0"/>
  </sheetViews>
  <sheetFormatPr defaultColWidth="8.85546875" defaultRowHeight="13.7" customHeight="1"/>
  <cols>
    <col min="1" max="1" width="49.42578125" style="21" customWidth="1"/>
    <col min="2" max="2" width="17" style="21" customWidth="1"/>
    <col min="3" max="3" width="19.42578125" style="21" bestFit="1" customWidth="1"/>
    <col min="4" max="16384" width="8.85546875" style="21"/>
  </cols>
  <sheetData>
    <row r="1" spans="1:25" s="7" customFormat="1" ht="15.6" customHeight="1">
      <c r="A1" s="1" t="s">
        <v>0</v>
      </c>
    </row>
    <row r="2" spans="1:25" s="16" customFormat="1" ht="13.7" customHeight="1">
      <c r="A2" s="85" t="s">
        <v>5</v>
      </c>
      <c r="C2" s="15"/>
      <c r="E2" s="84"/>
    </row>
    <row r="3" spans="1:25" s="9" customFormat="1" ht="13.7" customHeight="1" thickBot="1">
      <c r="A3" s="8" t="s">
        <v>14</v>
      </c>
    </row>
    <row r="4" spans="1:25" s="9" customFormat="1" ht="13.7" customHeight="1"/>
    <row r="5" spans="1:25" s="4" customFormat="1" ht="13.7" customHeight="1">
      <c r="A5" s="2" t="s">
        <v>228</v>
      </c>
      <c r="C5" s="3"/>
      <c r="D5" s="3"/>
      <c r="E5" s="3"/>
      <c r="F5" s="3"/>
      <c r="G5" s="5"/>
      <c r="H5" s="6"/>
      <c r="I5" s="5"/>
      <c r="J5" s="6"/>
      <c r="K5" s="5"/>
      <c r="L5" s="5"/>
      <c r="M5" s="5"/>
      <c r="N5" s="5"/>
      <c r="O5" s="5"/>
      <c r="P5" s="5"/>
      <c r="Q5" s="5"/>
      <c r="R5" s="5"/>
      <c r="S5" s="6"/>
      <c r="T5" s="6"/>
      <c r="U5" s="5"/>
      <c r="V5" s="5"/>
      <c r="W5" s="5"/>
      <c r="X5" s="5"/>
      <c r="Y5" s="5"/>
    </row>
    <row r="7" spans="1:25" ht="13.7" customHeight="1">
      <c r="A7" s="24" t="s">
        <v>229</v>
      </c>
    </row>
    <row r="8" spans="1:25" ht="13.7" customHeight="1">
      <c r="A8" s="23" t="s">
        <v>230</v>
      </c>
    </row>
    <row r="9" spans="1:25" ht="13.7" customHeight="1">
      <c r="A9" s="23" t="s">
        <v>231</v>
      </c>
    </row>
    <row r="10" spans="1:25" ht="13.7" customHeight="1">
      <c r="A10" s="23"/>
    </row>
    <row r="11" spans="1:25" s="4" customFormat="1" ht="13.7" customHeight="1">
      <c r="A11" s="2" t="s">
        <v>232</v>
      </c>
      <c r="C11" s="3"/>
      <c r="D11" s="3"/>
      <c r="E11" s="3"/>
      <c r="F11" s="3"/>
      <c r="G11" s="5"/>
      <c r="H11" s="6"/>
      <c r="I11" s="5"/>
      <c r="J11" s="6"/>
      <c r="K11" s="5"/>
      <c r="L11" s="5"/>
      <c r="M11" s="5"/>
      <c r="N11" s="5"/>
      <c r="O11" s="5"/>
      <c r="P11" s="5"/>
      <c r="Q11" s="5"/>
      <c r="R11" s="5"/>
      <c r="S11" s="6"/>
      <c r="T11" s="6"/>
      <c r="U11" s="5"/>
      <c r="V11" s="5"/>
      <c r="W11" s="5"/>
      <c r="X11" s="5"/>
      <c r="Y11" s="5"/>
    </row>
    <row r="13" spans="1:25" s="252" customFormat="1" ht="13.7" customHeight="1">
      <c r="A13" s="249" t="s">
        <v>233</v>
      </c>
      <c r="B13" s="249" t="s">
        <v>232</v>
      </c>
    </row>
    <row r="14" spans="1:25" s="252" customFormat="1" ht="13.7" customHeight="1">
      <c r="A14" s="252" t="s">
        <v>234</v>
      </c>
      <c r="B14" s="252" t="s">
        <v>235</v>
      </c>
    </row>
    <row r="15" spans="1:25" s="252" customFormat="1" ht="13.7" customHeight="1">
      <c r="A15" s="252" t="s">
        <v>236</v>
      </c>
      <c r="B15" s="252" t="s">
        <v>237</v>
      </c>
    </row>
    <row r="16" spans="1:25" s="252" customFormat="1" ht="13.7" customHeight="1">
      <c r="A16" s="252" t="s">
        <v>238</v>
      </c>
      <c r="B16" s="252" t="s">
        <v>239</v>
      </c>
    </row>
    <row r="17" spans="1:25" s="252" customFormat="1" ht="13.7" customHeight="1">
      <c r="A17" s="252" t="s">
        <v>240</v>
      </c>
      <c r="B17" s="252" t="s">
        <v>241</v>
      </c>
    </row>
    <row r="18" spans="1:25" s="252" customFormat="1" ht="13.7" customHeight="1">
      <c r="A18" s="252" t="s">
        <v>242</v>
      </c>
      <c r="B18" s="252" t="s">
        <v>243</v>
      </c>
    </row>
    <row r="19" spans="1:25" s="252" customFormat="1" ht="13.7" customHeight="1">
      <c r="A19" s="252" t="s">
        <v>244</v>
      </c>
      <c r="B19" s="252" t="s">
        <v>245</v>
      </c>
    </row>
    <row r="20" spans="1:25" s="252" customFormat="1" ht="13.7" customHeight="1">
      <c r="A20" s="252" t="s">
        <v>246</v>
      </c>
      <c r="B20" s="252" t="s">
        <v>247</v>
      </c>
    </row>
    <row r="21" spans="1:25" s="252" customFormat="1" ht="13.7" customHeight="1">
      <c r="A21" s="252" t="s">
        <v>248</v>
      </c>
      <c r="B21" s="252" t="s">
        <v>249</v>
      </c>
    </row>
    <row r="22" spans="1:25" s="252" customFormat="1" ht="13.7" customHeight="1">
      <c r="A22" s="252" t="s">
        <v>250</v>
      </c>
      <c r="B22" s="252" t="s">
        <v>251</v>
      </c>
    </row>
    <row r="23" spans="1:25" s="252" customFormat="1" ht="13.7" customHeight="1">
      <c r="A23" s="252" t="s">
        <v>252</v>
      </c>
      <c r="B23" s="252" t="s">
        <v>253</v>
      </c>
    </row>
    <row r="24" spans="1:25" s="252" customFormat="1" ht="13.7" customHeight="1">
      <c r="A24" s="252" t="s">
        <v>254</v>
      </c>
      <c r="B24" s="252" t="s">
        <v>255</v>
      </c>
    </row>
    <row r="25" spans="1:25" s="252" customFormat="1" ht="13.7" customHeight="1">
      <c r="A25" s="252" t="s">
        <v>256</v>
      </c>
      <c r="B25" s="252" t="s">
        <v>257</v>
      </c>
    </row>
    <row r="26" spans="1:25" s="252" customFormat="1" ht="13.7" customHeight="1">
      <c r="A26" s="252" t="s">
        <v>258</v>
      </c>
      <c r="B26" s="252" t="s">
        <v>259</v>
      </c>
    </row>
    <row r="28" spans="1:25" s="4" customFormat="1" ht="13.7" customHeight="1">
      <c r="A28" s="2" t="s">
        <v>260</v>
      </c>
      <c r="C28" s="3"/>
      <c r="D28" s="3"/>
      <c r="E28" s="3"/>
      <c r="F28" s="3"/>
      <c r="G28" s="5"/>
      <c r="H28" s="6"/>
      <c r="I28" s="5"/>
      <c r="J28" s="6"/>
      <c r="K28" s="5"/>
      <c r="L28" s="5"/>
      <c r="M28" s="5"/>
      <c r="N28" s="5"/>
      <c r="O28" s="5"/>
      <c r="P28" s="5"/>
      <c r="Q28" s="5"/>
      <c r="R28" s="5"/>
      <c r="S28" s="6"/>
      <c r="T28" s="6"/>
      <c r="U28" s="5"/>
      <c r="V28" s="5"/>
      <c r="W28" s="5"/>
      <c r="X28" s="5"/>
      <c r="Y28" s="5"/>
    </row>
    <row r="30" spans="1:25" s="23" customFormat="1" ht="13.7" customHeight="1">
      <c r="A30" s="24" t="s">
        <v>233</v>
      </c>
      <c r="B30" s="24" t="s">
        <v>260</v>
      </c>
    </row>
    <row r="31" spans="1:25" s="23" customFormat="1" ht="13.7" customHeight="1">
      <c r="A31" s="23" t="s">
        <v>234</v>
      </c>
      <c r="B31" s="216">
        <v>2023</v>
      </c>
    </row>
    <row r="32" spans="1:25" s="23" customFormat="1" ht="13.7" customHeight="1">
      <c r="A32" s="23" t="s">
        <v>236</v>
      </c>
      <c r="B32" s="25">
        <v>2023</v>
      </c>
    </row>
    <row r="33" spans="1:25" s="23" customFormat="1" ht="13.7" customHeight="1">
      <c r="A33" s="23" t="s">
        <v>238</v>
      </c>
      <c r="B33" s="25">
        <v>2022</v>
      </c>
    </row>
    <row r="34" spans="1:25" s="23" customFormat="1" ht="13.7" customHeight="1">
      <c r="A34" s="23" t="s">
        <v>240</v>
      </c>
      <c r="B34" s="25">
        <v>2023</v>
      </c>
    </row>
    <row r="35" spans="1:25" s="23" customFormat="1" ht="13.7" customHeight="1">
      <c r="A35" s="23" t="s">
        <v>242</v>
      </c>
      <c r="B35" s="25">
        <v>2023</v>
      </c>
    </row>
    <row r="36" spans="1:25" s="23" customFormat="1" ht="13.7" customHeight="1">
      <c r="A36" s="23" t="s">
        <v>244</v>
      </c>
      <c r="B36" s="25">
        <v>2023</v>
      </c>
    </row>
    <row r="37" spans="1:25" s="23" customFormat="1" ht="13.7" customHeight="1">
      <c r="A37" s="23" t="s">
        <v>246</v>
      </c>
      <c r="B37" s="25">
        <v>2023</v>
      </c>
    </row>
    <row r="38" spans="1:25" s="23" customFormat="1" ht="13.7" customHeight="1">
      <c r="A38" s="23" t="s">
        <v>248</v>
      </c>
      <c r="B38" s="25">
        <v>2022</v>
      </c>
    </row>
    <row r="39" spans="1:25" s="23" customFormat="1" ht="13.7" customHeight="1">
      <c r="A39" s="23" t="s">
        <v>250</v>
      </c>
      <c r="B39" s="25">
        <v>2022</v>
      </c>
    </row>
    <row r="40" spans="1:25" s="23" customFormat="1" ht="13.7" customHeight="1">
      <c r="A40" s="23" t="s">
        <v>252</v>
      </c>
      <c r="B40" s="25">
        <v>2022</v>
      </c>
    </row>
    <row r="41" spans="1:25" s="23" customFormat="1" ht="13.7" customHeight="1">
      <c r="A41" s="23" t="s">
        <v>254</v>
      </c>
      <c r="B41" s="25">
        <v>2022</v>
      </c>
    </row>
    <row r="42" spans="1:25" s="23" customFormat="1" ht="13.7" customHeight="1">
      <c r="A42" s="23" t="s">
        <v>256</v>
      </c>
      <c r="B42" s="25">
        <v>2022</v>
      </c>
    </row>
    <row r="43" spans="1:25" s="23" customFormat="1" ht="13.7" customHeight="1">
      <c r="A43" s="23" t="s">
        <v>258</v>
      </c>
      <c r="B43" s="25">
        <v>2022</v>
      </c>
    </row>
    <row r="45" spans="1:25" s="4" customFormat="1" ht="13.7" customHeight="1">
      <c r="A45" s="2" t="s">
        <v>261</v>
      </c>
      <c r="C45" s="3"/>
      <c r="D45" s="3"/>
      <c r="E45" s="3"/>
      <c r="F45" s="3"/>
      <c r="G45" s="5"/>
      <c r="H45" s="6"/>
      <c r="I45" s="5"/>
      <c r="J45" s="6"/>
      <c r="K45" s="5"/>
      <c r="L45" s="5"/>
      <c r="M45" s="5"/>
      <c r="N45" s="5"/>
      <c r="O45" s="5"/>
      <c r="P45" s="5"/>
      <c r="Q45" s="5"/>
      <c r="R45" s="5"/>
      <c r="S45" s="6"/>
      <c r="T45" s="6"/>
      <c r="U45" s="5"/>
      <c r="V45" s="5"/>
      <c r="W45" s="5"/>
      <c r="X45" s="5"/>
      <c r="Y45" s="5"/>
    </row>
    <row r="47" spans="1:25" ht="13.7" customHeight="1">
      <c r="A47" s="24" t="s">
        <v>229</v>
      </c>
    </row>
    <row r="48" spans="1:25" ht="13.7" customHeight="1">
      <c r="A48" s="23" t="s">
        <v>230</v>
      </c>
    </row>
    <row r="49" spans="1:25" ht="13.7" customHeight="1">
      <c r="A49" s="23" t="s">
        <v>231</v>
      </c>
    </row>
    <row r="50" spans="1:25" ht="13.7" customHeight="1">
      <c r="A50" s="23"/>
    </row>
    <row r="51" spans="1:25" s="4" customFormat="1" ht="13.7" customHeight="1">
      <c r="A51" s="2" t="s">
        <v>262</v>
      </c>
      <c r="C51" s="3"/>
      <c r="D51" s="3"/>
      <c r="E51" s="3"/>
      <c r="F51" s="3"/>
      <c r="G51" s="5"/>
      <c r="H51" s="6"/>
      <c r="I51" s="5"/>
      <c r="J51" s="6"/>
      <c r="K51" s="5"/>
      <c r="L51" s="5"/>
      <c r="M51" s="5"/>
      <c r="N51" s="5"/>
      <c r="O51" s="5"/>
      <c r="P51" s="5"/>
      <c r="Q51" s="5"/>
      <c r="R51" s="5"/>
      <c r="S51" s="6"/>
      <c r="T51" s="6"/>
      <c r="U51" s="5"/>
      <c r="V51" s="5"/>
      <c r="W51" s="5"/>
      <c r="X51" s="5"/>
      <c r="Y51" s="5"/>
    </row>
    <row r="53" spans="1:25" ht="13.7" customHeight="1">
      <c r="A53" s="24" t="s">
        <v>262</v>
      </c>
    </row>
    <row r="54" spans="1:25" ht="13.7" customHeight="1">
      <c r="A54" s="23" t="s">
        <v>263</v>
      </c>
    </row>
    <row r="55" spans="1:25" ht="13.7" customHeight="1">
      <c r="A55" s="23" t="s">
        <v>264</v>
      </c>
    </row>
    <row r="56" spans="1:25" ht="13.7" customHeight="1">
      <c r="A56" s="23"/>
    </row>
    <row r="57" spans="1:25" s="4" customFormat="1" ht="13.7" customHeight="1">
      <c r="A57" s="2" t="s">
        <v>265</v>
      </c>
      <c r="C57" s="3"/>
      <c r="D57" s="3"/>
      <c r="E57" s="3"/>
      <c r="F57" s="3"/>
      <c r="G57" s="5"/>
      <c r="H57" s="6"/>
      <c r="I57" s="5"/>
      <c r="J57" s="6"/>
      <c r="K57" s="5"/>
      <c r="L57" s="5"/>
      <c r="M57" s="5"/>
      <c r="N57" s="5"/>
      <c r="O57" s="5"/>
      <c r="P57" s="5"/>
      <c r="Q57" s="5"/>
      <c r="R57" s="5"/>
      <c r="S57" s="6"/>
      <c r="T57" s="6"/>
      <c r="U57" s="5"/>
      <c r="V57" s="5"/>
      <c r="W57" s="5"/>
      <c r="X57" s="5"/>
      <c r="Y57" s="5"/>
    </row>
    <row r="59" spans="1:25" ht="13.7" customHeight="1">
      <c r="B59" s="138" t="str">
        <f>"$JunYYYY to $"&amp;Parameter_Results_dollar_basis</f>
        <v>$JunYYYY to $Jun-2026</v>
      </c>
      <c r="C59" s="138" t="str">
        <f>"$Dec(YYYY - 1) to $"&amp;Parameter_Results_dollar_basis</f>
        <v>$Dec(YYYY - 1) to $Jun-2026</v>
      </c>
    </row>
    <row r="60" spans="1:25" s="23" customFormat="1" ht="13.7" customHeight="1">
      <c r="A60" s="24" t="s">
        <v>266</v>
      </c>
      <c r="B60" s="24" t="s">
        <v>267</v>
      </c>
      <c r="C60" s="24" t="s">
        <v>268</v>
      </c>
    </row>
    <row r="61" spans="1:25" s="23" customFormat="1" ht="13.7" customHeight="1">
      <c r="A61" s="269">
        <v>2006</v>
      </c>
      <c r="B61" s="139">
        <f t="shared" ref="B61:B75" si="0">VLOOKUP(Parameter_Results_dollar_basis, Table_Data_All_groups_CPI_Australia, 2, FALSE) / VLOOKUP("Jun-"&amp;A61, Table_Data_All_groups_CPI_Australia, 2, FALSE)</f>
        <v>1.700729918509895</v>
      </c>
      <c r="C61" s="139">
        <f t="shared" ref="C61:C78" si="1">VLOOKUP(Parameter_Results_dollar_basis, Table_Data_All_groups_CPI_Australia, 2, FALSE) / VLOOKUP("Dec-"&amp;A61 - 1, Table_Data_All_groups_CPI_Australia, 2, FALSE)</f>
        <v>1.7433496420047732</v>
      </c>
    </row>
    <row r="62" spans="1:25" s="23" customFormat="1" ht="13.7" customHeight="1">
      <c r="A62" s="269">
        <v>2007</v>
      </c>
      <c r="B62" s="139">
        <f t="shared" si="0"/>
        <v>1.6658232611174455</v>
      </c>
      <c r="C62" s="139">
        <f t="shared" si="1"/>
        <v>1.6869826789838336</v>
      </c>
    </row>
    <row r="63" spans="1:25" s="23" customFormat="1" ht="13.7" customHeight="1">
      <c r="A63" s="269">
        <v>2008</v>
      </c>
      <c r="B63" s="139">
        <f t="shared" si="0"/>
        <v>1.5948984716157204</v>
      </c>
      <c r="C63" s="139">
        <f t="shared" si="1"/>
        <v>1.6396487093153758</v>
      </c>
    </row>
    <row r="64" spans="1:25" s="23" customFormat="1" ht="13.7" customHeight="1">
      <c r="A64" s="269">
        <v>2009</v>
      </c>
      <c r="B64" s="139">
        <f t="shared" si="0"/>
        <v>1.5725801937567274</v>
      </c>
      <c r="C64" s="139">
        <f t="shared" si="1"/>
        <v>1.5810898268398266</v>
      </c>
    </row>
    <row r="65" spans="1:3" s="23" customFormat="1" ht="13.7" customHeight="1">
      <c r="A65" s="269">
        <v>2010</v>
      </c>
      <c r="B65" s="139">
        <f t="shared" si="0"/>
        <v>1.5249759916492691</v>
      </c>
      <c r="C65" s="139">
        <f t="shared" si="1"/>
        <v>1.5492332979851535</v>
      </c>
    </row>
    <row r="66" spans="1:3" s="23" customFormat="1" ht="13.7" customHeight="1">
      <c r="A66" s="269">
        <v>2011</v>
      </c>
      <c r="B66" s="139">
        <f t="shared" si="0"/>
        <v>1.4727086693548384</v>
      </c>
      <c r="C66" s="139">
        <f t="shared" si="1"/>
        <v>1.5076646026831781</v>
      </c>
    </row>
    <row r="67" spans="1:3" s="23" customFormat="1" ht="13.7" customHeight="1">
      <c r="A67" s="269">
        <v>2012</v>
      </c>
      <c r="B67" s="139">
        <f t="shared" si="0"/>
        <v>1.4551065737051789</v>
      </c>
      <c r="C67" s="139">
        <f t="shared" si="1"/>
        <v>1.4638547094188374</v>
      </c>
    </row>
    <row r="68" spans="1:3" s="23" customFormat="1" ht="13.7" customHeight="1">
      <c r="A68" s="269">
        <v>2013</v>
      </c>
      <c r="B68" s="139">
        <f t="shared" si="0"/>
        <v>1.421135214007782</v>
      </c>
      <c r="C68" s="139">
        <f t="shared" si="1"/>
        <v>1.4322813725490193</v>
      </c>
    </row>
    <row r="69" spans="1:3" s="23" customFormat="1" ht="13.7" customHeight="1">
      <c r="A69" s="269">
        <v>2014</v>
      </c>
      <c r="B69" s="139">
        <f t="shared" si="0"/>
        <v>1.3795344664778091</v>
      </c>
      <c r="C69" s="139">
        <f t="shared" si="1"/>
        <v>1.394014312977099</v>
      </c>
    </row>
    <row r="70" spans="1:3" s="23" customFormat="1" ht="13.7" customHeight="1">
      <c r="A70" s="269">
        <v>2015</v>
      </c>
      <c r="B70" s="139">
        <f t="shared" si="0"/>
        <v>1.3590018604651162</v>
      </c>
      <c r="C70" s="139">
        <f t="shared" si="1"/>
        <v>1.3704756097560975</v>
      </c>
    </row>
    <row r="71" spans="1:3" s="23" customFormat="1" ht="13.7" customHeight="1">
      <c r="A71" s="269">
        <v>2016</v>
      </c>
      <c r="B71" s="139">
        <f t="shared" si="0"/>
        <v>1.3452366482504603</v>
      </c>
      <c r="C71" s="139">
        <f t="shared" si="1"/>
        <v>1.3477186346863466</v>
      </c>
    </row>
    <row r="72" spans="1:3" s="23" customFormat="1" ht="13.7" customHeight="1">
      <c r="A72" s="269">
        <v>2017</v>
      </c>
      <c r="B72" s="139">
        <f t="shared" si="0"/>
        <v>1.3197172538392048</v>
      </c>
      <c r="C72" s="139">
        <f t="shared" si="1"/>
        <v>1.3281154545454543</v>
      </c>
    </row>
    <row r="73" spans="1:3" s="23" customFormat="1" ht="13.7" customHeight="1">
      <c r="A73" s="269">
        <v>2018</v>
      </c>
      <c r="B73" s="139">
        <f t="shared" si="0"/>
        <v>1.2928557522123891</v>
      </c>
      <c r="C73" s="139">
        <f t="shared" si="1"/>
        <v>1.3032355040142729</v>
      </c>
    </row>
    <row r="74" spans="1:3" s="23" customFormat="1" ht="13.7" customHeight="1">
      <c r="A74" s="269">
        <v>2019</v>
      </c>
      <c r="B74" s="139">
        <f t="shared" si="0"/>
        <v>1.272584494773519</v>
      </c>
      <c r="C74" s="139">
        <f t="shared" si="1"/>
        <v>1.2803917616126204</v>
      </c>
    </row>
    <row r="75" spans="1:3" s="23" customFormat="1" ht="13.7" customHeight="1">
      <c r="A75" s="269">
        <v>2020</v>
      </c>
      <c r="B75" s="139">
        <f t="shared" si="0"/>
        <v>1.2770340909090907</v>
      </c>
      <c r="C75" s="139">
        <f t="shared" si="1"/>
        <v>1.2572521514629946</v>
      </c>
    </row>
    <row r="76" spans="1:3" s="23" customFormat="1" ht="13.7" customHeight="1">
      <c r="A76" s="269">
        <v>2021</v>
      </c>
      <c r="B76" s="139">
        <f t="shared" ref="B76:B81" si="2">VLOOKUP(Parameter_Results_dollar_basis, Table_Data_All_groups_CPI_Australia, 2, FALSE) / VLOOKUP("Dec-"&amp;A76-1, Table_Data_All_groups_CPI_Australia, 2, FALSE)</f>
        <v>1.2465247440273035</v>
      </c>
      <c r="C76" s="139">
        <f t="shared" si="1"/>
        <v>1.2465247440273035</v>
      </c>
    </row>
    <row r="77" spans="1:3" s="23" customFormat="1" ht="13.7" customHeight="1">
      <c r="A77" s="269">
        <v>2022</v>
      </c>
      <c r="B77" s="139">
        <f t="shared" si="2"/>
        <v>1.2043915910964549</v>
      </c>
      <c r="C77" s="139">
        <f t="shared" si="1"/>
        <v>1.2043915910964549</v>
      </c>
    </row>
    <row r="78" spans="1:3" s="23" customFormat="1" ht="13.7" customHeight="1">
      <c r="A78" s="269">
        <v>2023</v>
      </c>
      <c r="B78" s="139">
        <f t="shared" si="2"/>
        <v>1.1169166666666663</v>
      </c>
      <c r="C78" s="139">
        <f t="shared" si="1"/>
        <v>1.1169166666666663</v>
      </c>
    </row>
    <row r="79" spans="1:3" s="23" customFormat="1" ht="13.7" customHeight="1">
      <c r="A79" s="269">
        <v>2024</v>
      </c>
      <c r="B79" s="139">
        <f t="shared" si="2"/>
        <v>1.0734217487141806</v>
      </c>
      <c r="C79" s="139">
        <f t="shared" ref="C79:C80" si="3">VLOOKUP(Parameter_Results_dollar_basis, Table_Data_All_groups_CPI_Australia, 2, FALSE) / VLOOKUP("Dec-"&amp;A79 - 1, Table_Data_All_groups_CPI_Australia, 2, FALSE)</f>
        <v>1.0734217487141806</v>
      </c>
    </row>
    <row r="80" spans="1:3" s="23" customFormat="1" ht="13.7" customHeight="1">
      <c r="A80" s="269">
        <v>2025</v>
      </c>
      <c r="B80" s="327">
        <f>(1+'Data|CPI'!C335)^0.5*(1+'Data|CPI'!C339)</f>
        <v>1.0417148551005575</v>
      </c>
      <c r="C80" s="139">
        <f t="shared" si="3"/>
        <v>1.0480107604017215</v>
      </c>
    </row>
    <row r="81" spans="1:25" ht="13.7" customHeight="1">
      <c r="A81" s="269">
        <v>2026</v>
      </c>
      <c r="B81" s="139">
        <f t="shared" si="2"/>
        <v>1.0145312298177362</v>
      </c>
      <c r="C81" s="139">
        <f t="shared" ref="C81" si="4">VLOOKUP(Parameter_Results_dollar_basis, Table_Data_All_groups_CPI_Australia, 2, FALSE) / VLOOKUP("Dec-"&amp;A81 - 1, Table_Data_All_groups_CPI_Australia, 2, FALSE)</f>
        <v>1.0145312298177362</v>
      </c>
    </row>
    <row r="82" spans="1:25" s="4" customFormat="1" ht="13.7" customHeight="1">
      <c r="A82" s="2"/>
      <c r="C82" s="3"/>
      <c r="D82" s="3"/>
      <c r="E82" s="3"/>
      <c r="F82" s="3"/>
      <c r="G82" s="5"/>
      <c r="H82" s="6"/>
      <c r="I82" s="5"/>
      <c r="J82" s="6"/>
      <c r="K82" s="5"/>
      <c r="L82" s="5"/>
      <c r="M82" s="5"/>
      <c r="N82" s="5"/>
      <c r="O82" s="5"/>
      <c r="P82" s="5"/>
      <c r="Q82" s="5"/>
      <c r="R82" s="5"/>
      <c r="S82" s="6"/>
      <c r="T82" s="6"/>
      <c r="U82" s="5"/>
      <c r="V82" s="5"/>
      <c r="W82" s="5"/>
      <c r="X82" s="5"/>
      <c r="Y82" s="5"/>
    </row>
    <row r="84" spans="1:25" s="23" customFormat="1" ht="13.7" customHeight="1">
      <c r="A84" s="24"/>
      <c r="B84" s="24"/>
    </row>
    <row r="85" spans="1:25" s="23" customFormat="1" ht="13.7" customHeight="1"/>
    <row r="86" spans="1:25" s="23" customFormat="1" ht="13.7" customHeight="1"/>
    <row r="87" spans="1:25" s="23" customFormat="1" ht="13.7" customHeight="1"/>
    <row r="88" spans="1:25" s="23" customFormat="1" ht="13.7" customHeight="1"/>
    <row r="89" spans="1:25" s="23" customFormat="1" ht="13.7" customHeight="1"/>
    <row r="90" spans="1:25" s="23" customFormat="1" ht="13.7" customHeight="1"/>
    <row r="91" spans="1:25" s="4" customFormat="1" ht="13.7" customHeight="1">
      <c r="A91" s="2" t="s">
        <v>269</v>
      </c>
      <c r="C91" s="3"/>
      <c r="D91" s="3"/>
      <c r="E91" s="3"/>
      <c r="F91" s="3"/>
      <c r="G91" s="5"/>
      <c r="H91" s="6"/>
      <c r="I91" s="5"/>
      <c r="J91" s="6"/>
      <c r="K91" s="5"/>
      <c r="L91" s="5"/>
      <c r="M91" s="5"/>
      <c r="N91" s="5"/>
      <c r="O91" s="5"/>
      <c r="P91" s="5"/>
      <c r="Q91" s="5"/>
      <c r="R91" s="5"/>
      <c r="S91" s="6"/>
      <c r="T91" s="6"/>
      <c r="U91" s="5"/>
      <c r="V91" s="5"/>
      <c r="W91" s="5"/>
      <c r="X91" s="5"/>
      <c r="Y91" s="5"/>
    </row>
    <row r="93" spans="1:25" s="23" customFormat="1" ht="13.7" customHeight="1">
      <c r="A93" s="24" t="s">
        <v>233</v>
      </c>
      <c r="B93" s="24" t="s">
        <v>269</v>
      </c>
    </row>
    <row r="94" spans="1:25" s="23" customFormat="1" ht="13.7" customHeight="1">
      <c r="A94" s="23" t="s">
        <v>234</v>
      </c>
      <c r="B94" s="23" t="s">
        <v>268</v>
      </c>
    </row>
    <row r="95" spans="1:25" s="23" customFormat="1" ht="13.7" customHeight="1">
      <c r="A95" s="23" t="s">
        <v>236</v>
      </c>
      <c r="B95" s="23" t="s">
        <v>268</v>
      </c>
    </row>
    <row r="96" spans="1:25" s="23" customFormat="1" ht="13.7" customHeight="1">
      <c r="A96" s="23" t="s">
        <v>238</v>
      </c>
      <c r="B96" s="23" t="s">
        <v>267</v>
      </c>
    </row>
    <row r="97" spans="1:25" s="23" customFormat="1" ht="13.7" customHeight="1">
      <c r="A97" s="23" t="s">
        <v>240</v>
      </c>
      <c r="B97" s="23" t="s">
        <v>268</v>
      </c>
    </row>
    <row r="98" spans="1:25" s="23" customFormat="1" ht="13.7" customHeight="1">
      <c r="A98" s="23" t="s">
        <v>242</v>
      </c>
      <c r="B98" s="23" t="s">
        <v>268</v>
      </c>
    </row>
    <row r="99" spans="1:25" s="23" customFormat="1" ht="13.7" customHeight="1">
      <c r="A99" s="23" t="s">
        <v>244</v>
      </c>
      <c r="B99" s="23" t="s">
        <v>268</v>
      </c>
    </row>
    <row r="100" spans="1:25" s="23" customFormat="1" ht="13.7" customHeight="1">
      <c r="A100" s="23" t="s">
        <v>246</v>
      </c>
      <c r="B100" s="23" t="s">
        <v>268</v>
      </c>
    </row>
    <row r="101" spans="1:25" s="23" customFormat="1" ht="13.7" customHeight="1">
      <c r="A101" s="23" t="s">
        <v>248</v>
      </c>
      <c r="B101" s="23" t="s">
        <v>267</v>
      </c>
    </row>
    <row r="102" spans="1:25" s="23" customFormat="1" ht="13.7" customHeight="1">
      <c r="A102" s="23" t="s">
        <v>250</v>
      </c>
      <c r="B102" s="23" t="s">
        <v>267</v>
      </c>
    </row>
    <row r="103" spans="1:25" s="23" customFormat="1" ht="13.7" customHeight="1">
      <c r="A103" s="23" t="s">
        <v>252</v>
      </c>
      <c r="B103" s="23" t="s">
        <v>268</v>
      </c>
    </row>
    <row r="104" spans="1:25" s="23" customFormat="1" ht="13.7" customHeight="1">
      <c r="A104" s="23" t="s">
        <v>254</v>
      </c>
      <c r="B104" s="23" t="s">
        <v>267</v>
      </c>
    </row>
    <row r="105" spans="1:25" s="23" customFormat="1" ht="13.7" customHeight="1">
      <c r="A105" s="23" t="s">
        <v>256</v>
      </c>
      <c r="B105" s="23" t="s">
        <v>268</v>
      </c>
    </row>
    <row r="106" spans="1:25" s="23" customFormat="1" ht="13.7" customHeight="1">
      <c r="A106" s="23" t="s">
        <v>258</v>
      </c>
      <c r="B106" s="23" t="s">
        <v>267</v>
      </c>
    </row>
    <row r="108" spans="1:25" s="4" customFormat="1" ht="13.7" customHeight="1">
      <c r="A108" s="2" t="s">
        <v>270</v>
      </c>
      <c r="C108" s="3"/>
      <c r="D108" s="3"/>
      <c r="E108" s="3"/>
      <c r="F108" s="3"/>
      <c r="G108" s="5"/>
      <c r="H108" s="6"/>
      <c r="I108" s="5"/>
      <c r="J108" s="6"/>
      <c r="K108" s="5"/>
      <c r="L108" s="5"/>
      <c r="M108" s="5"/>
      <c r="N108" s="5"/>
      <c r="O108" s="5"/>
      <c r="P108" s="5"/>
      <c r="Q108" s="5"/>
      <c r="R108" s="5"/>
      <c r="S108" s="6"/>
      <c r="T108" s="6"/>
      <c r="U108" s="5"/>
      <c r="V108" s="5"/>
      <c r="W108" s="5"/>
      <c r="X108" s="5"/>
      <c r="Y108" s="5"/>
    </row>
    <row r="110" spans="1:25" s="252" customFormat="1" ht="13.7" customHeight="1">
      <c r="A110" s="249" t="s">
        <v>271</v>
      </c>
      <c r="B110" s="249" t="s">
        <v>270</v>
      </c>
    </row>
    <row r="111" spans="1:25" s="252" customFormat="1" ht="13.7" customHeight="1">
      <c r="A111" s="252" t="s">
        <v>272</v>
      </c>
      <c r="B111" s="269">
        <v>12</v>
      </c>
    </row>
    <row r="112" spans="1:25" s="252" customFormat="1" ht="13.7" customHeight="1">
      <c r="A112" s="252" t="s">
        <v>273</v>
      </c>
      <c r="B112" s="269" t="s">
        <v>274</v>
      </c>
    </row>
    <row r="113" spans="1:3" s="252" customFormat="1" ht="13.7" customHeight="1">
      <c r="A113" s="252" t="s">
        <v>275</v>
      </c>
      <c r="B113" s="269" t="s">
        <v>276</v>
      </c>
    </row>
    <row r="114" spans="1:3" s="252" customFormat="1" ht="13.7" customHeight="1">
      <c r="A114" s="252" t="s">
        <v>277</v>
      </c>
      <c r="B114" s="269">
        <v>16</v>
      </c>
    </row>
    <row r="115" spans="1:3" s="252" customFormat="1" ht="13.7" customHeight="1">
      <c r="A115" s="252" t="s">
        <v>278</v>
      </c>
      <c r="B115" s="269">
        <v>17</v>
      </c>
    </row>
    <row r="116" spans="1:3" s="254" customFormat="1" ht="13.7" customHeight="1">
      <c r="A116" s="252" t="s">
        <v>279</v>
      </c>
      <c r="B116" s="269">
        <v>18</v>
      </c>
    </row>
    <row r="117" spans="1:3" s="254" customFormat="1" ht="13.7" customHeight="1">
      <c r="A117" s="252" t="s">
        <v>280</v>
      </c>
      <c r="B117" s="269">
        <v>19</v>
      </c>
    </row>
    <row r="118" spans="1:3" s="254" customFormat="1" ht="13.7" customHeight="1">
      <c r="A118" s="252" t="s">
        <v>281</v>
      </c>
      <c r="B118" s="269">
        <v>20</v>
      </c>
    </row>
    <row r="119" spans="1:3" s="254" customFormat="1" ht="13.7" customHeight="1">
      <c r="A119" s="252" t="s">
        <v>282</v>
      </c>
      <c r="B119" s="269">
        <v>21</v>
      </c>
    </row>
    <row r="120" spans="1:3" ht="13.7" customHeight="1">
      <c r="A120" s="252" t="s">
        <v>1067</v>
      </c>
      <c r="B120" s="25">
        <v>22</v>
      </c>
    </row>
    <row r="122" spans="1:3" s="22" customFormat="1" ht="13.7" customHeight="1">
      <c r="A122" s="2" t="s">
        <v>227</v>
      </c>
      <c r="B122" s="4"/>
      <c r="C122" s="4"/>
    </row>
  </sheetData>
  <hyperlinks>
    <hyperlink ref="A2" location="Index!A1" display="Index" xr:uid="{00000000-0004-0000-0100-000000000000}"/>
  </hyperlinks>
  <pageMargins left="0.70866141732283472" right="0.70866141732283472" top="0.74803149606299213" bottom="0.74803149606299213" header="0.31496062992125984" footer="0.31496062992125984"/>
  <pageSetup paperSize="9" scale="31" fitToHeight="2"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IG139"/>
  <sheetViews>
    <sheetView workbookViewId="0">
      <pane xSplit="2" ySplit="10" topLeftCell="C17" activePane="bottomRight" state="frozen"/>
      <selection pane="topRight" activeCell="C1" sqref="C1"/>
      <selection pane="bottomLeft" activeCell="A11" sqref="A11"/>
      <selection pane="bottomRight"/>
    </sheetView>
  </sheetViews>
  <sheetFormatPr defaultColWidth="8.85546875" defaultRowHeight="13.7" customHeight="1" outlineLevelRow="1" outlineLevelCol="1"/>
  <cols>
    <col min="1" max="1" width="45.85546875" style="23" bestFit="1" customWidth="1"/>
    <col min="2" max="2" width="24.42578125" style="23" bestFit="1" customWidth="1"/>
    <col min="3" max="5" width="8.85546875" style="23" hidden="1" customWidth="1" outlineLevel="1"/>
    <col min="6" max="8" width="9.42578125" style="23" hidden="1" customWidth="1" outlineLevel="1"/>
    <col min="9" max="9" width="9.140625" style="23" hidden="1" customWidth="1" outlineLevel="1"/>
    <col min="10" max="12" width="9.42578125" style="23" hidden="1" customWidth="1" outlineLevel="1"/>
    <col min="13" max="13" width="9.28515625" style="23" hidden="1" customWidth="1" outlineLevel="1"/>
    <col min="14" max="14" width="9.42578125" style="23" hidden="1" customWidth="1" outlineLevel="1"/>
    <col min="15" max="15" width="9.140625" style="23" hidden="1" customWidth="1" outlineLevel="1"/>
    <col min="16" max="16" width="9.42578125" style="23" hidden="1" customWidth="1" outlineLevel="1"/>
    <col min="17" max="17" width="11.42578125" style="23" hidden="1" customWidth="1" outlineLevel="1"/>
    <col min="18" max="18" width="9.28515625" style="23" hidden="1" customWidth="1" outlineLevel="1"/>
    <col min="19" max="19" width="9.140625" style="23" hidden="1" customWidth="1" outlineLevel="1"/>
    <col min="20" max="33" width="10" style="23" hidden="1" customWidth="1" outlineLevel="1"/>
    <col min="34" max="34" width="12.28515625" style="23" hidden="1" customWidth="1" outlineLevel="1"/>
    <col min="35" max="36" width="10" style="23" hidden="1" customWidth="1" outlineLevel="1"/>
    <col min="37" max="50" width="8.85546875" style="23" hidden="1" customWidth="1" outlineLevel="1"/>
    <col min="51" max="51" width="11.42578125" style="23" hidden="1" customWidth="1" outlineLevel="1"/>
    <col min="52" max="56" width="8.85546875" style="23" hidden="1" customWidth="1" outlineLevel="1"/>
    <col min="57" max="64" width="12.28515625" style="23" hidden="1" customWidth="1" outlineLevel="1"/>
    <col min="65" max="65" width="8.85546875" style="23" hidden="1" customWidth="1" outlineLevel="1"/>
    <col min="66" max="67" width="10" style="23" hidden="1" customWidth="1" outlineLevel="1"/>
    <col min="68" max="68" width="12.28515625" style="23" hidden="1" customWidth="1" outlineLevel="1"/>
    <col min="69" max="84" width="10" style="23" hidden="1" customWidth="1" outlineLevel="1"/>
    <col min="85" max="85" width="12.28515625" style="23" hidden="1" customWidth="1" outlineLevel="1"/>
    <col min="86" max="87" width="10" style="23" hidden="1" customWidth="1" outlineLevel="1"/>
    <col min="88" max="90" width="8.85546875" style="23" hidden="1" customWidth="1" outlineLevel="1"/>
    <col min="91" max="91" width="12.28515625" style="23" hidden="1" customWidth="1" outlineLevel="1"/>
    <col min="92" max="100" width="8.85546875" style="23" hidden="1" customWidth="1" outlineLevel="1"/>
    <col min="101" max="102" width="12.28515625" style="23" hidden="1" customWidth="1" outlineLevel="1"/>
    <col min="103" max="118" width="8.85546875" style="23" hidden="1" customWidth="1" outlineLevel="1"/>
    <col min="119" max="119" width="12.28515625" style="23" hidden="1" customWidth="1" outlineLevel="1"/>
    <col min="120" max="121" width="8.85546875" style="23" hidden="1" customWidth="1" outlineLevel="1"/>
    <col min="122" max="122" width="8.85546875" style="23" customWidth="1" collapsed="1"/>
    <col min="123" max="135" width="8.85546875" style="23" customWidth="1"/>
    <col min="136" max="136" width="11.42578125" style="23" bestFit="1" customWidth="1"/>
    <col min="137" max="140" width="8.85546875" style="23" customWidth="1"/>
    <col min="141" max="154" width="8.85546875" style="23" hidden="1" customWidth="1" outlineLevel="1"/>
    <col min="155" max="155" width="12.28515625" style="23" hidden="1" customWidth="1" outlineLevel="1"/>
    <col min="156" max="171" width="8.85546875" style="23" hidden="1" customWidth="1" outlineLevel="1"/>
    <col min="172" max="172" width="12.28515625" style="23" hidden="1" customWidth="1" outlineLevel="1"/>
    <col min="173" max="188" width="8.85546875" style="23" hidden="1" customWidth="1" outlineLevel="1"/>
    <col min="189" max="189" width="12.28515625" style="23" hidden="1" customWidth="1" outlineLevel="1"/>
    <col min="190" max="205" width="8.85546875" style="23" hidden="1" customWidth="1" outlineLevel="1"/>
    <col min="206" max="206" width="11.42578125" style="23" hidden="1" customWidth="1" outlineLevel="1"/>
    <col min="207" max="211" width="8.85546875" style="23" hidden="1" customWidth="1" outlineLevel="1"/>
    <col min="212" max="215" width="9.42578125" style="23" hidden="1" customWidth="1" outlineLevel="1"/>
    <col min="216" max="216" width="8.85546875" style="23" hidden="1" customWidth="1" outlineLevel="1"/>
    <col min="217" max="217" width="9.42578125" style="23" hidden="1" customWidth="1" outlineLevel="1"/>
    <col min="218" max="218" width="8.85546875" style="23" hidden="1" customWidth="1" outlineLevel="1"/>
    <col min="219" max="219" width="9.42578125" style="23" hidden="1" customWidth="1" outlineLevel="1"/>
    <col min="220" max="220" width="8.85546875" style="23" hidden="1" customWidth="1" outlineLevel="1"/>
    <col min="221" max="222" width="9.42578125" style="23" hidden="1" customWidth="1" outlineLevel="1"/>
    <col min="223" max="225" width="12.28515625" style="23" hidden="1" customWidth="1" outlineLevel="1"/>
    <col min="226" max="226" width="9.140625" style="23" bestFit="1" customWidth="1" collapsed="1"/>
    <col min="227" max="243" width="9.140625" style="23" bestFit="1" customWidth="1"/>
    <col min="244" max="16384" width="8.85546875" style="23"/>
  </cols>
  <sheetData>
    <row r="1" spans="1:241" s="7" customFormat="1" ht="15.6" customHeight="1">
      <c r="A1" s="1" t="s">
        <v>0</v>
      </c>
    </row>
    <row r="2" spans="1:241" s="16" customFormat="1" ht="13.7" customHeight="1">
      <c r="A2" s="85" t="s">
        <v>5</v>
      </c>
      <c r="C2" s="15"/>
      <c r="E2" s="84"/>
    </row>
    <row r="3" spans="1:241" s="9" customFormat="1" ht="13.7" customHeight="1" thickBot="1">
      <c r="A3" s="8" t="s">
        <v>16</v>
      </c>
    </row>
    <row r="4" spans="1:241" s="9" customFormat="1" ht="13.7" customHeight="1"/>
    <row r="5" spans="1:241" s="4" customFormat="1" ht="13.7" customHeight="1">
      <c r="A5" s="2" t="s">
        <v>283</v>
      </c>
      <c r="C5" s="3"/>
      <c r="D5" s="3"/>
      <c r="E5" s="3"/>
      <c r="F5" s="3"/>
      <c r="G5" s="5"/>
      <c r="H5" s="6"/>
      <c r="I5" s="5"/>
      <c r="J5" s="6"/>
      <c r="K5" s="5"/>
      <c r="L5" s="5"/>
      <c r="M5" s="5"/>
      <c r="N5" s="5"/>
      <c r="O5" s="5"/>
      <c r="P5" s="5"/>
      <c r="Q5" s="5"/>
      <c r="R5" s="5"/>
      <c r="S5" s="5"/>
      <c r="T5" s="5"/>
      <c r="U5" s="6"/>
      <c r="V5" s="6"/>
      <c r="W5" s="5"/>
      <c r="X5" s="5"/>
      <c r="Y5" s="5"/>
      <c r="Z5" s="5"/>
      <c r="AA5" s="5"/>
    </row>
    <row r="6" spans="1:241" ht="13.7" customHeight="1">
      <c r="A6" s="62"/>
    </row>
    <row r="7" spans="1:241" s="21" customFormat="1" ht="13.7" customHeight="1">
      <c r="A7" s="92" t="s">
        <v>284</v>
      </c>
      <c r="B7" s="23" t="s">
        <v>285</v>
      </c>
      <c r="C7" s="117"/>
    </row>
    <row r="8" spans="1:241" s="21" customFormat="1" ht="13.7" customHeight="1">
      <c r="B8" s="157"/>
      <c r="C8" s="117"/>
    </row>
    <row r="9" spans="1:241" s="21" customFormat="1" ht="13.7" customHeight="1">
      <c r="A9" s="92"/>
      <c r="C9" s="117"/>
    </row>
    <row r="10" spans="1:241" s="249" customFormat="1" ht="13.7" customHeight="1">
      <c r="A10" s="138" t="s">
        <v>286</v>
      </c>
      <c r="B10" s="249" t="s">
        <v>287</v>
      </c>
      <c r="C10" s="250" t="s">
        <v>288</v>
      </c>
      <c r="D10" s="250" t="s">
        <v>289</v>
      </c>
      <c r="E10" s="250" t="s">
        <v>290</v>
      </c>
      <c r="F10" s="250" t="s">
        <v>291</v>
      </c>
      <c r="G10" s="250" t="s">
        <v>292</v>
      </c>
      <c r="H10" s="250" t="s">
        <v>293</v>
      </c>
      <c r="I10" s="250" t="s">
        <v>294</v>
      </c>
      <c r="J10" s="250" t="s">
        <v>295</v>
      </c>
      <c r="K10" s="250" t="s">
        <v>296</v>
      </c>
      <c r="L10" s="250" t="s">
        <v>297</v>
      </c>
      <c r="M10" s="250" t="s">
        <v>298</v>
      </c>
      <c r="N10" s="250" t="s">
        <v>299</v>
      </c>
      <c r="O10" s="250" t="s">
        <v>300</v>
      </c>
      <c r="P10" s="250" t="s">
        <v>301</v>
      </c>
      <c r="Q10" s="250" t="s">
        <v>302</v>
      </c>
      <c r="R10" s="250" t="s">
        <v>303</v>
      </c>
      <c r="S10" s="250" t="s">
        <v>304</v>
      </c>
      <c r="T10" s="250" t="s">
        <v>305</v>
      </c>
      <c r="U10" s="250" t="s">
        <v>306</v>
      </c>
      <c r="V10" s="250" t="s">
        <v>307</v>
      </c>
      <c r="W10" s="250" t="s">
        <v>308</v>
      </c>
      <c r="X10" s="250" t="s">
        <v>309</v>
      </c>
      <c r="Y10" s="250" t="s">
        <v>310</v>
      </c>
      <c r="Z10" s="250" t="s">
        <v>311</v>
      </c>
      <c r="AA10" s="250" t="s">
        <v>312</v>
      </c>
      <c r="AB10" s="250" t="s">
        <v>313</v>
      </c>
      <c r="AC10" s="250" t="s">
        <v>314</v>
      </c>
      <c r="AD10" s="250" t="s">
        <v>315</v>
      </c>
      <c r="AE10" s="250" t="s">
        <v>316</v>
      </c>
      <c r="AF10" s="250" t="s">
        <v>317</v>
      </c>
      <c r="AG10" s="250" t="s">
        <v>318</v>
      </c>
      <c r="AH10" s="250" t="s">
        <v>319</v>
      </c>
      <c r="AI10" s="250" t="s">
        <v>320</v>
      </c>
      <c r="AJ10" s="250" t="s">
        <v>321</v>
      </c>
      <c r="AK10" s="250" t="s">
        <v>322</v>
      </c>
      <c r="AL10" s="250" t="s">
        <v>323</v>
      </c>
      <c r="AM10" s="250" t="s">
        <v>324</v>
      </c>
      <c r="AN10" s="250" t="s">
        <v>325</v>
      </c>
      <c r="AO10" s="250" t="s">
        <v>326</v>
      </c>
      <c r="AP10" s="250" t="s">
        <v>327</v>
      </c>
      <c r="AQ10" s="250" t="s">
        <v>328</v>
      </c>
      <c r="AR10" s="250" t="s">
        <v>329</v>
      </c>
      <c r="AS10" s="250" t="s">
        <v>330</v>
      </c>
      <c r="AT10" s="250" t="s">
        <v>331</v>
      </c>
      <c r="AU10" s="250" t="s">
        <v>332</v>
      </c>
      <c r="AV10" s="250" t="s">
        <v>333</v>
      </c>
      <c r="AW10" s="250" t="s">
        <v>334</v>
      </c>
      <c r="AX10" s="250" t="s">
        <v>335</v>
      </c>
      <c r="AY10" s="250" t="s">
        <v>336</v>
      </c>
      <c r="AZ10" s="250" t="s">
        <v>337</v>
      </c>
      <c r="BA10" s="250" t="s">
        <v>338</v>
      </c>
      <c r="BB10" s="250" t="s">
        <v>339</v>
      </c>
      <c r="BC10" s="250" t="s">
        <v>340</v>
      </c>
      <c r="BD10" s="250" t="s">
        <v>341</v>
      </c>
      <c r="BE10" s="250" t="s">
        <v>342</v>
      </c>
      <c r="BF10" s="250" t="s">
        <v>343</v>
      </c>
      <c r="BG10" s="250" t="s">
        <v>344</v>
      </c>
      <c r="BH10" s="250" t="s">
        <v>345</v>
      </c>
      <c r="BI10" s="250" t="s">
        <v>346</v>
      </c>
      <c r="BJ10" s="250" t="s">
        <v>347</v>
      </c>
      <c r="BK10" s="250" t="s">
        <v>348</v>
      </c>
      <c r="BL10" s="250" t="s">
        <v>349</v>
      </c>
      <c r="BM10" s="250" t="s">
        <v>350</v>
      </c>
      <c r="BN10" s="250" t="s">
        <v>351</v>
      </c>
      <c r="BO10" s="250" t="s">
        <v>352</v>
      </c>
      <c r="BP10" s="250" t="s">
        <v>353</v>
      </c>
      <c r="BQ10" s="250" t="s">
        <v>354</v>
      </c>
      <c r="BR10" s="250" t="s">
        <v>355</v>
      </c>
      <c r="BS10" s="250" t="s">
        <v>356</v>
      </c>
      <c r="BT10" s="250" t="s">
        <v>357</v>
      </c>
      <c r="BU10" s="250" t="s">
        <v>358</v>
      </c>
      <c r="BV10" s="250" t="s">
        <v>359</v>
      </c>
      <c r="BW10" s="250" t="s">
        <v>360</v>
      </c>
      <c r="BX10" s="250" t="s">
        <v>361</v>
      </c>
      <c r="BY10" s="250" t="s">
        <v>362</v>
      </c>
      <c r="BZ10" s="250" t="s">
        <v>363</v>
      </c>
      <c r="CA10" s="250" t="s">
        <v>364</v>
      </c>
      <c r="CB10" s="250" t="s">
        <v>365</v>
      </c>
      <c r="CC10" s="250" t="s">
        <v>366</v>
      </c>
      <c r="CD10" s="250" t="s">
        <v>367</v>
      </c>
      <c r="CE10" s="250" t="s">
        <v>368</v>
      </c>
      <c r="CF10" s="250" t="s">
        <v>369</v>
      </c>
      <c r="CG10" s="250" t="s">
        <v>370</v>
      </c>
      <c r="CH10" s="250" t="s">
        <v>371</v>
      </c>
      <c r="CI10" s="250" t="s">
        <v>372</v>
      </c>
      <c r="CJ10" s="250" t="s">
        <v>373</v>
      </c>
      <c r="CK10" s="250" t="s">
        <v>374</v>
      </c>
      <c r="CL10" s="250" t="s">
        <v>375</v>
      </c>
      <c r="CM10" s="250" t="s">
        <v>376</v>
      </c>
      <c r="CN10" s="250" t="s">
        <v>377</v>
      </c>
      <c r="CO10" s="250" t="s">
        <v>378</v>
      </c>
      <c r="CP10" s="250" t="s">
        <v>379</v>
      </c>
      <c r="CQ10" s="250" t="s">
        <v>380</v>
      </c>
      <c r="CR10" s="250" t="s">
        <v>381</v>
      </c>
      <c r="CS10" s="250" t="s">
        <v>382</v>
      </c>
      <c r="CT10" s="250" t="s">
        <v>383</v>
      </c>
      <c r="CU10" s="250" t="s">
        <v>384</v>
      </c>
      <c r="CV10" s="250" t="s">
        <v>385</v>
      </c>
      <c r="CW10" s="250" t="s">
        <v>386</v>
      </c>
      <c r="CX10" s="250" t="s">
        <v>387</v>
      </c>
      <c r="CY10" s="250" t="s">
        <v>388</v>
      </c>
      <c r="CZ10" s="250" t="s">
        <v>389</v>
      </c>
      <c r="DA10" s="250" t="s">
        <v>390</v>
      </c>
      <c r="DB10" s="250" t="s">
        <v>391</v>
      </c>
      <c r="DC10" s="250" t="s">
        <v>392</v>
      </c>
      <c r="DD10" s="250" t="s">
        <v>393</v>
      </c>
      <c r="DE10" s="250" t="s">
        <v>394</v>
      </c>
      <c r="DF10" s="250" t="s">
        <v>395</v>
      </c>
      <c r="DG10" s="250" t="s">
        <v>396</v>
      </c>
      <c r="DH10" s="250" t="s">
        <v>397</v>
      </c>
      <c r="DI10" s="250" t="s">
        <v>398</v>
      </c>
      <c r="DJ10" s="250" t="s">
        <v>399</v>
      </c>
      <c r="DK10" s="250" t="s">
        <v>400</v>
      </c>
      <c r="DL10" s="250" t="s">
        <v>401</v>
      </c>
      <c r="DM10" s="250" t="s">
        <v>402</v>
      </c>
      <c r="DN10" s="250" t="s">
        <v>403</v>
      </c>
      <c r="DO10" s="250" t="s">
        <v>404</v>
      </c>
      <c r="DP10" s="250" t="s">
        <v>405</v>
      </c>
      <c r="DQ10" s="250" t="s">
        <v>406</v>
      </c>
      <c r="DR10" s="250" t="s">
        <v>407</v>
      </c>
      <c r="DS10" s="250" t="s">
        <v>408</v>
      </c>
      <c r="DT10" s="250" t="s">
        <v>409</v>
      </c>
      <c r="DU10" s="250" t="s">
        <v>410</v>
      </c>
      <c r="DV10" s="250" t="s">
        <v>411</v>
      </c>
      <c r="DW10" s="250" t="s">
        <v>412</v>
      </c>
      <c r="DX10" s="250" t="s">
        <v>413</v>
      </c>
      <c r="DY10" s="250" t="s">
        <v>414</v>
      </c>
      <c r="DZ10" s="250" t="s">
        <v>415</v>
      </c>
      <c r="EA10" s="250" t="s">
        <v>416</v>
      </c>
      <c r="EB10" s="250" t="s">
        <v>417</v>
      </c>
      <c r="EC10" s="250" t="s">
        <v>418</v>
      </c>
      <c r="ED10" s="250" t="s">
        <v>419</v>
      </c>
      <c r="EE10" s="250" t="s">
        <v>420</v>
      </c>
      <c r="EF10" s="250" t="s">
        <v>421</v>
      </c>
      <c r="EG10" s="250" t="s">
        <v>422</v>
      </c>
      <c r="EH10" s="250" t="s">
        <v>423</v>
      </c>
      <c r="EI10" s="250" t="s">
        <v>424</v>
      </c>
      <c r="EJ10" s="250" t="s">
        <v>425</v>
      </c>
      <c r="EK10" s="250" t="s">
        <v>426</v>
      </c>
      <c r="EL10" s="250" t="s">
        <v>427</v>
      </c>
      <c r="EM10" s="250" t="s">
        <v>428</v>
      </c>
      <c r="EN10" s="250" t="s">
        <v>429</v>
      </c>
      <c r="EO10" s="250" t="s">
        <v>430</v>
      </c>
      <c r="EP10" s="250" t="s">
        <v>431</v>
      </c>
      <c r="EQ10" s="250" t="s">
        <v>432</v>
      </c>
      <c r="ER10" s="250" t="s">
        <v>433</v>
      </c>
      <c r="ES10" s="250" t="s">
        <v>434</v>
      </c>
      <c r="ET10" s="250" t="s">
        <v>435</v>
      </c>
      <c r="EU10" s="250" t="s">
        <v>436</v>
      </c>
      <c r="EV10" s="250" t="s">
        <v>437</v>
      </c>
      <c r="EW10" s="250" t="s">
        <v>438</v>
      </c>
      <c r="EX10" s="250" t="s">
        <v>439</v>
      </c>
      <c r="EY10" s="250" t="s">
        <v>440</v>
      </c>
      <c r="EZ10" s="250" t="s">
        <v>441</v>
      </c>
      <c r="FA10" s="250" t="s">
        <v>442</v>
      </c>
      <c r="FB10" s="250" t="s">
        <v>443</v>
      </c>
      <c r="FC10" s="250" t="s">
        <v>444</v>
      </c>
      <c r="FD10" s="250" t="s">
        <v>445</v>
      </c>
      <c r="FE10" s="250" t="s">
        <v>446</v>
      </c>
      <c r="FF10" s="250" t="s">
        <v>447</v>
      </c>
      <c r="FG10" s="250" t="s">
        <v>448</v>
      </c>
      <c r="FH10" s="250" t="s">
        <v>449</v>
      </c>
      <c r="FI10" s="250" t="s">
        <v>450</v>
      </c>
      <c r="FJ10" s="250" t="s">
        <v>451</v>
      </c>
      <c r="FK10" s="250" t="s">
        <v>452</v>
      </c>
      <c r="FL10" s="250" t="s">
        <v>453</v>
      </c>
      <c r="FM10" s="250" t="s">
        <v>454</v>
      </c>
      <c r="FN10" s="250" t="s">
        <v>455</v>
      </c>
      <c r="FO10" s="250" t="s">
        <v>456</v>
      </c>
      <c r="FP10" s="250" t="s">
        <v>457</v>
      </c>
      <c r="FQ10" s="250" t="s">
        <v>458</v>
      </c>
      <c r="FR10" s="250" t="s">
        <v>459</v>
      </c>
      <c r="FS10" s="250" t="s">
        <v>460</v>
      </c>
      <c r="FT10" s="250" t="s">
        <v>461</v>
      </c>
      <c r="FU10" s="250" t="s">
        <v>462</v>
      </c>
      <c r="FV10" s="250" t="s">
        <v>463</v>
      </c>
      <c r="FW10" s="250" t="s">
        <v>464</v>
      </c>
      <c r="FX10" s="250" t="s">
        <v>465</v>
      </c>
      <c r="FY10" s="250" t="s">
        <v>466</v>
      </c>
      <c r="FZ10" s="250" t="s">
        <v>467</v>
      </c>
      <c r="GA10" s="250" t="s">
        <v>468</v>
      </c>
      <c r="GB10" s="250" t="s">
        <v>469</v>
      </c>
      <c r="GC10" s="250" t="s">
        <v>470</v>
      </c>
      <c r="GD10" s="250" t="s">
        <v>471</v>
      </c>
      <c r="GE10" s="250" t="s">
        <v>472</v>
      </c>
      <c r="GF10" s="250" t="s">
        <v>473</v>
      </c>
      <c r="GG10" s="250" t="s">
        <v>474</v>
      </c>
      <c r="GH10" s="250" t="s">
        <v>475</v>
      </c>
      <c r="GI10" s="250" t="s">
        <v>476</v>
      </c>
      <c r="GJ10" s="250" t="s">
        <v>477</v>
      </c>
      <c r="GK10" s="250" t="s">
        <v>478</v>
      </c>
      <c r="GL10" s="250" t="s">
        <v>479</v>
      </c>
      <c r="GM10" s="250" t="s">
        <v>480</v>
      </c>
      <c r="GN10" s="250" t="s">
        <v>481</v>
      </c>
      <c r="GO10" s="250" t="s">
        <v>482</v>
      </c>
      <c r="GP10" s="250" t="s">
        <v>483</v>
      </c>
      <c r="GQ10" s="250" t="s">
        <v>484</v>
      </c>
      <c r="GR10" s="250" t="s">
        <v>485</v>
      </c>
      <c r="GS10" s="250" t="s">
        <v>486</v>
      </c>
      <c r="GT10" s="250" t="s">
        <v>487</v>
      </c>
      <c r="GU10" s="250" t="s">
        <v>488</v>
      </c>
      <c r="GV10" s="250" t="s">
        <v>489</v>
      </c>
      <c r="GW10" s="250" t="s">
        <v>490</v>
      </c>
      <c r="GX10" s="250" t="s">
        <v>491</v>
      </c>
      <c r="GY10" s="250" t="s">
        <v>492</v>
      </c>
      <c r="GZ10" s="250" t="s">
        <v>493</v>
      </c>
      <c r="HA10" s="250" t="s">
        <v>494</v>
      </c>
      <c r="HB10" s="250" t="s">
        <v>495</v>
      </c>
      <c r="HC10" s="250" t="s">
        <v>496</v>
      </c>
      <c r="HD10" s="250" t="s">
        <v>497</v>
      </c>
      <c r="HE10" s="250" t="s">
        <v>498</v>
      </c>
      <c r="HF10" s="250" t="s">
        <v>499</v>
      </c>
      <c r="HG10" s="250" t="s">
        <v>500</v>
      </c>
      <c r="HH10" s="250" t="s">
        <v>501</v>
      </c>
      <c r="HI10" s="250" t="s">
        <v>502</v>
      </c>
      <c r="HJ10" s="250" t="s">
        <v>503</v>
      </c>
      <c r="HK10" s="250" t="s">
        <v>504</v>
      </c>
      <c r="HL10" s="250" t="s">
        <v>505</v>
      </c>
      <c r="HM10" s="250" t="s">
        <v>506</v>
      </c>
      <c r="HN10" s="250" t="s">
        <v>507</v>
      </c>
      <c r="HO10" s="250" t="s">
        <v>508</v>
      </c>
      <c r="HP10" s="250" t="s">
        <v>509</v>
      </c>
      <c r="HQ10" s="250" t="s">
        <v>510</v>
      </c>
    </row>
    <row r="11" spans="1:241" s="248" customFormat="1" ht="13.7" customHeight="1">
      <c r="A11" s="248" t="s">
        <v>511</v>
      </c>
      <c r="B11" s="248" t="s">
        <v>512</v>
      </c>
      <c r="C11" s="69">
        <f t="shared" ref="C11:S11" si="0">IF(OR(Parameter_Scenario_number=20,Parameter_Scenario_number=18),C22,C19)</f>
        <v>2347.6863600571855</v>
      </c>
      <c r="D11" s="69">
        <f t="shared" si="0"/>
        <v>2341.5709032417249</v>
      </c>
      <c r="E11" s="69">
        <f t="shared" si="0"/>
        <v>2335.5356935592044</v>
      </c>
      <c r="F11" s="69">
        <f t="shared" si="0"/>
        <v>2329.581382067935</v>
      </c>
      <c r="G11" s="69">
        <f t="shared" si="0"/>
        <v>2323.7086344791646</v>
      </c>
      <c r="H11" s="69">
        <f t="shared" si="0"/>
        <v>2317.918131402751</v>
      </c>
      <c r="I11" s="69">
        <f t="shared" si="0"/>
        <v>2312.2105685972292</v>
      </c>
      <c r="J11" s="69">
        <f t="shared" si="0"/>
        <v>2306.5866572243467</v>
      </c>
      <c r="K11" s="69">
        <f t="shared" si="0"/>
        <v>2301.0471241081536</v>
      </c>
      <c r="L11" s="69">
        <f t="shared" si="0"/>
        <v>2295.5927119987255</v>
      </c>
      <c r="M11" s="69">
        <f t="shared" si="0"/>
        <v>2290.2241798405903</v>
      </c>
      <c r="N11" s="69">
        <f t="shared" si="0"/>
        <v>2287.5641186519815</v>
      </c>
      <c r="O11" s="69">
        <f t="shared" si="0"/>
        <v>2285.1540552983311</v>
      </c>
      <c r="P11" s="69">
        <f t="shared" si="0"/>
        <v>2280.9639249855368</v>
      </c>
      <c r="Q11" s="69">
        <f t="shared" si="0"/>
        <v>2302.81</v>
      </c>
      <c r="R11" s="69">
        <f t="shared" si="0"/>
        <v>2303.87</v>
      </c>
      <c r="S11" s="69">
        <f t="shared" si="0"/>
        <v>2301.2800000000002</v>
      </c>
      <c r="T11" s="69">
        <v>26108.799999999999</v>
      </c>
      <c r="U11" s="69">
        <v>25884.5</v>
      </c>
      <c r="V11" s="69">
        <v>25986.1</v>
      </c>
      <c r="W11" s="69">
        <v>25934</v>
      </c>
      <c r="X11" s="69">
        <v>25966.7</v>
      </c>
      <c r="Y11" s="69">
        <v>26138.7</v>
      </c>
      <c r="Z11" s="69">
        <v>26084.7</v>
      </c>
      <c r="AA11" s="69">
        <v>26071.9</v>
      </c>
      <c r="AB11" s="69">
        <v>26044.1</v>
      </c>
      <c r="AC11" s="69">
        <v>26005.77200452</v>
      </c>
      <c r="AD11" s="69">
        <v>25933.963453240001</v>
      </c>
      <c r="AE11" s="69">
        <v>25890.157595699999</v>
      </c>
      <c r="AF11" s="69">
        <v>25892</v>
      </c>
      <c r="AG11" s="69">
        <v>25868</v>
      </c>
      <c r="AH11" s="69">
        <v>25897.040000000001</v>
      </c>
      <c r="AI11" s="69">
        <v>25915.29</v>
      </c>
      <c r="AJ11" s="69">
        <v>25932.980000000003</v>
      </c>
      <c r="AK11" s="69">
        <v>2260.8736773800001</v>
      </c>
      <c r="AL11" s="69">
        <v>2292.1840148800002</v>
      </c>
      <c r="AM11" s="69">
        <v>2193.02731653</v>
      </c>
      <c r="AN11" s="69">
        <v>2191.9999999800002</v>
      </c>
      <c r="AO11" s="69">
        <v>2185.29349516</v>
      </c>
      <c r="AP11" s="69">
        <v>2223</v>
      </c>
      <c r="AQ11" s="69">
        <v>2230</v>
      </c>
      <c r="AR11" s="69">
        <v>2233</v>
      </c>
      <c r="AS11" s="69">
        <v>2270.3383899999999</v>
      </c>
      <c r="AT11" s="69">
        <v>2272.2336599999999</v>
      </c>
      <c r="AU11" s="69">
        <v>2274.4</v>
      </c>
      <c r="AV11" s="69">
        <v>2275.09</v>
      </c>
      <c r="AW11" s="69">
        <v>2267.8393000000001</v>
      </c>
      <c r="AX11" s="69">
        <v>2267.58</v>
      </c>
      <c r="AY11" s="69">
        <v>2259</v>
      </c>
      <c r="AZ11" s="69">
        <v>2258.7268300000005</v>
      </c>
      <c r="BA11" s="69">
        <v>2261</v>
      </c>
      <c r="BB11" s="69">
        <v>23387</v>
      </c>
      <c r="BC11" s="69">
        <v>23409</v>
      </c>
      <c r="BD11" s="69">
        <v>23440</v>
      </c>
      <c r="BE11" s="69">
        <v>23443</v>
      </c>
      <c r="BF11" s="69">
        <v>23431</v>
      </c>
      <c r="BG11" s="69">
        <v>23411</v>
      </c>
      <c r="BH11" s="69">
        <v>23417</v>
      </c>
      <c r="BI11" s="69">
        <v>23412</v>
      </c>
      <c r="BJ11" s="69">
        <v>23387.319</v>
      </c>
      <c r="BK11" s="69">
        <v>23369.325000000001</v>
      </c>
      <c r="BL11" s="69">
        <v>23294.758999999998</v>
      </c>
      <c r="BM11" s="69">
        <v>23226.554247</v>
      </c>
      <c r="BN11" s="69">
        <v>23165.13191800001</v>
      </c>
      <c r="BO11" s="69">
        <v>23048.506835</v>
      </c>
      <c r="BP11" s="69">
        <v>22935.277536878282</v>
      </c>
      <c r="BQ11" s="69">
        <v>22869.528205860333</v>
      </c>
      <c r="BR11" s="69">
        <v>22825.294000000005</v>
      </c>
      <c r="BS11" s="69">
        <v>34457</v>
      </c>
      <c r="BT11" s="69">
        <v>34623</v>
      </c>
      <c r="BU11" s="69">
        <v>34659</v>
      </c>
      <c r="BV11" s="69">
        <v>34731</v>
      </c>
      <c r="BW11" s="69">
        <v>34780</v>
      </c>
      <c r="BX11" s="69">
        <v>34900</v>
      </c>
      <c r="BY11" s="69">
        <v>34992</v>
      </c>
      <c r="BZ11" s="69">
        <v>35033</v>
      </c>
      <c r="CA11" s="69">
        <v>35102.33</v>
      </c>
      <c r="CB11" s="69">
        <v>35122.370000000003</v>
      </c>
      <c r="CC11" s="69">
        <v>35129.32</v>
      </c>
      <c r="CD11" s="69">
        <v>35119</v>
      </c>
      <c r="CE11" s="69">
        <v>35090</v>
      </c>
      <c r="CF11" s="69">
        <v>35075</v>
      </c>
      <c r="CG11" s="69">
        <v>35073</v>
      </c>
      <c r="CH11" s="69">
        <v>35064</v>
      </c>
      <c r="CI11" s="69">
        <v>35096</v>
      </c>
      <c r="CJ11" s="69">
        <v>144395.92893726</v>
      </c>
      <c r="CK11" s="69">
        <v>145654.05244104</v>
      </c>
      <c r="CL11" s="69">
        <v>145367.16225174</v>
      </c>
      <c r="CM11" s="69">
        <v>145424.03933771999</v>
      </c>
      <c r="CN11" s="69">
        <v>145684.85145786</v>
      </c>
      <c r="CO11" s="69">
        <v>145390.19746679999</v>
      </c>
      <c r="CP11" s="69">
        <v>146022.96540546001</v>
      </c>
      <c r="CQ11" s="69">
        <v>142293.05232774999</v>
      </c>
      <c r="CR11" s="69">
        <v>142618.25899999999</v>
      </c>
      <c r="CS11" s="69">
        <v>143546.25599999999</v>
      </c>
      <c r="CT11" s="69">
        <v>143113.90362376999</v>
      </c>
      <c r="CU11" s="69">
        <v>143176.15728404</v>
      </c>
      <c r="CV11" s="69">
        <v>143165.93242243686</v>
      </c>
      <c r="CW11" s="69">
        <v>143300.01298971489</v>
      </c>
      <c r="CX11" s="69">
        <v>143805.99000000002</v>
      </c>
      <c r="CY11" s="69">
        <v>144560.57</v>
      </c>
      <c r="CZ11" s="69">
        <v>144751.75</v>
      </c>
      <c r="DA11" s="69">
        <v>194385</v>
      </c>
      <c r="DB11" s="69">
        <v>183413</v>
      </c>
      <c r="DC11" s="69">
        <v>179875</v>
      </c>
      <c r="DD11" s="69">
        <v>181761</v>
      </c>
      <c r="DE11" s="69">
        <v>182431</v>
      </c>
      <c r="DF11" s="69">
        <v>183526</v>
      </c>
      <c r="DG11" s="69">
        <v>183454</v>
      </c>
      <c r="DH11" s="69">
        <v>183500</v>
      </c>
      <c r="DI11" s="69">
        <v>183490.17199999999</v>
      </c>
      <c r="DJ11" s="69">
        <v>183529.791</v>
      </c>
      <c r="DK11" s="69">
        <v>183611.89977582</v>
      </c>
      <c r="DL11" s="69">
        <v>183385.67778557999</v>
      </c>
      <c r="DM11" s="69">
        <v>183246.85</v>
      </c>
      <c r="DN11" s="69">
        <v>183323.85368500001</v>
      </c>
      <c r="DO11" s="69">
        <v>183200</v>
      </c>
      <c r="DP11" s="69">
        <v>183098.64</v>
      </c>
      <c r="DQ11" s="69">
        <v>183057.03</v>
      </c>
      <c r="DR11" s="69">
        <v>4417.8421802299999</v>
      </c>
      <c r="DS11" s="69">
        <v>4425.5257642099996</v>
      </c>
      <c r="DT11" s="69">
        <v>4452.4119258199999</v>
      </c>
      <c r="DU11" s="69">
        <v>4463.4639299999999</v>
      </c>
      <c r="DV11" s="69">
        <v>4463.8128200000001</v>
      </c>
      <c r="DW11" s="69">
        <v>4475.9594627899996</v>
      </c>
      <c r="DX11" s="69">
        <v>4472.42910665</v>
      </c>
      <c r="DY11" s="69">
        <v>4455.5649999999996</v>
      </c>
      <c r="DZ11" s="69">
        <v>4435.5072043299997</v>
      </c>
      <c r="EA11" s="69">
        <v>4450.8945199999998</v>
      </c>
      <c r="EB11" s="69">
        <v>4449.6114974000002</v>
      </c>
      <c r="EC11" s="69">
        <v>4452.81440492</v>
      </c>
      <c r="ED11" s="69">
        <v>4489.5</v>
      </c>
      <c r="EE11" s="69">
        <v>4477.6352799999995</v>
      </c>
      <c r="EF11" s="69">
        <v>4473</v>
      </c>
      <c r="EG11" s="69">
        <v>4506.5504559999999</v>
      </c>
      <c r="EH11" s="69">
        <v>4496.0999999999995</v>
      </c>
      <c r="EI11" s="312">
        <v>4489.6000000000004</v>
      </c>
      <c r="EJ11" s="312">
        <v>4488.5435500000003</v>
      </c>
      <c r="EK11" s="69">
        <v>68353.062800719999</v>
      </c>
      <c r="EL11" s="69">
        <v>68417.999999969994</v>
      </c>
      <c r="EM11" s="69">
        <v>68578.999999959997</v>
      </c>
      <c r="EN11" s="69">
        <v>68354.524061849996</v>
      </c>
      <c r="EO11" s="69">
        <v>68369.84576358</v>
      </c>
      <c r="EP11" s="69">
        <v>68445</v>
      </c>
      <c r="EQ11" s="69">
        <v>68767</v>
      </c>
      <c r="ER11" s="69">
        <v>68824</v>
      </c>
      <c r="ES11" s="69">
        <v>68933.032789999997</v>
      </c>
      <c r="ET11" s="69">
        <v>68875.04699997</v>
      </c>
      <c r="EU11" s="69">
        <v>68814.3</v>
      </c>
      <c r="EV11" s="69">
        <v>68795.070000000007</v>
      </c>
      <c r="EW11" s="69">
        <v>68728.801619999998</v>
      </c>
      <c r="EX11" s="69">
        <v>68682.540000000008</v>
      </c>
      <c r="EY11" s="69">
        <v>68633</v>
      </c>
      <c r="EZ11" s="69">
        <v>68621.926630000016</v>
      </c>
      <c r="FA11" s="69">
        <v>68765</v>
      </c>
      <c r="FB11" s="69">
        <v>71068.558037230003</v>
      </c>
      <c r="FC11" s="69">
        <v>71025.263198860004</v>
      </c>
      <c r="FD11" s="69">
        <v>70981.968360490006</v>
      </c>
      <c r="FE11" s="69">
        <v>71135.774468539996</v>
      </c>
      <c r="FF11" s="69">
        <v>71323.338505370004</v>
      </c>
      <c r="FG11" s="69">
        <v>71065.690537839997</v>
      </c>
      <c r="FH11" s="69">
        <v>71147.812197070001</v>
      </c>
      <c r="FI11" s="69">
        <v>71152.820000000007</v>
      </c>
      <c r="FJ11" s="69">
        <v>71159.672000000006</v>
      </c>
      <c r="FK11" s="69">
        <v>71230</v>
      </c>
      <c r="FL11" s="69">
        <v>71322</v>
      </c>
      <c r="FM11" s="69">
        <v>71217</v>
      </c>
      <c r="FN11" s="69">
        <v>71247</v>
      </c>
      <c r="FO11" s="69">
        <v>71233</v>
      </c>
      <c r="FP11" s="69">
        <v>71128</v>
      </c>
      <c r="FQ11" s="69">
        <v>70984</v>
      </c>
      <c r="FR11" s="69">
        <v>70941</v>
      </c>
      <c r="FS11" s="69">
        <v>37642.311000000002</v>
      </c>
      <c r="FT11" s="69">
        <v>37724.491999999998</v>
      </c>
      <c r="FU11" s="69">
        <v>37820.120999999999</v>
      </c>
      <c r="FV11" s="69">
        <v>38099.014999999999</v>
      </c>
      <c r="FW11" s="69">
        <v>38175.800999999999</v>
      </c>
      <c r="FX11" s="69">
        <v>38144.855000000003</v>
      </c>
      <c r="FY11" s="69">
        <v>38379.735999999997</v>
      </c>
      <c r="FZ11" s="69">
        <v>38297.654999999999</v>
      </c>
      <c r="GA11" s="69">
        <v>38504.894997039999</v>
      </c>
      <c r="GB11" s="69">
        <v>38361.269155980001</v>
      </c>
      <c r="GC11" s="69">
        <v>38414.254718999997</v>
      </c>
      <c r="GD11" s="69">
        <v>38310.55537799</v>
      </c>
      <c r="GE11" s="69">
        <v>38184</v>
      </c>
      <c r="GF11" s="69">
        <v>38166.899999999994</v>
      </c>
      <c r="GG11" s="69">
        <v>38127.629999999997</v>
      </c>
      <c r="GH11" s="69">
        <v>38124.635058999702</v>
      </c>
      <c r="GI11" s="69">
        <v>38085.541844999498</v>
      </c>
      <c r="GJ11" s="69">
        <v>19307.599999999999</v>
      </c>
      <c r="GK11" s="69">
        <v>19307.599999999999</v>
      </c>
      <c r="GL11" s="69">
        <v>19307.599999999999</v>
      </c>
      <c r="GM11" s="69">
        <v>19337.2</v>
      </c>
      <c r="GN11" s="69">
        <v>19536.5</v>
      </c>
      <c r="GO11" s="69">
        <v>19752.2</v>
      </c>
      <c r="GP11" s="69">
        <v>19882.8</v>
      </c>
      <c r="GQ11" s="69">
        <v>19962.2</v>
      </c>
      <c r="GR11" s="69">
        <v>20063.099999999999</v>
      </c>
      <c r="GS11" s="69">
        <v>20163.955999999998</v>
      </c>
      <c r="GT11" s="69">
        <v>20178.813999999998</v>
      </c>
      <c r="GU11" s="69">
        <v>20200.591</v>
      </c>
      <c r="GV11" s="69">
        <v>20206.821</v>
      </c>
      <c r="GW11" s="69">
        <v>20254.668700000002</v>
      </c>
      <c r="GX11" s="69">
        <v>20263.525000000001</v>
      </c>
      <c r="GY11" s="69">
        <v>19977.224999999999</v>
      </c>
      <c r="GZ11" s="69">
        <v>19870.384389109964</v>
      </c>
      <c r="HA11" s="69">
        <v>10108</v>
      </c>
      <c r="HB11" s="69">
        <v>10157.9</v>
      </c>
      <c r="HC11" s="69">
        <v>10196.6</v>
      </c>
      <c r="HD11" s="69">
        <v>10113.200000000001</v>
      </c>
      <c r="HE11" s="69">
        <v>10147.6</v>
      </c>
      <c r="HF11" s="69">
        <v>10130</v>
      </c>
      <c r="HG11" s="69">
        <v>10185.700000000001</v>
      </c>
      <c r="HH11" s="69">
        <v>10143.9</v>
      </c>
      <c r="HI11" s="69">
        <v>10085.316999999999</v>
      </c>
      <c r="HJ11" s="69">
        <v>10080.0742228</v>
      </c>
      <c r="HK11" s="69">
        <v>10041.109358129999</v>
      </c>
      <c r="HL11" s="69">
        <v>10045.58</v>
      </c>
      <c r="HM11" s="69">
        <v>10042.39</v>
      </c>
      <c r="HN11" s="69">
        <v>10034.17</v>
      </c>
      <c r="HO11" s="69">
        <v>10022.17</v>
      </c>
      <c r="HP11" s="69">
        <v>10024.16</v>
      </c>
      <c r="HQ11" s="69">
        <v>10019.560000000001</v>
      </c>
      <c r="HR11" s="251"/>
      <c r="HS11" s="251"/>
      <c r="HT11" s="251"/>
      <c r="HU11" s="251"/>
      <c r="HV11" s="251"/>
      <c r="HW11" s="251"/>
      <c r="HX11" s="251"/>
      <c r="HY11" s="251"/>
      <c r="HZ11" s="251"/>
      <c r="IA11" s="251"/>
      <c r="IB11" s="251"/>
      <c r="IC11" s="251"/>
      <c r="ID11" s="251"/>
      <c r="IE11" s="251"/>
      <c r="IF11" s="251"/>
      <c r="IG11" s="251"/>
    </row>
    <row r="12" spans="1:241" s="248" customFormat="1" ht="13.7" customHeight="1">
      <c r="A12" s="248" t="s">
        <v>513</v>
      </c>
      <c r="B12" s="248" t="s">
        <v>512</v>
      </c>
      <c r="C12" s="69">
        <f>IF(OR(Parameter_Scenario_number=20,Parameter_Scenario_number=18),C23,C20)</f>
        <v>1736.84582472181</v>
      </c>
      <c r="D12" s="69">
        <f t="shared" ref="D12:S12" si="1">IF(OR(Parameter_Scenario_number=20,Parameter_Scenario_number=18),D23,D20)</f>
        <v>1786.3845746249256</v>
      </c>
      <c r="E12" s="69">
        <f t="shared" si="1"/>
        <v>1837.3769311302806</v>
      </c>
      <c r="F12" s="69">
        <f t="shared" si="1"/>
        <v>1889.8668654623268</v>
      </c>
      <c r="G12" s="69">
        <f t="shared" si="1"/>
        <v>1943.8997274433566</v>
      </c>
      <c r="H12" s="69">
        <f t="shared" si="1"/>
        <v>1999.5222908777287</v>
      </c>
      <c r="I12" s="69">
        <f t="shared" si="1"/>
        <v>2056.7828005463839</v>
      </c>
      <c r="J12" s="69">
        <f t="shared" si="1"/>
        <v>2115.7310208757394</v>
      </c>
      <c r="K12" s="69">
        <f t="shared" si="1"/>
        <v>2176.4182863479991</v>
      </c>
      <c r="L12" s="69">
        <f t="shared" si="1"/>
        <v>2238.9975537230653</v>
      </c>
      <c r="M12" s="69">
        <f t="shared" si="1"/>
        <v>2303.2234561455298</v>
      </c>
      <c r="N12" s="69">
        <f t="shared" si="1"/>
        <v>2331.5310246297154</v>
      </c>
      <c r="O12" s="69">
        <f t="shared" si="1"/>
        <v>2379.3211406998435</v>
      </c>
      <c r="P12" s="69">
        <f t="shared" si="1"/>
        <v>2417.6835221160723</v>
      </c>
      <c r="Q12" s="69">
        <f t="shared" si="1"/>
        <v>2471.2599999999998</v>
      </c>
      <c r="R12" s="69">
        <f t="shared" si="1"/>
        <v>2508.67</v>
      </c>
      <c r="S12" s="69">
        <f t="shared" si="1"/>
        <v>2526.86</v>
      </c>
      <c r="T12" s="69">
        <v>12633.594999999999</v>
      </c>
      <c r="U12" s="69">
        <v>12990.440199999999</v>
      </c>
      <c r="V12" s="69">
        <v>13237.806200000001</v>
      </c>
      <c r="W12" s="69">
        <v>13528.306200000001</v>
      </c>
      <c r="X12" s="69">
        <v>13778.575500000001</v>
      </c>
      <c r="Y12" s="69">
        <v>14133.723</v>
      </c>
      <c r="Z12" s="69">
        <v>14541.593000000001</v>
      </c>
      <c r="AA12" s="69">
        <v>14891.606</v>
      </c>
      <c r="AB12" s="69">
        <v>15227.388000000001</v>
      </c>
      <c r="AC12" s="69">
        <v>15317.811933929999</v>
      </c>
      <c r="AD12" s="69">
        <v>15519.247282660001</v>
      </c>
      <c r="AE12" s="69">
        <v>15752.11791787</v>
      </c>
      <c r="AF12" s="69">
        <v>15955</v>
      </c>
      <c r="AG12" s="69">
        <v>16139</v>
      </c>
      <c r="AH12" s="69">
        <v>16397.48</v>
      </c>
      <c r="AI12" s="69">
        <v>16569.5</v>
      </c>
      <c r="AJ12" s="69">
        <v>16781.169999999998</v>
      </c>
      <c r="AK12" s="69">
        <v>1690.75167663</v>
      </c>
      <c r="AL12" s="69">
        <v>1783.5898276099999</v>
      </c>
      <c r="AM12" s="69">
        <v>1843.3371883</v>
      </c>
      <c r="AN12" s="69">
        <v>1877.7536800600001</v>
      </c>
      <c r="AO12" s="69">
        <v>1914.11747464</v>
      </c>
      <c r="AP12" s="69">
        <v>2061</v>
      </c>
      <c r="AQ12" s="69">
        <v>2073</v>
      </c>
      <c r="AR12" s="69">
        <v>2114</v>
      </c>
      <c r="AS12" s="69">
        <v>2211.136571</v>
      </c>
      <c r="AT12" s="69">
        <v>2233.2444599999999</v>
      </c>
      <c r="AU12" s="69">
        <v>2266.8000000000002</v>
      </c>
      <c r="AV12" s="69">
        <v>2274.46</v>
      </c>
      <c r="AW12" s="69">
        <v>2268.151539</v>
      </c>
      <c r="AX12" s="69">
        <v>2289.9399999999996</v>
      </c>
      <c r="AY12" s="69">
        <v>2310.1410000000001</v>
      </c>
      <c r="AZ12" s="69">
        <v>2324</v>
      </c>
      <c r="BA12" s="69">
        <v>2317</v>
      </c>
      <c r="BB12" s="69">
        <v>9045</v>
      </c>
      <c r="BC12" s="69">
        <v>9423</v>
      </c>
      <c r="BD12" s="69">
        <v>9859</v>
      </c>
      <c r="BE12" s="69">
        <v>10136</v>
      </c>
      <c r="BF12" s="69">
        <v>10386</v>
      </c>
      <c r="BG12" s="69">
        <v>10761</v>
      </c>
      <c r="BH12" s="69">
        <v>11151</v>
      </c>
      <c r="BI12" s="69">
        <v>11617</v>
      </c>
      <c r="BJ12" s="69">
        <v>12104.67</v>
      </c>
      <c r="BK12" s="69">
        <v>12635.856619</v>
      </c>
      <c r="BL12" s="69">
        <v>13173.102000000001</v>
      </c>
      <c r="BM12" s="69">
        <v>13766.485129999999</v>
      </c>
      <c r="BN12" s="69">
        <v>14377.942891999999</v>
      </c>
      <c r="BO12" s="69">
        <v>15235.793936</v>
      </c>
      <c r="BP12" s="69">
        <v>15789.728300373552</v>
      </c>
      <c r="BQ12" s="69">
        <v>16276.799716602198</v>
      </c>
      <c r="BR12" s="69">
        <v>16796.914000000001</v>
      </c>
      <c r="BS12" s="69">
        <v>12201</v>
      </c>
      <c r="BT12" s="69">
        <v>13022</v>
      </c>
      <c r="BU12" s="69">
        <v>13827</v>
      </c>
      <c r="BV12" s="69">
        <v>14696</v>
      </c>
      <c r="BW12" s="69">
        <v>15337</v>
      </c>
      <c r="BX12" s="69">
        <v>15871</v>
      </c>
      <c r="BY12" s="69">
        <v>16350</v>
      </c>
      <c r="BZ12" s="69">
        <v>16748</v>
      </c>
      <c r="CA12" s="69">
        <v>16994.710999999999</v>
      </c>
      <c r="CB12" s="69">
        <v>17442.34</v>
      </c>
      <c r="CC12" s="69">
        <v>18072.560000000001</v>
      </c>
      <c r="CD12" s="69">
        <v>18638</v>
      </c>
      <c r="CE12" s="69">
        <v>19176</v>
      </c>
      <c r="CF12" s="69">
        <v>19702</v>
      </c>
      <c r="CG12" s="69">
        <v>20117</v>
      </c>
      <c r="CH12" s="69">
        <v>20466</v>
      </c>
      <c r="CI12" s="69">
        <v>20791</v>
      </c>
      <c r="CJ12" s="69">
        <v>3957.51</v>
      </c>
      <c r="CK12" s="69">
        <v>4482.4459999999999</v>
      </c>
      <c r="CL12" s="69">
        <v>5292.8770000000004</v>
      </c>
      <c r="CM12" s="69">
        <v>6346.0159999999996</v>
      </c>
      <c r="CN12" s="69">
        <v>6894.8040000000001</v>
      </c>
      <c r="CO12" s="69">
        <v>7339.335</v>
      </c>
      <c r="CP12" s="69">
        <v>7724.8860000000004</v>
      </c>
      <c r="CQ12" s="69">
        <v>8179.3249999999998</v>
      </c>
      <c r="CR12" s="69">
        <v>8503.5529999999999</v>
      </c>
      <c r="CS12" s="69">
        <v>8913.2440000000006</v>
      </c>
      <c r="CT12" s="69">
        <v>9140.7352653100006</v>
      </c>
      <c r="CU12" s="69">
        <v>9315.2168051000008</v>
      </c>
      <c r="CV12" s="69">
        <v>8810.0411045853289</v>
      </c>
      <c r="CW12" s="69">
        <v>8979.17</v>
      </c>
      <c r="CX12" s="69">
        <v>9090.2199999999993</v>
      </c>
      <c r="CY12" s="69">
        <v>9237.9500000000007</v>
      </c>
      <c r="CZ12" s="69">
        <v>9424.6500000000015</v>
      </c>
      <c r="DA12" s="69">
        <v>5166</v>
      </c>
      <c r="DB12" s="69">
        <v>6039</v>
      </c>
      <c r="DC12" s="69">
        <v>5954</v>
      </c>
      <c r="DD12" s="69">
        <v>5989</v>
      </c>
      <c r="DE12" s="69">
        <v>6203</v>
      </c>
      <c r="DF12" s="69">
        <v>7066</v>
      </c>
      <c r="DG12" s="69">
        <v>7365</v>
      </c>
      <c r="DH12" s="69">
        <v>7607</v>
      </c>
      <c r="DI12" s="69">
        <v>7665.9</v>
      </c>
      <c r="DJ12" s="69">
        <v>7945.5014970700004</v>
      </c>
      <c r="DK12" s="69">
        <v>8333.4244197299995</v>
      </c>
      <c r="DL12" s="69">
        <v>8717.4465928099999</v>
      </c>
      <c r="DM12" s="69">
        <v>8956.75</v>
      </c>
      <c r="DN12" s="69">
        <v>9214.0861430000004</v>
      </c>
      <c r="DO12" s="69">
        <v>9485.01</v>
      </c>
      <c r="DP12" s="69">
        <v>9784.08</v>
      </c>
      <c r="DQ12" s="69">
        <v>10066.470000000001</v>
      </c>
      <c r="DR12" s="69">
        <v>1300.89040548</v>
      </c>
      <c r="DS12" s="69">
        <v>1344.330316</v>
      </c>
      <c r="DT12" s="69">
        <v>1415.67628883</v>
      </c>
      <c r="DU12" s="69">
        <v>1463.26622</v>
      </c>
      <c r="DV12" s="69">
        <v>1507.1591800000001</v>
      </c>
      <c r="DW12" s="69">
        <v>1565.6344853400001</v>
      </c>
      <c r="DX12" s="69">
        <v>1630.01</v>
      </c>
      <c r="DY12" s="69">
        <v>1679.2797602400001</v>
      </c>
      <c r="DZ12" s="69">
        <v>1725.0657418599999</v>
      </c>
      <c r="EA12" s="69">
        <v>1795.4201599999999</v>
      </c>
      <c r="EB12" s="69">
        <v>1851.3087937099999</v>
      </c>
      <c r="EC12" s="69">
        <v>1956.1763526899999</v>
      </c>
      <c r="ED12" s="69">
        <v>2078.1</v>
      </c>
      <c r="EE12" s="69">
        <v>2150.291635</v>
      </c>
      <c r="EF12" s="69">
        <v>2225.6166149999999</v>
      </c>
      <c r="EG12" s="69">
        <v>2249.2909690000001</v>
      </c>
      <c r="EH12" s="69">
        <v>2321.6999999999998</v>
      </c>
      <c r="EI12" s="312">
        <v>2408.9</v>
      </c>
      <c r="EJ12" s="312">
        <v>2525.259125</v>
      </c>
      <c r="EK12" s="69">
        <v>3323.7991023</v>
      </c>
      <c r="EL12" s="69">
        <v>3512.4999999699999</v>
      </c>
      <c r="EM12" s="69">
        <v>3541.49999996</v>
      </c>
      <c r="EN12" s="69">
        <v>4584.7061214100004</v>
      </c>
      <c r="EO12" s="69">
        <v>5128.6620489899997</v>
      </c>
      <c r="EP12" s="69">
        <v>4688</v>
      </c>
      <c r="EQ12" s="69">
        <v>4830</v>
      </c>
      <c r="ER12" s="69">
        <v>5065</v>
      </c>
      <c r="ES12" s="69">
        <v>5248.4063489999999</v>
      </c>
      <c r="ET12" s="69">
        <v>5576.7225399999998</v>
      </c>
      <c r="EU12" s="69">
        <v>5860.8</v>
      </c>
      <c r="EV12" s="69">
        <v>6325.54</v>
      </c>
      <c r="EW12" s="69">
        <v>6683.3673369999997</v>
      </c>
      <c r="EX12" s="69">
        <v>7132.61</v>
      </c>
      <c r="EY12" s="69">
        <v>7673.47</v>
      </c>
      <c r="EZ12" s="69">
        <v>7923</v>
      </c>
      <c r="FA12" s="69">
        <v>8234</v>
      </c>
      <c r="FB12" s="69">
        <v>13761.84765616</v>
      </c>
      <c r="FC12" s="69">
        <v>14300.85742265</v>
      </c>
      <c r="FD12" s="69">
        <v>14839.86718913</v>
      </c>
      <c r="FE12" s="69">
        <v>15488.94356643</v>
      </c>
      <c r="FF12" s="69">
        <v>15885.212371170001</v>
      </c>
      <c r="FG12" s="69">
        <v>16127.9908681</v>
      </c>
      <c r="FH12" s="69">
        <v>16499.884838459999</v>
      </c>
      <c r="FI12" s="69">
        <v>16729.45</v>
      </c>
      <c r="FJ12" s="69">
        <v>16922.971000000001</v>
      </c>
      <c r="FK12" s="69">
        <v>16971</v>
      </c>
      <c r="FL12" s="69">
        <v>17486</v>
      </c>
      <c r="FM12" s="69">
        <v>17754</v>
      </c>
      <c r="FN12" s="69">
        <v>18064</v>
      </c>
      <c r="FO12" s="69">
        <v>18065</v>
      </c>
      <c r="FP12" s="69">
        <v>18288</v>
      </c>
      <c r="FQ12" s="69">
        <v>18624</v>
      </c>
      <c r="FR12" s="69">
        <v>19065</v>
      </c>
      <c r="FS12" s="69">
        <v>3864.759</v>
      </c>
      <c r="FT12" s="69">
        <v>4111.4009999999998</v>
      </c>
      <c r="FU12" s="69">
        <v>4290.7219999999998</v>
      </c>
      <c r="FV12" s="69">
        <v>4612.5159999999996</v>
      </c>
      <c r="FW12" s="69">
        <v>4792.9139999999998</v>
      </c>
      <c r="FX12" s="69">
        <v>5069.076</v>
      </c>
      <c r="FY12" s="69">
        <v>5322.3950000000004</v>
      </c>
      <c r="FZ12" s="69">
        <v>5502.2719999999999</v>
      </c>
      <c r="GA12" s="69">
        <v>5728.1507942199996</v>
      </c>
      <c r="GB12" s="69">
        <v>5965.9348250000003</v>
      </c>
      <c r="GC12" s="69">
        <v>6267.0513379800004</v>
      </c>
      <c r="GD12" s="69">
        <v>6574.8889099799999</v>
      </c>
      <c r="GE12" s="69">
        <v>6908.59</v>
      </c>
      <c r="GF12" s="69">
        <v>7305.5300000000007</v>
      </c>
      <c r="GG12" s="69">
        <v>7584.46</v>
      </c>
      <c r="GH12" s="69">
        <v>7732.0847200000608</v>
      </c>
      <c r="GI12" s="69">
        <v>7957.2116599999099</v>
      </c>
      <c r="GJ12" s="69">
        <v>1902.3</v>
      </c>
      <c r="GK12" s="69">
        <v>1902.5</v>
      </c>
      <c r="GL12" s="69">
        <v>1902.5</v>
      </c>
      <c r="GM12" s="69">
        <v>1930.6</v>
      </c>
      <c r="GN12" s="69">
        <v>2095.1999999999998</v>
      </c>
      <c r="GO12" s="69">
        <v>2274.9</v>
      </c>
      <c r="GP12" s="69">
        <v>2339.3000000000002</v>
      </c>
      <c r="GQ12" s="69">
        <v>2373.6999999999998</v>
      </c>
      <c r="GR12" s="69">
        <v>2432.8000000000002</v>
      </c>
      <c r="GS12" s="69">
        <v>2465.2890000000002</v>
      </c>
      <c r="GT12" s="69">
        <v>2502.2689999999998</v>
      </c>
      <c r="GU12" s="69">
        <v>2524.422</v>
      </c>
      <c r="GV12" s="69">
        <v>2560.431</v>
      </c>
      <c r="GW12" s="69">
        <v>2607.6256999999832</v>
      </c>
      <c r="GX12" s="69">
        <v>2648.2089999999998</v>
      </c>
      <c r="GY12" s="69">
        <v>2680.0572750000092</v>
      </c>
      <c r="GZ12" s="69">
        <v>2674.7302965550002</v>
      </c>
      <c r="HA12" s="69">
        <v>2276</v>
      </c>
      <c r="HB12" s="69">
        <v>2318.4</v>
      </c>
      <c r="HC12" s="69">
        <v>2386.1</v>
      </c>
      <c r="HD12" s="69">
        <v>2424.3000000000002</v>
      </c>
      <c r="HE12" s="69">
        <v>2496.8000000000002</v>
      </c>
      <c r="HF12" s="69">
        <v>2595.4</v>
      </c>
      <c r="HG12" s="69">
        <v>2631.9</v>
      </c>
      <c r="HH12" s="69">
        <v>2690.8</v>
      </c>
      <c r="HI12" s="69">
        <v>2738.098</v>
      </c>
      <c r="HJ12" s="69">
        <v>2793.1475427</v>
      </c>
      <c r="HK12" s="69">
        <v>2834.3576012600001</v>
      </c>
      <c r="HL12" s="69">
        <v>3296.67</v>
      </c>
      <c r="HM12" s="69">
        <v>3339.4</v>
      </c>
      <c r="HN12" s="69">
        <v>3373.6400000000003</v>
      </c>
      <c r="HO12" s="69">
        <v>3404.02</v>
      </c>
      <c r="HP12" s="69">
        <v>3428.34</v>
      </c>
      <c r="HQ12" s="69">
        <v>3455.3</v>
      </c>
      <c r="HR12" s="251"/>
      <c r="HS12" s="251"/>
      <c r="HT12" s="251"/>
      <c r="HU12" s="251"/>
      <c r="HV12" s="251"/>
      <c r="HW12" s="251"/>
      <c r="HX12" s="251"/>
      <c r="HY12" s="251"/>
      <c r="HZ12" s="251"/>
      <c r="IA12" s="251"/>
      <c r="IB12" s="251"/>
      <c r="IC12" s="251"/>
      <c r="ID12" s="251"/>
      <c r="IE12" s="251"/>
      <c r="IF12" s="251"/>
      <c r="IG12" s="251"/>
    </row>
    <row r="13" spans="1:241" s="248" customFormat="1" ht="13.7" customHeight="1">
      <c r="A13" s="248" t="s">
        <v>514</v>
      </c>
      <c r="B13" s="248" t="s">
        <v>512</v>
      </c>
      <c r="C13" s="127">
        <f>C11+C12</f>
        <v>4084.5321847789955</v>
      </c>
      <c r="D13" s="127">
        <f>D11+D12</f>
        <v>4127.9554778666507</v>
      </c>
      <c r="E13" s="127">
        <f t="shared" ref="E13:S13" si="2">E11+E12</f>
        <v>4172.9126246894848</v>
      </c>
      <c r="F13" s="127">
        <f t="shared" si="2"/>
        <v>4219.4482475302621</v>
      </c>
      <c r="G13" s="127">
        <f t="shared" si="2"/>
        <v>4267.608361922521</v>
      </c>
      <c r="H13" s="127">
        <f t="shared" si="2"/>
        <v>4317.4404222804797</v>
      </c>
      <c r="I13" s="127">
        <f t="shared" si="2"/>
        <v>4368.9933691436127</v>
      </c>
      <c r="J13" s="127">
        <f t="shared" si="2"/>
        <v>4422.3176781000857</v>
      </c>
      <c r="K13" s="127">
        <f t="shared" si="2"/>
        <v>4477.4654104561523</v>
      </c>
      <c r="L13" s="127">
        <f t="shared" si="2"/>
        <v>4534.5902657217903</v>
      </c>
      <c r="M13" s="127">
        <f t="shared" si="2"/>
        <v>4593.4476359861201</v>
      </c>
      <c r="N13" s="127">
        <f t="shared" si="2"/>
        <v>4619.0951432816964</v>
      </c>
      <c r="O13" s="127">
        <f t="shared" si="2"/>
        <v>4664.475195998175</v>
      </c>
      <c r="P13" s="127">
        <f t="shared" si="2"/>
        <v>4698.647447101609</v>
      </c>
      <c r="Q13" s="127">
        <f t="shared" si="2"/>
        <v>4774.07</v>
      </c>
      <c r="R13" s="127">
        <f t="shared" si="2"/>
        <v>4812.54</v>
      </c>
      <c r="S13" s="127">
        <f t="shared" si="2"/>
        <v>4828.1400000000003</v>
      </c>
      <c r="T13" s="127">
        <f t="shared" ref="T13:CE13" si="3">T12+T11</f>
        <v>38742.394999999997</v>
      </c>
      <c r="U13" s="127">
        <f t="shared" si="3"/>
        <v>38874.940199999997</v>
      </c>
      <c r="V13" s="127">
        <f t="shared" si="3"/>
        <v>39223.906199999998</v>
      </c>
      <c r="W13" s="127">
        <f t="shared" si="3"/>
        <v>39462.306199999999</v>
      </c>
      <c r="X13" s="127">
        <f t="shared" si="3"/>
        <v>39745.275500000003</v>
      </c>
      <c r="Y13" s="127">
        <f t="shared" si="3"/>
        <v>40272.423000000003</v>
      </c>
      <c r="Z13" s="127">
        <f t="shared" si="3"/>
        <v>40626.293000000005</v>
      </c>
      <c r="AA13" s="127">
        <f t="shared" si="3"/>
        <v>40963.506000000001</v>
      </c>
      <c r="AB13" s="127">
        <f t="shared" si="3"/>
        <v>41271.487999999998</v>
      </c>
      <c r="AC13" s="127">
        <f t="shared" si="3"/>
        <v>41323.58393845</v>
      </c>
      <c r="AD13" s="127">
        <f t="shared" si="3"/>
        <v>41453.2107359</v>
      </c>
      <c r="AE13" s="127">
        <f t="shared" si="3"/>
        <v>41642.275513569999</v>
      </c>
      <c r="AF13" s="127">
        <f t="shared" si="3"/>
        <v>41847</v>
      </c>
      <c r="AG13" s="127">
        <f t="shared" si="3"/>
        <v>42007</v>
      </c>
      <c r="AH13" s="127">
        <f t="shared" si="3"/>
        <v>42294.520000000004</v>
      </c>
      <c r="AI13" s="127">
        <f t="shared" si="3"/>
        <v>42484.79</v>
      </c>
      <c r="AJ13" s="127">
        <f t="shared" si="3"/>
        <v>42714.15</v>
      </c>
      <c r="AK13" s="127">
        <f t="shared" si="3"/>
        <v>3951.6253540100001</v>
      </c>
      <c r="AL13" s="127">
        <f t="shared" si="3"/>
        <v>4075.7738424899999</v>
      </c>
      <c r="AM13" s="127">
        <f t="shared" si="3"/>
        <v>4036.36450483</v>
      </c>
      <c r="AN13" s="127">
        <f t="shared" si="3"/>
        <v>4069.7536800400003</v>
      </c>
      <c r="AO13" s="127">
        <f t="shared" si="3"/>
        <v>4099.4109698000002</v>
      </c>
      <c r="AP13" s="127">
        <f t="shared" si="3"/>
        <v>4284</v>
      </c>
      <c r="AQ13" s="127">
        <f t="shared" si="3"/>
        <v>4303</v>
      </c>
      <c r="AR13" s="127">
        <f t="shared" si="3"/>
        <v>4347</v>
      </c>
      <c r="AS13" s="127">
        <f t="shared" si="3"/>
        <v>4481.4749609999999</v>
      </c>
      <c r="AT13" s="127">
        <f t="shared" si="3"/>
        <v>4505.4781199999998</v>
      </c>
      <c r="AU13" s="127">
        <f t="shared" si="3"/>
        <v>4541.2000000000007</v>
      </c>
      <c r="AV13" s="127">
        <f t="shared" si="3"/>
        <v>4549.55</v>
      </c>
      <c r="AW13" s="127">
        <f t="shared" si="3"/>
        <v>4535.9908390000001</v>
      </c>
      <c r="AX13" s="127">
        <f t="shared" si="3"/>
        <v>4557.5199999999995</v>
      </c>
      <c r="AY13" s="127">
        <f t="shared" si="3"/>
        <v>4569.1409999999996</v>
      </c>
      <c r="AZ13" s="127">
        <f t="shared" si="3"/>
        <v>4582.7268300000005</v>
      </c>
      <c r="BA13" s="127">
        <f t="shared" si="3"/>
        <v>4578</v>
      </c>
      <c r="BB13" s="127">
        <f t="shared" si="3"/>
        <v>32432</v>
      </c>
      <c r="BC13" s="127">
        <f t="shared" si="3"/>
        <v>32832</v>
      </c>
      <c r="BD13" s="127">
        <f t="shared" si="3"/>
        <v>33299</v>
      </c>
      <c r="BE13" s="127">
        <f t="shared" si="3"/>
        <v>33579</v>
      </c>
      <c r="BF13" s="127">
        <f t="shared" si="3"/>
        <v>33817</v>
      </c>
      <c r="BG13" s="127">
        <f t="shared" si="3"/>
        <v>34172</v>
      </c>
      <c r="BH13" s="127">
        <f t="shared" si="3"/>
        <v>34568</v>
      </c>
      <c r="BI13" s="127">
        <f t="shared" si="3"/>
        <v>35029</v>
      </c>
      <c r="BJ13" s="127">
        <f t="shared" si="3"/>
        <v>35491.989000000001</v>
      </c>
      <c r="BK13" s="127">
        <f t="shared" si="3"/>
        <v>36005.181619000003</v>
      </c>
      <c r="BL13" s="127">
        <f t="shared" si="3"/>
        <v>36467.860999999997</v>
      </c>
      <c r="BM13" s="127">
        <f t="shared" si="3"/>
        <v>36993.039377000001</v>
      </c>
      <c r="BN13" s="127">
        <f t="shared" si="3"/>
        <v>37543.074810000006</v>
      </c>
      <c r="BO13" s="127">
        <f t="shared" si="3"/>
        <v>38284.300771000002</v>
      </c>
      <c r="BP13" s="127">
        <f t="shared" si="3"/>
        <v>38725.005837251832</v>
      </c>
      <c r="BQ13" s="127">
        <f t="shared" si="3"/>
        <v>39146.327922462529</v>
      </c>
      <c r="BR13" s="127">
        <f t="shared" si="3"/>
        <v>39622.208000000006</v>
      </c>
      <c r="BS13" s="127">
        <f t="shared" si="3"/>
        <v>46658</v>
      </c>
      <c r="BT13" s="127">
        <f t="shared" si="3"/>
        <v>47645</v>
      </c>
      <c r="BU13" s="127">
        <f t="shared" si="3"/>
        <v>48486</v>
      </c>
      <c r="BV13" s="127">
        <f t="shared" si="3"/>
        <v>49427</v>
      </c>
      <c r="BW13" s="127">
        <f t="shared" si="3"/>
        <v>50117</v>
      </c>
      <c r="BX13" s="127">
        <f t="shared" si="3"/>
        <v>50771</v>
      </c>
      <c r="BY13" s="127">
        <f t="shared" si="3"/>
        <v>51342</v>
      </c>
      <c r="BZ13" s="127">
        <f t="shared" si="3"/>
        <v>51781</v>
      </c>
      <c r="CA13" s="127">
        <f t="shared" si="3"/>
        <v>52097.040999999997</v>
      </c>
      <c r="CB13" s="127">
        <f t="shared" si="3"/>
        <v>52564.710000000006</v>
      </c>
      <c r="CC13" s="127">
        <f t="shared" si="3"/>
        <v>53201.880000000005</v>
      </c>
      <c r="CD13" s="127">
        <f t="shared" si="3"/>
        <v>53757</v>
      </c>
      <c r="CE13" s="127">
        <f t="shared" si="3"/>
        <v>54266</v>
      </c>
      <c r="CF13" s="127">
        <f t="shared" ref="CF13:ES13" si="4">CF12+CF11</f>
        <v>54777</v>
      </c>
      <c r="CG13" s="127">
        <f t="shared" si="4"/>
        <v>55190</v>
      </c>
      <c r="CH13" s="127">
        <f t="shared" si="4"/>
        <v>55530</v>
      </c>
      <c r="CI13" s="127">
        <f t="shared" si="4"/>
        <v>55887</v>
      </c>
      <c r="CJ13" s="127">
        <f t="shared" si="4"/>
        <v>148353.43893726001</v>
      </c>
      <c r="CK13" s="127">
        <f t="shared" si="4"/>
        <v>150136.49844103999</v>
      </c>
      <c r="CL13" s="127">
        <f t="shared" si="4"/>
        <v>150660.03925174</v>
      </c>
      <c r="CM13" s="127">
        <f t="shared" si="4"/>
        <v>151770.05533772</v>
      </c>
      <c r="CN13" s="127">
        <f t="shared" si="4"/>
        <v>152579.65545786</v>
      </c>
      <c r="CO13" s="127">
        <f t="shared" si="4"/>
        <v>152729.53246679998</v>
      </c>
      <c r="CP13" s="127">
        <f t="shared" si="4"/>
        <v>153747.85140546001</v>
      </c>
      <c r="CQ13" s="127">
        <f t="shared" si="4"/>
        <v>150472.37732775</v>
      </c>
      <c r="CR13" s="127">
        <f t="shared" si="4"/>
        <v>151121.81199999998</v>
      </c>
      <c r="CS13" s="127">
        <f t="shared" si="4"/>
        <v>152459.5</v>
      </c>
      <c r="CT13" s="127">
        <f t="shared" si="4"/>
        <v>152254.63888908</v>
      </c>
      <c r="CU13" s="127">
        <f t="shared" si="4"/>
        <v>152491.37408914001</v>
      </c>
      <c r="CV13" s="127">
        <f t="shared" si="4"/>
        <v>151975.9735270222</v>
      </c>
      <c r="CW13" s="127">
        <f t="shared" si="4"/>
        <v>152279.1829897149</v>
      </c>
      <c r="CX13" s="127">
        <f t="shared" si="4"/>
        <v>152896.21000000002</v>
      </c>
      <c r="CY13" s="127">
        <f t="shared" si="4"/>
        <v>153798.52000000002</v>
      </c>
      <c r="CZ13" s="127">
        <f t="shared" si="4"/>
        <v>154176.4</v>
      </c>
      <c r="DA13" s="127">
        <f t="shared" si="4"/>
        <v>199551</v>
      </c>
      <c r="DB13" s="127">
        <f t="shared" si="4"/>
        <v>189452</v>
      </c>
      <c r="DC13" s="127">
        <f t="shared" si="4"/>
        <v>185829</v>
      </c>
      <c r="DD13" s="127">
        <f t="shared" si="4"/>
        <v>187750</v>
      </c>
      <c r="DE13" s="127">
        <f t="shared" si="4"/>
        <v>188634</v>
      </c>
      <c r="DF13" s="127">
        <f t="shared" si="4"/>
        <v>190592</v>
      </c>
      <c r="DG13" s="127">
        <f t="shared" si="4"/>
        <v>190819</v>
      </c>
      <c r="DH13" s="127">
        <f t="shared" si="4"/>
        <v>191107</v>
      </c>
      <c r="DI13" s="127">
        <f t="shared" si="4"/>
        <v>191156.07199999999</v>
      </c>
      <c r="DJ13" s="127">
        <f t="shared" si="4"/>
        <v>191475.29249707001</v>
      </c>
      <c r="DK13" s="127">
        <f t="shared" si="4"/>
        <v>191945.32419555</v>
      </c>
      <c r="DL13" s="127">
        <f t="shared" si="4"/>
        <v>192103.12437839</v>
      </c>
      <c r="DM13" s="127">
        <f t="shared" si="4"/>
        <v>192203.6</v>
      </c>
      <c r="DN13" s="127">
        <f t="shared" si="4"/>
        <v>192537.939828</v>
      </c>
      <c r="DO13" s="127">
        <f t="shared" si="4"/>
        <v>192685.01</v>
      </c>
      <c r="DP13" s="127">
        <f t="shared" si="4"/>
        <v>192882.72</v>
      </c>
      <c r="DQ13" s="127">
        <f t="shared" si="4"/>
        <v>193123.5</v>
      </c>
      <c r="DR13" s="127">
        <f t="shared" si="4"/>
        <v>5718.7325857100004</v>
      </c>
      <c r="DS13" s="127">
        <f t="shared" si="4"/>
        <v>5769.8560802100001</v>
      </c>
      <c r="DT13" s="127">
        <f t="shared" si="4"/>
        <v>5868.0882146499998</v>
      </c>
      <c r="DU13" s="127">
        <f t="shared" si="4"/>
        <v>5926.7301499999994</v>
      </c>
      <c r="DV13" s="127">
        <f t="shared" si="4"/>
        <v>5970.9719999999998</v>
      </c>
      <c r="DW13" s="127">
        <f t="shared" si="4"/>
        <v>6041.5939481299993</v>
      </c>
      <c r="DX13" s="127">
        <f t="shared" si="4"/>
        <v>6102.4391066500002</v>
      </c>
      <c r="DY13" s="127">
        <f t="shared" si="4"/>
        <v>6134.8447602399992</v>
      </c>
      <c r="DZ13" s="127">
        <f t="shared" si="4"/>
        <v>6160.5729461899991</v>
      </c>
      <c r="EA13" s="127">
        <f t="shared" si="4"/>
        <v>6246.3146799999995</v>
      </c>
      <c r="EB13" s="127">
        <f t="shared" si="4"/>
        <v>6300.9202911100001</v>
      </c>
      <c r="EC13" s="127">
        <f t="shared" si="4"/>
        <v>6408.9907576099995</v>
      </c>
      <c r="ED13" s="127">
        <f t="shared" si="4"/>
        <v>6567.6</v>
      </c>
      <c r="EE13" s="127">
        <f t="shared" si="4"/>
        <v>6627.926915</v>
      </c>
      <c r="EF13" s="127">
        <f t="shared" si="4"/>
        <v>6698.6166149999999</v>
      </c>
      <c r="EG13" s="127">
        <f t="shared" si="4"/>
        <v>6755.8414250000005</v>
      </c>
      <c r="EH13" s="127">
        <f t="shared" si="4"/>
        <v>6817.7999999999993</v>
      </c>
      <c r="EI13" s="127">
        <f t="shared" si="4"/>
        <v>6898.5</v>
      </c>
      <c r="EJ13" s="127">
        <f t="shared" si="4"/>
        <v>7013.8026750000008</v>
      </c>
      <c r="EK13" s="127">
        <f t="shared" si="4"/>
        <v>71676.861903020006</v>
      </c>
      <c r="EL13" s="127">
        <f t="shared" si="4"/>
        <v>71930.499999939988</v>
      </c>
      <c r="EM13" s="127">
        <f t="shared" si="4"/>
        <v>72120.499999919994</v>
      </c>
      <c r="EN13" s="127">
        <f t="shared" si="4"/>
        <v>72939.230183259991</v>
      </c>
      <c r="EO13" s="127">
        <f t="shared" si="4"/>
        <v>73498.507812569995</v>
      </c>
      <c r="EP13" s="127">
        <f t="shared" si="4"/>
        <v>73133</v>
      </c>
      <c r="EQ13" s="127">
        <f t="shared" si="4"/>
        <v>73597</v>
      </c>
      <c r="ER13" s="127">
        <f t="shared" si="4"/>
        <v>73889</v>
      </c>
      <c r="ES13" s="127">
        <f t="shared" si="4"/>
        <v>74181.439138999995</v>
      </c>
      <c r="ET13" s="127">
        <f t="shared" ref="ET13:HE13" si="5">ET12+ET11</f>
        <v>74451.769539970002</v>
      </c>
      <c r="EU13" s="127">
        <f t="shared" si="5"/>
        <v>74675.100000000006</v>
      </c>
      <c r="EV13" s="127">
        <f t="shared" si="5"/>
        <v>75120.61</v>
      </c>
      <c r="EW13" s="127">
        <f t="shared" si="5"/>
        <v>75412.168957000002</v>
      </c>
      <c r="EX13" s="127">
        <f t="shared" si="5"/>
        <v>75815.150000000009</v>
      </c>
      <c r="EY13" s="127">
        <f t="shared" si="5"/>
        <v>76306.47</v>
      </c>
      <c r="EZ13" s="127">
        <f t="shared" si="5"/>
        <v>76544.926630000016</v>
      </c>
      <c r="FA13" s="127">
        <f t="shared" si="5"/>
        <v>76999</v>
      </c>
      <c r="FB13" s="127">
        <f t="shared" si="5"/>
        <v>84830.405693389999</v>
      </c>
      <c r="FC13" s="127">
        <f t="shared" si="5"/>
        <v>85326.12062151001</v>
      </c>
      <c r="FD13" s="127">
        <f t="shared" si="5"/>
        <v>85821.835549620009</v>
      </c>
      <c r="FE13" s="127">
        <f t="shared" si="5"/>
        <v>86624.718034969992</v>
      </c>
      <c r="FF13" s="127">
        <f t="shared" si="5"/>
        <v>87208.550876540001</v>
      </c>
      <c r="FG13" s="127">
        <f t="shared" si="5"/>
        <v>87193.681405939991</v>
      </c>
      <c r="FH13" s="127">
        <f t="shared" si="5"/>
        <v>87647.69703553</v>
      </c>
      <c r="FI13" s="127">
        <f t="shared" si="5"/>
        <v>87882.27</v>
      </c>
      <c r="FJ13" s="127">
        <f t="shared" si="5"/>
        <v>88082.643000000011</v>
      </c>
      <c r="FK13" s="127">
        <f t="shared" si="5"/>
        <v>88201</v>
      </c>
      <c r="FL13" s="127">
        <f t="shared" si="5"/>
        <v>88808</v>
      </c>
      <c r="FM13" s="127">
        <f t="shared" si="5"/>
        <v>88971</v>
      </c>
      <c r="FN13" s="127">
        <f t="shared" si="5"/>
        <v>89311</v>
      </c>
      <c r="FO13" s="127">
        <f t="shared" si="5"/>
        <v>89298</v>
      </c>
      <c r="FP13" s="127">
        <f t="shared" si="5"/>
        <v>89416</v>
      </c>
      <c r="FQ13" s="127">
        <f t="shared" si="5"/>
        <v>89608</v>
      </c>
      <c r="FR13" s="127">
        <f t="shared" si="5"/>
        <v>90006</v>
      </c>
      <c r="FS13" s="127">
        <f t="shared" si="5"/>
        <v>41507.07</v>
      </c>
      <c r="FT13" s="127">
        <f t="shared" si="5"/>
        <v>41835.892999999996</v>
      </c>
      <c r="FU13" s="127">
        <f t="shared" si="5"/>
        <v>42110.843000000001</v>
      </c>
      <c r="FV13" s="127">
        <f t="shared" si="5"/>
        <v>42711.531000000003</v>
      </c>
      <c r="FW13" s="127">
        <f t="shared" si="5"/>
        <v>42968.714999999997</v>
      </c>
      <c r="FX13" s="127">
        <f t="shared" si="5"/>
        <v>43213.931000000004</v>
      </c>
      <c r="FY13" s="127">
        <f t="shared" si="5"/>
        <v>43702.130999999994</v>
      </c>
      <c r="FZ13" s="127">
        <f t="shared" si="5"/>
        <v>43799.926999999996</v>
      </c>
      <c r="GA13" s="127">
        <f t="shared" si="5"/>
        <v>44233.045791259996</v>
      </c>
      <c r="GB13" s="127">
        <f t="shared" si="5"/>
        <v>44327.203980980004</v>
      </c>
      <c r="GC13" s="127">
        <f t="shared" si="5"/>
        <v>44681.30605698</v>
      </c>
      <c r="GD13" s="127">
        <f t="shared" si="5"/>
        <v>44885.44428797</v>
      </c>
      <c r="GE13" s="127">
        <f t="shared" si="5"/>
        <v>45092.59</v>
      </c>
      <c r="GF13" s="127">
        <f t="shared" si="5"/>
        <v>45472.429999999993</v>
      </c>
      <c r="GG13" s="127">
        <f t="shared" si="5"/>
        <v>45712.09</v>
      </c>
      <c r="GH13" s="127">
        <f t="shared" si="5"/>
        <v>45856.719778999759</v>
      </c>
      <c r="GI13" s="127">
        <f t="shared" si="5"/>
        <v>46042.753504999404</v>
      </c>
      <c r="GJ13" s="127">
        <f t="shared" si="5"/>
        <v>21209.899999999998</v>
      </c>
      <c r="GK13" s="127">
        <f t="shared" si="5"/>
        <v>21210.1</v>
      </c>
      <c r="GL13" s="127">
        <f t="shared" si="5"/>
        <v>21210.1</v>
      </c>
      <c r="GM13" s="127">
        <f t="shared" si="5"/>
        <v>21267.8</v>
      </c>
      <c r="GN13" s="127">
        <f t="shared" si="5"/>
        <v>21631.7</v>
      </c>
      <c r="GO13" s="127">
        <f t="shared" si="5"/>
        <v>22027.100000000002</v>
      </c>
      <c r="GP13" s="127">
        <f t="shared" si="5"/>
        <v>22222.1</v>
      </c>
      <c r="GQ13" s="127">
        <f t="shared" si="5"/>
        <v>22335.9</v>
      </c>
      <c r="GR13" s="127">
        <f t="shared" si="5"/>
        <v>22495.899999999998</v>
      </c>
      <c r="GS13" s="127">
        <f t="shared" si="5"/>
        <v>22629.244999999999</v>
      </c>
      <c r="GT13" s="127">
        <f t="shared" si="5"/>
        <v>22681.082999999999</v>
      </c>
      <c r="GU13" s="127">
        <f t="shared" si="5"/>
        <v>22725.012999999999</v>
      </c>
      <c r="GV13" s="127">
        <f t="shared" si="5"/>
        <v>22767.252</v>
      </c>
      <c r="GW13" s="127">
        <f t="shared" si="5"/>
        <v>22862.294399999984</v>
      </c>
      <c r="GX13" s="127">
        <f t="shared" si="5"/>
        <v>22911.734</v>
      </c>
      <c r="GY13" s="127">
        <f t="shared" si="5"/>
        <v>22657.282275000009</v>
      </c>
      <c r="GZ13" s="127">
        <f t="shared" si="5"/>
        <v>22545.114685664965</v>
      </c>
      <c r="HA13" s="127">
        <f t="shared" si="5"/>
        <v>12384</v>
      </c>
      <c r="HB13" s="127">
        <f t="shared" si="5"/>
        <v>12476.3</v>
      </c>
      <c r="HC13" s="127">
        <f t="shared" si="5"/>
        <v>12582.7</v>
      </c>
      <c r="HD13" s="127">
        <f t="shared" si="5"/>
        <v>12537.5</v>
      </c>
      <c r="HE13" s="127">
        <f t="shared" si="5"/>
        <v>12644.400000000001</v>
      </c>
      <c r="HF13" s="127">
        <f t="shared" ref="HF13:HP13" si="6">HF12+HF11</f>
        <v>12725.4</v>
      </c>
      <c r="HG13" s="127">
        <f t="shared" si="6"/>
        <v>12817.6</v>
      </c>
      <c r="HH13" s="127">
        <f t="shared" si="6"/>
        <v>12834.7</v>
      </c>
      <c r="HI13" s="127">
        <f t="shared" si="6"/>
        <v>12823.414999999999</v>
      </c>
      <c r="HJ13" s="127">
        <f t="shared" si="6"/>
        <v>12873.2217655</v>
      </c>
      <c r="HK13" s="127">
        <f t="shared" si="6"/>
        <v>12875.46695939</v>
      </c>
      <c r="HL13" s="127">
        <f t="shared" si="6"/>
        <v>13342.25</v>
      </c>
      <c r="HM13" s="127">
        <f t="shared" si="6"/>
        <v>13381.789999999999</v>
      </c>
      <c r="HN13" s="127">
        <f t="shared" si="6"/>
        <v>13407.810000000001</v>
      </c>
      <c r="HO13" s="127">
        <f t="shared" si="6"/>
        <v>13426.19</v>
      </c>
      <c r="HP13" s="127">
        <f t="shared" si="6"/>
        <v>13452.5</v>
      </c>
      <c r="HQ13" s="127">
        <f t="shared" ref="HQ13" si="7">HQ12+HQ11</f>
        <v>13474.86</v>
      </c>
      <c r="HR13" s="251"/>
      <c r="HS13" s="251"/>
      <c r="HT13" s="251"/>
      <c r="HU13" s="251"/>
      <c r="HV13" s="251"/>
      <c r="HW13" s="251"/>
      <c r="HX13" s="251"/>
      <c r="HY13" s="251"/>
      <c r="HZ13" s="251"/>
      <c r="IA13" s="251"/>
      <c r="IB13" s="251"/>
      <c r="IC13" s="251"/>
      <c r="ID13" s="251"/>
      <c r="IE13" s="251"/>
      <c r="IF13" s="251"/>
      <c r="IG13" s="251"/>
    </row>
    <row r="14" spans="1:241" s="248" customFormat="1" ht="13.7" customHeight="1">
      <c r="A14" s="248" t="s">
        <v>515</v>
      </c>
      <c r="B14" s="248" t="s">
        <v>516</v>
      </c>
      <c r="C14" s="69">
        <v>154510</v>
      </c>
      <c r="D14" s="69">
        <v>156360</v>
      </c>
      <c r="E14" s="69">
        <v>158455</v>
      </c>
      <c r="F14" s="69">
        <v>161092</v>
      </c>
      <c r="G14" s="69">
        <v>164900</v>
      </c>
      <c r="H14" s="69">
        <v>168937</v>
      </c>
      <c r="I14" s="69">
        <v>173186</v>
      </c>
      <c r="J14" s="69">
        <v>177255</v>
      </c>
      <c r="K14" s="69">
        <v>178710</v>
      </c>
      <c r="L14" s="69">
        <v>181851</v>
      </c>
      <c r="M14" s="69">
        <v>184961.5</v>
      </c>
      <c r="N14" s="69">
        <v>191482</v>
      </c>
      <c r="O14" s="69">
        <v>197537</v>
      </c>
      <c r="P14" s="69">
        <v>203157</v>
      </c>
      <c r="Q14" s="69">
        <v>207237.00000000399</v>
      </c>
      <c r="R14" s="69">
        <v>212505</v>
      </c>
      <c r="S14" s="69">
        <v>216948</v>
      </c>
      <c r="T14" s="69">
        <v>1546194.5</v>
      </c>
      <c r="U14" s="69">
        <v>1561613.99999999</v>
      </c>
      <c r="V14" s="69">
        <v>1574317.99999999</v>
      </c>
      <c r="W14" s="69">
        <v>1586138</v>
      </c>
      <c r="X14" s="69">
        <v>1596897.5</v>
      </c>
      <c r="Y14" s="69">
        <v>1608734.5</v>
      </c>
      <c r="Z14" s="69">
        <v>1621658.49999999</v>
      </c>
      <c r="AA14" s="69">
        <v>1635052.5</v>
      </c>
      <c r="AB14" s="69">
        <v>1651159.5</v>
      </c>
      <c r="AC14" s="69">
        <v>1669558.5</v>
      </c>
      <c r="AD14" s="69">
        <v>1688281.7206584599</v>
      </c>
      <c r="AE14" s="69">
        <v>1706913.49999999</v>
      </c>
      <c r="AF14" s="69">
        <v>1727294</v>
      </c>
      <c r="AG14" s="69">
        <v>1746274</v>
      </c>
      <c r="AH14" s="69">
        <v>1762079</v>
      </c>
      <c r="AI14" s="69">
        <v>1774204</v>
      </c>
      <c r="AJ14" s="69">
        <v>1783052</v>
      </c>
      <c r="AK14" s="69">
        <v>294971.65817282</v>
      </c>
      <c r="AL14" s="69">
        <v>299951.29418557999</v>
      </c>
      <c r="AM14" s="69">
        <v>303151.80398685997</v>
      </c>
      <c r="AN14" s="69">
        <v>305984.98426971998</v>
      </c>
      <c r="AO14" s="69">
        <v>310174.96273257001</v>
      </c>
      <c r="AP14" s="69">
        <v>314439.61807552999</v>
      </c>
      <c r="AQ14" s="69">
        <v>318643.22002328001</v>
      </c>
      <c r="AR14" s="69">
        <v>322735.81579785002</v>
      </c>
      <c r="AS14" s="69">
        <v>325917.15180559002</v>
      </c>
      <c r="AT14" s="69">
        <v>327907.17472150002</v>
      </c>
      <c r="AU14" s="69">
        <v>336070</v>
      </c>
      <c r="AV14" s="69">
        <v>339400</v>
      </c>
      <c r="AW14" s="69">
        <v>342668.99999999994</v>
      </c>
      <c r="AX14" s="69">
        <v>345009</v>
      </c>
      <c r="AY14" s="69">
        <v>346468</v>
      </c>
      <c r="AZ14" s="69">
        <v>346855</v>
      </c>
      <c r="BA14" s="69">
        <v>348303</v>
      </c>
      <c r="BB14" s="69">
        <v>849548.29330194998</v>
      </c>
      <c r="BC14" s="69">
        <v>859722.30529924994</v>
      </c>
      <c r="BD14" s="69">
        <v>869654.53679640999</v>
      </c>
      <c r="BE14" s="69">
        <v>878612.20779661997</v>
      </c>
      <c r="BF14" s="69">
        <v>886064.29272154998</v>
      </c>
      <c r="BG14" s="69">
        <v>895088.26980019</v>
      </c>
      <c r="BH14" s="69">
        <v>903746.68839344999</v>
      </c>
      <c r="BI14" s="69">
        <v>919384.82389899995</v>
      </c>
      <c r="BJ14" s="69">
        <v>940028.5</v>
      </c>
      <c r="BK14" s="69">
        <v>955832.5</v>
      </c>
      <c r="BL14" s="69">
        <v>968354.5</v>
      </c>
      <c r="BM14" s="69">
        <v>984229.5</v>
      </c>
      <c r="BN14" s="69">
        <v>1005561.9999999999</v>
      </c>
      <c r="BO14" s="69">
        <v>1027585.5</v>
      </c>
      <c r="BP14" s="69">
        <v>1049164.5</v>
      </c>
      <c r="BQ14" s="69">
        <v>1067349</v>
      </c>
      <c r="BR14" s="69">
        <v>1082918.5</v>
      </c>
      <c r="BS14" s="69">
        <v>1212063.56238094</v>
      </c>
      <c r="BT14" s="69">
        <v>1236100.97666665</v>
      </c>
      <c r="BU14" s="69">
        <v>1263762.9433333301</v>
      </c>
      <c r="BV14" s="69">
        <v>1287435.6833333101</v>
      </c>
      <c r="BW14" s="69">
        <v>1307554.33333332</v>
      </c>
      <c r="BX14" s="69">
        <v>1326563.49999999</v>
      </c>
      <c r="BY14" s="69">
        <v>1343864.49999999</v>
      </c>
      <c r="BZ14" s="69">
        <v>1359711.49999999</v>
      </c>
      <c r="CA14" s="69">
        <v>1376483</v>
      </c>
      <c r="CB14" s="69">
        <v>1397191</v>
      </c>
      <c r="CC14" s="69">
        <v>1421522</v>
      </c>
      <c r="CD14" s="69">
        <v>1448247</v>
      </c>
      <c r="CE14" s="69">
        <v>1473805</v>
      </c>
      <c r="CF14" s="69">
        <v>1496317</v>
      </c>
      <c r="CG14" s="69">
        <v>1516198</v>
      </c>
      <c r="CH14" s="69">
        <v>1535400</v>
      </c>
      <c r="CI14" s="69">
        <v>1569750</v>
      </c>
      <c r="CJ14" s="69">
        <v>624130</v>
      </c>
      <c r="CK14" s="69">
        <v>635123</v>
      </c>
      <c r="CL14" s="69">
        <v>647729</v>
      </c>
      <c r="CM14" s="69">
        <v>663216</v>
      </c>
      <c r="CN14" s="69">
        <v>676960</v>
      </c>
      <c r="CO14" s="69">
        <v>688959</v>
      </c>
      <c r="CP14" s="69">
        <v>699264</v>
      </c>
      <c r="CQ14" s="69">
        <v>710431</v>
      </c>
      <c r="CR14" s="69">
        <v>721930</v>
      </c>
      <c r="CS14" s="69">
        <v>728290.5</v>
      </c>
      <c r="CT14" s="69">
        <v>739353.5</v>
      </c>
      <c r="CU14" s="69">
        <v>745501</v>
      </c>
      <c r="CV14" s="69">
        <v>752141</v>
      </c>
      <c r="CW14" s="69">
        <v>757726</v>
      </c>
      <c r="CX14" s="69">
        <v>762303</v>
      </c>
      <c r="CY14" s="69">
        <v>767583</v>
      </c>
      <c r="CZ14" s="69">
        <v>776533</v>
      </c>
      <c r="DA14" s="69">
        <v>799028</v>
      </c>
      <c r="DB14" s="69">
        <v>805190</v>
      </c>
      <c r="DC14" s="69">
        <v>814865</v>
      </c>
      <c r="DD14" s="69">
        <v>821578</v>
      </c>
      <c r="DE14" s="69">
        <v>825215</v>
      </c>
      <c r="DF14" s="69">
        <v>834417</v>
      </c>
      <c r="DG14" s="69">
        <v>838385</v>
      </c>
      <c r="DH14" s="69">
        <v>844244</v>
      </c>
      <c r="DI14" s="69">
        <v>854231</v>
      </c>
      <c r="DJ14" s="69">
        <v>867001</v>
      </c>
      <c r="DK14" s="69">
        <v>879064.5</v>
      </c>
      <c r="DL14" s="69">
        <v>891934.5</v>
      </c>
      <c r="DM14" s="69">
        <v>905969.99999999988</v>
      </c>
      <c r="DN14" s="69">
        <v>916470.5</v>
      </c>
      <c r="DO14" s="69">
        <v>925966.00000000012</v>
      </c>
      <c r="DP14" s="69">
        <v>935178.5</v>
      </c>
      <c r="DQ14" s="69">
        <v>945392.5</v>
      </c>
      <c r="DR14" s="69">
        <v>293175.49999997998</v>
      </c>
      <c r="DS14" s="69">
        <v>299118.49999998999</v>
      </c>
      <c r="DT14" s="69">
        <v>302627.49999998999</v>
      </c>
      <c r="DU14" s="69">
        <v>305242.99999997998</v>
      </c>
      <c r="DV14" s="69">
        <v>309597.99999998999</v>
      </c>
      <c r="DW14" s="69">
        <v>307191</v>
      </c>
      <c r="DX14" s="69">
        <v>312839</v>
      </c>
      <c r="DY14" s="69">
        <v>319591</v>
      </c>
      <c r="DZ14" s="69">
        <v>325927.00000000006</v>
      </c>
      <c r="EA14" s="69">
        <v>332267</v>
      </c>
      <c r="EB14" s="69">
        <v>339467</v>
      </c>
      <c r="EC14" s="69">
        <v>346887</v>
      </c>
      <c r="ED14" s="69">
        <v>353729</v>
      </c>
      <c r="EE14" s="69">
        <v>360430.99999999994</v>
      </c>
      <c r="EF14" s="69">
        <v>366841.00000000012</v>
      </c>
      <c r="EG14" s="69">
        <v>369331.49999999994</v>
      </c>
      <c r="EH14" s="69">
        <v>374388</v>
      </c>
      <c r="EI14" s="312">
        <v>378889</v>
      </c>
      <c r="EJ14" s="312">
        <v>383818</v>
      </c>
      <c r="EK14" s="69">
        <v>663966.35730240005</v>
      </c>
      <c r="EL14" s="69">
        <v>675821.59009509999</v>
      </c>
      <c r="EM14" s="69">
        <v>688356.43188220996</v>
      </c>
      <c r="EN14" s="69">
        <v>701004.54183501995</v>
      </c>
      <c r="EO14" s="69">
        <v>715219.69663429004</v>
      </c>
      <c r="EP14" s="69">
        <v>731281.52706412005</v>
      </c>
      <c r="EQ14" s="69">
        <v>743561.51547831995</v>
      </c>
      <c r="ER14" s="69">
        <v>753913.41676781001</v>
      </c>
      <c r="ES14" s="69">
        <v>765240.73900238005</v>
      </c>
      <c r="ET14" s="69">
        <v>777161.00874875998</v>
      </c>
      <c r="EU14" s="69">
        <v>799540</v>
      </c>
      <c r="EV14" s="69">
        <v>816349</v>
      </c>
      <c r="EW14" s="69">
        <v>835781</v>
      </c>
      <c r="EX14" s="69">
        <v>853771</v>
      </c>
      <c r="EY14" s="69">
        <v>863408</v>
      </c>
      <c r="EZ14" s="69">
        <v>877935</v>
      </c>
      <c r="FA14" s="69">
        <v>902215</v>
      </c>
      <c r="FB14" s="69">
        <v>778839</v>
      </c>
      <c r="FC14" s="69">
        <v>779426</v>
      </c>
      <c r="FD14" s="69">
        <v>781110</v>
      </c>
      <c r="FE14" s="69">
        <v>814467</v>
      </c>
      <c r="FF14" s="69">
        <v>826964</v>
      </c>
      <c r="FG14" s="69">
        <v>836055</v>
      </c>
      <c r="FH14" s="69">
        <v>844153</v>
      </c>
      <c r="FI14" s="69">
        <v>847766</v>
      </c>
      <c r="FJ14" s="69">
        <v>851766.5</v>
      </c>
      <c r="FK14" s="69">
        <v>853939</v>
      </c>
      <c r="FL14" s="69">
        <v>858646.5</v>
      </c>
      <c r="FM14" s="69">
        <v>878299.5</v>
      </c>
      <c r="FN14" s="69">
        <v>894397</v>
      </c>
      <c r="FO14" s="69">
        <v>906197.49999999977</v>
      </c>
      <c r="FP14" s="69">
        <v>914602.99999999965</v>
      </c>
      <c r="FQ14" s="69">
        <v>920841</v>
      </c>
      <c r="FR14" s="69">
        <v>928729</v>
      </c>
      <c r="FS14" s="69">
        <v>605407.99999997998</v>
      </c>
      <c r="FT14" s="69">
        <v>616585.49999997998</v>
      </c>
      <c r="FU14" s="69">
        <v>627552.49999997998</v>
      </c>
      <c r="FV14" s="69">
        <v>638613.49999996996</v>
      </c>
      <c r="FW14" s="69">
        <v>645694.49999998999</v>
      </c>
      <c r="FX14" s="69">
        <v>654640.99999997998</v>
      </c>
      <c r="FY14" s="69">
        <v>668702.99999996996</v>
      </c>
      <c r="FZ14" s="69">
        <v>681298.99999996996</v>
      </c>
      <c r="GA14" s="69">
        <v>685193.99999998999</v>
      </c>
      <c r="GB14" s="69">
        <v>706424</v>
      </c>
      <c r="GC14" s="69">
        <v>712767</v>
      </c>
      <c r="GD14" s="69">
        <v>734644</v>
      </c>
      <c r="GE14" s="69">
        <v>741836</v>
      </c>
      <c r="GF14" s="69">
        <v>762382</v>
      </c>
      <c r="GG14" s="69">
        <v>776854.00000000012</v>
      </c>
      <c r="GH14" s="69">
        <v>784245.5</v>
      </c>
      <c r="GI14" s="69">
        <v>796623.5</v>
      </c>
      <c r="GJ14" s="69">
        <v>250642.5242013</v>
      </c>
      <c r="GK14" s="69">
        <v>255484.38545674999</v>
      </c>
      <c r="GL14" s="69">
        <v>260424.25945124001</v>
      </c>
      <c r="GM14" s="69">
        <v>265464.13023523003</v>
      </c>
      <c r="GN14" s="69">
        <v>270606.02202186</v>
      </c>
      <c r="GO14" s="69">
        <v>275851.99999998999</v>
      </c>
      <c r="GP14" s="69">
        <v>278391.99999998999</v>
      </c>
      <c r="GQ14" s="69">
        <v>279867.99999998999</v>
      </c>
      <c r="GR14" s="69">
        <v>280750</v>
      </c>
      <c r="GS14" s="69">
        <v>283059</v>
      </c>
      <c r="GT14" s="69">
        <v>285325</v>
      </c>
      <c r="GU14" s="69">
        <v>287651.5001</v>
      </c>
      <c r="GV14" s="69">
        <v>287936</v>
      </c>
      <c r="GW14" s="69">
        <v>290446</v>
      </c>
      <c r="GX14" s="69">
        <v>293949</v>
      </c>
      <c r="GY14" s="69">
        <v>297656</v>
      </c>
      <c r="GZ14" s="69">
        <v>301063.49999999983</v>
      </c>
      <c r="HA14" s="69">
        <v>612728</v>
      </c>
      <c r="HB14" s="69">
        <v>618250</v>
      </c>
      <c r="HC14" s="69">
        <v>624094</v>
      </c>
      <c r="HD14" s="69">
        <v>628120</v>
      </c>
      <c r="HE14" s="69">
        <v>633823</v>
      </c>
      <c r="HF14" s="69">
        <v>641129.77419353998</v>
      </c>
      <c r="HG14" s="69">
        <v>647892</v>
      </c>
      <c r="HH14" s="69">
        <v>656516</v>
      </c>
      <c r="HI14" s="69">
        <v>658453</v>
      </c>
      <c r="HJ14" s="69">
        <v>664549</v>
      </c>
      <c r="HK14" s="69">
        <v>669826</v>
      </c>
      <c r="HL14" s="69">
        <v>676807</v>
      </c>
      <c r="HM14" s="69">
        <v>685025</v>
      </c>
      <c r="HN14" s="69">
        <v>697594</v>
      </c>
      <c r="HO14" s="69">
        <v>703119</v>
      </c>
      <c r="HP14" s="69">
        <v>705367</v>
      </c>
      <c r="HQ14" s="69">
        <v>710296</v>
      </c>
      <c r="HR14" s="251"/>
      <c r="HS14" s="251"/>
      <c r="HT14" s="251"/>
      <c r="HU14" s="251"/>
      <c r="HV14" s="251"/>
      <c r="HW14" s="251"/>
      <c r="HX14" s="251"/>
      <c r="HY14" s="251"/>
      <c r="HZ14" s="251"/>
      <c r="IA14" s="251"/>
      <c r="IB14" s="251"/>
      <c r="IC14" s="251"/>
      <c r="ID14" s="251"/>
      <c r="IE14" s="251"/>
      <c r="IF14" s="251"/>
      <c r="IG14" s="251"/>
    </row>
    <row r="15" spans="1:241" s="248" customFormat="1" ht="13.7" customHeight="1">
      <c r="A15" s="248" t="s">
        <v>517</v>
      </c>
      <c r="B15" s="248" t="s">
        <v>518</v>
      </c>
      <c r="C15" s="69">
        <v>630.12</v>
      </c>
      <c r="D15" s="69">
        <v>610.67999999999995</v>
      </c>
      <c r="E15" s="69">
        <v>625.12800000000004</v>
      </c>
      <c r="F15" s="69">
        <v>615.16800000000001</v>
      </c>
      <c r="G15" s="69">
        <v>617.76</v>
      </c>
      <c r="H15" s="69">
        <v>620.80999999999995</v>
      </c>
      <c r="I15" s="69">
        <v>701.69200000000001</v>
      </c>
      <c r="J15" s="69">
        <v>697.803</v>
      </c>
      <c r="K15" s="69">
        <v>669.9</v>
      </c>
      <c r="L15" s="69">
        <v>732.70697600000005</v>
      </c>
      <c r="M15" s="69">
        <v>669.24163599999997</v>
      </c>
      <c r="N15" s="69">
        <v>688.47449600000004</v>
      </c>
      <c r="O15" s="69">
        <v>811.79406800000004</v>
      </c>
      <c r="P15" s="69">
        <v>690.50609599999996</v>
      </c>
      <c r="Q15" s="69">
        <v>778.779312</v>
      </c>
      <c r="R15" s="69">
        <v>844.33233329999996</v>
      </c>
      <c r="S15" s="69">
        <v>871</v>
      </c>
      <c r="T15" s="69">
        <v>6109.7635600000003</v>
      </c>
      <c r="U15" s="69">
        <v>6019.4088400000001</v>
      </c>
      <c r="V15" s="69">
        <v>6280.2569100000001</v>
      </c>
      <c r="W15" s="69">
        <v>6372.643</v>
      </c>
      <c r="X15" s="69">
        <v>6305.1046800000004</v>
      </c>
      <c r="Y15" s="69">
        <v>6555.2656999999999</v>
      </c>
      <c r="Z15" s="69">
        <v>5958.1553700000004</v>
      </c>
      <c r="AA15" s="69">
        <v>6004.79190406</v>
      </c>
      <c r="AB15" s="69">
        <v>5165.4497899999997</v>
      </c>
      <c r="AC15" s="69">
        <v>5367.3402900000001</v>
      </c>
      <c r="AD15" s="69">
        <v>5798.3421600000001</v>
      </c>
      <c r="AE15" s="69">
        <v>6226.4351800000004</v>
      </c>
      <c r="AF15" s="69">
        <v>5767</v>
      </c>
      <c r="AG15" s="69">
        <v>5931</v>
      </c>
      <c r="AH15" s="69">
        <v>6011</v>
      </c>
      <c r="AI15" s="69">
        <v>5664</v>
      </c>
      <c r="AJ15" s="69">
        <v>5578</v>
      </c>
      <c r="AK15" s="69">
        <v>1311.96</v>
      </c>
      <c r="AL15" s="69">
        <v>1348.64</v>
      </c>
      <c r="AM15" s="69">
        <v>1410.96</v>
      </c>
      <c r="AN15" s="69">
        <v>1448.8</v>
      </c>
      <c r="AO15" s="69">
        <v>1389.2</v>
      </c>
      <c r="AP15" s="69">
        <v>1432.5</v>
      </c>
      <c r="AQ15" s="69">
        <v>1358.8</v>
      </c>
      <c r="AR15" s="69">
        <v>1447.9</v>
      </c>
      <c r="AS15" s="69">
        <v>1439.32</v>
      </c>
      <c r="AT15" s="69">
        <v>1244.1674392</v>
      </c>
      <c r="AU15" s="69">
        <v>1373</v>
      </c>
      <c r="AV15" s="69">
        <v>1478</v>
      </c>
      <c r="AW15" s="69">
        <v>1527.7799520000001</v>
      </c>
      <c r="AX15" s="69">
        <v>1484</v>
      </c>
      <c r="AY15" s="69">
        <v>1542</v>
      </c>
      <c r="AZ15" s="69">
        <v>1276</v>
      </c>
      <c r="BA15" s="69">
        <v>1337.27</v>
      </c>
      <c r="BB15" s="69">
        <v>3779.0286552100001</v>
      </c>
      <c r="BC15" s="69">
        <v>3704.4117377299999</v>
      </c>
      <c r="BD15" s="69">
        <v>3690.1265355</v>
      </c>
      <c r="BE15" s="69">
        <v>4004.2594068600001</v>
      </c>
      <c r="BF15" s="69">
        <v>3928.5643727000001</v>
      </c>
      <c r="BG15" s="69">
        <v>4162.0593220700002</v>
      </c>
      <c r="BH15" s="69">
        <v>3377.31322821</v>
      </c>
      <c r="BI15" s="69">
        <v>3825.0089998899998</v>
      </c>
      <c r="BJ15" s="69">
        <v>3361.1572785799999</v>
      </c>
      <c r="BK15" s="69">
        <v>3592.95984146</v>
      </c>
      <c r="BL15" s="69">
        <v>4096.74707253</v>
      </c>
      <c r="BM15" s="69">
        <v>4344.0417028000002</v>
      </c>
      <c r="BN15" s="69">
        <v>4007.2025363243602</v>
      </c>
      <c r="BO15" s="69">
        <v>4159.4866072986497</v>
      </c>
      <c r="BP15" s="69">
        <v>4260.7803490849383</v>
      </c>
      <c r="BQ15" s="69">
        <v>3830.1281528971499</v>
      </c>
      <c r="BR15" s="69">
        <v>3691.4720000000002</v>
      </c>
      <c r="BS15" s="69">
        <v>4225.3853993399998</v>
      </c>
      <c r="BT15" s="69">
        <v>4618</v>
      </c>
      <c r="BU15" s="69">
        <v>4796.7614080399999</v>
      </c>
      <c r="BV15" s="69">
        <v>5027.5095144200004</v>
      </c>
      <c r="BW15" s="69">
        <v>5297.7098321900003</v>
      </c>
      <c r="BX15" s="69">
        <v>5048.7678794800004</v>
      </c>
      <c r="BY15" s="69">
        <v>4633.7388400999998</v>
      </c>
      <c r="BZ15" s="69">
        <v>4685.88684844</v>
      </c>
      <c r="CA15" s="69">
        <v>4518.2367792100003</v>
      </c>
      <c r="CB15" s="69">
        <v>4744.3609999999999</v>
      </c>
      <c r="CC15" s="69">
        <v>4807.4521409600002</v>
      </c>
      <c r="CD15" s="69">
        <v>5047.2200098000003</v>
      </c>
      <c r="CE15" s="69">
        <v>5083.9193487167395</v>
      </c>
      <c r="CF15" s="69">
        <v>5216.25</v>
      </c>
      <c r="CG15" s="69">
        <v>5336</v>
      </c>
      <c r="CH15" s="69">
        <v>4838</v>
      </c>
      <c r="CI15" s="69">
        <v>5576</v>
      </c>
      <c r="CJ15" s="69">
        <v>2804.212</v>
      </c>
      <c r="CK15" s="69">
        <v>2851.5990000000002</v>
      </c>
      <c r="CL15" s="69">
        <v>3078.596</v>
      </c>
      <c r="CM15" s="69">
        <v>3040.864</v>
      </c>
      <c r="CN15" s="69">
        <v>3238.0459999999998</v>
      </c>
      <c r="CO15" s="69">
        <v>3057.3649999999998</v>
      </c>
      <c r="CP15" s="69">
        <v>3212.5889999999999</v>
      </c>
      <c r="CQ15" s="69">
        <v>3149.4879999999998</v>
      </c>
      <c r="CR15" s="69">
        <v>3083.3670000000002</v>
      </c>
      <c r="CS15" s="69">
        <v>3113.0050005899998</v>
      </c>
      <c r="CT15" s="69">
        <v>3060.09299087</v>
      </c>
      <c r="CU15" s="69">
        <v>3152.9</v>
      </c>
      <c r="CV15" s="69">
        <v>3091.36</v>
      </c>
      <c r="CW15" s="69">
        <v>3108.277</v>
      </c>
      <c r="CX15" s="69">
        <v>2976</v>
      </c>
      <c r="CY15" s="69">
        <v>2962</v>
      </c>
      <c r="CZ15" s="69">
        <v>3046</v>
      </c>
      <c r="DA15" s="69">
        <v>2473.79407167</v>
      </c>
      <c r="DB15" s="69">
        <v>2586.2495781600001</v>
      </c>
      <c r="DC15" s="69">
        <v>2558.21198774</v>
      </c>
      <c r="DD15" s="69">
        <v>2589.0927531799998</v>
      </c>
      <c r="DE15" s="69">
        <v>2589.9727824299998</v>
      </c>
      <c r="DF15" s="69">
        <v>2541.78606124</v>
      </c>
      <c r="DG15" s="69">
        <v>2462.9661823699998</v>
      </c>
      <c r="DH15" s="69">
        <v>2562.8678676899999</v>
      </c>
      <c r="DI15" s="69">
        <v>2967.8844979999999</v>
      </c>
      <c r="DJ15" s="69">
        <v>2724.0675080000001</v>
      </c>
      <c r="DK15" s="69">
        <v>2847.7780039999998</v>
      </c>
      <c r="DL15" s="69">
        <v>2964.6780480000002</v>
      </c>
      <c r="DM15" s="69">
        <v>2965</v>
      </c>
      <c r="DN15" s="69">
        <v>3031</v>
      </c>
      <c r="DO15" s="69">
        <v>2994</v>
      </c>
      <c r="DP15" s="69">
        <v>3011</v>
      </c>
      <c r="DQ15" s="69">
        <v>3080</v>
      </c>
      <c r="DR15" s="69">
        <v>836.98500799999999</v>
      </c>
      <c r="DS15" s="69">
        <v>901.72535600000003</v>
      </c>
      <c r="DT15" s="69">
        <v>958.34431600000005</v>
      </c>
      <c r="DU15" s="69">
        <v>1019.66512</v>
      </c>
      <c r="DV15" s="69">
        <v>993.45596399999999</v>
      </c>
      <c r="DW15" s="69">
        <v>1017.041108</v>
      </c>
      <c r="DX15" s="69">
        <v>892.449252</v>
      </c>
      <c r="DY15" s="69">
        <v>977</v>
      </c>
      <c r="DZ15" s="69">
        <v>1013.2929901</v>
      </c>
      <c r="EA15" s="69">
        <v>876.42929976000005</v>
      </c>
      <c r="EB15" s="69">
        <v>987.00584000000003</v>
      </c>
      <c r="EC15" s="69">
        <v>956.53558655999996</v>
      </c>
      <c r="ED15" s="69">
        <v>982.80725600000005</v>
      </c>
      <c r="EE15" s="69">
        <v>1026.0431919615999</v>
      </c>
      <c r="EF15" s="69">
        <v>1050.4283640000001</v>
      </c>
      <c r="EG15" s="69">
        <v>947.88464399999998</v>
      </c>
      <c r="EH15" s="69">
        <v>993.43737799999997</v>
      </c>
      <c r="EI15" s="312">
        <v>1024.4343183891101</v>
      </c>
      <c r="EJ15" s="312">
        <v>1101.0564443999999</v>
      </c>
      <c r="EK15" s="69">
        <v>2069.6999999999998</v>
      </c>
      <c r="EL15" s="69">
        <v>2183.549</v>
      </c>
      <c r="EM15" s="69">
        <v>2313.63</v>
      </c>
      <c r="EN15" s="69">
        <v>2516.69</v>
      </c>
      <c r="EO15" s="69">
        <v>2446.64</v>
      </c>
      <c r="EP15" s="69">
        <v>2383.48</v>
      </c>
      <c r="EQ15" s="69">
        <v>2267.0300000000002</v>
      </c>
      <c r="ER15" s="69">
        <v>2413.48</v>
      </c>
      <c r="ES15" s="69">
        <v>2571.31</v>
      </c>
      <c r="ET15" s="69">
        <v>2301.43869</v>
      </c>
      <c r="EU15" s="69">
        <v>2524</v>
      </c>
      <c r="EV15" s="69">
        <v>2505</v>
      </c>
      <c r="EW15" s="69">
        <v>2614.17022</v>
      </c>
      <c r="EX15" s="69">
        <v>2626</v>
      </c>
      <c r="EY15" s="69">
        <v>2679</v>
      </c>
      <c r="EZ15" s="69">
        <v>2349</v>
      </c>
      <c r="FA15" s="69">
        <v>2540.89</v>
      </c>
      <c r="FB15" s="69">
        <v>2765.2886760000001</v>
      </c>
      <c r="FC15" s="69">
        <v>2746.0278239999998</v>
      </c>
      <c r="FD15" s="69">
        <v>2959.9079360000001</v>
      </c>
      <c r="FE15" s="69">
        <v>3192.7919959999999</v>
      </c>
      <c r="FF15" s="69">
        <v>3096.2725460000001</v>
      </c>
      <c r="FG15" s="69">
        <v>3096.3392140000001</v>
      </c>
      <c r="FH15" s="69">
        <v>2768.2162320000002</v>
      </c>
      <c r="FI15" s="69">
        <v>2902.2357059999999</v>
      </c>
      <c r="FJ15" s="69">
        <v>3048.9762519999999</v>
      </c>
      <c r="FK15" s="69">
        <v>2746.4357559999999</v>
      </c>
      <c r="FL15" s="69">
        <v>2775.961812</v>
      </c>
      <c r="FM15" s="69">
        <v>2939.338526</v>
      </c>
      <c r="FN15" s="69">
        <v>2787.5683640000002</v>
      </c>
      <c r="FO15" s="69">
        <v>3118</v>
      </c>
      <c r="FP15" s="69">
        <v>2947.15663</v>
      </c>
      <c r="FQ15" s="69">
        <v>2673</v>
      </c>
      <c r="FR15" s="69">
        <v>2530.2125999999998</v>
      </c>
      <c r="FS15" s="69">
        <v>1616.768</v>
      </c>
      <c r="FT15" s="69">
        <v>1689.1969999999999</v>
      </c>
      <c r="FU15" s="69">
        <v>1801.394</v>
      </c>
      <c r="FV15" s="69">
        <v>1930.99232807</v>
      </c>
      <c r="FW15" s="69">
        <v>1937.704264</v>
      </c>
      <c r="FX15" s="69">
        <v>1838.472352</v>
      </c>
      <c r="FY15" s="69">
        <v>1793.255484</v>
      </c>
      <c r="FZ15" s="69">
        <v>1881.4148680000001</v>
      </c>
      <c r="GA15" s="69">
        <v>1942.955156</v>
      </c>
      <c r="GB15" s="69">
        <v>1816.759</v>
      </c>
      <c r="GC15" s="69">
        <v>1951.7954540000001</v>
      </c>
      <c r="GD15" s="69">
        <v>1942.0717212</v>
      </c>
      <c r="GE15" s="69">
        <v>1942.1035879999999</v>
      </c>
      <c r="GF15" s="69">
        <v>2026.9370560000002</v>
      </c>
      <c r="GG15" s="69">
        <v>2114.9357599999998</v>
      </c>
      <c r="GH15" s="69">
        <v>1876.6215480000001</v>
      </c>
      <c r="GI15" s="69">
        <v>1988.4895481999999</v>
      </c>
      <c r="GJ15" s="69">
        <v>1063</v>
      </c>
      <c r="GK15" s="69">
        <v>1148</v>
      </c>
      <c r="GL15" s="69">
        <v>1154</v>
      </c>
      <c r="GM15" s="69">
        <v>1134</v>
      </c>
      <c r="GN15" s="69">
        <v>1111</v>
      </c>
      <c r="GO15" s="69">
        <v>1082</v>
      </c>
      <c r="GP15" s="69">
        <v>1042</v>
      </c>
      <c r="GQ15" s="69">
        <v>1022</v>
      </c>
      <c r="GR15" s="69">
        <v>1052.3589992</v>
      </c>
      <c r="GS15" s="69">
        <v>1044.250546</v>
      </c>
      <c r="GT15" s="69">
        <v>1075.038816</v>
      </c>
      <c r="GU15" s="69">
        <v>1064.268376</v>
      </c>
      <c r="GV15" s="69">
        <v>1064.7223899999999</v>
      </c>
      <c r="GW15" s="69">
        <v>1026.4160747088699</v>
      </c>
      <c r="GX15" s="69">
        <v>1079.383921874</v>
      </c>
      <c r="GY15" s="69">
        <v>1096.5808899040001</v>
      </c>
      <c r="GZ15" s="69">
        <v>1073.6078374000001</v>
      </c>
      <c r="HA15" s="69">
        <v>1724.0199811800001</v>
      </c>
      <c r="HB15" s="69">
        <v>1819.64476949</v>
      </c>
      <c r="HC15" s="69">
        <v>1949.3399704399999</v>
      </c>
      <c r="HD15" s="69">
        <v>2136.74219451</v>
      </c>
      <c r="HE15" s="69">
        <v>2038.7711396</v>
      </c>
      <c r="HF15" s="69">
        <v>1975.2444353599999</v>
      </c>
      <c r="HG15" s="69">
        <v>1814.848504</v>
      </c>
      <c r="HH15" s="69">
        <v>2037.0437320000001</v>
      </c>
      <c r="HI15" s="69">
        <v>2142.611222</v>
      </c>
      <c r="HJ15" s="69">
        <v>1823.9849107800001</v>
      </c>
      <c r="HK15" s="69">
        <v>2008.7</v>
      </c>
      <c r="HL15" s="69">
        <v>1989.64</v>
      </c>
      <c r="HM15" s="69">
        <v>2060.1515262197099</v>
      </c>
      <c r="HN15" s="69">
        <v>2103.748</v>
      </c>
      <c r="HO15" s="69">
        <v>2102.9459999999999</v>
      </c>
      <c r="HP15" s="69">
        <v>1797.973</v>
      </c>
      <c r="HQ15" s="69">
        <v>1888.2280000000001</v>
      </c>
      <c r="HR15" s="251"/>
      <c r="HS15" s="251"/>
      <c r="HT15" s="251"/>
      <c r="HU15" s="251"/>
      <c r="HV15" s="251"/>
      <c r="HW15" s="251"/>
      <c r="HX15" s="251"/>
      <c r="HY15" s="251"/>
      <c r="HZ15" s="251"/>
      <c r="IA15" s="251"/>
      <c r="IB15" s="251"/>
      <c r="IC15" s="251"/>
      <c r="ID15" s="251"/>
      <c r="IE15" s="251"/>
      <c r="IF15" s="251"/>
      <c r="IG15" s="251"/>
    </row>
    <row r="16" spans="1:241" s="248" customFormat="1" ht="13.7" customHeight="1">
      <c r="A16" s="248" t="s">
        <v>519</v>
      </c>
      <c r="B16" s="248" t="s">
        <v>520</v>
      </c>
      <c r="C16" s="69">
        <v>32644.372461278101</v>
      </c>
      <c r="D16" s="69">
        <v>33989.78368583</v>
      </c>
      <c r="E16" s="69">
        <v>37658.377116216798</v>
      </c>
      <c r="F16" s="69">
        <v>39959.378599711999</v>
      </c>
      <c r="G16" s="69">
        <v>46087.463131805001</v>
      </c>
      <c r="H16" s="69">
        <v>53239.636389662104</v>
      </c>
      <c r="I16" s="69">
        <v>58764.115947737497</v>
      </c>
      <c r="J16" s="69">
        <v>66417.409985292601</v>
      </c>
      <c r="K16" s="69">
        <v>77223.594865233899</v>
      </c>
      <c r="L16" s="69">
        <v>73579.8426807426</v>
      </c>
      <c r="M16" s="69">
        <v>40562.178874851801</v>
      </c>
      <c r="N16" s="69">
        <v>46909.595999999998</v>
      </c>
      <c r="O16" s="69">
        <v>55849.335000000006</v>
      </c>
      <c r="P16" s="69">
        <v>55021.766000000003</v>
      </c>
      <c r="Q16" s="69">
        <v>53278.416409999998</v>
      </c>
      <c r="R16" s="69">
        <v>54940.209000000003</v>
      </c>
      <c r="S16" s="69">
        <v>59831.430977440999</v>
      </c>
      <c r="T16" s="69">
        <v>357834.496219308</v>
      </c>
      <c r="U16" s="69">
        <v>316522.99188389303</v>
      </c>
      <c r="V16" s="69">
        <v>467809.12217390706</v>
      </c>
      <c r="W16" s="69">
        <v>441027.33814656798</v>
      </c>
      <c r="X16" s="69">
        <v>511184.26885726303</v>
      </c>
      <c r="Y16" s="69">
        <v>506684.85404769296</v>
      </c>
      <c r="Z16" s="69">
        <v>577601.0955064391</v>
      </c>
      <c r="AA16" s="69">
        <v>471121.68333051505</v>
      </c>
      <c r="AB16" s="69">
        <v>539569.59182207996</v>
      </c>
      <c r="AC16" s="69">
        <v>647227.97580349504</v>
      </c>
      <c r="AD16" s="69">
        <v>588178.86646726506</v>
      </c>
      <c r="AE16" s="69">
        <v>529666.46092261001</v>
      </c>
      <c r="AF16" s="69">
        <v>463137.071</v>
      </c>
      <c r="AG16" s="69">
        <v>445750.647</v>
      </c>
      <c r="AH16" s="69">
        <v>403448.37900000002</v>
      </c>
      <c r="AI16" s="69">
        <v>386315.228</v>
      </c>
      <c r="AJ16" s="69">
        <v>346084.66399999999</v>
      </c>
      <c r="AK16" s="69">
        <v>26412.589009526593</v>
      </c>
      <c r="AL16" s="69">
        <v>31329.710649259305</v>
      </c>
      <c r="AM16" s="69">
        <v>31120.531390019252</v>
      </c>
      <c r="AN16" s="69">
        <v>37629.540867755153</v>
      </c>
      <c r="AO16" s="69">
        <v>42279.50798262329</v>
      </c>
      <c r="AP16" s="69">
        <v>40682.50401969807</v>
      </c>
      <c r="AQ16" s="69">
        <v>52808.972782802135</v>
      </c>
      <c r="AR16" s="69">
        <v>52531.24811007821</v>
      </c>
      <c r="AS16" s="69">
        <v>55150.625983108068</v>
      </c>
      <c r="AT16" s="69">
        <v>54114.799686988088</v>
      </c>
      <c r="AU16" s="69">
        <v>55931.882749594763</v>
      </c>
      <c r="AV16" s="69">
        <v>55013.031827621628</v>
      </c>
      <c r="AW16" s="69">
        <v>48786.43161912472</v>
      </c>
      <c r="AX16" s="69">
        <v>55927.707030221893</v>
      </c>
      <c r="AY16" s="69">
        <v>53516.156825532875</v>
      </c>
      <c r="AZ16" s="69">
        <v>46752.039703464063</v>
      </c>
      <c r="BA16" s="69">
        <v>49770.854958085292</v>
      </c>
      <c r="BB16" s="69">
        <v>156824.91789216301</v>
      </c>
      <c r="BC16" s="69">
        <v>176841.394432931</v>
      </c>
      <c r="BD16" s="69">
        <v>224408.06001672801</v>
      </c>
      <c r="BE16" s="69">
        <v>214131.30026509601</v>
      </c>
      <c r="BF16" s="69">
        <v>210431.13798086398</v>
      </c>
      <c r="BG16" s="69">
        <v>229554.29065953402</v>
      </c>
      <c r="BH16" s="69">
        <v>240838.12724750797</v>
      </c>
      <c r="BI16" s="69">
        <v>222645.27398422701</v>
      </c>
      <c r="BJ16" s="69">
        <v>258321.99304766802</v>
      </c>
      <c r="BK16" s="69">
        <v>270954.43519109796</v>
      </c>
      <c r="BL16" s="69">
        <v>295663.49812986702</v>
      </c>
      <c r="BM16" s="69">
        <v>276143.80499999999</v>
      </c>
      <c r="BN16" s="69">
        <v>257322.89818438003</v>
      </c>
      <c r="BO16" s="69">
        <v>248955.63635370001</v>
      </c>
      <c r="BP16" s="69">
        <v>226772.79477854402</v>
      </c>
      <c r="BQ16" s="69">
        <v>244843.380445277</v>
      </c>
      <c r="BR16" s="69">
        <v>245425.10500000001</v>
      </c>
      <c r="BS16" s="69">
        <v>189286.786515969</v>
      </c>
      <c r="BT16" s="69">
        <v>229999.82498122202</v>
      </c>
      <c r="BU16" s="69">
        <v>249220.28103108701</v>
      </c>
      <c r="BV16" s="69">
        <v>269392.65438000002</v>
      </c>
      <c r="BW16" s="69">
        <v>278759.46135</v>
      </c>
      <c r="BX16" s="69">
        <v>317627.73702</v>
      </c>
      <c r="BY16" s="69">
        <v>350958.66492000007</v>
      </c>
      <c r="BZ16" s="69">
        <v>387877.9989499998</v>
      </c>
      <c r="CA16" s="69">
        <v>365738.55767000001</v>
      </c>
      <c r="CB16" s="69">
        <v>381461.5461299998</v>
      </c>
      <c r="CC16" s="69">
        <v>344893.63842298696</v>
      </c>
      <c r="CD16" s="69">
        <v>353346.31027999998</v>
      </c>
      <c r="CE16" s="69">
        <v>362234.78839999996</v>
      </c>
      <c r="CF16" s="69">
        <v>350114.929</v>
      </c>
      <c r="CG16" s="69">
        <v>338318.7</v>
      </c>
      <c r="CH16" s="69">
        <v>394441.64827462204</v>
      </c>
      <c r="CI16" s="69">
        <v>422580.21130494471</v>
      </c>
      <c r="CJ16" s="69">
        <v>259957.891</v>
      </c>
      <c r="CK16" s="69">
        <v>241890.48055000001</v>
      </c>
      <c r="CL16" s="69">
        <v>269457.2365</v>
      </c>
      <c r="CM16" s="69">
        <v>270466.59799000004</v>
      </c>
      <c r="CN16" s="69">
        <v>270621.21470000001</v>
      </c>
      <c r="CO16" s="69">
        <v>345122.06182</v>
      </c>
      <c r="CP16" s="69">
        <v>363976.48437000008</v>
      </c>
      <c r="CQ16" s="69">
        <v>298481.04830000014</v>
      </c>
      <c r="CR16" s="69">
        <v>308046.36037000001</v>
      </c>
      <c r="CS16" s="69">
        <v>362830.15773000004</v>
      </c>
      <c r="CT16" s="69">
        <v>371607.978</v>
      </c>
      <c r="CU16" s="69">
        <v>341013.31</v>
      </c>
      <c r="CV16" s="69">
        <v>357962.68099999998</v>
      </c>
      <c r="CW16" s="69">
        <v>368947.33100000001</v>
      </c>
      <c r="CX16" s="69">
        <v>390182.78992536996</v>
      </c>
      <c r="CY16" s="69">
        <v>345735.46599798696</v>
      </c>
      <c r="CZ16" s="69">
        <v>359914.5709396</v>
      </c>
      <c r="DA16" s="69">
        <v>198507.61938633298</v>
      </c>
      <c r="DB16" s="69">
        <v>249199.63407414002</v>
      </c>
      <c r="DC16" s="69">
        <v>304612.28626150603</v>
      </c>
      <c r="DD16" s="69">
        <v>296582.84979402204</v>
      </c>
      <c r="DE16" s="69">
        <v>324946.11772000004</v>
      </c>
      <c r="DF16" s="69">
        <v>336208.00537622103</v>
      </c>
      <c r="DG16" s="69">
        <v>429455.71274000197</v>
      </c>
      <c r="DH16" s="69">
        <v>401260.42950844707</v>
      </c>
      <c r="DI16" s="69">
        <v>390948.49645502307</v>
      </c>
      <c r="DJ16" s="69">
        <v>391299.86702397501</v>
      </c>
      <c r="DK16" s="69">
        <v>313936.839553856</v>
      </c>
      <c r="DL16" s="69">
        <v>321942.69254999899</v>
      </c>
      <c r="DM16" s="69">
        <v>345390.71399999998</v>
      </c>
      <c r="DN16" s="69">
        <v>401766.886</v>
      </c>
      <c r="DO16" s="69">
        <v>394653.58999999997</v>
      </c>
      <c r="DP16" s="69">
        <v>385622.45292000001</v>
      </c>
      <c r="DQ16" s="69">
        <v>360871.69400000002</v>
      </c>
      <c r="DR16" s="69">
        <v>46756.092287101899</v>
      </c>
      <c r="DS16" s="69">
        <v>51252.352222211397</v>
      </c>
      <c r="DT16" s="69">
        <v>43220.358648427202</v>
      </c>
      <c r="DU16" s="69">
        <v>48349.725749867001</v>
      </c>
      <c r="DV16" s="69">
        <v>58605.575110382997</v>
      </c>
      <c r="DW16" s="69">
        <v>59886.898408099398</v>
      </c>
      <c r="DX16" s="69">
        <v>70098.067766092601</v>
      </c>
      <c r="DY16" s="69">
        <v>69150.303926688197</v>
      </c>
      <c r="DZ16" s="69">
        <v>69918.556613006105</v>
      </c>
      <c r="EA16" s="69">
        <v>73079.730390022902</v>
      </c>
      <c r="EB16" s="69">
        <v>78683.548999999999</v>
      </c>
      <c r="EC16" s="69">
        <v>84039.021999999997</v>
      </c>
      <c r="ED16" s="69">
        <v>79198.771999999997</v>
      </c>
      <c r="EE16" s="69">
        <v>84456.982650000005</v>
      </c>
      <c r="EF16" s="69">
        <v>73865.819759999998</v>
      </c>
      <c r="EG16" s="69">
        <v>63000.526098240101</v>
      </c>
      <c r="EH16" s="69">
        <v>58309.291075907073</v>
      </c>
      <c r="EI16" s="312">
        <v>82877.291930000007</v>
      </c>
      <c r="EJ16" s="312">
        <v>88592.699200000003</v>
      </c>
      <c r="EK16" s="69">
        <v>116861.47857915258</v>
      </c>
      <c r="EL16" s="69">
        <v>106359.56772461215</v>
      </c>
      <c r="EM16" s="69">
        <v>113514.72915098233</v>
      </c>
      <c r="EN16" s="69">
        <v>128379.6119855967</v>
      </c>
      <c r="EO16" s="69">
        <v>127280.19704758523</v>
      </c>
      <c r="EP16" s="69">
        <v>137174.04028031268</v>
      </c>
      <c r="EQ16" s="69">
        <v>167745.95206778086</v>
      </c>
      <c r="ER16" s="69">
        <v>183726.35284227453</v>
      </c>
      <c r="ES16" s="69">
        <v>171080.18289509552</v>
      </c>
      <c r="ET16" s="69">
        <v>186774.27334163259</v>
      </c>
      <c r="EU16" s="69">
        <v>162437.30997135999</v>
      </c>
      <c r="EV16" s="69">
        <v>178539.1076349763</v>
      </c>
      <c r="EW16" s="69">
        <v>187773.30476145935</v>
      </c>
      <c r="EX16" s="69">
        <v>185804.42775924937</v>
      </c>
      <c r="EY16" s="69">
        <v>177630.56194133652</v>
      </c>
      <c r="EZ16" s="69">
        <v>180705.20953499887</v>
      </c>
      <c r="FA16" s="69">
        <v>191487.34181872383</v>
      </c>
      <c r="FB16" s="69">
        <v>116302.749904419</v>
      </c>
      <c r="FC16" s="69">
        <v>112914.640378019</v>
      </c>
      <c r="FD16" s="69">
        <v>130933.87803296199</v>
      </c>
      <c r="FE16" s="69">
        <v>149173.38508183201</v>
      </c>
      <c r="FF16" s="69">
        <v>152669.628414626</v>
      </c>
      <c r="FG16" s="69">
        <v>197231.65958920601</v>
      </c>
      <c r="FH16" s="69">
        <v>210494.32048673902</v>
      </c>
      <c r="FI16" s="69">
        <v>228733.33101324001</v>
      </c>
      <c r="FJ16" s="69">
        <v>233849.701</v>
      </c>
      <c r="FK16" s="69">
        <v>248377.486889666</v>
      </c>
      <c r="FL16" s="69">
        <v>211867.16309531001</v>
      </c>
      <c r="FM16" s="69">
        <v>248667.39895521599</v>
      </c>
      <c r="FN16" s="69">
        <v>249010.83126000001</v>
      </c>
      <c r="FO16" s="69">
        <v>261706.81672</v>
      </c>
      <c r="FP16" s="69">
        <v>237845.67388999998</v>
      </c>
      <c r="FQ16" s="69">
        <v>245707.57653999998</v>
      </c>
      <c r="FR16" s="69">
        <v>268338.46308999998</v>
      </c>
      <c r="FS16" s="69">
        <v>82540.040999999997</v>
      </c>
      <c r="FT16" s="69">
        <v>104522.864</v>
      </c>
      <c r="FU16" s="69">
        <v>117354.963</v>
      </c>
      <c r="FV16" s="69">
        <v>139244.32199999999</v>
      </c>
      <c r="FW16" s="69">
        <v>139237.07999999999</v>
      </c>
      <c r="FX16" s="69">
        <v>145236.239</v>
      </c>
      <c r="FY16" s="69">
        <v>158632.40400000001</v>
      </c>
      <c r="FZ16" s="69">
        <v>181028.39600000001</v>
      </c>
      <c r="GA16" s="69">
        <v>189806.67514137062</v>
      </c>
      <c r="GB16" s="69">
        <v>204651.59938180444</v>
      </c>
      <c r="GC16" s="69">
        <v>229428.02527883899</v>
      </c>
      <c r="GD16" s="69">
        <v>204947.924709871</v>
      </c>
      <c r="GE16" s="69">
        <v>193557.933375539</v>
      </c>
      <c r="GF16" s="69">
        <v>207291.49917065373</v>
      </c>
      <c r="GG16" s="69">
        <v>220782.63455930998</v>
      </c>
      <c r="GH16" s="69">
        <v>223482.91283174796</v>
      </c>
      <c r="GI16" s="69">
        <v>219288.94666366841</v>
      </c>
      <c r="GJ16" s="69">
        <v>48648.823897879505</v>
      </c>
      <c r="GK16" s="69">
        <v>50748.109417397798</v>
      </c>
      <c r="GL16" s="69">
        <v>53289.0230297776</v>
      </c>
      <c r="GM16" s="69">
        <v>61973.7059213752</v>
      </c>
      <c r="GN16" s="69">
        <v>75037.978098049192</v>
      </c>
      <c r="GO16" s="69">
        <v>74900.179665433403</v>
      </c>
      <c r="GP16" s="69">
        <v>84369.777789408996</v>
      </c>
      <c r="GQ16" s="69">
        <v>70674.63604085501</v>
      </c>
      <c r="GR16" s="69">
        <v>74075.862810526407</v>
      </c>
      <c r="GS16" s="69">
        <v>64088.129960287195</v>
      </c>
      <c r="GT16" s="69">
        <v>69929.810763066795</v>
      </c>
      <c r="GU16" s="69">
        <v>93577.683630547996</v>
      </c>
      <c r="GV16" s="69">
        <v>86416.346934444198</v>
      </c>
      <c r="GW16" s="69">
        <v>78404.001088851903</v>
      </c>
      <c r="GX16" s="69">
        <v>82673.057705970088</v>
      </c>
      <c r="GY16" s="69">
        <v>89966.613204571317</v>
      </c>
      <c r="GZ16" s="69">
        <v>91390.233242584902</v>
      </c>
      <c r="HA16" s="69">
        <v>83237</v>
      </c>
      <c r="HB16" s="69">
        <v>81473</v>
      </c>
      <c r="HC16" s="69">
        <v>85413.886309046997</v>
      </c>
      <c r="HD16" s="69">
        <v>89047.922493129998</v>
      </c>
      <c r="HE16" s="69">
        <v>96130.066559793398</v>
      </c>
      <c r="HF16" s="69">
        <v>121992.755514909</v>
      </c>
      <c r="HG16" s="69">
        <v>126519.882999029</v>
      </c>
      <c r="HH16" s="69">
        <v>116175.49106407601</v>
      </c>
      <c r="HI16" s="69">
        <v>121867.70902049799</v>
      </c>
      <c r="HJ16" s="69">
        <v>117721.494565381</v>
      </c>
      <c r="HK16" s="69">
        <v>138427.94329502599</v>
      </c>
      <c r="HL16" s="69">
        <v>132835.09312937901</v>
      </c>
      <c r="HM16" s="69">
        <v>108242.14191396099</v>
      </c>
      <c r="HN16" s="69">
        <v>110815.785</v>
      </c>
      <c r="HO16" s="69">
        <v>118042.307</v>
      </c>
      <c r="HP16" s="69">
        <v>118292.577</v>
      </c>
      <c r="HQ16" s="69">
        <v>124679.376</v>
      </c>
      <c r="HR16" s="251"/>
      <c r="HS16" s="251"/>
      <c r="HT16" s="251"/>
      <c r="HU16" s="251"/>
      <c r="HV16" s="251"/>
      <c r="HW16" s="251"/>
      <c r="HX16" s="251"/>
      <c r="HY16" s="251"/>
      <c r="HZ16" s="251"/>
      <c r="IA16" s="251"/>
      <c r="IB16" s="251"/>
      <c r="IC16" s="251"/>
      <c r="ID16" s="251"/>
      <c r="IE16" s="251"/>
      <c r="IF16" s="251"/>
      <c r="IG16" s="251"/>
    </row>
    <row r="17" spans="1:241" s="293" customFormat="1" ht="13.7" customHeight="1">
      <c r="A17" s="293" t="s">
        <v>521</v>
      </c>
      <c r="B17" s="293" t="s">
        <v>5</v>
      </c>
      <c r="C17" s="196">
        <v>1</v>
      </c>
      <c r="D17" s="196">
        <v>1.0452706061118502</v>
      </c>
      <c r="E17" s="196">
        <v>1.0868513886863425</v>
      </c>
      <c r="F17" s="196">
        <v>1.1312938389976723</v>
      </c>
      <c r="G17" s="196">
        <v>1.1567726142472725</v>
      </c>
      <c r="H17" s="196">
        <v>1.1995563047985374</v>
      </c>
      <c r="I17" s="196">
        <v>1.2385017561810374</v>
      </c>
      <c r="J17" s="196">
        <v>1.2784871711292933</v>
      </c>
      <c r="K17" s="196">
        <v>1.31342981598297</v>
      </c>
      <c r="L17" s="196">
        <v>1.3426915893028719</v>
      </c>
      <c r="M17" s="196">
        <v>1.3656987165194989</v>
      </c>
      <c r="N17" s="196">
        <v>1.3915711944071918</v>
      </c>
      <c r="O17" s="196">
        <v>1.4221280831529757</v>
      </c>
      <c r="P17" s="196">
        <v>1.4566653831374401</v>
      </c>
      <c r="Q17" s="196">
        <v>1.4854493464845773</v>
      </c>
      <c r="R17" s="196">
        <v>1.5051094987398133</v>
      </c>
      <c r="S17" s="196">
        <v>1.5388261781330224</v>
      </c>
      <c r="T17" s="196">
        <v>1</v>
      </c>
      <c r="U17" s="196">
        <v>1.0452706061118502</v>
      </c>
      <c r="V17" s="196">
        <v>1.0868513886863425</v>
      </c>
      <c r="W17" s="196">
        <v>1.1312938389976723</v>
      </c>
      <c r="X17" s="196">
        <v>1.1567726142472725</v>
      </c>
      <c r="Y17" s="196">
        <v>1.1995563047985374</v>
      </c>
      <c r="Z17" s="196">
        <v>1.2385017561810374</v>
      </c>
      <c r="AA17" s="196">
        <v>1.2784871711292933</v>
      </c>
      <c r="AB17" s="196">
        <v>1.31342981598297</v>
      </c>
      <c r="AC17" s="196">
        <v>1.3426915893028719</v>
      </c>
      <c r="AD17" s="196">
        <v>1.3656987165194989</v>
      </c>
      <c r="AE17" s="196">
        <v>1.3915711944071918</v>
      </c>
      <c r="AF17" s="196">
        <v>1.4221280831529757</v>
      </c>
      <c r="AG17" s="196">
        <v>1.4566653831374401</v>
      </c>
      <c r="AH17" s="196">
        <v>1.4854493464845773</v>
      </c>
      <c r="AI17" s="196">
        <v>1.5051094987398133</v>
      </c>
      <c r="AJ17" s="196">
        <v>1.5388261781330224</v>
      </c>
      <c r="AK17" s="196">
        <v>1.0258476465181641</v>
      </c>
      <c r="AL17" s="196">
        <v>1.0650547188806361</v>
      </c>
      <c r="AM17" s="196">
        <v>1.1122878618798167</v>
      </c>
      <c r="AN17" s="196">
        <v>1.1400308454887336</v>
      </c>
      <c r="AO17" s="196">
        <v>1.178546598199947</v>
      </c>
      <c r="AP17" s="196">
        <v>1.2206323874885738</v>
      </c>
      <c r="AQ17" s="196">
        <v>1.2580479670432216</v>
      </c>
      <c r="AR17" s="196">
        <v>1.2966368788866152</v>
      </c>
      <c r="AS17" s="196">
        <v>1.3299716632564171</v>
      </c>
      <c r="AT17" s="196">
        <v>1.3538343217460784</v>
      </c>
      <c r="AU17" s="196">
        <v>1.3778751883264413</v>
      </c>
      <c r="AV17" s="196">
        <v>1.4051674292861043</v>
      </c>
      <c r="AW17" s="196">
        <v>1.4413653508395858</v>
      </c>
      <c r="AX17" s="196">
        <v>1.4719176204705369</v>
      </c>
      <c r="AY17" s="196">
        <v>1.495454244929719</v>
      </c>
      <c r="AZ17" s="196">
        <v>1.5051094987398133</v>
      </c>
      <c r="BA17" s="196">
        <v>1.5388261781330224</v>
      </c>
      <c r="BB17" s="196">
        <v>1</v>
      </c>
      <c r="BC17" s="196">
        <v>1.0452706061118502</v>
      </c>
      <c r="BD17" s="196">
        <v>1.0868513886863425</v>
      </c>
      <c r="BE17" s="196">
        <v>1.1312938389976723</v>
      </c>
      <c r="BF17" s="196">
        <v>1.1567726142472725</v>
      </c>
      <c r="BG17" s="196">
        <v>1.1995563047985374</v>
      </c>
      <c r="BH17" s="196">
        <v>1.2385017561810374</v>
      </c>
      <c r="BI17" s="196">
        <v>1.2784871711292933</v>
      </c>
      <c r="BJ17" s="196">
        <v>1.31342981598297</v>
      </c>
      <c r="BK17" s="196">
        <v>1.3426915893028719</v>
      </c>
      <c r="BL17" s="196">
        <v>1.3656987165194989</v>
      </c>
      <c r="BM17" s="196">
        <v>1.3915711944071918</v>
      </c>
      <c r="BN17" s="196">
        <v>1.4221280831529757</v>
      </c>
      <c r="BO17" s="196">
        <v>1.4566653831374401</v>
      </c>
      <c r="BP17" s="196">
        <v>1.4854493464845773</v>
      </c>
      <c r="BQ17" s="196">
        <v>1.5051094987398133</v>
      </c>
      <c r="BR17" s="196">
        <v>1.5388261781330224</v>
      </c>
      <c r="BS17" s="196">
        <v>1</v>
      </c>
      <c r="BT17" s="196">
        <v>1.0452706061118502</v>
      </c>
      <c r="BU17" s="196">
        <v>1.0868513886863425</v>
      </c>
      <c r="BV17" s="196">
        <v>1.1312938389976723</v>
      </c>
      <c r="BW17" s="196">
        <v>1.1567726142472725</v>
      </c>
      <c r="BX17" s="196">
        <v>1.1995563047985374</v>
      </c>
      <c r="BY17" s="196">
        <v>1.2385017561810374</v>
      </c>
      <c r="BZ17" s="196">
        <v>1.2784871711292933</v>
      </c>
      <c r="CA17" s="196">
        <v>1.31342981598297</v>
      </c>
      <c r="CB17" s="196">
        <v>1.3426915893028719</v>
      </c>
      <c r="CC17" s="196">
        <v>1.3656987165194989</v>
      </c>
      <c r="CD17" s="196">
        <v>1.3915711944071918</v>
      </c>
      <c r="CE17" s="196">
        <v>1.4221280831529757</v>
      </c>
      <c r="CF17" s="196">
        <v>1.4566653831374401</v>
      </c>
      <c r="CG17" s="196">
        <v>1.4854493464845773</v>
      </c>
      <c r="CH17" s="196">
        <v>1.5051094987398133</v>
      </c>
      <c r="CI17" s="196">
        <v>1.5388261781330224</v>
      </c>
      <c r="CJ17" s="196">
        <v>1</v>
      </c>
      <c r="CK17" s="196">
        <v>1.0452706061118502</v>
      </c>
      <c r="CL17" s="196">
        <v>1.0868513886863425</v>
      </c>
      <c r="CM17" s="196">
        <v>1.1312938389976723</v>
      </c>
      <c r="CN17" s="196">
        <v>1.1567726142472725</v>
      </c>
      <c r="CO17" s="196">
        <v>1.1995563047985374</v>
      </c>
      <c r="CP17" s="196">
        <v>1.2385017561810374</v>
      </c>
      <c r="CQ17" s="196">
        <v>1.2784871711292933</v>
      </c>
      <c r="CR17" s="196">
        <v>1.31342981598297</v>
      </c>
      <c r="CS17" s="196">
        <v>1.3426915893028719</v>
      </c>
      <c r="CT17" s="196">
        <v>1.3656987165194989</v>
      </c>
      <c r="CU17" s="196">
        <v>1.3915711944071918</v>
      </c>
      <c r="CV17" s="196">
        <v>1.4221280831529757</v>
      </c>
      <c r="CW17" s="196">
        <v>1.4566653831374401</v>
      </c>
      <c r="CX17" s="196">
        <v>1.4854493464845773</v>
      </c>
      <c r="CY17" s="196">
        <v>1.5051094987398133</v>
      </c>
      <c r="CZ17" s="196">
        <v>1.5388261781330224</v>
      </c>
      <c r="DA17" s="196">
        <v>1</v>
      </c>
      <c r="DB17" s="196">
        <v>1.0452706061118502</v>
      </c>
      <c r="DC17" s="196">
        <v>1.0868513886863425</v>
      </c>
      <c r="DD17" s="196">
        <v>1.1312938389976723</v>
      </c>
      <c r="DE17" s="196">
        <v>1.1567726142472725</v>
      </c>
      <c r="DF17" s="196">
        <v>1.1995563047985374</v>
      </c>
      <c r="DG17" s="196">
        <v>1.2385017561810374</v>
      </c>
      <c r="DH17" s="196">
        <v>1.2784871711292933</v>
      </c>
      <c r="DI17" s="196">
        <v>1.31342981598297</v>
      </c>
      <c r="DJ17" s="196">
        <v>1.3426915893028719</v>
      </c>
      <c r="DK17" s="196">
        <v>1.3656987165194989</v>
      </c>
      <c r="DL17" s="196">
        <v>1.3915711944071918</v>
      </c>
      <c r="DM17" s="196">
        <v>1.4221280831529757</v>
      </c>
      <c r="DN17" s="196">
        <v>1.4566653831374401</v>
      </c>
      <c r="DO17" s="196">
        <v>1.4854493464845773</v>
      </c>
      <c r="DP17" s="196">
        <v>1.5051094987398133</v>
      </c>
      <c r="DQ17" s="196">
        <v>1.5388261781330224</v>
      </c>
      <c r="DR17" s="196">
        <v>1.0258476465181641</v>
      </c>
      <c r="DS17" s="196">
        <v>1.0650547188806361</v>
      </c>
      <c r="DT17" s="196">
        <v>1.1122878618798167</v>
      </c>
      <c r="DU17" s="196">
        <v>1.1400308454887336</v>
      </c>
      <c r="DV17" s="196">
        <v>1.178546598199947</v>
      </c>
      <c r="DW17" s="196">
        <v>1.2206323874885738</v>
      </c>
      <c r="DX17" s="196">
        <v>1.2580479670432216</v>
      </c>
      <c r="DY17" s="196">
        <v>1.2966368788866152</v>
      </c>
      <c r="DZ17" s="196">
        <v>1.3299716632564171</v>
      </c>
      <c r="EA17" s="196">
        <v>1.3538343217460784</v>
      </c>
      <c r="EB17" s="196">
        <v>1.3778751883264413</v>
      </c>
      <c r="EC17" s="196">
        <v>1.4051674292861043</v>
      </c>
      <c r="ED17" s="196">
        <v>1.4413653508395858</v>
      </c>
      <c r="EE17" s="196">
        <v>1.4719176204705369</v>
      </c>
      <c r="EF17" s="196">
        <v>1.495454244929719</v>
      </c>
      <c r="EG17" s="196">
        <v>1.5051094987398133</v>
      </c>
      <c r="EH17" s="196">
        <v>1.5388261781330224</v>
      </c>
      <c r="EI17" s="313">
        <v>1.5955345396014755</v>
      </c>
      <c r="EJ17" s="313">
        <f>EI17*'Data|CPI'!B331/'Data|CPI'!B327</f>
        <v>1.6563963657194081</v>
      </c>
      <c r="EK17" s="196">
        <v>1.0258476465181641</v>
      </c>
      <c r="EL17" s="196">
        <v>1.0650547188806361</v>
      </c>
      <c r="EM17" s="196">
        <v>1.1122878618798167</v>
      </c>
      <c r="EN17" s="196">
        <v>1.1400308454887336</v>
      </c>
      <c r="EO17" s="196">
        <v>1.178546598199947</v>
      </c>
      <c r="EP17" s="196">
        <v>1.2206323874885738</v>
      </c>
      <c r="EQ17" s="196">
        <v>1.2580479670432216</v>
      </c>
      <c r="ER17" s="196">
        <v>1.2966368788866152</v>
      </c>
      <c r="ES17" s="196">
        <v>1.3299716632564171</v>
      </c>
      <c r="ET17" s="196">
        <v>1.3538343217460784</v>
      </c>
      <c r="EU17" s="196">
        <v>1.3778751883264413</v>
      </c>
      <c r="EV17" s="196">
        <v>1.4051674292861043</v>
      </c>
      <c r="EW17" s="196">
        <v>1.4413653508395858</v>
      </c>
      <c r="EX17" s="196">
        <v>1.4719176204705369</v>
      </c>
      <c r="EY17" s="196">
        <v>1.495454244929719</v>
      </c>
      <c r="EZ17" s="196">
        <v>1.5051094987398133</v>
      </c>
      <c r="FA17" s="196">
        <v>1.5388261781330224</v>
      </c>
      <c r="FB17" s="196">
        <v>1</v>
      </c>
      <c r="FC17" s="196">
        <v>1.0452706061118502</v>
      </c>
      <c r="FD17" s="196">
        <v>1.0868513886863425</v>
      </c>
      <c r="FE17" s="196">
        <v>1.1312938389976723</v>
      </c>
      <c r="FF17" s="196">
        <v>1.1567726142472725</v>
      </c>
      <c r="FG17" s="196">
        <v>1.1995563047985374</v>
      </c>
      <c r="FH17" s="196">
        <v>1.2385017561810374</v>
      </c>
      <c r="FI17" s="196">
        <v>1.2784871711292933</v>
      </c>
      <c r="FJ17" s="196">
        <v>1.31342981598297</v>
      </c>
      <c r="FK17" s="196">
        <v>1.3426915893028719</v>
      </c>
      <c r="FL17" s="196">
        <v>1.3656987165194989</v>
      </c>
      <c r="FM17" s="196">
        <v>1.3915711944071918</v>
      </c>
      <c r="FN17" s="196">
        <v>1.4221280831529757</v>
      </c>
      <c r="FO17" s="196">
        <v>1.4566653831374401</v>
      </c>
      <c r="FP17" s="196">
        <v>1.4854493464845773</v>
      </c>
      <c r="FQ17" s="196">
        <v>1.5051094987398133</v>
      </c>
      <c r="FR17" s="196">
        <v>1.5388261781330224</v>
      </c>
      <c r="FS17" s="196">
        <v>1.0258476465181641</v>
      </c>
      <c r="FT17" s="196">
        <v>1.0650547188806361</v>
      </c>
      <c r="FU17" s="196">
        <v>1.1122878618798167</v>
      </c>
      <c r="FV17" s="196">
        <v>1.1400308454887336</v>
      </c>
      <c r="FW17" s="196">
        <v>1.178546598199947</v>
      </c>
      <c r="FX17" s="196">
        <v>1.2206323874885738</v>
      </c>
      <c r="FY17" s="196">
        <v>1.2580479670432216</v>
      </c>
      <c r="FZ17" s="196">
        <v>1.2966368788866152</v>
      </c>
      <c r="GA17" s="196">
        <v>1.3299716632564171</v>
      </c>
      <c r="GB17" s="196">
        <v>1.3538343217460784</v>
      </c>
      <c r="GC17" s="196">
        <v>1.3778751883264413</v>
      </c>
      <c r="GD17" s="196">
        <v>1.4051674292861043</v>
      </c>
      <c r="GE17" s="196">
        <v>1.4413653508395858</v>
      </c>
      <c r="GF17" s="196">
        <v>1.4719176204705369</v>
      </c>
      <c r="GG17" s="196">
        <v>1.495454244929719</v>
      </c>
      <c r="GH17" s="196">
        <v>1.5051094987398133</v>
      </c>
      <c r="GI17" s="196">
        <v>1.5388261781330224</v>
      </c>
      <c r="GJ17" s="196">
        <v>1</v>
      </c>
      <c r="GK17" s="196">
        <v>1.0452706061118502</v>
      </c>
      <c r="GL17" s="196">
        <v>1.0868513886863425</v>
      </c>
      <c r="GM17" s="196">
        <v>1.1312938389976723</v>
      </c>
      <c r="GN17" s="196">
        <v>1.1567726142472725</v>
      </c>
      <c r="GO17" s="196">
        <v>1.1995563047985374</v>
      </c>
      <c r="GP17" s="196">
        <v>1.2385017561810374</v>
      </c>
      <c r="GQ17" s="196">
        <v>1.2784871711292933</v>
      </c>
      <c r="GR17" s="196">
        <v>1.31342981598297</v>
      </c>
      <c r="GS17" s="196">
        <v>1.3426915893028719</v>
      </c>
      <c r="GT17" s="196">
        <v>1.3656987165194989</v>
      </c>
      <c r="GU17" s="196">
        <v>1.3915711944071918</v>
      </c>
      <c r="GV17" s="196">
        <v>1.4221280831529757</v>
      </c>
      <c r="GW17" s="196">
        <v>1.4566653831374401</v>
      </c>
      <c r="GX17" s="196">
        <v>1.4854493464845773</v>
      </c>
      <c r="GY17" s="196">
        <v>1.5051094987398133</v>
      </c>
      <c r="GZ17" s="196">
        <v>1.5388261781330224</v>
      </c>
      <c r="HA17" s="196">
        <v>1.0258476465181641</v>
      </c>
      <c r="HB17" s="196">
        <v>1.0650547188806361</v>
      </c>
      <c r="HC17" s="196">
        <v>1.1122878618798167</v>
      </c>
      <c r="HD17" s="196">
        <v>1.1400308454887336</v>
      </c>
      <c r="HE17" s="196">
        <v>1.178546598199947</v>
      </c>
      <c r="HF17" s="196">
        <v>1.2206323874885738</v>
      </c>
      <c r="HG17" s="196">
        <v>1.2580479670432216</v>
      </c>
      <c r="HH17" s="196">
        <v>1.2966368788866152</v>
      </c>
      <c r="HI17" s="196">
        <v>1.3299716632564171</v>
      </c>
      <c r="HJ17" s="196">
        <v>1.3538343217460784</v>
      </c>
      <c r="HK17" s="196">
        <v>1.3778751883264413</v>
      </c>
      <c r="HL17" s="196">
        <v>1.4051674292861043</v>
      </c>
      <c r="HM17" s="196">
        <v>1.4413653508395858</v>
      </c>
      <c r="HN17" s="196">
        <v>1.4719176204705369</v>
      </c>
      <c r="HO17" s="196">
        <v>1.495454244929719</v>
      </c>
      <c r="HP17" s="196">
        <v>1.5051094987398133</v>
      </c>
      <c r="HQ17" s="196">
        <v>1.5388261781330224</v>
      </c>
      <c r="HR17" s="294"/>
      <c r="HS17" s="294"/>
      <c r="HT17" s="294"/>
      <c r="HU17" s="294"/>
      <c r="HV17" s="294"/>
      <c r="HW17" s="294"/>
      <c r="HX17" s="294"/>
      <c r="HY17" s="294"/>
      <c r="HZ17" s="294"/>
      <c r="IA17" s="294"/>
      <c r="IB17" s="294"/>
      <c r="IC17" s="294"/>
      <c r="ID17" s="294"/>
      <c r="IE17" s="294"/>
      <c r="IF17" s="294"/>
      <c r="IG17" s="294"/>
    </row>
    <row r="18" spans="1:241" ht="13.7" customHeight="1">
      <c r="CA18" s="65"/>
      <c r="DW18" s="63"/>
      <c r="GQ18" s="65"/>
      <c r="GR18" s="65"/>
      <c r="GS18" s="65"/>
      <c r="GT18" s="65"/>
      <c r="GU18" s="65"/>
      <c r="GV18" s="65"/>
      <c r="GW18" s="65"/>
      <c r="GX18" s="65"/>
      <c r="GY18" s="65"/>
      <c r="GZ18" s="65"/>
      <c r="HA18" s="65"/>
      <c r="HB18" s="65"/>
      <c r="HC18" s="65"/>
      <c r="HL18" s="64"/>
    </row>
    <row r="19" spans="1:241" ht="13.7" customHeight="1">
      <c r="A19" s="23" t="s">
        <v>522</v>
      </c>
      <c r="B19" s="67" t="s">
        <v>512</v>
      </c>
      <c r="C19" s="199">
        <v>2347.6863600571855</v>
      </c>
      <c r="D19" s="199">
        <v>2341.5709032417249</v>
      </c>
      <c r="E19" s="199">
        <v>2335.5356935592044</v>
      </c>
      <c r="F19" s="199">
        <v>2329.581382067935</v>
      </c>
      <c r="G19" s="199">
        <v>2323.7086344791646</v>
      </c>
      <c r="H19" s="199">
        <v>2317.918131402751</v>
      </c>
      <c r="I19" s="199">
        <v>2312.2105685972292</v>
      </c>
      <c r="J19" s="199">
        <v>2306.5866572243467</v>
      </c>
      <c r="K19" s="199">
        <v>2301.0471241081536</v>
      </c>
      <c r="L19" s="199">
        <v>2295.5927119987255</v>
      </c>
      <c r="M19" s="199">
        <v>2290.2241798405903</v>
      </c>
      <c r="N19" s="199">
        <v>2287.5641186519815</v>
      </c>
      <c r="O19" s="199">
        <v>2285.1540552983311</v>
      </c>
      <c r="P19" s="199">
        <v>2280.9639249855368</v>
      </c>
      <c r="Q19" s="199">
        <v>2302.81</v>
      </c>
      <c r="R19" s="199">
        <v>2303.87</v>
      </c>
      <c r="S19" s="199">
        <v>2301.2800000000002</v>
      </c>
      <c r="CA19" s="65"/>
      <c r="DW19" s="63"/>
      <c r="GQ19" s="65"/>
      <c r="GR19" s="65"/>
      <c r="GS19" s="65"/>
      <c r="GT19" s="65"/>
      <c r="GU19" s="65"/>
      <c r="GV19" s="65"/>
      <c r="GW19" s="65"/>
      <c r="GX19" s="65"/>
      <c r="GY19" s="65"/>
      <c r="GZ19" s="65"/>
      <c r="HA19" s="65"/>
      <c r="HB19" s="65"/>
      <c r="HC19" s="65"/>
      <c r="HL19" s="64"/>
    </row>
    <row r="20" spans="1:241" ht="13.7" customHeight="1">
      <c r="A20" s="23" t="s">
        <v>523</v>
      </c>
      <c r="B20" s="67" t="s">
        <v>512</v>
      </c>
      <c r="C20" s="218">
        <v>1736.84582472181</v>
      </c>
      <c r="D20" s="218">
        <v>1786.3845746249256</v>
      </c>
      <c r="E20" s="218">
        <v>1837.3769311302806</v>
      </c>
      <c r="F20" s="218">
        <v>1889.8668654623268</v>
      </c>
      <c r="G20" s="218">
        <v>1943.8997274433566</v>
      </c>
      <c r="H20" s="218">
        <v>1999.5222908777287</v>
      </c>
      <c r="I20" s="218">
        <v>2056.7828005463839</v>
      </c>
      <c r="J20" s="218">
        <v>2115.7310208757394</v>
      </c>
      <c r="K20" s="218">
        <v>2176.4182863479991</v>
      </c>
      <c r="L20" s="218">
        <v>2238.9975537230653</v>
      </c>
      <c r="M20" s="218">
        <v>2303.2234561455298</v>
      </c>
      <c r="N20" s="218">
        <v>2331.5310246297154</v>
      </c>
      <c r="O20" s="218">
        <v>2379.3211406998435</v>
      </c>
      <c r="P20" s="218">
        <v>2417.6835221160723</v>
      </c>
      <c r="Q20" s="218">
        <v>2471.2599999999998</v>
      </c>
      <c r="R20" s="218">
        <v>2508.67</v>
      </c>
      <c r="S20" s="218">
        <v>2526.86</v>
      </c>
      <c r="CA20" s="65"/>
      <c r="DW20" s="63"/>
      <c r="GQ20" s="65"/>
      <c r="GR20" s="65"/>
      <c r="GS20" s="65"/>
      <c r="GT20" s="65"/>
      <c r="GU20" s="65"/>
      <c r="GV20" s="65"/>
      <c r="GW20" s="65"/>
      <c r="GX20" s="65"/>
      <c r="GY20" s="65"/>
      <c r="GZ20" s="65"/>
      <c r="HA20" s="65"/>
      <c r="HB20" s="65"/>
      <c r="HC20" s="65"/>
      <c r="HL20" s="64"/>
    </row>
    <row r="21" spans="1:241" ht="13.7" customHeight="1">
      <c r="A21" s="23" t="s">
        <v>524</v>
      </c>
      <c r="B21" s="67" t="s">
        <v>512</v>
      </c>
      <c r="C21" s="127">
        <f>SUM(C19:C20)</f>
        <v>4084.5321847789955</v>
      </c>
      <c r="D21" s="127">
        <f t="shared" ref="D21:S21" si="8">SUM(D19:D20)</f>
        <v>4127.9554778666507</v>
      </c>
      <c r="E21" s="127">
        <f t="shared" si="8"/>
        <v>4172.9126246894848</v>
      </c>
      <c r="F21" s="127">
        <f t="shared" si="8"/>
        <v>4219.4482475302621</v>
      </c>
      <c r="G21" s="127">
        <f t="shared" si="8"/>
        <v>4267.608361922521</v>
      </c>
      <c r="H21" s="127">
        <f t="shared" si="8"/>
        <v>4317.4404222804797</v>
      </c>
      <c r="I21" s="127">
        <f t="shared" si="8"/>
        <v>4368.9933691436127</v>
      </c>
      <c r="J21" s="127">
        <f t="shared" si="8"/>
        <v>4422.3176781000857</v>
      </c>
      <c r="K21" s="127">
        <f t="shared" si="8"/>
        <v>4477.4654104561523</v>
      </c>
      <c r="L21" s="127">
        <f t="shared" si="8"/>
        <v>4534.5902657217903</v>
      </c>
      <c r="M21" s="127">
        <f t="shared" si="8"/>
        <v>4593.4476359861201</v>
      </c>
      <c r="N21" s="127">
        <f t="shared" si="8"/>
        <v>4619.0951432816964</v>
      </c>
      <c r="O21" s="127">
        <f t="shared" si="8"/>
        <v>4664.475195998175</v>
      </c>
      <c r="P21" s="127">
        <f t="shared" si="8"/>
        <v>4698.647447101609</v>
      </c>
      <c r="Q21" s="127">
        <f t="shared" si="8"/>
        <v>4774.07</v>
      </c>
      <c r="R21" s="127">
        <f t="shared" si="8"/>
        <v>4812.54</v>
      </c>
      <c r="S21" s="127">
        <f t="shared" si="8"/>
        <v>4828.1400000000003</v>
      </c>
      <c r="CA21" s="65"/>
      <c r="DW21" s="63"/>
      <c r="GQ21" s="65"/>
      <c r="GR21" s="65"/>
      <c r="GS21" s="65"/>
      <c r="GT21" s="65"/>
      <c r="GU21" s="65"/>
      <c r="GV21" s="65"/>
      <c r="GW21" s="65"/>
      <c r="GX21" s="65"/>
      <c r="GY21" s="65"/>
      <c r="GZ21" s="65"/>
      <c r="HA21" s="65"/>
      <c r="HB21" s="65"/>
      <c r="HC21" s="65"/>
      <c r="HL21" s="64"/>
    </row>
    <row r="22" spans="1:241" ht="13.7" customHeight="1">
      <c r="A22" s="23" t="s">
        <v>525</v>
      </c>
      <c r="B22" s="67" t="s">
        <v>512</v>
      </c>
      <c r="C22" s="218">
        <v>2421.3999999999996</v>
      </c>
      <c r="D22" s="218">
        <v>2412.3999999999996</v>
      </c>
      <c r="E22" s="218">
        <v>2402.3999999999996</v>
      </c>
      <c r="F22" s="218">
        <v>2394.3999999999996</v>
      </c>
      <c r="G22" s="218">
        <v>2389.4</v>
      </c>
      <c r="H22" s="218">
        <v>2402.3999999999996</v>
      </c>
      <c r="I22" s="218">
        <v>2403.1999999999994</v>
      </c>
      <c r="J22" s="218">
        <v>2394.1999999999998</v>
      </c>
      <c r="K22" s="218">
        <v>2364.4850000000001</v>
      </c>
      <c r="L22" s="218">
        <v>2367.5869999999995</v>
      </c>
      <c r="M22" s="218">
        <v>2365.2000000000003</v>
      </c>
      <c r="N22" s="218">
        <v>2361</v>
      </c>
      <c r="O22" s="218">
        <v>2360.1648638899992</v>
      </c>
      <c r="P22" s="218">
        <v>2356.4121618940003</v>
      </c>
      <c r="Q22" s="218">
        <v>2409.24442</v>
      </c>
      <c r="R22" s="218">
        <v>2413.19569</v>
      </c>
      <c r="S22" s="218">
        <v>2414.9596700000002</v>
      </c>
      <c r="CA22" s="65"/>
      <c r="DW22" s="63"/>
      <c r="GQ22" s="65"/>
      <c r="GR22" s="65"/>
      <c r="GS22" s="65"/>
      <c r="GT22" s="65"/>
      <c r="GU22" s="65"/>
      <c r="GV22" s="65"/>
      <c r="GW22" s="65"/>
      <c r="GX22" s="65"/>
      <c r="GY22" s="65"/>
      <c r="GZ22" s="65"/>
      <c r="HA22" s="65"/>
      <c r="HB22" s="65"/>
      <c r="HC22" s="65"/>
      <c r="HL22" s="64"/>
    </row>
    <row r="23" spans="1:241" ht="13.7" customHeight="1">
      <c r="A23" s="23" t="s">
        <v>526</v>
      </c>
      <c r="B23" s="67" t="s">
        <v>512</v>
      </c>
      <c r="C23" s="218">
        <v>2249.6999999999998</v>
      </c>
      <c r="D23" s="218">
        <v>2281.6999999999998</v>
      </c>
      <c r="E23" s="218">
        <v>2281.6999999999998</v>
      </c>
      <c r="F23" s="218">
        <v>2368.3999999999996</v>
      </c>
      <c r="G23" s="218">
        <v>2454.1</v>
      </c>
      <c r="H23" s="218">
        <v>2532.8999999999996</v>
      </c>
      <c r="I23" s="218">
        <v>2611.6</v>
      </c>
      <c r="J23" s="218">
        <v>2694</v>
      </c>
      <c r="K23" s="218">
        <v>2786.2999999999997</v>
      </c>
      <c r="L23" s="218">
        <v>2898.3190000000004</v>
      </c>
      <c r="M23" s="218">
        <v>2946.4</v>
      </c>
      <c r="N23" s="218">
        <v>2972</v>
      </c>
      <c r="O23" s="218">
        <v>3024.0370076550003</v>
      </c>
      <c r="P23" s="218">
        <v>3078.740696716</v>
      </c>
      <c r="Q23" s="218">
        <v>3200.9323100000001</v>
      </c>
      <c r="R23" s="218">
        <v>3272.0002099999997</v>
      </c>
      <c r="S23" s="218">
        <v>3308.05501</v>
      </c>
      <c r="CA23" s="65"/>
      <c r="DW23" s="63"/>
      <c r="GQ23" s="65"/>
      <c r="GR23" s="65"/>
      <c r="GS23" s="65"/>
      <c r="GT23" s="65"/>
      <c r="GU23" s="65"/>
      <c r="GV23" s="65"/>
      <c r="GW23" s="65"/>
      <c r="GX23" s="65"/>
      <c r="GY23" s="65"/>
      <c r="GZ23" s="65"/>
      <c r="HA23" s="65"/>
      <c r="HB23" s="65"/>
      <c r="HC23" s="65"/>
      <c r="HL23" s="64"/>
    </row>
    <row r="24" spans="1:241" ht="13.7" customHeight="1">
      <c r="A24" s="23" t="s">
        <v>527</v>
      </c>
      <c r="B24" s="67" t="s">
        <v>512</v>
      </c>
      <c r="C24" s="127">
        <f>SUM(C22:C23)</f>
        <v>4671.0999999999995</v>
      </c>
      <c r="D24" s="127">
        <f t="shared" ref="D24:S24" si="9">SUM(D22:D23)</f>
        <v>4694.0999999999995</v>
      </c>
      <c r="E24" s="127">
        <f t="shared" si="9"/>
        <v>4684.0999999999995</v>
      </c>
      <c r="F24" s="127">
        <f t="shared" si="9"/>
        <v>4762.7999999999993</v>
      </c>
      <c r="G24" s="127">
        <f t="shared" si="9"/>
        <v>4843.5</v>
      </c>
      <c r="H24" s="127">
        <f t="shared" si="9"/>
        <v>4935.2999999999993</v>
      </c>
      <c r="I24" s="127">
        <f t="shared" si="9"/>
        <v>5014.7999999999993</v>
      </c>
      <c r="J24" s="127">
        <f t="shared" si="9"/>
        <v>5088.2</v>
      </c>
      <c r="K24" s="127">
        <f t="shared" si="9"/>
        <v>5150.7849999999999</v>
      </c>
      <c r="L24" s="127">
        <f t="shared" si="9"/>
        <v>5265.9059999999999</v>
      </c>
      <c r="M24" s="127">
        <f t="shared" si="9"/>
        <v>5311.6</v>
      </c>
      <c r="N24" s="127">
        <f t="shared" si="9"/>
        <v>5333</v>
      </c>
      <c r="O24" s="127">
        <f t="shared" si="9"/>
        <v>5384.2018715449994</v>
      </c>
      <c r="P24" s="127">
        <f t="shared" si="9"/>
        <v>5435.1528586100003</v>
      </c>
      <c r="Q24" s="127">
        <f t="shared" si="9"/>
        <v>5610.1767300000001</v>
      </c>
      <c r="R24" s="127">
        <f t="shared" si="9"/>
        <v>5685.1958999999997</v>
      </c>
      <c r="S24" s="127">
        <f t="shared" si="9"/>
        <v>5723.0146800000002</v>
      </c>
      <c r="CA24" s="65"/>
      <c r="DW24" s="63"/>
      <c r="GQ24" s="65"/>
      <c r="GR24" s="65"/>
      <c r="GS24" s="65"/>
      <c r="GT24" s="65"/>
      <c r="GU24" s="65"/>
      <c r="GV24" s="65"/>
      <c r="GW24" s="65"/>
      <c r="GX24" s="65"/>
      <c r="GY24" s="65"/>
      <c r="GZ24" s="65"/>
      <c r="HA24" s="65"/>
      <c r="HB24" s="65"/>
      <c r="HC24" s="65"/>
      <c r="HL24" s="64"/>
    </row>
    <row r="25" spans="1:241" ht="13.7" customHeight="1">
      <c r="CA25" s="65"/>
      <c r="DW25" s="63"/>
      <c r="GQ25" s="65"/>
      <c r="GR25" s="65"/>
      <c r="GS25" s="65"/>
      <c r="GT25" s="65"/>
      <c r="GU25" s="65"/>
      <c r="GV25" s="65"/>
      <c r="GW25" s="65"/>
      <c r="GX25" s="65"/>
      <c r="GY25" s="65"/>
      <c r="GZ25" s="65"/>
      <c r="HA25" s="65"/>
      <c r="HB25" s="65"/>
      <c r="HC25" s="65"/>
      <c r="HL25" s="64"/>
    </row>
    <row r="26" spans="1:241" s="4" customFormat="1" ht="13.7" customHeight="1">
      <c r="A26" s="2" t="s">
        <v>528</v>
      </c>
      <c r="C26" s="3"/>
      <c r="D26" s="3"/>
      <c r="E26" s="3"/>
      <c r="F26" s="3"/>
      <c r="G26" s="5"/>
      <c r="H26" s="6"/>
      <c r="I26" s="5"/>
      <c r="J26" s="6"/>
      <c r="K26" s="5"/>
      <c r="L26" s="5"/>
      <c r="M26" s="5"/>
      <c r="N26" s="5"/>
      <c r="O26" s="5"/>
      <c r="P26" s="5"/>
      <c r="Q26" s="5"/>
      <c r="R26" s="5"/>
      <c r="S26" s="5"/>
      <c r="T26" s="5"/>
      <c r="U26" s="6"/>
      <c r="V26" s="6"/>
      <c r="W26" s="5"/>
      <c r="X26" s="5"/>
      <c r="Y26" s="5"/>
      <c r="Z26" s="5"/>
      <c r="AA26" s="5"/>
    </row>
    <row r="27" spans="1:241" ht="13.7" customHeight="1">
      <c r="CA27" s="65"/>
      <c r="DW27" s="63"/>
      <c r="GQ27" s="65"/>
      <c r="GR27" s="65"/>
      <c r="GS27" s="65"/>
      <c r="GT27" s="65"/>
      <c r="GU27" s="65"/>
      <c r="GV27" s="65"/>
      <c r="GW27" s="65"/>
      <c r="GX27" s="65"/>
      <c r="GY27" s="65"/>
      <c r="GZ27" s="65"/>
      <c r="HA27" s="65"/>
      <c r="HB27" s="65"/>
      <c r="HC27" s="65"/>
      <c r="HL27" s="64"/>
    </row>
    <row r="28" spans="1:241" s="21" customFormat="1" ht="13.7" hidden="1" customHeight="1" outlineLevel="1">
      <c r="A28" s="92"/>
      <c r="B28" s="24" t="s">
        <v>272</v>
      </c>
      <c r="C28" s="117"/>
      <c r="L28" s="73"/>
      <c r="M28" s="73"/>
      <c r="N28" s="73"/>
      <c r="O28" s="73"/>
      <c r="P28" s="73"/>
      <c r="Q28" s="73"/>
      <c r="R28" s="73"/>
      <c r="S28" s="73"/>
      <c r="T28" s="73"/>
    </row>
    <row r="29" spans="1:241" s="21" customFormat="1" ht="13.7" hidden="1" customHeight="1" outlineLevel="1">
      <c r="B29" s="23"/>
      <c r="C29" s="117"/>
      <c r="K29" s="23"/>
      <c r="L29" s="23"/>
      <c r="M29" s="23"/>
      <c r="N29" s="23"/>
      <c r="O29" s="23"/>
      <c r="P29" s="23"/>
      <c r="Q29" s="23"/>
      <c r="R29" s="23"/>
      <c r="S29" s="23"/>
      <c r="T29" s="67"/>
    </row>
    <row r="30" spans="1:241" s="21" customFormat="1" ht="13.7" hidden="1" customHeight="1" outlineLevel="1">
      <c r="B30" s="157"/>
      <c r="C30" s="117"/>
      <c r="K30" s="23"/>
      <c r="L30" s="221"/>
      <c r="M30" s="221"/>
      <c r="N30" s="221"/>
      <c r="O30" s="221"/>
      <c r="P30" s="221"/>
      <c r="Q30" s="221"/>
      <c r="R30" s="67"/>
      <c r="S30" s="67"/>
      <c r="T30" s="67"/>
    </row>
    <row r="31" spans="1:241" ht="13.7" hidden="1" customHeight="1" outlineLevel="1">
      <c r="B31" s="157"/>
      <c r="K31" s="21"/>
      <c r="L31" s="21"/>
      <c r="M31" s="21"/>
      <c r="N31" s="21"/>
      <c r="O31" s="21"/>
      <c r="P31" s="21"/>
      <c r="Q31" s="21"/>
      <c r="R31" s="21"/>
      <c r="S31" s="21"/>
      <c r="T31" s="21"/>
      <c r="CA31" s="65"/>
      <c r="DW31" s="63"/>
      <c r="GQ31" s="65"/>
      <c r="GR31" s="65"/>
      <c r="GS31" s="65"/>
      <c r="GT31" s="65"/>
      <c r="GU31" s="65"/>
      <c r="GV31" s="65"/>
      <c r="GW31" s="65"/>
      <c r="GX31" s="65"/>
      <c r="GY31" s="65"/>
      <c r="GZ31" s="65"/>
      <c r="HA31" s="65"/>
      <c r="HB31" s="65"/>
      <c r="HC31" s="65"/>
      <c r="HL31" s="64"/>
    </row>
    <row r="32" spans="1:241" s="21" customFormat="1" ht="13.7" hidden="1" customHeight="1" outlineLevel="1">
      <c r="A32" s="92"/>
      <c r="B32" s="24" t="s">
        <v>529</v>
      </c>
      <c r="C32" s="117"/>
    </row>
    <row r="33" spans="2:3" s="21" customFormat="1" ht="13.7" hidden="1" customHeight="1" outlineLevel="1">
      <c r="B33" s="157"/>
      <c r="C33" s="117"/>
    </row>
    <row r="34" spans="2:3" s="21" customFormat="1" ht="13.7" hidden="1" customHeight="1" outlineLevel="1">
      <c r="B34" s="23"/>
      <c r="C34" s="117"/>
    </row>
    <row r="35" spans="2:3" s="21" customFormat="1" ht="13.7" hidden="1" customHeight="1" outlineLevel="1">
      <c r="B35" s="24" t="s">
        <v>530</v>
      </c>
      <c r="C35" s="117"/>
    </row>
    <row r="36" spans="2:3" s="21" customFormat="1" ht="13.7" hidden="1" customHeight="1" outlineLevel="1">
      <c r="B36" s="157"/>
      <c r="C36" s="117"/>
    </row>
    <row r="37" spans="2:3" s="21" customFormat="1" ht="13.7" hidden="1" customHeight="1" outlineLevel="1">
      <c r="B37" s="23"/>
      <c r="C37" s="117"/>
    </row>
    <row r="38" spans="2:3" s="21" customFormat="1" ht="13.7" hidden="1" customHeight="1" outlineLevel="1">
      <c r="B38" s="24" t="s">
        <v>531</v>
      </c>
      <c r="C38" s="117"/>
    </row>
    <row r="39" spans="2:3" s="21" customFormat="1" ht="13.7" hidden="1" customHeight="1" outlineLevel="1">
      <c r="B39" s="157"/>
      <c r="C39" s="117"/>
    </row>
    <row r="40" spans="2:3" s="21" customFormat="1" ht="13.7" hidden="1" customHeight="1" outlineLevel="1">
      <c r="B40" s="23"/>
      <c r="C40" s="117"/>
    </row>
    <row r="41" spans="2:3" s="21" customFormat="1" ht="13.7" hidden="1" customHeight="1" outlineLevel="1">
      <c r="B41" s="24" t="s">
        <v>532</v>
      </c>
      <c r="C41" s="117"/>
    </row>
    <row r="42" spans="2:3" s="21" customFormat="1" ht="13.7" hidden="1" customHeight="1" outlineLevel="1">
      <c r="B42" s="157"/>
      <c r="C42" s="117"/>
    </row>
    <row r="43" spans="2:3" s="21" customFormat="1" ht="13.7" hidden="1" customHeight="1" outlineLevel="1">
      <c r="B43" s="157"/>
      <c r="C43" s="117"/>
    </row>
    <row r="44" spans="2:3" s="21" customFormat="1" ht="13.7" hidden="1" customHeight="1" outlineLevel="1">
      <c r="B44" s="24" t="s">
        <v>279</v>
      </c>
      <c r="C44" s="117"/>
    </row>
    <row r="45" spans="2:3" s="21" customFormat="1" ht="13.7" hidden="1" customHeight="1" outlineLevel="1">
      <c r="B45" s="157"/>
      <c r="C45" s="117"/>
    </row>
    <row r="46" spans="2:3" s="21" customFormat="1" ht="13.7" hidden="1" customHeight="1" outlineLevel="1">
      <c r="C46" s="117"/>
    </row>
    <row r="47" spans="2:3" s="21" customFormat="1" ht="13.7" hidden="1" customHeight="1" outlineLevel="1">
      <c r="B47" s="24" t="s">
        <v>280</v>
      </c>
      <c r="C47" s="117"/>
    </row>
    <row r="48" spans="2:3" s="21" customFormat="1" ht="13.7" hidden="1" customHeight="1" outlineLevel="1">
      <c r="B48" s="157"/>
      <c r="C48" s="117"/>
    </row>
    <row r="49" spans="1:225" s="21" customFormat="1" ht="13.7" hidden="1" customHeight="1" outlineLevel="1">
      <c r="B49" s="157"/>
      <c r="C49" s="117"/>
    </row>
    <row r="50" spans="1:225" s="21" customFormat="1" ht="13.7" hidden="1" customHeight="1" outlineLevel="1">
      <c r="B50" s="24" t="s">
        <v>281</v>
      </c>
      <c r="C50" s="117"/>
    </row>
    <row r="51" spans="1:225" s="21" customFormat="1" ht="13.7" hidden="1" customHeight="1" outlineLevel="1">
      <c r="B51" s="24"/>
      <c r="C51" s="117"/>
    </row>
    <row r="52" spans="1:225" s="21" customFormat="1" ht="13.7" hidden="1" customHeight="1" outlineLevel="1">
      <c r="A52" s="92"/>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9"/>
      <c r="BN52" s="179"/>
      <c r="BO52" s="179"/>
      <c r="BP52" s="179"/>
      <c r="BQ52" s="179"/>
      <c r="BR52" s="179"/>
      <c r="BS52" s="179"/>
      <c r="BT52" s="179"/>
      <c r="BU52" s="179"/>
      <c r="BV52" s="179"/>
      <c r="BW52" s="179"/>
      <c r="BX52" s="179"/>
      <c r="BY52" s="179"/>
      <c r="BZ52" s="179"/>
      <c r="CA52" s="179"/>
      <c r="CB52" s="179"/>
      <c r="CC52" s="179"/>
      <c r="CD52" s="179"/>
      <c r="CE52" s="179"/>
      <c r="CF52" s="179"/>
      <c r="CG52" s="179"/>
      <c r="CH52" s="179"/>
      <c r="CI52" s="179"/>
      <c r="CJ52" s="179"/>
      <c r="CK52" s="179"/>
      <c r="CL52" s="179"/>
      <c r="CM52" s="179"/>
      <c r="CN52" s="179"/>
      <c r="CO52" s="179"/>
      <c r="CP52" s="179"/>
      <c r="CQ52" s="179"/>
      <c r="CR52" s="179"/>
      <c r="CS52" s="179"/>
      <c r="CT52" s="179"/>
      <c r="CU52" s="179"/>
      <c r="CV52" s="179"/>
      <c r="CW52" s="179"/>
      <c r="CX52" s="179"/>
      <c r="CY52" s="179"/>
      <c r="CZ52" s="179"/>
      <c r="DA52" s="179"/>
      <c r="DB52" s="179"/>
      <c r="DC52" s="179"/>
      <c r="DD52" s="179"/>
      <c r="DE52" s="179"/>
      <c r="DF52" s="179"/>
      <c r="DG52" s="179"/>
      <c r="DH52" s="179"/>
      <c r="DI52" s="179"/>
      <c r="DJ52" s="179"/>
      <c r="DK52" s="179"/>
      <c r="DL52" s="179"/>
      <c r="DM52" s="179"/>
      <c r="DN52" s="179"/>
      <c r="DO52" s="179"/>
      <c r="DP52" s="179"/>
      <c r="DQ52" s="179"/>
      <c r="DR52" s="179"/>
      <c r="DS52" s="179"/>
      <c r="DT52" s="179"/>
      <c r="DU52" s="179"/>
      <c r="DV52" s="179"/>
      <c r="DW52" s="179"/>
      <c r="DX52" s="179"/>
      <c r="DY52" s="179"/>
      <c r="DZ52" s="179"/>
      <c r="EA52" s="179"/>
      <c r="EB52" s="179"/>
      <c r="EC52" s="179"/>
      <c r="ED52" s="179"/>
      <c r="EE52" s="179"/>
      <c r="EF52" s="179"/>
      <c r="EG52" s="179"/>
      <c r="EH52" s="179"/>
      <c r="EI52" s="179"/>
      <c r="EJ52" s="179"/>
      <c r="EK52" s="179"/>
      <c r="EL52" s="179"/>
      <c r="EM52" s="179"/>
      <c r="EN52" s="179"/>
      <c r="EO52" s="179"/>
      <c r="EP52" s="179"/>
      <c r="EQ52" s="179"/>
      <c r="ER52" s="179"/>
      <c r="ES52" s="179"/>
      <c r="ET52" s="179"/>
      <c r="EU52" s="179"/>
      <c r="EV52" s="179"/>
      <c r="EW52" s="179"/>
      <c r="EX52" s="179"/>
      <c r="EY52" s="179"/>
      <c r="EZ52" s="179"/>
      <c r="FA52" s="179"/>
      <c r="FB52" s="179"/>
      <c r="FC52" s="179"/>
      <c r="FD52" s="179"/>
      <c r="FE52" s="179"/>
      <c r="FF52" s="179"/>
      <c r="FG52" s="179"/>
      <c r="FH52" s="179"/>
      <c r="FI52" s="179"/>
      <c r="FJ52" s="179"/>
      <c r="FK52" s="179"/>
      <c r="FL52" s="179"/>
      <c r="FM52" s="179"/>
      <c r="FN52" s="179"/>
      <c r="FO52" s="179"/>
      <c r="FP52" s="179"/>
      <c r="FQ52" s="179"/>
      <c r="FR52" s="179"/>
      <c r="FS52" s="179"/>
      <c r="FT52" s="179"/>
      <c r="FU52" s="179"/>
      <c r="FV52" s="179"/>
      <c r="FW52" s="179"/>
      <c r="FX52" s="179"/>
      <c r="FY52" s="179"/>
      <c r="FZ52" s="179"/>
      <c r="GA52" s="179"/>
      <c r="GB52" s="179"/>
      <c r="GC52" s="179"/>
      <c r="GD52" s="179"/>
      <c r="GE52" s="179"/>
      <c r="GF52" s="179"/>
      <c r="GG52" s="179"/>
      <c r="GH52" s="179"/>
      <c r="GI52" s="179"/>
      <c r="GJ52" s="179"/>
      <c r="GK52" s="179"/>
      <c r="GL52" s="179"/>
      <c r="GM52" s="179"/>
      <c r="GN52" s="179"/>
      <c r="GO52" s="179"/>
      <c r="GP52" s="179"/>
      <c r="GQ52" s="179"/>
      <c r="GR52" s="179"/>
      <c r="GS52" s="179"/>
      <c r="GT52" s="179"/>
      <c r="GU52" s="179"/>
      <c r="GV52" s="179"/>
      <c r="GW52" s="179"/>
      <c r="GX52" s="179"/>
      <c r="GY52" s="179"/>
      <c r="GZ52" s="179"/>
      <c r="HA52" s="179"/>
      <c r="HB52" s="179"/>
      <c r="HC52" s="179"/>
      <c r="HD52" s="179"/>
      <c r="HE52" s="179"/>
      <c r="HF52" s="179"/>
      <c r="HG52" s="179"/>
      <c r="HH52" s="179"/>
      <c r="HI52" s="179"/>
      <c r="HJ52" s="179"/>
      <c r="HK52" s="179"/>
      <c r="HL52" s="179"/>
      <c r="HM52" s="179"/>
      <c r="HN52" s="179"/>
      <c r="HO52" s="179"/>
      <c r="HP52" s="179"/>
    </row>
    <row r="53" spans="1:225" s="249" customFormat="1" ht="13.7" customHeight="1" collapsed="1">
      <c r="A53" s="138" t="s">
        <v>46</v>
      </c>
      <c r="B53" s="249" t="s">
        <v>271</v>
      </c>
      <c r="C53" s="250" t="s">
        <v>288</v>
      </c>
      <c r="D53" s="250" t="s">
        <v>289</v>
      </c>
      <c r="E53" s="250" t="s">
        <v>290</v>
      </c>
      <c r="F53" s="250" t="s">
        <v>291</v>
      </c>
      <c r="G53" s="250" t="s">
        <v>292</v>
      </c>
      <c r="H53" s="250" t="s">
        <v>293</v>
      </c>
      <c r="I53" s="250" t="s">
        <v>294</v>
      </c>
      <c r="J53" s="250" t="s">
        <v>295</v>
      </c>
      <c r="K53" s="250" t="s">
        <v>296</v>
      </c>
      <c r="L53" s="250" t="s">
        <v>297</v>
      </c>
      <c r="M53" s="250" t="s">
        <v>298</v>
      </c>
      <c r="N53" s="250" t="s">
        <v>299</v>
      </c>
      <c r="O53" s="250" t="s">
        <v>300</v>
      </c>
      <c r="P53" s="250" t="s">
        <v>301</v>
      </c>
      <c r="Q53" s="250" t="s">
        <v>302</v>
      </c>
      <c r="R53" s="250" t="s">
        <v>303</v>
      </c>
      <c r="S53" s="250" t="s">
        <v>304</v>
      </c>
      <c r="T53" s="250" t="s">
        <v>305</v>
      </c>
      <c r="U53" s="250" t="s">
        <v>306</v>
      </c>
      <c r="V53" s="250" t="s">
        <v>307</v>
      </c>
      <c r="W53" s="250" t="s">
        <v>308</v>
      </c>
      <c r="X53" s="250" t="s">
        <v>309</v>
      </c>
      <c r="Y53" s="250" t="s">
        <v>310</v>
      </c>
      <c r="Z53" s="250" t="s">
        <v>311</v>
      </c>
      <c r="AA53" s="250" t="s">
        <v>312</v>
      </c>
      <c r="AB53" s="250" t="s">
        <v>313</v>
      </c>
      <c r="AC53" s="250" t="s">
        <v>314</v>
      </c>
      <c r="AD53" s="250" t="s">
        <v>315</v>
      </c>
      <c r="AE53" s="250" t="s">
        <v>316</v>
      </c>
      <c r="AF53" s="250" t="s">
        <v>317</v>
      </c>
      <c r="AG53" s="250" t="s">
        <v>318</v>
      </c>
      <c r="AH53" s="250" t="s">
        <v>319</v>
      </c>
      <c r="AI53" s="250" t="s">
        <v>320</v>
      </c>
      <c r="AJ53" s="250" t="s">
        <v>321</v>
      </c>
      <c r="AK53" s="250" t="s">
        <v>322</v>
      </c>
      <c r="AL53" s="250" t="s">
        <v>323</v>
      </c>
      <c r="AM53" s="250" t="s">
        <v>324</v>
      </c>
      <c r="AN53" s="250" t="s">
        <v>325</v>
      </c>
      <c r="AO53" s="250" t="s">
        <v>326</v>
      </c>
      <c r="AP53" s="250" t="s">
        <v>327</v>
      </c>
      <c r="AQ53" s="250" t="s">
        <v>328</v>
      </c>
      <c r="AR53" s="250" t="s">
        <v>329</v>
      </c>
      <c r="AS53" s="250" t="s">
        <v>330</v>
      </c>
      <c r="AT53" s="250" t="s">
        <v>331</v>
      </c>
      <c r="AU53" s="250" t="s">
        <v>332</v>
      </c>
      <c r="AV53" s="250" t="s">
        <v>333</v>
      </c>
      <c r="AW53" s="250" t="s">
        <v>334</v>
      </c>
      <c r="AX53" s="250" t="s">
        <v>335</v>
      </c>
      <c r="AY53" s="250" t="s">
        <v>336</v>
      </c>
      <c r="AZ53" s="250" t="s">
        <v>337</v>
      </c>
      <c r="BA53" s="250" t="s">
        <v>338</v>
      </c>
      <c r="BB53" s="250" t="s">
        <v>339</v>
      </c>
      <c r="BC53" s="250" t="s">
        <v>340</v>
      </c>
      <c r="BD53" s="250" t="s">
        <v>341</v>
      </c>
      <c r="BE53" s="250" t="s">
        <v>342</v>
      </c>
      <c r="BF53" s="250" t="s">
        <v>343</v>
      </c>
      <c r="BG53" s="250" t="s">
        <v>344</v>
      </c>
      <c r="BH53" s="250" t="s">
        <v>345</v>
      </c>
      <c r="BI53" s="250" t="s">
        <v>346</v>
      </c>
      <c r="BJ53" s="250" t="s">
        <v>347</v>
      </c>
      <c r="BK53" s="250" t="s">
        <v>348</v>
      </c>
      <c r="BL53" s="250" t="s">
        <v>349</v>
      </c>
      <c r="BM53" s="250" t="s">
        <v>350</v>
      </c>
      <c r="BN53" s="250" t="s">
        <v>351</v>
      </c>
      <c r="BO53" s="250" t="s">
        <v>352</v>
      </c>
      <c r="BP53" s="250" t="s">
        <v>353</v>
      </c>
      <c r="BQ53" s="250" t="s">
        <v>354</v>
      </c>
      <c r="BR53" s="250" t="s">
        <v>355</v>
      </c>
      <c r="BS53" s="250" t="s">
        <v>356</v>
      </c>
      <c r="BT53" s="250" t="s">
        <v>357</v>
      </c>
      <c r="BU53" s="250" t="s">
        <v>358</v>
      </c>
      <c r="BV53" s="250" t="s">
        <v>359</v>
      </c>
      <c r="BW53" s="250" t="s">
        <v>360</v>
      </c>
      <c r="BX53" s="250" t="s">
        <v>361</v>
      </c>
      <c r="BY53" s="250" t="s">
        <v>362</v>
      </c>
      <c r="BZ53" s="250" t="s">
        <v>363</v>
      </c>
      <c r="CA53" s="250" t="s">
        <v>364</v>
      </c>
      <c r="CB53" s="250" t="s">
        <v>365</v>
      </c>
      <c r="CC53" s="250" t="s">
        <v>366</v>
      </c>
      <c r="CD53" s="250" t="s">
        <v>367</v>
      </c>
      <c r="CE53" s="250" t="s">
        <v>368</v>
      </c>
      <c r="CF53" s="250" t="s">
        <v>369</v>
      </c>
      <c r="CG53" s="250" t="s">
        <v>370</v>
      </c>
      <c r="CH53" s="250" t="s">
        <v>371</v>
      </c>
      <c r="CI53" s="250" t="s">
        <v>372</v>
      </c>
      <c r="CJ53" s="250" t="s">
        <v>373</v>
      </c>
      <c r="CK53" s="250" t="s">
        <v>374</v>
      </c>
      <c r="CL53" s="250" t="s">
        <v>375</v>
      </c>
      <c r="CM53" s="250" t="s">
        <v>376</v>
      </c>
      <c r="CN53" s="250" t="s">
        <v>377</v>
      </c>
      <c r="CO53" s="250" t="s">
        <v>378</v>
      </c>
      <c r="CP53" s="250" t="s">
        <v>379</v>
      </c>
      <c r="CQ53" s="250" t="s">
        <v>380</v>
      </c>
      <c r="CR53" s="250" t="s">
        <v>381</v>
      </c>
      <c r="CS53" s="250" t="s">
        <v>382</v>
      </c>
      <c r="CT53" s="250" t="s">
        <v>383</v>
      </c>
      <c r="CU53" s="250" t="s">
        <v>384</v>
      </c>
      <c r="CV53" s="250" t="s">
        <v>385</v>
      </c>
      <c r="CW53" s="250" t="s">
        <v>386</v>
      </c>
      <c r="CX53" s="250" t="s">
        <v>387</v>
      </c>
      <c r="CY53" s="250" t="s">
        <v>388</v>
      </c>
      <c r="CZ53" s="250" t="s">
        <v>389</v>
      </c>
      <c r="DA53" s="250" t="s">
        <v>390</v>
      </c>
      <c r="DB53" s="250" t="s">
        <v>391</v>
      </c>
      <c r="DC53" s="250" t="s">
        <v>392</v>
      </c>
      <c r="DD53" s="250" t="s">
        <v>393</v>
      </c>
      <c r="DE53" s="250" t="s">
        <v>394</v>
      </c>
      <c r="DF53" s="250" t="s">
        <v>395</v>
      </c>
      <c r="DG53" s="250" t="s">
        <v>396</v>
      </c>
      <c r="DH53" s="250" t="s">
        <v>397</v>
      </c>
      <c r="DI53" s="250" t="s">
        <v>398</v>
      </c>
      <c r="DJ53" s="250" t="s">
        <v>399</v>
      </c>
      <c r="DK53" s="250" t="s">
        <v>400</v>
      </c>
      <c r="DL53" s="250" t="s">
        <v>401</v>
      </c>
      <c r="DM53" s="250" t="s">
        <v>402</v>
      </c>
      <c r="DN53" s="250" t="s">
        <v>403</v>
      </c>
      <c r="DO53" s="250" t="s">
        <v>404</v>
      </c>
      <c r="DP53" s="250" t="s">
        <v>405</v>
      </c>
      <c r="DQ53" s="250" t="s">
        <v>406</v>
      </c>
      <c r="DR53" s="250" t="s">
        <v>407</v>
      </c>
      <c r="DS53" s="250" t="s">
        <v>408</v>
      </c>
      <c r="DT53" s="250" t="s">
        <v>409</v>
      </c>
      <c r="DU53" s="250" t="s">
        <v>410</v>
      </c>
      <c r="DV53" s="250" t="s">
        <v>411</v>
      </c>
      <c r="DW53" s="250" t="s">
        <v>412</v>
      </c>
      <c r="DX53" s="250" t="s">
        <v>413</v>
      </c>
      <c r="DY53" s="250" t="s">
        <v>414</v>
      </c>
      <c r="DZ53" s="250" t="s">
        <v>415</v>
      </c>
      <c r="EA53" s="250" t="s">
        <v>416</v>
      </c>
      <c r="EB53" s="250" t="s">
        <v>417</v>
      </c>
      <c r="EC53" s="250" t="s">
        <v>418</v>
      </c>
      <c r="ED53" s="250" t="s">
        <v>419</v>
      </c>
      <c r="EE53" s="250" t="s">
        <v>420</v>
      </c>
      <c r="EF53" s="250" t="s">
        <v>421</v>
      </c>
      <c r="EG53" s="250" t="s">
        <v>422</v>
      </c>
      <c r="EH53" s="250" t="s">
        <v>423</v>
      </c>
      <c r="EI53" s="250" t="s">
        <v>424</v>
      </c>
      <c r="EJ53" s="250" t="s">
        <v>425</v>
      </c>
      <c r="EK53" s="250" t="s">
        <v>426</v>
      </c>
      <c r="EL53" s="250" t="s">
        <v>427</v>
      </c>
      <c r="EM53" s="250" t="s">
        <v>428</v>
      </c>
      <c r="EN53" s="250" t="s">
        <v>429</v>
      </c>
      <c r="EO53" s="250" t="s">
        <v>430</v>
      </c>
      <c r="EP53" s="250" t="s">
        <v>431</v>
      </c>
      <c r="EQ53" s="250" t="s">
        <v>432</v>
      </c>
      <c r="ER53" s="250" t="s">
        <v>433</v>
      </c>
      <c r="ES53" s="250" t="s">
        <v>434</v>
      </c>
      <c r="ET53" s="250" t="s">
        <v>435</v>
      </c>
      <c r="EU53" s="250" t="s">
        <v>436</v>
      </c>
      <c r="EV53" s="250" t="s">
        <v>437</v>
      </c>
      <c r="EW53" s="250" t="s">
        <v>438</v>
      </c>
      <c r="EX53" s="250" t="s">
        <v>439</v>
      </c>
      <c r="EY53" s="250" t="s">
        <v>440</v>
      </c>
      <c r="EZ53" s="250" t="s">
        <v>441</v>
      </c>
      <c r="FA53" s="250" t="s">
        <v>442</v>
      </c>
      <c r="FB53" s="250" t="s">
        <v>443</v>
      </c>
      <c r="FC53" s="250" t="s">
        <v>444</v>
      </c>
      <c r="FD53" s="250" t="s">
        <v>445</v>
      </c>
      <c r="FE53" s="250" t="s">
        <v>446</v>
      </c>
      <c r="FF53" s="250" t="s">
        <v>447</v>
      </c>
      <c r="FG53" s="250" t="s">
        <v>448</v>
      </c>
      <c r="FH53" s="250" t="s">
        <v>449</v>
      </c>
      <c r="FI53" s="250" t="s">
        <v>450</v>
      </c>
      <c r="FJ53" s="250" t="s">
        <v>451</v>
      </c>
      <c r="FK53" s="250" t="s">
        <v>452</v>
      </c>
      <c r="FL53" s="250" t="s">
        <v>453</v>
      </c>
      <c r="FM53" s="250" t="s">
        <v>454</v>
      </c>
      <c r="FN53" s="250" t="s">
        <v>455</v>
      </c>
      <c r="FO53" s="250" t="s">
        <v>456</v>
      </c>
      <c r="FP53" s="250" t="s">
        <v>457</v>
      </c>
      <c r="FQ53" s="250" t="s">
        <v>458</v>
      </c>
      <c r="FR53" s="250" t="s">
        <v>459</v>
      </c>
      <c r="FS53" s="250" t="s">
        <v>460</v>
      </c>
      <c r="FT53" s="250" t="s">
        <v>461</v>
      </c>
      <c r="FU53" s="250" t="s">
        <v>462</v>
      </c>
      <c r="FV53" s="250" t="s">
        <v>463</v>
      </c>
      <c r="FW53" s="250" t="s">
        <v>464</v>
      </c>
      <c r="FX53" s="250" t="s">
        <v>465</v>
      </c>
      <c r="FY53" s="250" t="s">
        <v>466</v>
      </c>
      <c r="FZ53" s="250" t="s">
        <v>467</v>
      </c>
      <c r="GA53" s="250" t="s">
        <v>468</v>
      </c>
      <c r="GB53" s="250" t="s">
        <v>469</v>
      </c>
      <c r="GC53" s="250" t="s">
        <v>470</v>
      </c>
      <c r="GD53" s="250" t="s">
        <v>471</v>
      </c>
      <c r="GE53" s="250" t="s">
        <v>472</v>
      </c>
      <c r="GF53" s="250" t="s">
        <v>473</v>
      </c>
      <c r="GG53" s="250" t="s">
        <v>474</v>
      </c>
      <c r="GH53" s="250" t="s">
        <v>475</v>
      </c>
      <c r="GI53" s="250" t="s">
        <v>476</v>
      </c>
      <c r="GJ53" s="250" t="s">
        <v>477</v>
      </c>
      <c r="GK53" s="250" t="s">
        <v>478</v>
      </c>
      <c r="GL53" s="250" t="s">
        <v>479</v>
      </c>
      <c r="GM53" s="250" t="s">
        <v>480</v>
      </c>
      <c r="GN53" s="250" t="s">
        <v>481</v>
      </c>
      <c r="GO53" s="250" t="s">
        <v>482</v>
      </c>
      <c r="GP53" s="250" t="s">
        <v>483</v>
      </c>
      <c r="GQ53" s="250" t="s">
        <v>484</v>
      </c>
      <c r="GR53" s="250" t="s">
        <v>485</v>
      </c>
      <c r="GS53" s="250" t="s">
        <v>486</v>
      </c>
      <c r="GT53" s="250" t="s">
        <v>487</v>
      </c>
      <c r="GU53" s="250" t="s">
        <v>488</v>
      </c>
      <c r="GV53" s="250" t="s">
        <v>489</v>
      </c>
      <c r="GW53" s="250" t="s">
        <v>490</v>
      </c>
      <c r="GX53" s="250" t="s">
        <v>491</v>
      </c>
      <c r="GY53" s="250" t="s">
        <v>492</v>
      </c>
      <c r="GZ53" s="250" t="s">
        <v>493</v>
      </c>
      <c r="HA53" s="250" t="s">
        <v>494</v>
      </c>
      <c r="HB53" s="250" t="s">
        <v>495</v>
      </c>
      <c r="HC53" s="250" t="s">
        <v>496</v>
      </c>
      <c r="HD53" s="250" t="s">
        <v>497</v>
      </c>
      <c r="HE53" s="250" t="s">
        <v>498</v>
      </c>
      <c r="HF53" s="250" t="s">
        <v>499</v>
      </c>
      <c r="HG53" s="250" t="s">
        <v>500</v>
      </c>
      <c r="HH53" s="250" t="s">
        <v>501</v>
      </c>
      <c r="HI53" s="250" t="s">
        <v>502</v>
      </c>
      <c r="HJ53" s="250" t="s">
        <v>503</v>
      </c>
      <c r="HK53" s="250" t="s">
        <v>504</v>
      </c>
      <c r="HL53" s="250" t="s">
        <v>505</v>
      </c>
      <c r="HM53" s="250" t="s">
        <v>506</v>
      </c>
      <c r="HN53" s="250" t="s">
        <v>507</v>
      </c>
      <c r="HO53" s="250" t="s">
        <v>508</v>
      </c>
      <c r="HP53" s="250" t="s">
        <v>509</v>
      </c>
      <c r="HQ53" s="250" t="s">
        <v>510</v>
      </c>
    </row>
    <row r="54" spans="1:225" s="252" customFormat="1" ht="13.7" customHeight="1">
      <c r="A54" s="252" t="s">
        <v>272</v>
      </c>
      <c r="B54" s="269">
        <v>12</v>
      </c>
      <c r="C54" s="167">
        <v>32644.372461278101</v>
      </c>
      <c r="D54" s="167">
        <v>33989.78368583</v>
      </c>
      <c r="E54" s="167">
        <v>37658.377116216798</v>
      </c>
      <c r="F54" s="167">
        <v>39959.378599711999</v>
      </c>
      <c r="G54" s="167">
        <v>46087.463131805001</v>
      </c>
      <c r="H54" s="167">
        <v>53239.636389662104</v>
      </c>
      <c r="I54" s="167">
        <v>58764.115947737497</v>
      </c>
      <c r="J54" s="167">
        <v>66417.409985292601</v>
      </c>
      <c r="K54" s="167">
        <v>77223.594865233899</v>
      </c>
      <c r="L54" s="167">
        <v>73579.8426807426</v>
      </c>
      <c r="M54" s="167">
        <v>40562.178874851801</v>
      </c>
      <c r="N54" s="167">
        <v>46909.595999999998</v>
      </c>
      <c r="O54" s="167">
        <v>55849.335000000006</v>
      </c>
      <c r="P54" s="167">
        <v>55021.766000000003</v>
      </c>
      <c r="Q54" s="167">
        <v>53278.416409999998</v>
      </c>
      <c r="R54" s="167">
        <v>54940.209000000003</v>
      </c>
      <c r="S54" s="167">
        <v>59831.430977440999</v>
      </c>
      <c r="T54" s="167">
        <v>357834.496219308</v>
      </c>
      <c r="U54" s="167">
        <v>316522.99188389303</v>
      </c>
      <c r="V54" s="167">
        <v>467809.12217390706</v>
      </c>
      <c r="W54" s="167">
        <v>441027.33814656798</v>
      </c>
      <c r="X54" s="167">
        <v>511184.26885726303</v>
      </c>
      <c r="Y54" s="167">
        <v>506684.85404769296</v>
      </c>
      <c r="Z54" s="167">
        <v>577601.0955064391</v>
      </c>
      <c r="AA54" s="167">
        <v>471121.68333051505</v>
      </c>
      <c r="AB54" s="167">
        <v>539569.59182207996</v>
      </c>
      <c r="AC54" s="167">
        <v>647227.97580349504</v>
      </c>
      <c r="AD54" s="167">
        <v>588178.86646726506</v>
      </c>
      <c r="AE54" s="167">
        <v>529666.46092261001</v>
      </c>
      <c r="AF54" s="167">
        <v>463137.071</v>
      </c>
      <c r="AG54" s="167">
        <v>445750.647</v>
      </c>
      <c r="AH54" s="167">
        <v>403448.37900000002</v>
      </c>
      <c r="AI54" s="167">
        <v>386315.228</v>
      </c>
      <c r="AJ54" s="167">
        <v>346084.66399999999</v>
      </c>
      <c r="AK54" s="167">
        <v>26412.589009526593</v>
      </c>
      <c r="AL54" s="167">
        <v>31329.710649259305</v>
      </c>
      <c r="AM54" s="167">
        <v>31120.531390019252</v>
      </c>
      <c r="AN54" s="167">
        <v>37629.540867755153</v>
      </c>
      <c r="AO54" s="167">
        <v>42279.50798262329</v>
      </c>
      <c r="AP54" s="167">
        <v>40682.50401969807</v>
      </c>
      <c r="AQ54" s="167">
        <v>52808.972782802135</v>
      </c>
      <c r="AR54" s="167">
        <v>52531.24811007821</v>
      </c>
      <c r="AS54" s="167">
        <v>55150.625983108068</v>
      </c>
      <c r="AT54" s="167">
        <v>54114.799686988088</v>
      </c>
      <c r="AU54" s="167">
        <v>55931.882749594763</v>
      </c>
      <c r="AV54" s="167">
        <v>55013.03182762162</v>
      </c>
      <c r="AW54" s="167">
        <v>48786.43161912472</v>
      </c>
      <c r="AX54" s="167">
        <v>55927.707030221893</v>
      </c>
      <c r="AY54" s="167">
        <v>53516.156825532875</v>
      </c>
      <c r="AZ54" s="167">
        <v>46752.039703464063</v>
      </c>
      <c r="BA54" s="167">
        <v>49770.854958085292</v>
      </c>
      <c r="BB54" s="167">
        <v>156824.91789216301</v>
      </c>
      <c r="BC54" s="167">
        <v>176841.394432931</v>
      </c>
      <c r="BD54" s="167">
        <v>224408.06001672801</v>
      </c>
      <c r="BE54" s="167">
        <v>214131.30026509601</v>
      </c>
      <c r="BF54" s="167">
        <v>210431.13798086398</v>
      </c>
      <c r="BG54" s="167">
        <v>229554.29065953402</v>
      </c>
      <c r="BH54" s="167">
        <v>240838.12724750797</v>
      </c>
      <c r="BI54" s="167">
        <v>222645.27398422701</v>
      </c>
      <c r="BJ54" s="167">
        <v>258321.99304766802</v>
      </c>
      <c r="BK54" s="167">
        <v>270954.43519109796</v>
      </c>
      <c r="BL54" s="167">
        <v>295663.49812986702</v>
      </c>
      <c r="BM54" s="167">
        <v>276143.80499999999</v>
      </c>
      <c r="BN54" s="167">
        <v>257322.89818438003</v>
      </c>
      <c r="BO54" s="167">
        <v>248955.63635370001</v>
      </c>
      <c r="BP54" s="167">
        <v>226772.79477854402</v>
      </c>
      <c r="BQ54" s="167">
        <v>244843.380445277</v>
      </c>
      <c r="BR54" s="167">
        <v>245425.10500000001</v>
      </c>
      <c r="BS54" s="167">
        <v>189286.786515969</v>
      </c>
      <c r="BT54" s="167">
        <v>229999.82498122202</v>
      </c>
      <c r="BU54" s="167">
        <v>249220.28103108701</v>
      </c>
      <c r="BV54" s="167">
        <v>269392.65438000002</v>
      </c>
      <c r="BW54" s="167">
        <v>278759.46135</v>
      </c>
      <c r="BX54" s="167">
        <v>317627.73702</v>
      </c>
      <c r="BY54" s="167">
        <v>350958.66492000007</v>
      </c>
      <c r="BZ54" s="167">
        <v>387877.9989499998</v>
      </c>
      <c r="CA54" s="167">
        <v>365738.55767000001</v>
      </c>
      <c r="CB54" s="167">
        <v>381461.5461299998</v>
      </c>
      <c r="CC54" s="167">
        <v>344893.63842298696</v>
      </c>
      <c r="CD54" s="167">
        <v>353346.31027999998</v>
      </c>
      <c r="CE54" s="167">
        <v>362234.78839999996</v>
      </c>
      <c r="CF54" s="167">
        <v>350114.929</v>
      </c>
      <c r="CG54" s="167">
        <v>338318.7</v>
      </c>
      <c r="CH54" s="167">
        <v>394441.64827462204</v>
      </c>
      <c r="CI54" s="167">
        <v>422580.21130494471</v>
      </c>
      <c r="CJ54" s="167">
        <v>259957.891</v>
      </c>
      <c r="CK54" s="167">
        <v>241890.48055000001</v>
      </c>
      <c r="CL54" s="167">
        <v>269457.2365</v>
      </c>
      <c r="CM54" s="167">
        <v>270466.59799000004</v>
      </c>
      <c r="CN54" s="167">
        <v>270621.21470000001</v>
      </c>
      <c r="CO54" s="167">
        <v>345122.06182</v>
      </c>
      <c r="CP54" s="167">
        <v>363976.48437000008</v>
      </c>
      <c r="CQ54" s="167">
        <v>298481.04830000014</v>
      </c>
      <c r="CR54" s="167">
        <v>308046.36037000001</v>
      </c>
      <c r="CS54" s="167">
        <v>362830.15773000004</v>
      </c>
      <c r="CT54" s="167">
        <v>371607.978</v>
      </c>
      <c r="CU54" s="167">
        <v>341013.31</v>
      </c>
      <c r="CV54" s="167">
        <v>357962.68099999998</v>
      </c>
      <c r="CW54" s="167">
        <v>368947.33100000001</v>
      </c>
      <c r="CX54" s="167">
        <v>390182.78992536996</v>
      </c>
      <c r="CY54" s="167">
        <v>345735.46599798696</v>
      </c>
      <c r="CZ54" s="167">
        <v>359914.5709396</v>
      </c>
      <c r="DA54" s="167">
        <v>198507.61938633298</v>
      </c>
      <c r="DB54" s="167">
        <v>249199.63407414002</v>
      </c>
      <c r="DC54" s="167">
        <v>304612.28626150603</v>
      </c>
      <c r="DD54" s="167">
        <v>296582.84979402204</v>
      </c>
      <c r="DE54" s="167">
        <v>324946.11772000004</v>
      </c>
      <c r="DF54" s="167">
        <v>336208.00537622103</v>
      </c>
      <c r="DG54" s="167">
        <v>429455.71274000197</v>
      </c>
      <c r="DH54" s="167">
        <v>401260.42950844707</v>
      </c>
      <c r="DI54" s="167">
        <v>390948.49645502307</v>
      </c>
      <c r="DJ54" s="167">
        <v>391299.86702397501</v>
      </c>
      <c r="DK54" s="167">
        <v>313936.839553856</v>
      </c>
      <c r="DL54" s="167">
        <v>321942.69254999899</v>
      </c>
      <c r="DM54" s="167">
        <v>345390.71399999998</v>
      </c>
      <c r="DN54" s="167">
        <v>401766.886</v>
      </c>
      <c r="DO54" s="167">
        <v>394653.58999999997</v>
      </c>
      <c r="DP54" s="167">
        <v>385622.45292000001</v>
      </c>
      <c r="DQ54" s="167">
        <v>360871.69400000002</v>
      </c>
      <c r="DR54" s="167">
        <v>46756.092287101899</v>
      </c>
      <c r="DS54" s="167">
        <v>51252.352222211397</v>
      </c>
      <c r="DT54" s="167">
        <v>43220.358648427202</v>
      </c>
      <c r="DU54" s="167">
        <v>48349.725749867001</v>
      </c>
      <c r="DV54" s="167">
        <v>58605.575110382997</v>
      </c>
      <c r="DW54" s="167">
        <v>59886.898408099398</v>
      </c>
      <c r="DX54" s="167">
        <v>70098.067766092601</v>
      </c>
      <c r="DY54" s="167">
        <v>69150.303926688197</v>
      </c>
      <c r="DZ54" s="167">
        <v>69918.556613006105</v>
      </c>
      <c r="EA54" s="167">
        <v>73079.730390022902</v>
      </c>
      <c r="EB54" s="167">
        <v>78683.548999999999</v>
      </c>
      <c r="EC54" s="167">
        <v>84039.021999999997</v>
      </c>
      <c r="ED54" s="167">
        <v>79198.771999999997</v>
      </c>
      <c r="EE54" s="167">
        <v>84456.982650000005</v>
      </c>
      <c r="EF54" s="167">
        <v>73865.819759999998</v>
      </c>
      <c r="EG54" s="167">
        <v>63000.526098240101</v>
      </c>
      <c r="EH54" s="167">
        <v>58309.291075907073</v>
      </c>
      <c r="EI54" s="167">
        <f>EI16</f>
        <v>82877.291930000007</v>
      </c>
      <c r="EJ54" s="167">
        <f>EJ16</f>
        <v>88592.699200000003</v>
      </c>
      <c r="EK54" s="167">
        <v>116861.47857915258</v>
      </c>
      <c r="EL54" s="167">
        <v>106359.56772461215</v>
      </c>
      <c r="EM54" s="167">
        <v>113514.72915098233</v>
      </c>
      <c r="EN54" s="167">
        <v>128379.6119855967</v>
      </c>
      <c r="EO54" s="167">
        <v>127280.19704758523</v>
      </c>
      <c r="EP54" s="167">
        <v>137174.04028031268</v>
      </c>
      <c r="EQ54" s="167">
        <v>167745.95206778086</v>
      </c>
      <c r="ER54" s="167">
        <v>183726.35284227453</v>
      </c>
      <c r="ES54" s="167">
        <v>171080.18289509552</v>
      </c>
      <c r="ET54" s="167">
        <v>186774.27334163259</v>
      </c>
      <c r="EU54" s="167">
        <v>162437.30997135999</v>
      </c>
      <c r="EV54" s="167">
        <v>178539.1076349763</v>
      </c>
      <c r="EW54" s="167">
        <v>187773.30476145935</v>
      </c>
      <c r="EX54" s="167">
        <v>185804.4277592494</v>
      </c>
      <c r="EY54" s="167">
        <v>177630.56194133652</v>
      </c>
      <c r="EZ54" s="167">
        <v>180705.20953499887</v>
      </c>
      <c r="FA54" s="167">
        <v>191487.34181872383</v>
      </c>
      <c r="FB54" s="167">
        <v>116302.749904419</v>
      </c>
      <c r="FC54" s="167">
        <v>112914.640378019</v>
      </c>
      <c r="FD54" s="167">
        <v>130933.87803296199</v>
      </c>
      <c r="FE54" s="167">
        <v>149173.38508183201</v>
      </c>
      <c r="FF54" s="167">
        <v>152669.628414626</v>
      </c>
      <c r="FG54" s="167">
        <v>197231.65958920601</v>
      </c>
      <c r="FH54" s="167">
        <v>210494.32048673902</v>
      </c>
      <c r="FI54" s="167">
        <v>228733.33101324001</v>
      </c>
      <c r="FJ54" s="167">
        <v>233849.701</v>
      </c>
      <c r="FK54" s="167">
        <v>248377.486889666</v>
      </c>
      <c r="FL54" s="167">
        <v>211867.16309531001</v>
      </c>
      <c r="FM54" s="167">
        <v>248667.39895521599</v>
      </c>
      <c r="FN54" s="167">
        <v>249010.83126000001</v>
      </c>
      <c r="FO54" s="167">
        <v>261706.81672</v>
      </c>
      <c r="FP54" s="167">
        <v>237845.67388999998</v>
      </c>
      <c r="FQ54" s="167">
        <v>245707.57653999998</v>
      </c>
      <c r="FR54" s="167">
        <v>268338.46308999998</v>
      </c>
      <c r="FS54" s="167">
        <v>82540.040999999997</v>
      </c>
      <c r="FT54" s="167">
        <v>104522.864</v>
      </c>
      <c r="FU54" s="167">
        <v>117354.963</v>
      </c>
      <c r="FV54" s="167">
        <v>139244.32199999999</v>
      </c>
      <c r="FW54" s="167">
        <v>139237.07999999999</v>
      </c>
      <c r="FX54" s="167">
        <v>145236.239</v>
      </c>
      <c r="FY54" s="167">
        <v>158632.40400000001</v>
      </c>
      <c r="FZ54" s="167">
        <v>181028.39600000001</v>
      </c>
      <c r="GA54" s="167">
        <v>189806.67514137062</v>
      </c>
      <c r="GB54" s="167">
        <v>204651.59938180444</v>
      </c>
      <c r="GC54" s="167">
        <v>229428.02527883899</v>
      </c>
      <c r="GD54" s="167">
        <v>204947.924709871</v>
      </c>
      <c r="GE54" s="167">
        <v>193557.933375539</v>
      </c>
      <c r="GF54" s="167">
        <v>207291.49917065373</v>
      </c>
      <c r="GG54" s="167">
        <v>220782.63455930998</v>
      </c>
      <c r="GH54" s="167">
        <v>223482.91283174796</v>
      </c>
      <c r="GI54" s="167">
        <v>219288.94666366841</v>
      </c>
      <c r="GJ54" s="167">
        <v>48648.823897879505</v>
      </c>
      <c r="GK54" s="167">
        <v>50748.109417397798</v>
      </c>
      <c r="GL54" s="167">
        <v>53289.0230297776</v>
      </c>
      <c r="GM54" s="167">
        <v>61973.7059213752</v>
      </c>
      <c r="GN54" s="167">
        <v>75037.978098049192</v>
      </c>
      <c r="GO54" s="167">
        <v>74900.179665433403</v>
      </c>
      <c r="GP54" s="167">
        <v>84369.777789408996</v>
      </c>
      <c r="GQ54" s="167">
        <v>70674.63604085501</v>
      </c>
      <c r="GR54" s="167">
        <v>74075.862810526407</v>
      </c>
      <c r="GS54" s="167">
        <v>64088.129960287195</v>
      </c>
      <c r="GT54" s="167">
        <v>69929.810763066795</v>
      </c>
      <c r="GU54" s="167">
        <v>93577.683630547996</v>
      </c>
      <c r="GV54" s="167">
        <v>86416.346934444198</v>
      </c>
      <c r="GW54" s="167">
        <v>78404.001088851903</v>
      </c>
      <c r="GX54" s="167">
        <v>82673.057705970088</v>
      </c>
      <c r="GY54" s="167">
        <v>89966.613204571317</v>
      </c>
      <c r="GZ54" s="167">
        <v>91390.233242584902</v>
      </c>
      <c r="HA54" s="167">
        <v>83237</v>
      </c>
      <c r="HB54" s="167">
        <v>81473</v>
      </c>
      <c r="HC54" s="167">
        <v>85413.886309046997</v>
      </c>
      <c r="HD54" s="167">
        <v>89047.922493129998</v>
      </c>
      <c r="HE54" s="167">
        <v>96130.066559793398</v>
      </c>
      <c r="HF54" s="167">
        <v>121992.755514909</v>
      </c>
      <c r="HG54" s="167">
        <v>126519.882999029</v>
      </c>
      <c r="HH54" s="167">
        <v>116175.49106407601</v>
      </c>
      <c r="HI54" s="167">
        <v>121867.70902049799</v>
      </c>
      <c r="HJ54" s="167">
        <v>117721.494565381</v>
      </c>
      <c r="HK54" s="167">
        <v>138427.94329502599</v>
      </c>
      <c r="HL54" s="167">
        <v>132835.09312937901</v>
      </c>
      <c r="HM54" s="167">
        <v>108242.14191396099</v>
      </c>
      <c r="HN54" s="167">
        <v>110815.785</v>
      </c>
      <c r="HO54" s="167">
        <v>118042.307</v>
      </c>
      <c r="HP54" s="167">
        <v>118292.577</v>
      </c>
      <c r="HQ54" s="167">
        <v>124679.376</v>
      </c>
    </row>
    <row r="55" spans="1:225" s="252" customFormat="1" ht="13.7" customHeight="1">
      <c r="A55" s="252" t="s">
        <v>273</v>
      </c>
      <c r="B55" s="269" t="s">
        <v>274</v>
      </c>
      <c r="C55" s="167">
        <v>38538.624900945346</v>
      </c>
      <c r="D55" s="167">
        <v>40555.568802439702</v>
      </c>
      <c r="E55" s="167">
        <v>44812.70258129912</v>
      </c>
      <c r="F55" s="167">
        <v>46821.896889849857</v>
      </c>
      <c r="G55" s="167">
        <v>55266.38145396336</v>
      </c>
      <c r="H55" s="167">
        <v>63737.765832817691</v>
      </c>
      <c r="I55" s="167">
        <v>70608.373543978203</v>
      </c>
      <c r="J55" s="167">
        <v>77834.327675292603</v>
      </c>
      <c r="K55" s="167">
        <v>88864.580625233939</v>
      </c>
      <c r="L55" s="167">
        <v>86548.092643177908</v>
      </c>
      <c r="M55" s="167">
        <v>52497.721534325196</v>
      </c>
      <c r="N55" s="167">
        <v>58245.248035999997</v>
      </c>
      <c r="O55" s="167">
        <v>72071.139840504809</v>
      </c>
      <c r="P55" s="167">
        <v>70694.304359999995</v>
      </c>
      <c r="Q55" s="167">
        <v>68958.093410000001</v>
      </c>
      <c r="R55" s="167">
        <v>66360.226999999999</v>
      </c>
      <c r="S55" s="167">
        <v>71365.648977441</v>
      </c>
      <c r="T55" s="167">
        <v>359429.30472414085</v>
      </c>
      <c r="U55" s="167">
        <v>319120.88969815226</v>
      </c>
      <c r="V55" s="167">
        <v>470681.79458618024</v>
      </c>
      <c r="W55" s="167">
        <v>443700.63762656803</v>
      </c>
      <c r="X55" s="167">
        <v>516405.56407726306</v>
      </c>
      <c r="Y55" s="167">
        <v>513411.9445176929</v>
      </c>
      <c r="Z55" s="167">
        <v>583745.18660643906</v>
      </c>
      <c r="AA55" s="167">
        <v>475807.76904051501</v>
      </c>
      <c r="AB55" s="167">
        <v>543068.58082208002</v>
      </c>
      <c r="AC55" s="167">
        <v>652527.45930349501</v>
      </c>
      <c r="AD55" s="167">
        <v>590738.86946726497</v>
      </c>
      <c r="AE55" s="167">
        <v>533275.74492261</v>
      </c>
      <c r="AF55" s="167">
        <v>467980.26400000002</v>
      </c>
      <c r="AG55" s="167">
        <v>454424.70699999999</v>
      </c>
      <c r="AH55" s="167">
        <v>409523.11597899999</v>
      </c>
      <c r="AI55" s="167">
        <v>390331.33600000001</v>
      </c>
      <c r="AJ55" s="167">
        <v>350363.98100000003</v>
      </c>
      <c r="AK55" s="167">
        <v>37898.188999999998</v>
      </c>
      <c r="AL55" s="167">
        <v>40582.080999999998</v>
      </c>
      <c r="AM55" s="167">
        <v>41333.470999999998</v>
      </c>
      <c r="AN55" s="167">
        <v>50008.286836201994</v>
      </c>
      <c r="AO55" s="167">
        <v>54297.417209442443</v>
      </c>
      <c r="AP55" s="167">
        <v>54486.114272112434</v>
      </c>
      <c r="AQ55" s="167">
        <v>67739.510590000005</v>
      </c>
      <c r="AR55" s="167">
        <v>68089.082299999995</v>
      </c>
      <c r="AS55" s="167">
        <v>73439.955393108001</v>
      </c>
      <c r="AT55" s="167">
        <v>71997.882248406604</v>
      </c>
      <c r="AU55" s="167">
        <v>73454.018770187686</v>
      </c>
      <c r="AV55" s="167">
        <v>73056.219669490965</v>
      </c>
      <c r="AW55" s="167">
        <v>67694.236446691008</v>
      </c>
      <c r="AX55" s="167">
        <v>75670.104999999996</v>
      </c>
      <c r="AY55" s="167">
        <v>74131.675000000003</v>
      </c>
      <c r="AZ55" s="167">
        <v>67493.260999999999</v>
      </c>
      <c r="BA55" s="167">
        <v>71238.019</v>
      </c>
      <c r="BB55" s="167">
        <v>173158.03593754568</v>
      </c>
      <c r="BC55" s="167">
        <v>192755.56936652676</v>
      </c>
      <c r="BD55" s="167">
        <v>243136.6498313061</v>
      </c>
      <c r="BE55" s="167">
        <v>229075.96469774732</v>
      </c>
      <c r="BF55" s="167">
        <v>228043.59112183331</v>
      </c>
      <c r="BG55" s="167">
        <v>244517.0998057948</v>
      </c>
      <c r="BH55" s="167">
        <v>276189.14942971262</v>
      </c>
      <c r="BI55" s="167">
        <v>248232.2275998212</v>
      </c>
      <c r="BJ55" s="167">
        <v>295997.52023237501</v>
      </c>
      <c r="BK55" s="167">
        <v>300530.03952954285</v>
      </c>
      <c r="BL55" s="167">
        <v>316821.14712986699</v>
      </c>
      <c r="BM55" s="167">
        <v>290656.54168067907</v>
      </c>
      <c r="BN55" s="167">
        <v>278512.48718438006</v>
      </c>
      <c r="BO55" s="167">
        <v>291794.86913370003</v>
      </c>
      <c r="BP55" s="167">
        <v>259970.16376625502</v>
      </c>
      <c r="BQ55" s="167">
        <v>272205.97344527696</v>
      </c>
      <c r="BR55" s="167">
        <v>276174.46399999998</v>
      </c>
      <c r="BS55" s="167">
        <v>203391.00643221589</v>
      </c>
      <c r="BT55" s="167">
        <v>245038.43019628001</v>
      </c>
      <c r="BU55" s="167">
        <v>270734.64824942936</v>
      </c>
      <c r="BV55" s="167">
        <v>289293.06264344038</v>
      </c>
      <c r="BW55" s="167">
        <v>290823.1193110157</v>
      </c>
      <c r="BX55" s="167">
        <v>332430.89486645564</v>
      </c>
      <c r="BY55" s="167">
        <v>370283.76816004416</v>
      </c>
      <c r="BZ55" s="167">
        <v>407311.95354971435</v>
      </c>
      <c r="CA55" s="167">
        <v>390233.18903118349</v>
      </c>
      <c r="CB55" s="167">
        <v>421671.38971983065</v>
      </c>
      <c r="CC55" s="167">
        <v>385683.09634885762</v>
      </c>
      <c r="CD55" s="167">
        <v>383795.11304166587</v>
      </c>
      <c r="CE55" s="167">
        <v>398546.59066905046</v>
      </c>
      <c r="CF55" s="167">
        <v>385080.41533664323</v>
      </c>
      <c r="CG55" s="167">
        <v>378940.35891394789</v>
      </c>
      <c r="CH55" s="167">
        <v>392934.74461496645</v>
      </c>
      <c r="CI55" s="167">
        <v>420899.80138333316</v>
      </c>
      <c r="CJ55" s="167">
        <v>328450.67775370367</v>
      </c>
      <c r="CK55" s="167">
        <v>314117.44280743861</v>
      </c>
      <c r="CL55" s="167">
        <v>351956.67354095803</v>
      </c>
      <c r="CM55" s="167">
        <v>352440.60055190895</v>
      </c>
      <c r="CN55" s="167">
        <v>358645.91452986334</v>
      </c>
      <c r="CO55" s="167">
        <v>438502.57794558577</v>
      </c>
      <c r="CP55" s="167">
        <v>473552.57786512509</v>
      </c>
      <c r="CQ55" s="167">
        <v>396894.09990378871</v>
      </c>
      <c r="CR55" s="167">
        <v>412448.34124129853</v>
      </c>
      <c r="CS55" s="167">
        <v>459958.66147334105</v>
      </c>
      <c r="CT55" s="167">
        <v>451043.84626636445</v>
      </c>
      <c r="CU55" s="167">
        <v>411267.77110382053</v>
      </c>
      <c r="CV55" s="167">
        <v>420845.88526630681</v>
      </c>
      <c r="CW55" s="167">
        <v>439391.46162860282</v>
      </c>
      <c r="CX55" s="167">
        <v>471635.74230853823</v>
      </c>
      <c r="CY55" s="167">
        <v>381389.06418793899</v>
      </c>
      <c r="CZ55" s="167">
        <v>393820.5393030665</v>
      </c>
      <c r="DA55" s="167">
        <v>259512.70302584243</v>
      </c>
      <c r="DB55" s="167">
        <v>321110.07103787101</v>
      </c>
      <c r="DC55" s="167">
        <v>382924.51082332933</v>
      </c>
      <c r="DD55" s="167">
        <v>366150.1169553746</v>
      </c>
      <c r="DE55" s="167">
        <v>408797.33885724487</v>
      </c>
      <c r="DF55" s="167">
        <v>428987.86973761127</v>
      </c>
      <c r="DG55" s="167">
        <v>545508.47029752308</v>
      </c>
      <c r="DH55" s="167">
        <v>498609.56726852624</v>
      </c>
      <c r="DI55" s="167">
        <v>491882.73613880406</v>
      </c>
      <c r="DJ55" s="167">
        <v>442683.02080096811</v>
      </c>
      <c r="DK55" s="167">
        <v>365550.70929830213</v>
      </c>
      <c r="DL55" s="167">
        <v>358375.09771504463</v>
      </c>
      <c r="DM55" s="167">
        <v>380873.63400000002</v>
      </c>
      <c r="DN55" s="167">
        <v>442180.00900000002</v>
      </c>
      <c r="DO55" s="167">
        <v>431036.37299999996</v>
      </c>
      <c r="DP55" s="167">
        <v>434187.93192</v>
      </c>
      <c r="DQ55" s="167">
        <v>413880.68199999997</v>
      </c>
      <c r="DR55" s="167">
        <v>46756.092287101899</v>
      </c>
      <c r="DS55" s="167">
        <v>51252.352222211397</v>
      </c>
      <c r="DT55" s="167">
        <v>43220.358648427202</v>
      </c>
      <c r="DU55" s="167">
        <v>48349.725749867001</v>
      </c>
      <c r="DV55" s="167">
        <v>58605.575110382997</v>
      </c>
      <c r="DW55" s="167">
        <v>66223.988115314729</v>
      </c>
      <c r="DX55" s="167">
        <v>82861.176102655692</v>
      </c>
      <c r="DY55" s="167">
        <v>83295.789556688193</v>
      </c>
      <c r="DZ55" s="167">
        <v>81839.89075075349</v>
      </c>
      <c r="EA55" s="167">
        <v>83810.675510022906</v>
      </c>
      <c r="EB55" s="167">
        <v>89922.443806029289</v>
      </c>
      <c r="EC55" s="167">
        <v>95124.824283925991</v>
      </c>
      <c r="ED55" s="167">
        <v>90354.527270000006</v>
      </c>
      <c r="EE55" s="167">
        <v>92437.99136</v>
      </c>
      <c r="EF55" s="167">
        <v>83587.755040000004</v>
      </c>
      <c r="EG55" s="167">
        <v>75656.824590000004</v>
      </c>
      <c r="EH55" s="167">
        <v>74664.096995365093</v>
      </c>
      <c r="EI55" s="167">
        <f>EI16</f>
        <v>82877.291930000007</v>
      </c>
      <c r="EJ55" s="167">
        <f>EJ16</f>
        <v>88592.699200000003</v>
      </c>
      <c r="EK55" s="167">
        <v>134374.549</v>
      </c>
      <c r="EL55" s="167">
        <v>124619.18799999999</v>
      </c>
      <c r="EM55" s="167">
        <v>131719.929</v>
      </c>
      <c r="EN55" s="167">
        <v>149199.54840999999</v>
      </c>
      <c r="EO55" s="167">
        <v>152376.32739999998</v>
      </c>
      <c r="EP55" s="167">
        <v>158210.78294999999</v>
      </c>
      <c r="EQ55" s="167">
        <v>193863.29666137332</v>
      </c>
      <c r="ER55" s="167">
        <v>211476.52206592911</v>
      </c>
      <c r="ES55" s="167">
        <v>204553.83417000002</v>
      </c>
      <c r="ET55" s="167">
        <v>218764.51264158211</v>
      </c>
      <c r="EU55" s="167">
        <v>193867.98746270817</v>
      </c>
      <c r="EV55" s="167">
        <v>211012.4831935305</v>
      </c>
      <c r="EW55" s="167">
        <v>221767.02495278599</v>
      </c>
      <c r="EX55" s="167">
        <v>221423.82199999999</v>
      </c>
      <c r="EY55" s="167">
        <v>214972.49</v>
      </c>
      <c r="EZ55" s="167">
        <v>218274.83</v>
      </c>
      <c r="FA55" s="167">
        <v>230371.899</v>
      </c>
      <c r="FB55" s="167">
        <v>116302.749904419</v>
      </c>
      <c r="FC55" s="167">
        <v>112914.640378019</v>
      </c>
      <c r="FD55" s="167">
        <v>130933.87803296199</v>
      </c>
      <c r="FE55" s="167">
        <v>149173.38508183201</v>
      </c>
      <c r="FF55" s="167">
        <v>152669.628414626</v>
      </c>
      <c r="FG55" s="167">
        <v>197231.65958920601</v>
      </c>
      <c r="FH55" s="167">
        <v>210494.32048673902</v>
      </c>
      <c r="FI55" s="167">
        <v>228733.33101324001</v>
      </c>
      <c r="FJ55" s="167">
        <v>233849.701</v>
      </c>
      <c r="FK55" s="167">
        <v>248377.486889666</v>
      </c>
      <c r="FL55" s="167">
        <v>211867.16309531001</v>
      </c>
      <c r="FM55" s="167">
        <v>248667.39895521599</v>
      </c>
      <c r="FN55" s="167">
        <v>249010.83126000001</v>
      </c>
      <c r="FO55" s="167">
        <v>261706.81672</v>
      </c>
      <c r="FP55" s="167">
        <v>237845.67388999998</v>
      </c>
      <c r="FQ55" s="167">
        <v>245707.57653999998</v>
      </c>
      <c r="FR55" s="167">
        <v>268338.46308999998</v>
      </c>
      <c r="FS55" s="167">
        <v>91512.370999999999</v>
      </c>
      <c r="FT55" s="167">
        <v>111659.02499999999</v>
      </c>
      <c r="FU55" s="167">
        <v>126954.183</v>
      </c>
      <c r="FV55" s="167">
        <v>147045.14508703566</v>
      </c>
      <c r="FW55" s="167">
        <v>148249.28921411154</v>
      </c>
      <c r="FX55" s="167">
        <v>156451.11528364252</v>
      </c>
      <c r="FY55" s="167">
        <v>173292.1959652995</v>
      </c>
      <c r="FZ55" s="167">
        <v>188964.70734896982</v>
      </c>
      <c r="GA55" s="167">
        <v>198623.8972691597</v>
      </c>
      <c r="GB55" s="167">
        <v>216635.19392531272</v>
      </c>
      <c r="GC55" s="167">
        <v>236404.80011395976</v>
      </c>
      <c r="GD55" s="167">
        <v>210858.53991651189</v>
      </c>
      <c r="GE55" s="167">
        <v>196660.56693628174</v>
      </c>
      <c r="GF55" s="167">
        <v>209949.63536162334</v>
      </c>
      <c r="GG55" s="167">
        <v>222301.18486246382</v>
      </c>
      <c r="GH55" s="167">
        <v>227160.68726690396</v>
      </c>
      <c r="GI55" s="167">
        <v>221633.79366366839</v>
      </c>
      <c r="GJ55" s="167">
        <v>52868.241597880879</v>
      </c>
      <c r="GK55" s="167">
        <v>55158.45329777195</v>
      </c>
      <c r="GL55" s="167">
        <v>57916.22277341369</v>
      </c>
      <c r="GM55" s="167">
        <v>67194.460550882941</v>
      </c>
      <c r="GN55" s="167">
        <v>81545.096734338353</v>
      </c>
      <c r="GO55" s="167">
        <v>81632.886673280795</v>
      </c>
      <c r="GP55" s="167">
        <v>93877.759666273836</v>
      </c>
      <c r="GQ55" s="167">
        <v>74956.74567742864</v>
      </c>
      <c r="GR55" s="167">
        <v>78193.911082667109</v>
      </c>
      <c r="GS55" s="167">
        <v>65602.40088127373</v>
      </c>
      <c r="GT55" s="167">
        <v>72920.104480320268</v>
      </c>
      <c r="GU55" s="167">
        <v>98348.727444605931</v>
      </c>
      <c r="GV55" s="167">
        <v>97037.359690964702</v>
      </c>
      <c r="GW55" s="167">
        <v>91107.370435041899</v>
      </c>
      <c r="GX55" s="167">
        <v>98523.05692312849</v>
      </c>
      <c r="GY55" s="167">
        <v>104019.59618108421</v>
      </c>
      <c r="GZ55" s="167">
        <v>105315.0092425849</v>
      </c>
      <c r="HA55" s="167">
        <v>83237</v>
      </c>
      <c r="HB55" s="167">
        <v>81473</v>
      </c>
      <c r="HC55" s="167">
        <v>85413.886309046997</v>
      </c>
      <c r="HD55" s="167">
        <v>89047.922493129998</v>
      </c>
      <c r="HE55" s="167">
        <v>96130.066559793398</v>
      </c>
      <c r="HF55" s="167">
        <v>121992.755514909</v>
      </c>
      <c r="HG55" s="167">
        <v>126519.882999029</v>
      </c>
      <c r="HH55" s="167">
        <v>116175.49106407601</v>
      </c>
      <c r="HI55" s="167">
        <v>121867.70902049799</v>
      </c>
      <c r="HJ55" s="167">
        <v>117721.494565381</v>
      </c>
      <c r="HK55" s="167">
        <v>138427.94329502599</v>
      </c>
      <c r="HL55" s="167">
        <v>132835.09312937901</v>
      </c>
      <c r="HM55" s="167">
        <v>108242.14191396099</v>
      </c>
      <c r="HN55" s="167">
        <v>110815.785</v>
      </c>
      <c r="HO55" s="167">
        <v>118042.307</v>
      </c>
      <c r="HP55" s="167">
        <v>118292.577</v>
      </c>
      <c r="HQ55" s="167">
        <v>124679.376</v>
      </c>
    </row>
    <row r="56" spans="1:225" s="252" customFormat="1" ht="13.7" customHeight="1">
      <c r="A56" s="252" t="s">
        <v>275</v>
      </c>
      <c r="B56" s="269" t="s">
        <v>276</v>
      </c>
      <c r="C56" s="167">
        <v>38538.624900945346</v>
      </c>
      <c r="D56" s="167">
        <v>40555.568802439702</v>
      </c>
      <c r="E56" s="167">
        <v>44812.70258129912</v>
      </c>
      <c r="F56" s="167">
        <v>46821.896889849857</v>
      </c>
      <c r="G56" s="167">
        <v>55266.38145396336</v>
      </c>
      <c r="H56" s="167">
        <v>63737.765832817691</v>
      </c>
      <c r="I56" s="167">
        <v>70608.373543978203</v>
      </c>
      <c r="J56" s="167">
        <v>77834.327675292603</v>
      </c>
      <c r="K56" s="167">
        <v>88864.580625233939</v>
      </c>
      <c r="L56" s="167">
        <v>86548.092643177908</v>
      </c>
      <c r="M56" s="167">
        <v>52497.721534325196</v>
      </c>
      <c r="N56" s="167">
        <v>58245.248035999997</v>
      </c>
      <c r="O56" s="167">
        <v>72071.139840504809</v>
      </c>
      <c r="P56" s="167">
        <v>70694.304359999995</v>
      </c>
      <c r="Q56" s="167">
        <v>68958.093410000001</v>
      </c>
      <c r="R56" s="167">
        <v>66360.226999999999</v>
      </c>
      <c r="S56" s="167"/>
      <c r="T56" s="167">
        <v>359429.30472414085</v>
      </c>
      <c r="U56" s="167">
        <v>319120.88969815226</v>
      </c>
      <c r="V56" s="167">
        <v>470681.79458618024</v>
      </c>
      <c r="W56" s="167">
        <v>443489.44696764805</v>
      </c>
      <c r="X56" s="167">
        <v>515512.72259464307</v>
      </c>
      <c r="Y56" s="167">
        <v>512241.43077591294</v>
      </c>
      <c r="Z56" s="167">
        <v>582528.6565686391</v>
      </c>
      <c r="AA56" s="167">
        <v>475011.13446981501</v>
      </c>
      <c r="AB56" s="167">
        <v>542633.90420160326</v>
      </c>
      <c r="AC56" s="167">
        <v>651511.13329349505</v>
      </c>
      <c r="AD56" s="167">
        <v>590102.08599726495</v>
      </c>
      <c r="AE56" s="167">
        <v>532963.94004261005</v>
      </c>
      <c r="AF56" s="167">
        <v>467337.86054000002</v>
      </c>
      <c r="AG56" s="167">
        <v>454424.70699999999</v>
      </c>
      <c r="AH56" s="167">
        <v>409523.11597899999</v>
      </c>
      <c r="AI56" s="167">
        <v>391128.56099999999</v>
      </c>
      <c r="AJ56" s="167"/>
      <c r="AK56" s="167">
        <v>37898.188999999998</v>
      </c>
      <c r="AL56" s="167">
        <v>40582.080999999998</v>
      </c>
      <c r="AM56" s="167">
        <v>41333.470999999998</v>
      </c>
      <c r="AN56" s="167">
        <v>50008.286836201994</v>
      </c>
      <c r="AO56" s="167">
        <v>54297.417209442443</v>
      </c>
      <c r="AP56" s="167">
        <v>54486.114272112434</v>
      </c>
      <c r="AQ56" s="167">
        <v>67739.510590000005</v>
      </c>
      <c r="AR56" s="167">
        <v>68089.082299999995</v>
      </c>
      <c r="AS56" s="167">
        <v>73439.955393108001</v>
      </c>
      <c r="AT56" s="167">
        <v>71997.882248406604</v>
      </c>
      <c r="AU56" s="167">
        <v>73454.018770187686</v>
      </c>
      <c r="AV56" s="167">
        <v>73056.219669490965</v>
      </c>
      <c r="AW56" s="167">
        <v>67694.236446691008</v>
      </c>
      <c r="AX56" s="167">
        <v>75670.104999999996</v>
      </c>
      <c r="AY56" s="167">
        <v>74131.675000000003</v>
      </c>
      <c r="AZ56" s="167">
        <v>67493.260999999999</v>
      </c>
      <c r="BA56" s="167"/>
      <c r="BB56" s="167">
        <v>173158.03593754568</v>
      </c>
      <c r="BC56" s="167">
        <v>192755.56936652676</v>
      </c>
      <c r="BD56" s="167">
        <v>243136.6498313061</v>
      </c>
      <c r="BE56" s="167">
        <v>229075.96469774732</v>
      </c>
      <c r="BF56" s="167">
        <v>228043.59112183331</v>
      </c>
      <c r="BG56" s="167">
        <v>244517.0998057948</v>
      </c>
      <c r="BH56" s="167">
        <v>276189.14942971262</v>
      </c>
      <c r="BI56" s="167">
        <v>248232.2275998212</v>
      </c>
      <c r="BJ56" s="167">
        <v>295997.52023237501</v>
      </c>
      <c r="BK56" s="167">
        <v>300530.03952954285</v>
      </c>
      <c r="BL56" s="167">
        <v>316821.14712986699</v>
      </c>
      <c r="BM56" s="167">
        <v>290656.54168067907</v>
      </c>
      <c r="BN56" s="167">
        <v>278512.48718438006</v>
      </c>
      <c r="BO56" s="167">
        <v>291794.86913370003</v>
      </c>
      <c r="BP56" s="167">
        <v>259970.16376625502</v>
      </c>
      <c r="BQ56" s="167">
        <v>272205.97344527696</v>
      </c>
      <c r="BR56" s="167"/>
      <c r="BS56" s="167">
        <v>291307.90378068783</v>
      </c>
      <c r="BT56" s="167">
        <v>331409.42589568498</v>
      </c>
      <c r="BU56" s="167">
        <v>356151.83162929711</v>
      </c>
      <c r="BV56" s="167">
        <v>374079.91164935578</v>
      </c>
      <c r="BW56" s="167">
        <v>419509.38716707687</v>
      </c>
      <c r="BX56" s="167">
        <v>468282.67318345071</v>
      </c>
      <c r="BY56" s="167">
        <v>516274.06054831878</v>
      </c>
      <c r="BZ56" s="167">
        <v>544639.0384520907</v>
      </c>
      <c r="CA56" s="167">
        <v>496071.38405014551</v>
      </c>
      <c r="CB56" s="167">
        <v>416400.34058640565</v>
      </c>
      <c r="CC56" s="167">
        <v>478160.42243872309</v>
      </c>
      <c r="CD56" s="167">
        <v>470722.77326049411</v>
      </c>
      <c r="CE56" s="167">
        <v>484410.4574858378</v>
      </c>
      <c r="CF56" s="167">
        <v>471943.2540830425</v>
      </c>
      <c r="CG56" s="167">
        <v>479165.78221857891</v>
      </c>
      <c r="CH56" s="167">
        <v>431519.42739999999</v>
      </c>
      <c r="CI56" s="167"/>
      <c r="CJ56" s="167">
        <v>425784.75150717521</v>
      </c>
      <c r="CK56" s="167">
        <v>411873.41126436263</v>
      </c>
      <c r="CL56" s="167">
        <v>448598.8549784802</v>
      </c>
      <c r="CM56" s="167">
        <v>452199.37884243741</v>
      </c>
      <c r="CN56" s="167">
        <v>453840.55444501177</v>
      </c>
      <c r="CO56" s="167">
        <v>564014.63506075123</v>
      </c>
      <c r="CP56" s="167">
        <v>607988.34458916984</v>
      </c>
      <c r="CQ56" s="167">
        <v>486124.058763612</v>
      </c>
      <c r="CR56" s="167">
        <v>514842.51609878504</v>
      </c>
      <c r="CS56" s="167">
        <v>575944.33313976612</v>
      </c>
      <c r="CT56" s="167">
        <v>527562.2794892682</v>
      </c>
      <c r="CU56" s="167">
        <v>496278.4704803293</v>
      </c>
      <c r="CV56" s="167">
        <v>508319.55624288809</v>
      </c>
      <c r="CW56" s="167">
        <v>530617.26357431849</v>
      </c>
      <c r="CX56" s="167">
        <v>584651.43477688788</v>
      </c>
      <c r="CY56" s="167">
        <v>431372.29445632891</v>
      </c>
      <c r="CZ56" s="167"/>
      <c r="DA56" s="167">
        <v>259512.70302584243</v>
      </c>
      <c r="DB56" s="167">
        <v>321110.07103787101</v>
      </c>
      <c r="DC56" s="167">
        <v>382924.51082332933</v>
      </c>
      <c r="DD56" s="167">
        <v>366150.1169553746</v>
      </c>
      <c r="DE56" s="167">
        <v>408797.33885724487</v>
      </c>
      <c r="DF56" s="167">
        <v>428987.86973761127</v>
      </c>
      <c r="DG56" s="167">
        <v>545508.47029752308</v>
      </c>
      <c r="DH56" s="167">
        <v>498609.56726852624</v>
      </c>
      <c r="DI56" s="167">
        <v>491882.73613880406</v>
      </c>
      <c r="DJ56" s="167">
        <v>442683.02080096811</v>
      </c>
      <c r="DK56" s="167">
        <v>365550.70929830213</v>
      </c>
      <c r="DL56" s="167">
        <v>358375.09771504463</v>
      </c>
      <c r="DM56" s="167">
        <v>380873.63400000002</v>
      </c>
      <c r="DN56" s="167">
        <v>442180.00900000002</v>
      </c>
      <c r="DO56" s="167">
        <v>431036.37299999996</v>
      </c>
      <c r="DP56" s="167">
        <v>449786.75</v>
      </c>
      <c r="DQ56" s="167"/>
      <c r="DR56" s="167">
        <v>46756.092287101899</v>
      </c>
      <c r="DS56" s="167">
        <v>51252.352222211397</v>
      </c>
      <c r="DT56" s="167">
        <v>43220.358648427202</v>
      </c>
      <c r="DU56" s="167">
        <v>48349.725749867001</v>
      </c>
      <c r="DV56" s="167">
        <v>58605.575110382997</v>
      </c>
      <c r="DW56" s="167">
        <v>66223.988115314729</v>
      </c>
      <c r="DX56" s="167">
        <v>82861.176102655692</v>
      </c>
      <c r="DY56" s="167">
        <v>83295.789556688193</v>
      </c>
      <c r="DZ56" s="167">
        <v>81839.89075075349</v>
      </c>
      <c r="EA56" s="167">
        <v>83810.675510022906</v>
      </c>
      <c r="EB56" s="167">
        <v>89922.443806029289</v>
      </c>
      <c r="EC56" s="167">
        <v>95124.824283925991</v>
      </c>
      <c r="ED56" s="167">
        <v>90354.527270000006</v>
      </c>
      <c r="EE56" s="167">
        <v>92437.99136</v>
      </c>
      <c r="EF56" s="167">
        <v>83587.755040000004</v>
      </c>
      <c r="EG56" s="167">
        <v>75656.824590000004</v>
      </c>
      <c r="EH56" s="167">
        <v>74664.096995365093</v>
      </c>
      <c r="EI56" s="167">
        <f>EI55</f>
        <v>82877.291930000007</v>
      </c>
      <c r="EJ56" s="167">
        <f>EJ55</f>
        <v>88592.699200000003</v>
      </c>
      <c r="EK56" s="167">
        <v>134374.549</v>
      </c>
      <c r="EL56" s="167">
        <v>124619.18799999999</v>
      </c>
      <c r="EM56" s="167">
        <v>131719.929</v>
      </c>
      <c r="EN56" s="167">
        <v>149199.54840999999</v>
      </c>
      <c r="EO56" s="167">
        <v>152376.32739999998</v>
      </c>
      <c r="EP56" s="167">
        <v>158210.78294999999</v>
      </c>
      <c r="EQ56" s="167">
        <v>193863.29666137332</v>
      </c>
      <c r="ER56" s="167">
        <v>211476.52206592911</v>
      </c>
      <c r="ES56" s="167">
        <v>204553.83417000002</v>
      </c>
      <c r="ET56" s="167">
        <v>218764.51264158211</v>
      </c>
      <c r="EU56" s="167">
        <v>193867.98746270817</v>
      </c>
      <c r="EV56" s="167">
        <v>211012.4831935305</v>
      </c>
      <c r="EW56" s="167">
        <v>221767.02495278599</v>
      </c>
      <c r="EX56" s="167">
        <v>221423.82199999999</v>
      </c>
      <c r="EY56" s="167">
        <v>214972.49</v>
      </c>
      <c r="EZ56" s="167">
        <v>218274.83</v>
      </c>
      <c r="FA56" s="167"/>
      <c r="FB56" s="167">
        <v>116302.749904419</v>
      </c>
      <c r="FC56" s="167">
        <v>112914.640378019</v>
      </c>
      <c r="FD56" s="167">
        <v>130933.87803296199</v>
      </c>
      <c r="FE56" s="167">
        <v>149173.38508183201</v>
      </c>
      <c r="FF56" s="167">
        <v>152669.628414626</v>
      </c>
      <c r="FG56" s="167">
        <v>197231.65958920601</v>
      </c>
      <c r="FH56" s="167">
        <v>210494.32048673902</v>
      </c>
      <c r="FI56" s="167">
        <v>228733.33101324001</v>
      </c>
      <c r="FJ56" s="167">
        <v>233849.701</v>
      </c>
      <c r="FK56" s="167">
        <v>248377.486889666</v>
      </c>
      <c r="FL56" s="167">
        <v>211867.16309531001</v>
      </c>
      <c r="FM56" s="167">
        <v>248667.39895521599</v>
      </c>
      <c r="FN56" s="167">
        <v>249010.83126000001</v>
      </c>
      <c r="FO56" s="167">
        <v>261706.81672</v>
      </c>
      <c r="FP56" s="167">
        <v>237845.67388999998</v>
      </c>
      <c r="FQ56" s="167">
        <v>245707.57653999998</v>
      </c>
      <c r="FR56" s="167"/>
      <c r="FS56" s="167">
        <v>91512.370999999999</v>
      </c>
      <c r="FT56" s="167">
        <v>111659.02499999999</v>
      </c>
      <c r="FU56" s="167">
        <v>126954.183</v>
      </c>
      <c r="FV56" s="167">
        <v>147045.14508703566</v>
      </c>
      <c r="FW56" s="167">
        <v>148249.28921411154</v>
      </c>
      <c r="FX56" s="167">
        <v>156451.11528364252</v>
      </c>
      <c r="FY56" s="167">
        <v>173292.1959652995</v>
      </c>
      <c r="FZ56" s="167">
        <v>188964.70734896982</v>
      </c>
      <c r="GA56" s="167">
        <v>198623.8972691597</v>
      </c>
      <c r="GB56" s="167">
        <v>216635.19392531272</v>
      </c>
      <c r="GC56" s="167">
        <v>236404.80011395976</v>
      </c>
      <c r="GD56" s="167">
        <v>210858.53991651189</v>
      </c>
      <c r="GE56" s="167">
        <v>196660.56693628174</v>
      </c>
      <c r="GF56" s="167">
        <v>206835.57642502763</v>
      </c>
      <c r="GG56" s="167">
        <v>219275.6828572416</v>
      </c>
      <c r="GH56" s="167">
        <v>224571.33601183179</v>
      </c>
      <c r="GI56" s="167"/>
      <c r="GJ56" s="167">
        <v>52868.241597880879</v>
      </c>
      <c r="GK56" s="167">
        <v>55158.45329777195</v>
      </c>
      <c r="GL56" s="167">
        <v>57916.22277341369</v>
      </c>
      <c r="GM56" s="167">
        <v>67194.460550882941</v>
      </c>
      <c r="GN56" s="167">
        <v>81545.096734338353</v>
      </c>
      <c r="GO56" s="167">
        <v>81632.886673280795</v>
      </c>
      <c r="GP56" s="167">
        <v>93877.759666273836</v>
      </c>
      <c r="GQ56" s="167">
        <v>74956.74567742864</v>
      </c>
      <c r="GR56" s="167">
        <v>78193.911082667109</v>
      </c>
      <c r="GS56" s="167">
        <v>65602.40088127373</v>
      </c>
      <c r="GT56" s="167">
        <v>72920.104480320268</v>
      </c>
      <c r="GU56" s="167">
        <v>98348.727444605931</v>
      </c>
      <c r="GV56" s="167">
        <v>97037.359690964702</v>
      </c>
      <c r="GW56" s="167">
        <v>91107.370435041899</v>
      </c>
      <c r="GX56" s="167">
        <v>98523.05692312849</v>
      </c>
      <c r="GY56" s="167">
        <v>104019.59618108421</v>
      </c>
      <c r="GZ56" s="167"/>
      <c r="HA56" s="167">
        <v>83237</v>
      </c>
      <c r="HB56" s="167">
        <v>81473</v>
      </c>
      <c r="HC56" s="167">
        <v>85413.886309046997</v>
      </c>
      <c r="HD56" s="167">
        <v>89047.922493129998</v>
      </c>
      <c r="HE56" s="167">
        <v>96130.066559793398</v>
      </c>
      <c r="HF56" s="167">
        <v>121992.755514909</v>
      </c>
      <c r="HG56" s="167">
        <v>126519.882999029</v>
      </c>
      <c r="HH56" s="167">
        <v>116175.49106407601</v>
      </c>
      <c r="HI56" s="167">
        <v>121867.70902049799</v>
      </c>
      <c r="HJ56" s="167">
        <v>117721.494565381</v>
      </c>
      <c r="HK56" s="167">
        <v>138427.94329502599</v>
      </c>
      <c r="HL56" s="167">
        <v>132835.09312937901</v>
      </c>
      <c r="HM56" s="167">
        <v>108242.14191396099</v>
      </c>
      <c r="HN56" s="167">
        <v>110815.785</v>
      </c>
      <c r="HO56" s="167">
        <v>118042.307</v>
      </c>
      <c r="HP56" s="167">
        <v>118292.577</v>
      </c>
      <c r="HQ56" s="199"/>
    </row>
    <row r="57" spans="1:225" s="252" customFormat="1" ht="13.7" customHeight="1">
      <c r="A57" s="252" t="s">
        <v>277</v>
      </c>
      <c r="B57" s="269">
        <v>16</v>
      </c>
      <c r="C57" s="70">
        <f>C54</f>
        <v>32644.372461278101</v>
      </c>
      <c r="D57" s="70">
        <f t="shared" ref="D57:S57" si="10">D54</f>
        <v>33989.78368583</v>
      </c>
      <c r="E57" s="70">
        <f t="shared" si="10"/>
        <v>37658.377116216798</v>
      </c>
      <c r="F57" s="70">
        <f t="shared" si="10"/>
        <v>39959.378599711999</v>
      </c>
      <c r="G57" s="70">
        <f t="shared" si="10"/>
        <v>46087.463131805001</v>
      </c>
      <c r="H57" s="70">
        <f t="shared" si="10"/>
        <v>53239.636389662104</v>
      </c>
      <c r="I57" s="70">
        <f t="shared" si="10"/>
        <v>58764.115947737497</v>
      </c>
      <c r="J57" s="70">
        <f t="shared" si="10"/>
        <v>66417.409985292601</v>
      </c>
      <c r="K57" s="70">
        <f t="shared" si="10"/>
        <v>77223.594865233899</v>
      </c>
      <c r="L57" s="70">
        <f t="shared" si="10"/>
        <v>73579.8426807426</v>
      </c>
      <c r="M57" s="70">
        <f t="shared" si="10"/>
        <v>40562.178874851801</v>
      </c>
      <c r="N57" s="70">
        <f t="shared" si="10"/>
        <v>46909.595999999998</v>
      </c>
      <c r="O57" s="70">
        <f t="shared" si="10"/>
        <v>55849.335000000006</v>
      </c>
      <c r="P57" s="70">
        <f t="shared" si="10"/>
        <v>55021.766000000003</v>
      </c>
      <c r="Q57" s="70">
        <f t="shared" si="10"/>
        <v>53278.416409999998</v>
      </c>
      <c r="R57" s="70">
        <f t="shared" si="10"/>
        <v>54940.209000000003</v>
      </c>
      <c r="S57" s="70">
        <f t="shared" si="10"/>
        <v>59831.430977440999</v>
      </c>
      <c r="T57" s="70">
        <f t="shared" ref="T57:AJ57" si="11">T54</f>
        <v>357834.496219308</v>
      </c>
      <c r="U57" s="70">
        <f t="shared" si="11"/>
        <v>316522.99188389303</v>
      </c>
      <c r="V57" s="70">
        <f t="shared" si="11"/>
        <v>467809.12217390706</v>
      </c>
      <c r="W57" s="70">
        <f t="shared" si="11"/>
        <v>441027.33814656798</v>
      </c>
      <c r="X57" s="70">
        <f t="shared" si="11"/>
        <v>511184.26885726303</v>
      </c>
      <c r="Y57" s="70">
        <f t="shared" si="11"/>
        <v>506684.85404769296</v>
      </c>
      <c r="Z57" s="70">
        <f t="shared" si="11"/>
        <v>577601.0955064391</v>
      </c>
      <c r="AA57" s="70">
        <f t="shared" si="11"/>
        <v>471121.68333051505</v>
      </c>
      <c r="AB57" s="70">
        <f t="shared" si="11"/>
        <v>539569.59182207996</v>
      </c>
      <c r="AC57" s="70">
        <f t="shared" si="11"/>
        <v>647227.97580349504</v>
      </c>
      <c r="AD57" s="70">
        <f t="shared" si="11"/>
        <v>588178.86646726506</v>
      </c>
      <c r="AE57" s="70">
        <f t="shared" si="11"/>
        <v>529666.46092261001</v>
      </c>
      <c r="AF57" s="70">
        <f t="shared" si="11"/>
        <v>463137.071</v>
      </c>
      <c r="AG57" s="70">
        <f t="shared" si="11"/>
        <v>445750.647</v>
      </c>
      <c r="AH57" s="70">
        <f t="shared" si="11"/>
        <v>403448.37900000002</v>
      </c>
      <c r="AI57" s="70">
        <f t="shared" si="11"/>
        <v>386315.228</v>
      </c>
      <c r="AJ57" s="70">
        <f t="shared" si="11"/>
        <v>346084.66399999999</v>
      </c>
      <c r="AK57" s="70">
        <f t="shared" ref="AK57:BA57" si="12">AK54</f>
        <v>26412.589009526593</v>
      </c>
      <c r="AL57" s="70">
        <f t="shared" si="12"/>
        <v>31329.710649259305</v>
      </c>
      <c r="AM57" s="70">
        <f t="shared" si="12"/>
        <v>31120.531390019252</v>
      </c>
      <c r="AN57" s="70">
        <f t="shared" si="12"/>
        <v>37629.540867755153</v>
      </c>
      <c r="AO57" s="70">
        <f t="shared" si="12"/>
        <v>42279.50798262329</v>
      </c>
      <c r="AP57" s="70">
        <f t="shared" si="12"/>
        <v>40682.50401969807</v>
      </c>
      <c r="AQ57" s="70">
        <f t="shared" si="12"/>
        <v>52808.972782802135</v>
      </c>
      <c r="AR57" s="70">
        <f t="shared" si="12"/>
        <v>52531.24811007821</v>
      </c>
      <c r="AS57" s="70">
        <f t="shared" si="12"/>
        <v>55150.625983108068</v>
      </c>
      <c r="AT57" s="70">
        <f t="shared" si="12"/>
        <v>54114.799686988088</v>
      </c>
      <c r="AU57" s="70">
        <f t="shared" si="12"/>
        <v>55931.882749594763</v>
      </c>
      <c r="AV57" s="70">
        <f t="shared" si="12"/>
        <v>55013.03182762162</v>
      </c>
      <c r="AW57" s="70">
        <f t="shared" si="12"/>
        <v>48786.43161912472</v>
      </c>
      <c r="AX57" s="70">
        <f t="shared" si="12"/>
        <v>55927.707030221893</v>
      </c>
      <c r="AY57" s="70">
        <f t="shared" si="12"/>
        <v>53516.156825532875</v>
      </c>
      <c r="AZ57" s="70">
        <f t="shared" si="12"/>
        <v>46752.039703464063</v>
      </c>
      <c r="BA57" s="70">
        <f t="shared" si="12"/>
        <v>49770.854958085292</v>
      </c>
      <c r="BB57" s="70">
        <f t="shared" ref="BB57:BR57" si="13">BB54</f>
        <v>156824.91789216301</v>
      </c>
      <c r="BC57" s="70">
        <f t="shared" si="13"/>
        <v>176841.394432931</v>
      </c>
      <c r="BD57" s="70">
        <f t="shared" si="13"/>
        <v>224408.06001672801</v>
      </c>
      <c r="BE57" s="70">
        <f t="shared" si="13"/>
        <v>214131.30026509601</v>
      </c>
      <c r="BF57" s="70">
        <f t="shared" si="13"/>
        <v>210431.13798086398</v>
      </c>
      <c r="BG57" s="70">
        <f t="shared" si="13"/>
        <v>229554.29065953402</v>
      </c>
      <c r="BH57" s="70">
        <f t="shared" si="13"/>
        <v>240838.12724750797</v>
      </c>
      <c r="BI57" s="70">
        <f t="shared" si="13"/>
        <v>222645.27398422701</v>
      </c>
      <c r="BJ57" s="70">
        <f t="shared" si="13"/>
        <v>258321.99304766802</v>
      </c>
      <c r="BK57" s="70">
        <f t="shared" si="13"/>
        <v>270954.43519109796</v>
      </c>
      <c r="BL57" s="70">
        <f t="shared" si="13"/>
        <v>295663.49812986702</v>
      </c>
      <c r="BM57" s="70">
        <f t="shared" si="13"/>
        <v>276143.80499999999</v>
      </c>
      <c r="BN57" s="70">
        <f t="shared" si="13"/>
        <v>257322.89818438003</v>
      </c>
      <c r="BO57" s="70">
        <f t="shared" si="13"/>
        <v>248955.63635370001</v>
      </c>
      <c r="BP57" s="70">
        <f t="shared" si="13"/>
        <v>226772.79477854402</v>
      </c>
      <c r="BQ57" s="70">
        <f t="shared" si="13"/>
        <v>244843.380445277</v>
      </c>
      <c r="BR57" s="70">
        <f t="shared" si="13"/>
        <v>245425.10500000001</v>
      </c>
      <c r="BS57" s="70">
        <f t="shared" ref="BS57:CI57" si="14">BS54</f>
        <v>189286.786515969</v>
      </c>
      <c r="BT57" s="70">
        <f t="shared" si="14"/>
        <v>229999.82498122202</v>
      </c>
      <c r="BU57" s="70">
        <f t="shared" si="14"/>
        <v>249220.28103108701</v>
      </c>
      <c r="BV57" s="70">
        <f t="shared" si="14"/>
        <v>269392.65438000002</v>
      </c>
      <c r="BW57" s="70">
        <f t="shared" si="14"/>
        <v>278759.46135</v>
      </c>
      <c r="BX57" s="70">
        <f t="shared" si="14"/>
        <v>317627.73702</v>
      </c>
      <c r="BY57" s="70">
        <f t="shared" si="14"/>
        <v>350958.66492000007</v>
      </c>
      <c r="BZ57" s="70">
        <f t="shared" si="14"/>
        <v>387877.9989499998</v>
      </c>
      <c r="CA57" s="70">
        <f t="shared" si="14"/>
        <v>365738.55767000001</v>
      </c>
      <c r="CB57" s="70">
        <f t="shared" si="14"/>
        <v>381461.5461299998</v>
      </c>
      <c r="CC57" s="70">
        <f t="shared" si="14"/>
        <v>344893.63842298696</v>
      </c>
      <c r="CD57" s="70">
        <f t="shared" si="14"/>
        <v>353346.31027999998</v>
      </c>
      <c r="CE57" s="70">
        <f t="shared" si="14"/>
        <v>362234.78839999996</v>
      </c>
      <c r="CF57" s="70">
        <f t="shared" si="14"/>
        <v>350114.929</v>
      </c>
      <c r="CG57" s="70">
        <f t="shared" si="14"/>
        <v>338318.7</v>
      </c>
      <c r="CH57" s="70">
        <f t="shared" si="14"/>
        <v>394441.64827462204</v>
      </c>
      <c r="CI57" s="70">
        <f t="shared" si="14"/>
        <v>422580.21130494471</v>
      </c>
      <c r="CJ57" s="70">
        <f t="shared" ref="CJ57:DQ57" si="15">CJ54</f>
        <v>259957.891</v>
      </c>
      <c r="CK57" s="70">
        <f t="shared" si="15"/>
        <v>241890.48055000001</v>
      </c>
      <c r="CL57" s="70">
        <f t="shared" si="15"/>
        <v>269457.2365</v>
      </c>
      <c r="CM57" s="70">
        <f t="shared" si="15"/>
        <v>270466.59799000004</v>
      </c>
      <c r="CN57" s="70">
        <f t="shared" si="15"/>
        <v>270621.21470000001</v>
      </c>
      <c r="CO57" s="70">
        <f t="shared" si="15"/>
        <v>345122.06182</v>
      </c>
      <c r="CP57" s="70">
        <f t="shared" si="15"/>
        <v>363976.48437000008</v>
      </c>
      <c r="CQ57" s="70">
        <f t="shared" si="15"/>
        <v>298481.04830000014</v>
      </c>
      <c r="CR57" s="70">
        <f t="shared" si="15"/>
        <v>308046.36037000001</v>
      </c>
      <c r="CS57" s="70">
        <f t="shared" si="15"/>
        <v>362830.15773000004</v>
      </c>
      <c r="CT57" s="70">
        <f t="shared" si="15"/>
        <v>371607.978</v>
      </c>
      <c r="CU57" s="70">
        <f t="shared" si="15"/>
        <v>341013.31</v>
      </c>
      <c r="CV57" s="70">
        <f t="shared" si="15"/>
        <v>357962.68099999998</v>
      </c>
      <c r="CW57" s="70">
        <f t="shared" si="15"/>
        <v>368947.33100000001</v>
      </c>
      <c r="CX57" s="70">
        <f t="shared" si="15"/>
        <v>390182.78992536996</v>
      </c>
      <c r="CY57" s="70">
        <f t="shared" si="15"/>
        <v>345735.46599798696</v>
      </c>
      <c r="CZ57" s="70">
        <f t="shared" si="15"/>
        <v>359914.5709396</v>
      </c>
      <c r="DA57" s="70">
        <f t="shared" si="15"/>
        <v>198507.61938633298</v>
      </c>
      <c r="DB57" s="70">
        <f t="shared" si="15"/>
        <v>249199.63407414002</v>
      </c>
      <c r="DC57" s="70">
        <f t="shared" si="15"/>
        <v>304612.28626150603</v>
      </c>
      <c r="DD57" s="70">
        <f t="shared" si="15"/>
        <v>296582.84979402204</v>
      </c>
      <c r="DE57" s="70">
        <f t="shared" si="15"/>
        <v>324946.11772000004</v>
      </c>
      <c r="DF57" s="70">
        <f t="shared" si="15"/>
        <v>336208.00537622103</v>
      </c>
      <c r="DG57" s="70">
        <f t="shared" si="15"/>
        <v>429455.71274000197</v>
      </c>
      <c r="DH57" s="70">
        <f t="shared" si="15"/>
        <v>401260.42950844707</v>
      </c>
      <c r="DI57" s="70">
        <f t="shared" si="15"/>
        <v>390948.49645502307</v>
      </c>
      <c r="DJ57" s="70">
        <f t="shared" si="15"/>
        <v>391299.86702397501</v>
      </c>
      <c r="DK57" s="70">
        <f t="shared" si="15"/>
        <v>313936.839553856</v>
      </c>
      <c r="DL57" s="70">
        <f t="shared" si="15"/>
        <v>321942.69254999899</v>
      </c>
      <c r="DM57" s="70">
        <f t="shared" si="15"/>
        <v>345390.71399999998</v>
      </c>
      <c r="DN57" s="70">
        <f t="shared" si="15"/>
        <v>401766.886</v>
      </c>
      <c r="DO57" s="70">
        <f t="shared" si="15"/>
        <v>394653.58999999997</v>
      </c>
      <c r="DP57" s="70">
        <f t="shared" si="15"/>
        <v>385622.45292000001</v>
      </c>
      <c r="DQ57" s="70">
        <f t="shared" si="15"/>
        <v>360871.69400000002</v>
      </c>
      <c r="DR57" s="70">
        <f t="shared" ref="DR57:EH57" si="16">DR54</f>
        <v>46756.092287101899</v>
      </c>
      <c r="DS57" s="70">
        <f t="shared" si="16"/>
        <v>51252.352222211397</v>
      </c>
      <c r="DT57" s="70">
        <f t="shared" si="16"/>
        <v>43220.358648427202</v>
      </c>
      <c r="DU57" s="70">
        <f t="shared" si="16"/>
        <v>48349.725749867001</v>
      </c>
      <c r="DV57" s="70">
        <f t="shared" si="16"/>
        <v>58605.575110382997</v>
      </c>
      <c r="DW57" s="70">
        <f t="shared" si="16"/>
        <v>59886.898408099398</v>
      </c>
      <c r="DX57" s="70">
        <f t="shared" si="16"/>
        <v>70098.067766092601</v>
      </c>
      <c r="DY57" s="70">
        <f t="shared" si="16"/>
        <v>69150.303926688197</v>
      </c>
      <c r="DZ57" s="70">
        <f t="shared" si="16"/>
        <v>69918.556613006105</v>
      </c>
      <c r="EA57" s="70">
        <f t="shared" si="16"/>
        <v>73079.730390022902</v>
      </c>
      <c r="EB57" s="70">
        <f t="shared" si="16"/>
        <v>78683.548999999999</v>
      </c>
      <c r="EC57" s="70">
        <f t="shared" si="16"/>
        <v>84039.021999999997</v>
      </c>
      <c r="ED57" s="70">
        <f t="shared" si="16"/>
        <v>79198.771999999997</v>
      </c>
      <c r="EE57" s="70">
        <f t="shared" si="16"/>
        <v>84456.982650000005</v>
      </c>
      <c r="EF57" s="70">
        <f t="shared" si="16"/>
        <v>73865.819759999998</v>
      </c>
      <c r="EG57" s="70">
        <f t="shared" si="16"/>
        <v>63000.526098240101</v>
      </c>
      <c r="EH57" s="70">
        <f t="shared" si="16"/>
        <v>58309.291075907073</v>
      </c>
      <c r="EI57" s="70">
        <f t="shared" ref="EI57:EJ57" si="17">EI54</f>
        <v>82877.291930000007</v>
      </c>
      <c r="EJ57" s="70">
        <f t="shared" si="17"/>
        <v>88592.699200000003</v>
      </c>
      <c r="EK57" s="70">
        <f t="shared" ref="EK57:FA57" si="18">EK54</f>
        <v>116861.47857915258</v>
      </c>
      <c r="EL57" s="70">
        <f t="shared" si="18"/>
        <v>106359.56772461215</v>
      </c>
      <c r="EM57" s="70">
        <f t="shared" si="18"/>
        <v>113514.72915098233</v>
      </c>
      <c r="EN57" s="70">
        <f t="shared" si="18"/>
        <v>128379.6119855967</v>
      </c>
      <c r="EO57" s="70">
        <f t="shared" si="18"/>
        <v>127280.19704758523</v>
      </c>
      <c r="EP57" s="70">
        <f t="shared" si="18"/>
        <v>137174.04028031268</v>
      </c>
      <c r="EQ57" s="70">
        <f t="shared" si="18"/>
        <v>167745.95206778086</v>
      </c>
      <c r="ER57" s="70">
        <f t="shared" si="18"/>
        <v>183726.35284227453</v>
      </c>
      <c r="ES57" s="70">
        <f t="shared" si="18"/>
        <v>171080.18289509552</v>
      </c>
      <c r="ET57" s="70">
        <f t="shared" si="18"/>
        <v>186774.27334163259</v>
      </c>
      <c r="EU57" s="70">
        <f t="shared" si="18"/>
        <v>162437.30997135999</v>
      </c>
      <c r="EV57" s="70">
        <f t="shared" si="18"/>
        <v>178539.1076349763</v>
      </c>
      <c r="EW57" s="70">
        <f t="shared" si="18"/>
        <v>187773.30476145935</v>
      </c>
      <c r="EX57" s="70">
        <f t="shared" si="18"/>
        <v>185804.4277592494</v>
      </c>
      <c r="EY57" s="70">
        <f t="shared" si="18"/>
        <v>177630.56194133652</v>
      </c>
      <c r="EZ57" s="70">
        <f t="shared" si="18"/>
        <v>180705.20953499887</v>
      </c>
      <c r="FA57" s="70">
        <f t="shared" si="18"/>
        <v>191487.34181872383</v>
      </c>
      <c r="FB57" s="70">
        <f t="shared" ref="FB57:FR57" si="19">FB54</f>
        <v>116302.749904419</v>
      </c>
      <c r="FC57" s="70">
        <f t="shared" si="19"/>
        <v>112914.640378019</v>
      </c>
      <c r="FD57" s="70">
        <f t="shared" si="19"/>
        <v>130933.87803296199</v>
      </c>
      <c r="FE57" s="70">
        <f t="shared" si="19"/>
        <v>149173.38508183201</v>
      </c>
      <c r="FF57" s="70">
        <f t="shared" si="19"/>
        <v>152669.628414626</v>
      </c>
      <c r="FG57" s="70">
        <f t="shared" si="19"/>
        <v>197231.65958920601</v>
      </c>
      <c r="FH57" s="70">
        <f t="shared" si="19"/>
        <v>210494.32048673902</v>
      </c>
      <c r="FI57" s="70">
        <f t="shared" si="19"/>
        <v>228733.33101324001</v>
      </c>
      <c r="FJ57" s="70">
        <f t="shared" si="19"/>
        <v>233849.701</v>
      </c>
      <c r="FK57" s="70">
        <f t="shared" si="19"/>
        <v>248377.486889666</v>
      </c>
      <c r="FL57" s="70">
        <f t="shared" si="19"/>
        <v>211867.16309531001</v>
      </c>
      <c r="FM57" s="70">
        <f t="shared" si="19"/>
        <v>248667.39895521599</v>
      </c>
      <c r="FN57" s="70">
        <f t="shared" si="19"/>
        <v>249010.83126000001</v>
      </c>
      <c r="FO57" s="70">
        <f t="shared" si="19"/>
        <v>261706.81672</v>
      </c>
      <c r="FP57" s="70">
        <f t="shared" si="19"/>
        <v>237845.67388999998</v>
      </c>
      <c r="FQ57" s="70">
        <f t="shared" si="19"/>
        <v>245707.57653999998</v>
      </c>
      <c r="FR57" s="70">
        <f t="shared" si="19"/>
        <v>268338.46308999998</v>
      </c>
      <c r="FS57" s="70">
        <f t="shared" ref="FS57:HQ57" si="20">FS54</f>
        <v>82540.040999999997</v>
      </c>
      <c r="FT57" s="70">
        <f t="shared" si="20"/>
        <v>104522.864</v>
      </c>
      <c r="FU57" s="70">
        <f t="shared" si="20"/>
        <v>117354.963</v>
      </c>
      <c r="FV57" s="70">
        <f t="shared" si="20"/>
        <v>139244.32199999999</v>
      </c>
      <c r="FW57" s="70">
        <f t="shared" si="20"/>
        <v>139237.07999999999</v>
      </c>
      <c r="FX57" s="70">
        <f t="shared" si="20"/>
        <v>145236.239</v>
      </c>
      <c r="FY57" s="70">
        <f t="shared" si="20"/>
        <v>158632.40400000001</v>
      </c>
      <c r="FZ57" s="70">
        <f t="shared" si="20"/>
        <v>181028.39600000001</v>
      </c>
      <c r="GA57" s="70">
        <f t="shared" si="20"/>
        <v>189806.67514137062</v>
      </c>
      <c r="GB57" s="70">
        <f t="shared" si="20"/>
        <v>204651.59938180444</v>
      </c>
      <c r="GC57" s="70">
        <f t="shared" si="20"/>
        <v>229428.02527883899</v>
      </c>
      <c r="GD57" s="70">
        <f t="shared" si="20"/>
        <v>204947.924709871</v>
      </c>
      <c r="GE57" s="70">
        <f t="shared" si="20"/>
        <v>193557.933375539</v>
      </c>
      <c r="GF57" s="70">
        <f t="shared" si="20"/>
        <v>207291.49917065373</v>
      </c>
      <c r="GG57" s="70">
        <f t="shared" si="20"/>
        <v>220782.63455930998</v>
      </c>
      <c r="GH57" s="70">
        <f t="shared" si="20"/>
        <v>223482.91283174796</v>
      </c>
      <c r="GI57" s="70">
        <f t="shared" si="20"/>
        <v>219288.94666366841</v>
      </c>
      <c r="GJ57" s="70">
        <f t="shared" si="20"/>
        <v>48648.823897879505</v>
      </c>
      <c r="GK57" s="70">
        <f t="shared" si="20"/>
        <v>50748.109417397798</v>
      </c>
      <c r="GL57" s="70">
        <f t="shared" si="20"/>
        <v>53289.0230297776</v>
      </c>
      <c r="GM57" s="70">
        <f t="shared" si="20"/>
        <v>61973.7059213752</v>
      </c>
      <c r="GN57" s="70">
        <f t="shared" si="20"/>
        <v>75037.978098049192</v>
      </c>
      <c r="GO57" s="70">
        <f t="shared" si="20"/>
        <v>74900.179665433403</v>
      </c>
      <c r="GP57" s="70">
        <f t="shared" si="20"/>
        <v>84369.777789408996</v>
      </c>
      <c r="GQ57" s="70">
        <f t="shared" si="20"/>
        <v>70674.63604085501</v>
      </c>
      <c r="GR57" s="70">
        <f t="shared" si="20"/>
        <v>74075.862810526407</v>
      </c>
      <c r="GS57" s="70">
        <f t="shared" si="20"/>
        <v>64088.129960287195</v>
      </c>
      <c r="GT57" s="70">
        <f t="shared" si="20"/>
        <v>69929.810763066795</v>
      </c>
      <c r="GU57" s="70">
        <f t="shared" si="20"/>
        <v>93577.683630547996</v>
      </c>
      <c r="GV57" s="70">
        <f t="shared" si="20"/>
        <v>86416.346934444198</v>
      </c>
      <c r="GW57" s="70">
        <f t="shared" si="20"/>
        <v>78404.001088851903</v>
      </c>
      <c r="GX57" s="70">
        <f t="shared" si="20"/>
        <v>82673.057705970088</v>
      </c>
      <c r="GY57" s="70">
        <f t="shared" si="20"/>
        <v>89966.613204571317</v>
      </c>
      <c r="GZ57" s="70">
        <f t="shared" si="20"/>
        <v>91390.233242584902</v>
      </c>
      <c r="HA57" s="70">
        <f t="shared" si="20"/>
        <v>83237</v>
      </c>
      <c r="HB57" s="70">
        <f t="shared" si="20"/>
        <v>81473</v>
      </c>
      <c r="HC57" s="70">
        <f t="shared" si="20"/>
        <v>85413.886309046997</v>
      </c>
      <c r="HD57" s="70">
        <f t="shared" si="20"/>
        <v>89047.922493129998</v>
      </c>
      <c r="HE57" s="70">
        <f t="shared" si="20"/>
        <v>96130.066559793398</v>
      </c>
      <c r="HF57" s="70">
        <f t="shared" si="20"/>
        <v>121992.755514909</v>
      </c>
      <c r="HG57" s="70">
        <f t="shared" si="20"/>
        <v>126519.882999029</v>
      </c>
      <c r="HH57" s="70">
        <f t="shared" si="20"/>
        <v>116175.49106407601</v>
      </c>
      <c r="HI57" s="70">
        <f t="shared" si="20"/>
        <v>121867.70902049799</v>
      </c>
      <c r="HJ57" s="70">
        <f t="shared" si="20"/>
        <v>117721.494565381</v>
      </c>
      <c r="HK57" s="70">
        <f t="shared" si="20"/>
        <v>138427.94329502599</v>
      </c>
      <c r="HL57" s="70">
        <f t="shared" si="20"/>
        <v>132835.09312937901</v>
      </c>
      <c r="HM57" s="70">
        <f t="shared" si="20"/>
        <v>108242.14191396099</v>
      </c>
      <c r="HN57" s="70">
        <f t="shared" si="20"/>
        <v>110815.785</v>
      </c>
      <c r="HO57" s="70">
        <f t="shared" si="20"/>
        <v>118042.307</v>
      </c>
      <c r="HP57" s="70">
        <f t="shared" si="20"/>
        <v>118292.577</v>
      </c>
      <c r="HQ57" s="70">
        <f t="shared" si="20"/>
        <v>124679.376</v>
      </c>
    </row>
    <row r="58" spans="1:225" s="252" customFormat="1" ht="13.7" customHeight="1">
      <c r="A58" s="252" t="s">
        <v>278</v>
      </c>
      <c r="B58" s="269">
        <v>17</v>
      </c>
      <c r="C58" s="70">
        <f>C55</f>
        <v>38538.624900945346</v>
      </c>
      <c r="D58" s="70">
        <f t="shared" ref="D58:S58" si="21">D55</f>
        <v>40555.568802439702</v>
      </c>
      <c r="E58" s="70">
        <f t="shared" si="21"/>
        <v>44812.70258129912</v>
      </c>
      <c r="F58" s="70">
        <f t="shared" si="21"/>
        <v>46821.896889849857</v>
      </c>
      <c r="G58" s="70">
        <f t="shared" si="21"/>
        <v>55266.38145396336</v>
      </c>
      <c r="H58" s="70">
        <f t="shared" si="21"/>
        <v>63737.765832817691</v>
      </c>
      <c r="I58" s="70">
        <f t="shared" si="21"/>
        <v>70608.373543978203</v>
      </c>
      <c r="J58" s="70">
        <f t="shared" si="21"/>
        <v>77834.327675292603</v>
      </c>
      <c r="K58" s="70">
        <f t="shared" si="21"/>
        <v>88864.580625233939</v>
      </c>
      <c r="L58" s="70">
        <f t="shared" si="21"/>
        <v>86548.092643177908</v>
      </c>
      <c r="M58" s="70">
        <f t="shared" si="21"/>
        <v>52497.721534325196</v>
      </c>
      <c r="N58" s="70">
        <f t="shared" si="21"/>
        <v>58245.248035999997</v>
      </c>
      <c r="O58" s="70">
        <f t="shared" si="21"/>
        <v>72071.139840504809</v>
      </c>
      <c r="P58" s="70">
        <f t="shared" si="21"/>
        <v>70694.304359999995</v>
      </c>
      <c r="Q58" s="70">
        <f t="shared" si="21"/>
        <v>68958.093410000001</v>
      </c>
      <c r="R58" s="70">
        <f t="shared" si="21"/>
        <v>66360.226999999999</v>
      </c>
      <c r="S58" s="70">
        <f t="shared" si="21"/>
        <v>71365.648977441</v>
      </c>
      <c r="T58" s="70">
        <f t="shared" ref="T58:AJ58" si="22">T55</f>
        <v>359429.30472414085</v>
      </c>
      <c r="U58" s="70">
        <f t="shared" si="22"/>
        <v>319120.88969815226</v>
      </c>
      <c r="V58" s="70">
        <f t="shared" si="22"/>
        <v>470681.79458618024</v>
      </c>
      <c r="W58" s="70">
        <f t="shared" si="22"/>
        <v>443700.63762656803</v>
      </c>
      <c r="X58" s="70">
        <f t="shared" si="22"/>
        <v>516405.56407726306</v>
      </c>
      <c r="Y58" s="70">
        <f t="shared" si="22"/>
        <v>513411.9445176929</v>
      </c>
      <c r="Z58" s="70">
        <f t="shared" si="22"/>
        <v>583745.18660643906</v>
      </c>
      <c r="AA58" s="70">
        <f t="shared" si="22"/>
        <v>475807.76904051501</v>
      </c>
      <c r="AB58" s="70">
        <f t="shared" si="22"/>
        <v>543068.58082208002</v>
      </c>
      <c r="AC58" s="70">
        <f t="shared" si="22"/>
        <v>652527.45930349501</v>
      </c>
      <c r="AD58" s="70">
        <f t="shared" si="22"/>
        <v>590738.86946726497</v>
      </c>
      <c r="AE58" s="70">
        <f t="shared" si="22"/>
        <v>533275.74492261</v>
      </c>
      <c r="AF58" s="70">
        <f t="shared" si="22"/>
        <v>467980.26400000002</v>
      </c>
      <c r="AG58" s="70">
        <f t="shared" si="22"/>
        <v>454424.70699999999</v>
      </c>
      <c r="AH58" s="70">
        <f t="shared" si="22"/>
        <v>409523.11597899999</v>
      </c>
      <c r="AI58" s="70">
        <f t="shared" si="22"/>
        <v>390331.33600000001</v>
      </c>
      <c r="AJ58" s="70">
        <f t="shared" si="22"/>
        <v>350363.98100000003</v>
      </c>
      <c r="AK58" s="70">
        <f t="shared" ref="AK58:BA58" si="23">AK55</f>
        <v>37898.188999999998</v>
      </c>
      <c r="AL58" s="70">
        <f t="shared" si="23"/>
        <v>40582.080999999998</v>
      </c>
      <c r="AM58" s="70">
        <f t="shared" si="23"/>
        <v>41333.470999999998</v>
      </c>
      <c r="AN58" s="70">
        <f t="shared" si="23"/>
        <v>50008.286836201994</v>
      </c>
      <c r="AO58" s="70">
        <f t="shared" si="23"/>
        <v>54297.417209442443</v>
      </c>
      <c r="AP58" s="70">
        <f t="shared" si="23"/>
        <v>54486.114272112434</v>
      </c>
      <c r="AQ58" s="70">
        <f t="shared" si="23"/>
        <v>67739.510590000005</v>
      </c>
      <c r="AR58" s="70">
        <f t="shared" si="23"/>
        <v>68089.082299999995</v>
      </c>
      <c r="AS58" s="70">
        <f t="shared" si="23"/>
        <v>73439.955393108001</v>
      </c>
      <c r="AT58" s="70">
        <f t="shared" si="23"/>
        <v>71997.882248406604</v>
      </c>
      <c r="AU58" s="70">
        <f t="shared" si="23"/>
        <v>73454.018770187686</v>
      </c>
      <c r="AV58" s="70">
        <f t="shared" si="23"/>
        <v>73056.219669490965</v>
      </c>
      <c r="AW58" s="70">
        <f t="shared" si="23"/>
        <v>67694.236446691008</v>
      </c>
      <c r="AX58" s="70">
        <f t="shared" si="23"/>
        <v>75670.104999999996</v>
      </c>
      <c r="AY58" s="70">
        <f t="shared" si="23"/>
        <v>74131.675000000003</v>
      </c>
      <c r="AZ58" s="70">
        <f t="shared" si="23"/>
        <v>67493.260999999999</v>
      </c>
      <c r="BA58" s="70">
        <f t="shared" si="23"/>
        <v>71238.019</v>
      </c>
      <c r="BB58" s="70">
        <f t="shared" ref="BB58:BR58" si="24">BB55</f>
        <v>173158.03593754568</v>
      </c>
      <c r="BC58" s="70">
        <f t="shared" si="24"/>
        <v>192755.56936652676</v>
      </c>
      <c r="BD58" s="70">
        <f t="shared" si="24"/>
        <v>243136.6498313061</v>
      </c>
      <c r="BE58" s="70">
        <f t="shared" si="24"/>
        <v>229075.96469774732</v>
      </c>
      <c r="BF58" s="70">
        <f t="shared" si="24"/>
        <v>228043.59112183331</v>
      </c>
      <c r="BG58" s="70">
        <f t="shared" si="24"/>
        <v>244517.0998057948</v>
      </c>
      <c r="BH58" s="70">
        <f t="shared" si="24"/>
        <v>276189.14942971262</v>
      </c>
      <c r="BI58" s="70">
        <f t="shared" si="24"/>
        <v>248232.2275998212</v>
      </c>
      <c r="BJ58" s="70">
        <f t="shared" si="24"/>
        <v>295997.52023237501</v>
      </c>
      <c r="BK58" s="70">
        <f t="shared" si="24"/>
        <v>300530.03952954285</v>
      </c>
      <c r="BL58" s="70">
        <f t="shared" si="24"/>
        <v>316821.14712986699</v>
      </c>
      <c r="BM58" s="70">
        <f t="shared" si="24"/>
        <v>290656.54168067907</v>
      </c>
      <c r="BN58" s="70">
        <f t="shared" si="24"/>
        <v>278512.48718438006</v>
      </c>
      <c r="BO58" s="70">
        <f t="shared" si="24"/>
        <v>291794.86913370003</v>
      </c>
      <c r="BP58" s="70">
        <f t="shared" si="24"/>
        <v>259970.16376625502</v>
      </c>
      <c r="BQ58" s="70">
        <f t="shared" si="24"/>
        <v>272205.97344527696</v>
      </c>
      <c r="BR58" s="70">
        <f t="shared" si="24"/>
        <v>276174.46399999998</v>
      </c>
      <c r="BS58" s="70">
        <f t="shared" ref="BS58:CI58" si="25">BS55</f>
        <v>203391.00643221589</v>
      </c>
      <c r="BT58" s="70">
        <f t="shared" si="25"/>
        <v>245038.43019628001</v>
      </c>
      <c r="BU58" s="70">
        <f t="shared" si="25"/>
        <v>270734.64824942936</v>
      </c>
      <c r="BV58" s="70">
        <f t="shared" si="25"/>
        <v>289293.06264344038</v>
      </c>
      <c r="BW58" s="70">
        <f t="shared" si="25"/>
        <v>290823.1193110157</v>
      </c>
      <c r="BX58" s="70">
        <f t="shared" si="25"/>
        <v>332430.89486645564</v>
      </c>
      <c r="BY58" s="70">
        <f t="shared" si="25"/>
        <v>370283.76816004416</v>
      </c>
      <c r="BZ58" s="70">
        <f t="shared" si="25"/>
        <v>407311.95354971435</v>
      </c>
      <c r="CA58" s="70">
        <f t="shared" si="25"/>
        <v>390233.18903118349</v>
      </c>
      <c r="CB58" s="70">
        <f t="shared" si="25"/>
        <v>421671.38971983065</v>
      </c>
      <c r="CC58" s="70">
        <f t="shared" si="25"/>
        <v>385683.09634885762</v>
      </c>
      <c r="CD58" s="70">
        <f t="shared" si="25"/>
        <v>383795.11304166587</v>
      </c>
      <c r="CE58" s="70">
        <f t="shared" si="25"/>
        <v>398546.59066905046</v>
      </c>
      <c r="CF58" s="70">
        <f t="shared" si="25"/>
        <v>385080.41533664323</v>
      </c>
      <c r="CG58" s="70">
        <f t="shared" si="25"/>
        <v>378940.35891394789</v>
      </c>
      <c r="CH58" s="70">
        <f t="shared" si="25"/>
        <v>392934.74461496645</v>
      </c>
      <c r="CI58" s="70">
        <f t="shared" si="25"/>
        <v>420899.80138333316</v>
      </c>
      <c r="CJ58" s="70">
        <f t="shared" ref="CJ58:DQ58" si="26">CJ55</f>
        <v>328450.67775370367</v>
      </c>
      <c r="CK58" s="70">
        <f t="shared" si="26"/>
        <v>314117.44280743861</v>
      </c>
      <c r="CL58" s="70">
        <f t="shared" si="26"/>
        <v>351956.67354095803</v>
      </c>
      <c r="CM58" s="70">
        <f t="shared" si="26"/>
        <v>352440.60055190895</v>
      </c>
      <c r="CN58" s="70">
        <f t="shared" si="26"/>
        <v>358645.91452986334</v>
      </c>
      <c r="CO58" s="70">
        <f t="shared" si="26"/>
        <v>438502.57794558577</v>
      </c>
      <c r="CP58" s="70">
        <f t="shared" si="26"/>
        <v>473552.57786512509</v>
      </c>
      <c r="CQ58" s="70">
        <f t="shared" si="26"/>
        <v>396894.09990378871</v>
      </c>
      <c r="CR58" s="70">
        <f t="shared" si="26"/>
        <v>412448.34124129853</v>
      </c>
      <c r="CS58" s="70">
        <f t="shared" si="26"/>
        <v>459958.66147334105</v>
      </c>
      <c r="CT58" s="70">
        <f t="shared" si="26"/>
        <v>451043.84626636445</v>
      </c>
      <c r="CU58" s="70">
        <f t="shared" si="26"/>
        <v>411267.77110382053</v>
      </c>
      <c r="CV58" s="70">
        <f t="shared" si="26"/>
        <v>420845.88526630681</v>
      </c>
      <c r="CW58" s="70">
        <f t="shared" si="26"/>
        <v>439391.46162860282</v>
      </c>
      <c r="CX58" s="70">
        <f t="shared" si="26"/>
        <v>471635.74230853823</v>
      </c>
      <c r="CY58" s="70">
        <f t="shared" si="26"/>
        <v>381389.06418793899</v>
      </c>
      <c r="CZ58" s="70">
        <f t="shared" si="26"/>
        <v>393820.5393030665</v>
      </c>
      <c r="DA58" s="70">
        <f t="shared" si="26"/>
        <v>259512.70302584243</v>
      </c>
      <c r="DB58" s="70">
        <f t="shared" si="26"/>
        <v>321110.07103787101</v>
      </c>
      <c r="DC58" s="70">
        <f t="shared" si="26"/>
        <v>382924.51082332933</v>
      </c>
      <c r="DD58" s="70">
        <f t="shared" si="26"/>
        <v>366150.1169553746</v>
      </c>
      <c r="DE58" s="70">
        <f t="shared" si="26"/>
        <v>408797.33885724487</v>
      </c>
      <c r="DF58" s="70">
        <f t="shared" si="26"/>
        <v>428987.86973761127</v>
      </c>
      <c r="DG58" s="70">
        <f t="shared" si="26"/>
        <v>545508.47029752308</v>
      </c>
      <c r="DH58" s="70">
        <f t="shared" si="26"/>
        <v>498609.56726852624</v>
      </c>
      <c r="DI58" s="70">
        <f t="shared" si="26"/>
        <v>491882.73613880406</v>
      </c>
      <c r="DJ58" s="70">
        <f t="shared" si="26"/>
        <v>442683.02080096811</v>
      </c>
      <c r="DK58" s="70">
        <f t="shared" si="26"/>
        <v>365550.70929830213</v>
      </c>
      <c r="DL58" s="70">
        <f t="shared" si="26"/>
        <v>358375.09771504463</v>
      </c>
      <c r="DM58" s="70">
        <f t="shared" si="26"/>
        <v>380873.63400000002</v>
      </c>
      <c r="DN58" s="70">
        <f t="shared" si="26"/>
        <v>442180.00900000002</v>
      </c>
      <c r="DO58" s="70">
        <f t="shared" si="26"/>
        <v>431036.37299999996</v>
      </c>
      <c r="DP58" s="70">
        <f t="shared" si="26"/>
        <v>434187.93192</v>
      </c>
      <c r="DQ58" s="70">
        <f t="shared" si="26"/>
        <v>413880.68199999997</v>
      </c>
      <c r="DR58" s="70">
        <f t="shared" ref="DR58:EH58" si="27">DR55</f>
        <v>46756.092287101899</v>
      </c>
      <c r="DS58" s="70">
        <f t="shared" si="27"/>
        <v>51252.352222211397</v>
      </c>
      <c r="DT58" s="70">
        <f t="shared" si="27"/>
        <v>43220.358648427202</v>
      </c>
      <c r="DU58" s="70">
        <f t="shared" si="27"/>
        <v>48349.725749867001</v>
      </c>
      <c r="DV58" s="70">
        <f t="shared" si="27"/>
        <v>58605.575110382997</v>
      </c>
      <c r="DW58" s="70">
        <f t="shared" si="27"/>
        <v>66223.988115314729</v>
      </c>
      <c r="DX58" s="70">
        <f t="shared" si="27"/>
        <v>82861.176102655692</v>
      </c>
      <c r="DY58" s="70">
        <f t="shared" si="27"/>
        <v>83295.789556688193</v>
      </c>
      <c r="DZ58" s="70">
        <f t="shared" si="27"/>
        <v>81839.89075075349</v>
      </c>
      <c r="EA58" s="70">
        <f t="shared" si="27"/>
        <v>83810.675510022906</v>
      </c>
      <c r="EB58" s="70">
        <f t="shared" si="27"/>
        <v>89922.443806029289</v>
      </c>
      <c r="EC58" s="70">
        <f t="shared" si="27"/>
        <v>95124.824283925991</v>
      </c>
      <c r="ED58" s="70">
        <f t="shared" si="27"/>
        <v>90354.527270000006</v>
      </c>
      <c r="EE58" s="70">
        <f t="shared" si="27"/>
        <v>92437.99136</v>
      </c>
      <c r="EF58" s="70">
        <f t="shared" si="27"/>
        <v>83587.755040000004</v>
      </c>
      <c r="EG58" s="70">
        <f t="shared" si="27"/>
        <v>75656.824590000004</v>
      </c>
      <c r="EH58" s="70">
        <f t="shared" si="27"/>
        <v>74664.096995365093</v>
      </c>
      <c r="EI58" s="70">
        <f t="shared" ref="EI58:EJ58" si="28">EI55</f>
        <v>82877.291930000007</v>
      </c>
      <c r="EJ58" s="70">
        <f t="shared" si="28"/>
        <v>88592.699200000003</v>
      </c>
      <c r="EK58" s="70">
        <f t="shared" ref="EK58:FA58" si="29">EK55</f>
        <v>134374.549</v>
      </c>
      <c r="EL58" s="70">
        <f t="shared" si="29"/>
        <v>124619.18799999999</v>
      </c>
      <c r="EM58" s="70">
        <f t="shared" si="29"/>
        <v>131719.929</v>
      </c>
      <c r="EN58" s="70">
        <f t="shared" si="29"/>
        <v>149199.54840999999</v>
      </c>
      <c r="EO58" s="70">
        <f t="shared" si="29"/>
        <v>152376.32739999998</v>
      </c>
      <c r="EP58" s="70">
        <f t="shared" si="29"/>
        <v>158210.78294999999</v>
      </c>
      <c r="EQ58" s="70">
        <f t="shared" si="29"/>
        <v>193863.29666137332</v>
      </c>
      <c r="ER58" s="70">
        <f t="shared" si="29"/>
        <v>211476.52206592911</v>
      </c>
      <c r="ES58" s="70">
        <f t="shared" si="29"/>
        <v>204553.83417000002</v>
      </c>
      <c r="ET58" s="70">
        <f t="shared" si="29"/>
        <v>218764.51264158211</v>
      </c>
      <c r="EU58" s="70">
        <f t="shared" si="29"/>
        <v>193867.98746270817</v>
      </c>
      <c r="EV58" s="70">
        <f t="shared" si="29"/>
        <v>211012.4831935305</v>
      </c>
      <c r="EW58" s="70">
        <f t="shared" si="29"/>
        <v>221767.02495278599</v>
      </c>
      <c r="EX58" s="70">
        <f t="shared" si="29"/>
        <v>221423.82199999999</v>
      </c>
      <c r="EY58" s="70">
        <f t="shared" si="29"/>
        <v>214972.49</v>
      </c>
      <c r="EZ58" s="70">
        <f t="shared" si="29"/>
        <v>218274.83</v>
      </c>
      <c r="FA58" s="70">
        <f t="shared" si="29"/>
        <v>230371.899</v>
      </c>
      <c r="FB58" s="70">
        <f t="shared" ref="FB58:FR58" si="30">FB55</f>
        <v>116302.749904419</v>
      </c>
      <c r="FC58" s="70">
        <f t="shared" si="30"/>
        <v>112914.640378019</v>
      </c>
      <c r="FD58" s="70">
        <f t="shared" si="30"/>
        <v>130933.87803296199</v>
      </c>
      <c r="FE58" s="70">
        <f t="shared" si="30"/>
        <v>149173.38508183201</v>
      </c>
      <c r="FF58" s="70">
        <f t="shared" si="30"/>
        <v>152669.628414626</v>
      </c>
      <c r="FG58" s="70">
        <f t="shared" si="30"/>
        <v>197231.65958920601</v>
      </c>
      <c r="FH58" s="70">
        <f t="shared" si="30"/>
        <v>210494.32048673902</v>
      </c>
      <c r="FI58" s="70">
        <f t="shared" si="30"/>
        <v>228733.33101324001</v>
      </c>
      <c r="FJ58" s="70">
        <f t="shared" si="30"/>
        <v>233849.701</v>
      </c>
      <c r="FK58" s="70">
        <f t="shared" si="30"/>
        <v>248377.486889666</v>
      </c>
      <c r="FL58" s="70">
        <f t="shared" si="30"/>
        <v>211867.16309531001</v>
      </c>
      <c r="FM58" s="70">
        <f t="shared" si="30"/>
        <v>248667.39895521599</v>
      </c>
      <c r="FN58" s="70">
        <f t="shared" si="30"/>
        <v>249010.83126000001</v>
      </c>
      <c r="FO58" s="70">
        <f t="shared" si="30"/>
        <v>261706.81672</v>
      </c>
      <c r="FP58" s="70">
        <f t="shared" si="30"/>
        <v>237845.67388999998</v>
      </c>
      <c r="FQ58" s="70">
        <f t="shared" si="30"/>
        <v>245707.57653999998</v>
      </c>
      <c r="FR58" s="70">
        <f t="shared" si="30"/>
        <v>268338.46308999998</v>
      </c>
      <c r="FS58" s="70">
        <f t="shared" ref="FS58:HQ58" si="31">FS55</f>
        <v>91512.370999999999</v>
      </c>
      <c r="FT58" s="70">
        <f t="shared" si="31"/>
        <v>111659.02499999999</v>
      </c>
      <c r="FU58" s="70">
        <f t="shared" si="31"/>
        <v>126954.183</v>
      </c>
      <c r="FV58" s="70">
        <f t="shared" si="31"/>
        <v>147045.14508703566</v>
      </c>
      <c r="FW58" s="70">
        <f t="shared" si="31"/>
        <v>148249.28921411154</v>
      </c>
      <c r="FX58" s="70">
        <f t="shared" si="31"/>
        <v>156451.11528364252</v>
      </c>
      <c r="FY58" s="70">
        <f t="shared" si="31"/>
        <v>173292.1959652995</v>
      </c>
      <c r="FZ58" s="70">
        <f t="shared" si="31"/>
        <v>188964.70734896982</v>
      </c>
      <c r="GA58" s="70">
        <f t="shared" si="31"/>
        <v>198623.8972691597</v>
      </c>
      <c r="GB58" s="70">
        <f t="shared" si="31"/>
        <v>216635.19392531272</v>
      </c>
      <c r="GC58" s="70">
        <f t="shared" si="31"/>
        <v>236404.80011395976</v>
      </c>
      <c r="GD58" s="70">
        <f t="shared" si="31"/>
        <v>210858.53991651189</v>
      </c>
      <c r="GE58" s="70">
        <f t="shared" si="31"/>
        <v>196660.56693628174</v>
      </c>
      <c r="GF58" s="70">
        <f t="shared" si="31"/>
        <v>209949.63536162334</v>
      </c>
      <c r="GG58" s="70">
        <f t="shared" si="31"/>
        <v>222301.18486246382</v>
      </c>
      <c r="GH58" s="70">
        <f t="shared" si="31"/>
        <v>227160.68726690396</v>
      </c>
      <c r="GI58" s="70">
        <f t="shared" si="31"/>
        <v>221633.79366366839</v>
      </c>
      <c r="GJ58" s="70">
        <f t="shared" si="31"/>
        <v>52868.241597880879</v>
      </c>
      <c r="GK58" s="70">
        <f t="shared" si="31"/>
        <v>55158.45329777195</v>
      </c>
      <c r="GL58" s="70">
        <f t="shared" si="31"/>
        <v>57916.22277341369</v>
      </c>
      <c r="GM58" s="70">
        <f t="shared" si="31"/>
        <v>67194.460550882941</v>
      </c>
      <c r="GN58" s="70">
        <f t="shared" si="31"/>
        <v>81545.096734338353</v>
      </c>
      <c r="GO58" s="70">
        <f t="shared" si="31"/>
        <v>81632.886673280795</v>
      </c>
      <c r="GP58" s="70">
        <f t="shared" si="31"/>
        <v>93877.759666273836</v>
      </c>
      <c r="GQ58" s="70">
        <f t="shared" si="31"/>
        <v>74956.74567742864</v>
      </c>
      <c r="GR58" s="70">
        <f t="shared" si="31"/>
        <v>78193.911082667109</v>
      </c>
      <c r="GS58" s="70">
        <f t="shared" si="31"/>
        <v>65602.40088127373</v>
      </c>
      <c r="GT58" s="70">
        <f t="shared" si="31"/>
        <v>72920.104480320268</v>
      </c>
      <c r="GU58" s="70">
        <f t="shared" si="31"/>
        <v>98348.727444605931</v>
      </c>
      <c r="GV58" s="70">
        <f t="shared" si="31"/>
        <v>97037.359690964702</v>
      </c>
      <c r="GW58" s="70">
        <f t="shared" si="31"/>
        <v>91107.370435041899</v>
      </c>
      <c r="GX58" s="70">
        <f t="shared" si="31"/>
        <v>98523.05692312849</v>
      </c>
      <c r="GY58" s="70">
        <f t="shared" si="31"/>
        <v>104019.59618108421</v>
      </c>
      <c r="GZ58" s="70">
        <f t="shared" si="31"/>
        <v>105315.0092425849</v>
      </c>
      <c r="HA58" s="70">
        <f t="shared" si="31"/>
        <v>83237</v>
      </c>
      <c r="HB58" s="70">
        <f t="shared" si="31"/>
        <v>81473</v>
      </c>
      <c r="HC58" s="70">
        <f t="shared" si="31"/>
        <v>85413.886309046997</v>
      </c>
      <c r="HD58" s="70">
        <f t="shared" si="31"/>
        <v>89047.922493129998</v>
      </c>
      <c r="HE58" s="70">
        <f t="shared" si="31"/>
        <v>96130.066559793398</v>
      </c>
      <c r="HF58" s="70">
        <f t="shared" si="31"/>
        <v>121992.755514909</v>
      </c>
      <c r="HG58" s="70">
        <f t="shared" si="31"/>
        <v>126519.882999029</v>
      </c>
      <c r="HH58" s="70">
        <f t="shared" si="31"/>
        <v>116175.49106407601</v>
      </c>
      <c r="HI58" s="70">
        <f t="shared" si="31"/>
        <v>121867.70902049799</v>
      </c>
      <c r="HJ58" s="70">
        <f t="shared" si="31"/>
        <v>117721.494565381</v>
      </c>
      <c r="HK58" s="70">
        <f t="shared" si="31"/>
        <v>138427.94329502599</v>
      </c>
      <c r="HL58" s="70">
        <f t="shared" si="31"/>
        <v>132835.09312937901</v>
      </c>
      <c r="HM58" s="70">
        <f t="shared" si="31"/>
        <v>108242.14191396099</v>
      </c>
      <c r="HN58" s="70">
        <f t="shared" si="31"/>
        <v>110815.785</v>
      </c>
      <c r="HO58" s="70">
        <f t="shared" si="31"/>
        <v>118042.307</v>
      </c>
      <c r="HP58" s="70">
        <f t="shared" si="31"/>
        <v>118292.577</v>
      </c>
      <c r="HQ58" s="70">
        <f t="shared" si="31"/>
        <v>124679.376</v>
      </c>
    </row>
    <row r="59" spans="1:225" s="252" customFormat="1" ht="13.7" customHeight="1">
      <c r="A59" s="252" t="s">
        <v>279</v>
      </c>
      <c r="B59" s="291">
        <v>18</v>
      </c>
      <c r="C59" s="70">
        <f>C55</f>
        <v>38538.624900945346</v>
      </c>
      <c r="D59" s="70">
        <f t="shared" ref="D59:BO59" si="32">D55</f>
        <v>40555.568802439702</v>
      </c>
      <c r="E59" s="70">
        <f t="shared" si="32"/>
        <v>44812.70258129912</v>
      </c>
      <c r="F59" s="70">
        <f t="shared" si="32"/>
        <v>46821.896889849857</v>
      </c>
      <c r="G59" s="70">
        <f t="shared" si="32"/>
        <v>55266.38145396336</v>
      </c>
      <c r="H59" s="70">
        <f t="shared" si="32"/>
        <v>63737.765832817691</v>
      </c>
      <c r="I59" s="70">
        <f t="shared" si="32"/>
        <v>70608.373543978203</v>
      </c>
      <c r="J59" s="70">
        <f t="shared" si="32"/>
        <v>77834.327675292603</v>
      </c>
      <c r="K59" s="70">
        <f t="shared" si="32"/>
        <v>88864.580625233939</v>
      </c>
      <c r="L59" s="70">
        <f t="shared" si="32"/>
        <v>86548.092643177908</v>
      </c>
      <c r="M59" s="70">
        <f t="shared" si="32"/>
        <v>52497.721534325196</v>
      </c>
      <c r="N59" s="70">
        <f t="shared" si="32"/>
        <v>58245.248035999997</v>
      </c>
      <c r="O59" s="70">
        <f t="shared" si="32"/>
        <v>72071.139840504809</v>
      </c>
      <c r="P59" s="70">
        <f t="shared" si="32"/>
        <v>70694.304359999995</v>
      </c>
      <c r="Q59" s="70">
        <f t="shared" si="32"/>
        <v>68958.093410000001</v>
      </c>
      <c r="R59" s="70">
        <f t="shared" si="32"/>
        <v>66360.226999999999</v>
      </c>
      <c r="S59" s="70">
        <f t="shared" si="32"/>
        <v>71365.648977441</v>
      </c>
      <c r="T59" s="70">
        <f t="shared" si="32"/>
        <v>359429.30472414085</v>
      </c>
      <c r="U59" s="70">
        <f t="shared" si="32"/>
        <v>319120.88969815226</v>
      </c>
      <c r="V59" s="70">
        <f t="shared" si="32"/>
        <v>470681.79458618024</v>
      </c>
      <c r="W59" s="70">
        <f t="shared" si="32"/>
        <v>443700.63762656803</v>
      </c>
      <c r="X59" s="70">
        <f t="shared" si="32"/>
        <v>516405.56407726306</v>
      </c>
      <c r="Y59" s="70">
        <f t="shared" si="32"/>
        <v>513411.9445176929</v>
      </c>
      <c r="Z59" s="70">
        <f t="shared" si="32"/>
        <v>583745.18660643906</v>
      </c>
      <c r="AA59" s="70">
        <f t="shared" si="32"/>
        <v>475807.76904051501</v>
      </c>
      <c r="AB59" s="70">
        <f t="shared" si="32"/>
        <v>543068.58082208002</v>
      </c>
      <c r="AC59" s="70">
        <f t="shared" si="32"/>
        <v>652527.45930349501</v>
      </c>
      <c r="AD59" s="70">
        <f t="shared" si="32"/>
        <v>590738.86946726497</v>
      </c>
      <c r="AE59" s="70">
        <f t="shared" si="32"/>
        <v>533275.74492261</v>
      </c>
      <c r="AF59" s="70">
        <f t="shared" si="32"/>
        <v>467980.26400000002</v>
      </c>
      <c r="AG59" s="70">
        <f t="shared" si="32"/>
        <v>454424.70699999999</v>
      </c>
      <c r="AH59" s="70">
        <f t="shared" si="32"/>
        <v>409523.11597899999</v>
      </c>
      <c r="AI59" s="70">
        <f t="shared" si="32"/>
        <v>390331.33600000001</v>
      </c>
      <c r="AJ59" s="70">
        <f t="shared" si="32"/>
        <v>350363.98100000003</v>
      </c>
      <c r="AK59" s="70">
        <f t="shared" si="32"/>
        <v>37898.188999999998</v>
      </c>
      <c r="AL59" s="70">
        <f t="shared" si="32"/>
        <v>40582.080999999998</v>
      </c>
      <c r="AM59" s="70">
        <f t="shared" si="32"/>
        <v>41333.470999999998</v>
      </c>
      <c r="AN59" s="70">
        <f t="shared" si="32"/>
        <v>50008.286836201994</v>
      </c>
      <c r="AO59" s="70">
        <f t="shared" si="32"/>
        <v>54297.417209442443</v>
      </c>
      <c r="AP59" s="70">
        <f t="shared" si="32"/>
        <v>54486.114272112434</v>
      </c>
      <c r="AQ59" s="70">
        <f t="shared" si="32"/>
        <v>67739.510590000005</v>
      </c>
      <c r="AR59" s="70">
        <f t="shared" si="32"/>
        <v>68089.082299999995</v>
      </c>
      <c r="AS59" s="70">
        <f t="shared" si="32"/>
        <v>73439.955393108001</v>
      </c>
      <c r="AT59" s="70">
        <f t="shared" si="32"/>
        <v>71997.882248406604</v>
      </c>
      <c r="AU59" s="70">
        <f t="shared" si="32"/>
        <v>73454.018770187686</v>
      </c>
      <c r="AV59" s="70">
        <f t="shared" si="32"/>
        <v>73056.219669490965</v>
      </c>
      <c r="AW59" s="70">
        <f t="shared" si="32"/>
        <v>67694.236446691008</v>
      </c>
      <c r="AX59" s="70">
        <f t="shared" si="32"/>
        <v>75670.104999999996</v>
      </c>
      <c r="AY59" s="70">
        <f t="shared" si="32"/>
        <v>74131.675000000003</v>
      </c>
      <c r="AZ59" s="70">
        <f t="shared" si="32"/>
        <v>67493.260999999999</v>
      </c>
      <c r="BA59" s="70">
        <f t="shared" si="32"/>
        <v>71238.019</v>
      </c>
      <c r="BB59" s="70">
        <f t="shared" si="32"/>
        <v>173158.03593754568</v>
      </c>
      <c r="BC59" s="70">
        <f t="shared" si="32"/>
        <v>192755.56936652676</v>
      </c>
      <c r="BD59" s="70">
        <f t="shared" si="32"/>
        <v>243136.6498313061</v>
      </c>
      <c r="BE59" s="70">
        <f t="shared" si="32"/>
        <v>229075.96469774732</v>
      </c>
      <c r="BF59" s="70">
        <f t="shared" si="32"/>
        <v>228043.59112183331</v>
      </c>
      <c r="BG59" s="70">
        <f t="shared" si="32"/>
        <v>244517.0998057948</v>
      </c>
      <c r="BH59" s="70">
        <f t="shared" si="32"/>
        <v>276189.14942971262</v>
      </c>
      <c r="BI59" s="70">
        <f t="shared" si="32"/>
        <v>248232.2275998212</v>
      </c>
      <c r="BJ59" s="70">
        <f t="shared" si="32"/>
        <v>295997.52023237501</v>
      </c>
      <c r="BK59" s="70">
        <f t="shared" si="32"/>
        <v>300530.03952954285</v>
      </c>
      <c r="BL59" s="70">
        <f t="shared" si="32"/>
        <v>316821.14712986699</v>
      </c>
      <c r="BM59" s="70">
        <f t="shared" si="32"/>
        <v>290656.54168067907</v>
      </c>
      <c r="BN59" s="70">
        <f t="shared" si="32"/>
        <v>278512.48718438006</v>
      </c>
      <c r="BO59" s="70">
        <f t="shared" si="32"/>
        <v>291794.86913370003</v>
      </c>
      <c r="BP59" s="70">
        <f t="shared" ref="BP59:EA59" si="33">BP55</f>
        <v>259970.16376625502</v>
      </c>
      <c r="BQ59" s="70">
        <f t="shared" si="33"/>
        <v>272205.97344527696</v>
      </c>
      <c r="BR59" s="70">
        <f t="shared" si="33"/>
        <v>276174.46399999998</v>
      </c>
      <c r="BS59" s="70">
        <f t="shared" si="33"/>
        <v>203391.00643221589</v>
      </c>
      <c r="BT59" s="70">
        <f t="shared" si="33"/>
        <v>245038.43019628001</v>
      </c>
      <c r="BU59" s="70">
        <f t="shared" si="33"/>
        <v>270734.64824942936</v>
      </c>
      <c r="BV59" s="70">
        <f t="shared" si="33"/>
        <v>289293.06264344038</v>
      </c>
      <c r="BW59" s="70">
        <f t="shared" si="33"/>
        <v>290823.1193110157</v>
      </c>
      <c r="BX59" s="70">
        <f t="shared" si="33"/>
        <v>332430.89486645564</v>
      </c>
      <c r="BY59" s="70">
        <f t="shared" si="33"/>
        <v>370283.76816004416</v>
      </c>
      <c r="BZ59" s="70">
        <f t="shared" si="33"/>
        <v>407311.95354971435</v>
      </c>
      <c r="CA59" s="70">
        <f t="shared" si="33"/>
        <v>390233.18903118349</v>
      </c>
      <c r="CB59" s="70">
        <f t="shared" si="33"/>
        <v>421671.38971983065</v>
      </c>
      <c r="CC59" s="70">
        <f t="shared" si="33"/>
        <v>385683.09634885762</v>
      </c>
      <c r="CD59" s="70">
        <f t="shared" si="33"/>
        <v>383795.11304166587</v>
      </c>
      <c r="CE59" s="70">
        <f t="shared" si="33"/>
        <v>398546.59066905046</v>
      </c>
      <c r="CF59" s="70">
        <f t="shared" si="33"/>
        <v>385080.41533664323</v>
      </c>
      <c r="CG59" s="70">
        <f t="shared" si="33"/>
        <v>378940.35891394789</v>
      </c>
      <c r="CH59" s="70">
        <f t="shared" si="33"/>
        <v>392934.74461496645</v>
      </c>
      <c r="CI59" s="70">
        <f t="shared" si="33"/>
        <v>420899.80138333316</v>
      </c>
      <c r="CJ59" s="70">
        <f t="shared" si="33"/>
        <v>328450.67775370367</v>
      </c>
      <c r="CK59" s="70">
        <f t="shared" si="33"/>
        <v>314117.44280743861</v>
      </c>
      <c r="CL59" s="70">
        <f t="shared" si="33"/>
        <v>351956.67354095803</v>
      </c>
      <c r="CM59" s="70">
        <f t="shared" si="33"/>
        <v>352440.60055190895</v>
      </c>
      <c r="CN59" s="70">
        <f t="shared" si="33"/>
        <v>358645.91452986334</v>
      </c>
      <c r="CO59" s="70">
        <f t="shared" si="33"/>
        <v>438502.57794558577</v>
      </c>
      <c r="CP59" s="70">
        <f t="shared" si="33"/>
        <v>473552.57786512509</v>
      </c>
      <c r="CQ59" s="70">
        <f t="shared" si="33"/>
        <v>396894.09990378871</v>
      </c>
      <c r="CR59" s="70">
        <f t="shared" si="33"/>
        <v>412448.34124129853</v>
      </c>
      <c r="CS59" s="70">
        <f t="shared" si="33"/>
        <v>459958.66147334105</v>
      </c>
      <c r="CT59" s="70">
        <f t="shared" si="33"/>
        <v>451043.84626636445</v>
      </c>
      <c r="CU59" s="70">
        <f t="shared" si="33"/>
        <v>411267.77110382053</v>
      </c>
      <c r="CV59" s="70">
        <f t="shared" si="33"/>
        <v>420845.88526630681</v>
      </c>
      <c r="CW59" s="70">
        <f t="shared" si="33"/>
        <v>439391.46162860282</v>
      </c>
      <c r="CX59" s="70">
        <f t="shared" si="33"/>
        <v>471635.74230853823</v>
      </c>
      <c r="CY59" s="70">
        <f t="shared" si="33"/>
        <v>381389.06418793899</v>
      </c>
      <c r="CZ59" s="70">
        <f t="shared" si="33"/>
        <v>393820.5393030665</v>
      </c>
      <c r="DA59" s="70">
        <f t="shared" si="33"/>
        <v>259512.70302584243</v>
      </c>
      <c r="DB59" s="70">
        <f t="shared" si="33"/>
        <v>321110.07103787101</v>
      </c>
      <c r="DC59" s="70">
        <f t="shared" si="33"/>
        <v>382924.51082332933</v>
      </c>
      <c r="DD59" s="70">
        <f t="shared" si="33"/>
        <v>366150.1169553746</v>
      </c>
      <c r="DE59" s="70">
        <f t="shared" si="33"/>
        <v>408797.33885724487</v>
      </c>
      <c r="DF59" s="70">
        <f t="shared" si="33"/>
        <v>428987.86973761127</v>
      </c>
      <c r="DG59" s="70">
        <f t="shared" si="33"/>
        <v>545508.47029752308</v>
      </c>
      <c r="DH59" s="70">
        <f t="shared" si="33"/>
        <v>498609.56726852624</v>
      </c>
      <c r="DI59" s="70">
        <f t="shared" si="33"/>
        <v>491882.73613880406</v>
      </c>
      <c r="DJ59" s="70">
        <f t="shared" si="33"/>
        <v>442683.02080096811</v>
      </c>
      <c r="DK59" s="70">
        <f t="shared" si="33"/>
        <v>365550.70929830213</v>
      </c>
      <c r="DL59" s="70">
        <f t="shared" si="33"/>
        <v>358375.09771504463</v>
      </c>
      <c r="DM59" s="70">
        <f t="shared" si="33"/>
        <v>380873.63400000002</v>
      </c>
      <c r="DN59" s="70">
        <f t="shared" si="33"/>
        <v>442180.00900000002</v>
      </c>
      <c r="DO59" s="70">
        <f t="shared" si="33"/>
        <v>431036.37299999996</v>
      </c>
      <c r="DP59" s="70">
        <f t="shared" si="33"/>
        <v>434187.93192</v>
      </c>
      <c r="DQ59" s="70">
        <f t="shared" si="33"/>
        <v>413880.68199999997</v>
      </c>
      <c r="DR59" s="70">
        <f t="shared" si="33"/>
        <v>46756.092287101899</v>
      </c>
      <c r="DS59" s="70">
        <f t="shared" si="33"/>
        <v>51252.352222211397</v>
      </c>
      <c r="DT59" s="70">
        <f t="shared" si="33"/>
        <v>43220.358648427202</v>
      </c>
      <c r="DU59" s="70">
        <f t="shared" si="33"/>
        <v>48349.725749867001</v>
      </c>
      <c r="DV59" s="70">
        <f t="shared" si="33"/>
        <v>58605.575110382997</v>
      </c>
      <c r="DW59" s="70">
        <f t="shared" si="33"/>
        <v>66223.988115314729</v>
      </c>
      <c r="DX59" s="70">
        <f t="shared" si="33"/>
        <v>82861.176102655692</v>
      </c>
      <c r="DY59" s="70">
        <f t="shared" si="33"/>
        <v>83295.789556688193</v>
      </c>
      <c r="DZ59" s="70">
        <f t="shared" si="33"/>
        <v>81839.89075075349</v>
      </c>
      <c r="EA59" s="70">
        <f t="shared" si="33"/>
        <v>83810.675510022906</v>
      </c>
      <c r="EB59" s="70">
        <f t="shared" ref="EB59:GO59" si="34">EB55</f>
        <v>89922.443806029289</v>
      </c>
      <c r="EC59" s="70">
        <f t="shared" si="34"/>
        <v>95124.824283925991</v>
      </c>
      <c r="ED59" s="70">
        <f t="shared" si="34"/>
        <v>90354.527270000006</v>
      </c>
      <c r="EE59" s="70">
        <f t="shared" si="34"/>
        <v>92437.99136</v>
      </c>
      <c r="EF59" s="70">
        <f t="shared" si="34"/>
        <v>83587.755040000004</v>
      </c>
      <c r="EG59" s="70">
        <f t="shared" si="34"/>
        <v>75656.824590000004</v>
      </c>
      <c r="EH59" s="70">
        <f t="shared" si="34"/>
        <v>74664.096995365093</v>
      </c>
      <c r="EI59" s="70">
        <f t="shared" ref="EI59:EJ59" si="35">EI55</f>
        <v>82877.291930000007</v>
      </c>
      <c r="EJ59" s="70">
        <f t="shared" si="35"/>
        <v>88592.699200000003</v>
      </c>
      <c r="EK59" s="70">
        <f t="shared" si="34"/>
        <v>134374.549</v>
      </c>
      <c r="EL59" s="70">
        <f t="shared" si="34"/>
        <v>124619.18799999999</v>
      </c>
      <c r="EM59" s="70">
        <f t="shared" si="34"/>
        <v>131719.929</v>
      </c>
      <c r="EN59" s="70">
        <f t="shared" si="34"/>
        <v>149199.54840999999</v>
      </c>
      <c r="EO59" s="70">
        <f t="shared" si="34"/>
        <v>152376.32739999998</v>
      </c>
      <c r="EP59" s="70">
        <f t="shared" si="34"/>
        <v>158210.78294999999</v>
      </c>
      <c r="EQ59" s="70">
        <f t="shared" si="34"/>
        <v>193863.29666137332</v>
      </c>
      <c r="ER59" s="70">
        <f t="shared" si="34"/>
        <v>211476.52206592911</v>
      </c>
      <c r="ES59" s="70">
        <f t="shared" si="34"/>
        <v>204553.83417000002</v>
      </c>
      <c r="ET59" s="70">
        <f t="shared" si="34"/>
        <v>218764.51264158211</v>
      </c>
      <c r="EU59" s="70">
        <f t="shared" si="34"/>
        <v>193867.98746270817</v>
      </c>
      <c r="EV59" s="70">
        <f t="shared" si="34"/>
        <v>211012.4831935305</v>
      </c>
      <c r="EW59" s="70">
        <f t="shared" si="34"/>
        <v>221767.02495278599</v>
      </c>
      <c r="EX59" s="70">
        <f t="shared" si="34"/>
        <v>221423.82199999999</v>
      </c>
      <c r="EY59" s="70">
        <f t="shared" si="34"/>
        <v>214972.49</v>
      </c>
      <c r="EZ59" s="70">
        <f t="shared" si="34"/>
        <v>218274.83</v>
      </c>
      <c r="FA59" s="70">
        <f t="shared" si="34"/>
        <v>230371.899</v>
      </c>
      <c r="FB59" s="70">
        <f t="shared" si="34"/>
        <v>116302.749904419</v>
      </c>
      <c r="FC59" s="70">
        <f t="shared" si="34"/>
        <v>112914.640378019</v>
      </c>
      <c r="FD59" s="70">
        <f t="shared" si="34"/>
        <v>130933.87803296199</v>
      </c>
      <c r="FE59" s="70">
        <f t="shared" si="34"/>
        <v>149173.38508183201</v>
      </c>
      <c r="FF59" s="70">
        <f t="shared" si="34"/>
        <v>152669.628414626</v>
      </c>
      <c r="FG59" s="70">
        <f t="shared" si="34"/>
        <v>197231.65958920601</v>
      </c>
      <c r="FH59" s="70">
        <f t="shared" si="34"/>
        <v>210494.32048673902</v>
      </c>
      <c r="FI59" s="70">
        <f t="shared" si="34"/>
        <v>228733.33101324001</v>
      </c>
      <c r="FJ59" s="70">
        <f t="shared" si="34"/>
        <v>233849.701</v>
      </c>
      <c r="FK59" s="70">
        <f t="shared" si="34"/>
        <v>248377.486889666</v>
      </c>
      <c r="FL59" s="70">
        <f t="shared" si="34"/>
        <v>211867.16309531001</v>
      </c>
      <c r="FM59" s="70">
        <f t="shared" si="34"/>
        <v>248667.39895521599</v>
      </c>
      <c r="FN59" s="70">
        <f t="shared" si="34"/>
        <v>249010.83126000001</v>
      </c>
      <c r="FO59" s="70">
        <f t="shared" si="34"/>
        <v>261706.81672</v>
      </c>
      <c r="FP59" s="70">
        <f t="shared" si="34"/>
        <v>237845.67388999998</v>
      </c>
      <c r="FQ59" s="70">
        <f t="shared" si="34"/>
        <v>245707.57653999998</v>
      </c>
      <c r="FR59" s="70">
        <f t="shared" si="34"/>
        <v>268338.46308999998</v>
      </c>
      <c r="FS59" s="70">
        <f t="shared" si="34"/>
        <v>91512.370999999999</v>
      </c>
      <c r="FT59" s="70">
        <f t="shared" si="34"/>
        <v>111659.02499999999</v>
      </c>
      <c r="FU59" s="70">
        <f t="shared" si="34"/>
        <v>126954.183</v>
      </c>
      <c r="FV59" s="70">
        <f t="shared" si="34"/>
        <v>147045.14508703566</v>
      </c>
      <c r="FW59" s="70">
        <f t="shared" si="34"/>
        <v>148249.28921411154</v>
      </c>
      <c r="FX59" s="70">
        <f t="shared" si="34"/>
        <v>156451.11528364252</v>
      </c>
      <c r="FY59" s="70">
        <f t="shared" si="34"/>
        <v>173292.1959652995</v>
      </c>
      <c r="FZ59" s="70">
        <f t="shared" si="34"/>
        <v>188964.70734896982</v>
      </c>
      <c r="GA59" s="70">
        <f t="shared" si="34"/>
        <v>198623.8972691597</v>
      </c>
      <c r="GB59" s="70">
        <f t="shared" si="34"/>
        <v>216635.19392531272</v>
      </c>
      <c r="GC59" s="70">
        <f t="shared" si="34"/>
        <v>236404.80011395976</v>
      </c>
      <c r="GD59" s="70">
        <f t="shared" si="34"/>
        <v>210858.53991651189</v>
      </c>
      <c r="GE59" s="70">
        <f t="shared" si="34"/>
        <v>196660.56693628174</v>
      </c>
      <c r="GF59" s="70">
        <f t="shared" si="34"/>
        <v>209949.63536162334</v>
      </c>
      <c r="GG59" s="70">
        <f t="shared" si="34"/>
        <v>222301.18486246382</v>
      </c>
      <c r="GH59" s="70">
        <f t="shared" si="34"/>
        <v>227160.68726690396</v>
      </c>
      <c r="GI59" s="70">
        <f t="shared" si="34"/>
        <v>221633.79366366839</v>
      </c>
      <c r="GJ59" s="70">
        <f t="shared" si="34"/>
        <v>52868.241597880879</v>
      </c>
      <c r="GK59" s="70">
        <f t="shared" si="34"/>
        <v>55158.45329777195</v>
      </c>
      <c r="GL59" s="70">
        <f t="shared" si="34"/>
        <v>57916.22277341369</v>
      </c>
      <c r="GM59" s="70">
        <f t="shared" si="34"/>
        <v>67194.460550882941</v>
      </c>
      <c r="GN59" s="70">
        <f t="shared" si="34"/>
        <v>81545.096734338353</v>
      </c>
      <c r="GO59" s="70">
        <f t="shared" si="34"/>
        <v>81632.886673280795</v>
      </c>
      <c r="GP59" s="70">
        <f t="shared" ref="GP59:HQ59" si="36">GP55</f>
        <v>93877.759666273836</v>
      </c>
      <c r="GQ59" s="70">
        <f t="shared" si="36"/>
        <v>74956.74567742864</v>
      </c>
      <c r="GR59" s="70">
        <f t="shared" si="36"/>
        <v>78193.911082667109</v>
      </c>
      <c r="GS59" s="70">
        <f t="shared" si="36"/>
        <v>65602.40088127373</v>
      </c>
      <c r="GT59" s="70">
        <f t="shared" si="36"/>
        <v>72920.104480320268</v>
      </c>
      <c r="GU59" s="70">
        <f t="shared" si="36"/>
        <v>98348.727444605931</v>
      </c>
      <c r="GV59" s="70">
        <f t="shared" si="36"/>
        <v>97037.359690964702</v>
      </c>
      <c r="GW59" s="70">
        <f t="shared" si="36"/>
        <v>91107.370435041899</v>
      </c>
      <c r="GX59" s="70">
        <f t="shared" si="36"/>
        <v>98523.05692312849</v>
      </c>
      <c r="GY59" s="70">
        <f t="shared" si="36"/>
        <v>104019.59618108421</v>
      </c>
      <c r="GZ59" s="70">
        <f t="shared" si="36"/>
        <v>105315.0092425849</v>
      </c>
      <c r="HA59" s="70">
        <f t="shared" si="36"/>
        <v>83237</v>
      </c>
      <c r="HB59" s="70">
        <f t="shared" si="36"/>
        <v>81473</v>
      </c>
      <c r="HC59" s="70">
        <f t="shared" si="36"/>
        <v>85413.886309046997</v>
      </c>
      <c r="HD59" s="70">
        <f t="shared" si="36"/>
        <v>89047.922493129998</v>
      </c>
      <c r="HE59" s="70">
        <f t="shared" si="36"/>
        <v>96130.066559793398</v>
      </c>
      <c r="HF59" s="70">
        <f t="shared" si="36"/>
        <v>121992.755514909</v>
      </c>
      <c r="HG59" s="70">
        <f t="shared" si="36"/>
        <v>126519.882999029</v>
      </c>
      <c r="HH59" s="70">
        <f t="shared" si="36"/>
        <v>116175.49106407601</v>
      </c>
      <c r="HI59" s="70">
        <f t="shared" si="36"/>
        <v>121867.70902049799</v>
      </c>
      <c r="HJ59" s="70">
        <f t="shared" si="36"/>
        <v>117721.494565381</v>
      </c>
      <c r="HK59" s="70">
        <f t="shared" si="36"/>
        <v>138427.94329502599</v>
      </c>
      <c r="HL59" s="70">
        <f t="shared" si="36"/>
        <v>132835.09312937901</v>
      </c>
      <c r="HM59" s="70">
        <f t="shared" si="36"/>
        <v>108242.14191396099</v>
      </c>
      <c r="HN59" s="70">
        <f t="shared" si="36"/>
        <v>110815.785</v>
      </c>
      <c r="HO59" s="70">
        <f t="shared" si="36"/>
        <v>118042.307</v>
      </c>
      <c r="HP59" s="70">
        <f t="shared" si="36"/>
        <v>118292.577</v>
      </c>
      <c r="HQ59" s="70">
        <f t="shared" si="36"/>
        <v>124679.376</v>
      </c>
    </row>
    <row r="60" spans="1:225" s="252" customFormat="1" ht="13.7" customHeight="1">
      <c r="A60" s="252" t="s">
        <v>280</v>
      </c>
      <c r="B60" s="291">
        <v>19</v>
      </c>
      <c r="C60" s="167">
        <v>38538.624900945346</v>
      </c>
      <c r="D60" s="167">
        <v>40555.568802439702</v>
      </c>
      <c r="E60" s="167">
        <v>44812.70258129912</v>
      </c>
      <c r="F60" s="167">
        <v>46821.896889849857</v>
      </c>
      <c r="G60" s="167">
        <v>55266.38145396336</v>
      </c>
      <c r="H60" s="167">
        <v>63737.765832817691</v>
      </c>
      <c r="I60" s="167">
        <v>70608.373543978203</v>
      </c>
      <c r="J60" s="167">
        <v>77834.327675292603</v>
      </c>
      <c r="K60" s="167">
        <v>88864.580625233939</v>
      </c>
      <c r="L60" s="167">
        <v>87478.560790742617</v>
      </c>
      <c r="M60" s="167">
        <v>53863.031244851612</v>
      </c>
      <c r="N60" s="167">
        <v>59534.83597</v>
      </c>
      <c r="O60" s="167">
        <v>73427.525549999933</v>
      </c>
      <c r="P60" s="167">
        <v>72452.57836</v>
      </c>
      <c r="Q60" s="167">
        <v>70362.884409999999</v>
      </c>
      <c r="R60" s="167">
        <v>67400.828999999998</v>
      </c>
      <c r="S60" s="167">
        <v>72745.281977441002</v>
      </c>
      <c r="T60" s="70">
        <f>T55</f>
        <v>359429.30472414085</v>
      </c>
      <c r="U60" s="70">
        <f t="shared" ref="U60:CF60" si="37">U55</f>
        <v>319120.88969815226</v>
      </c>
      <c r="V60" s="70">
        <f t="shared" si="37"/>
        <v>470681.79458618024</v>
      </c>
      <c r="W60" s="70">
        <f t="shared" si="37"/>
        <v>443700.63762656803</v>
      </c>
      <c r="X60" s="70">
        <f t="shared" si="37"/>
        <v>516405.56407726306</v>
      </c>
      <c r="Y60" s="70">
        <f t="shared" si="37"/>
        <v>513411.9445176929</v>
      </c>
      <c r="Z60" s="70">
        <f t="shared" si="37"/>
        <v>583745.18660643906</v>
      </c>
      <c r="AA60" s="70">
        <f t="shared" si="37"/>
        <v>475807.76904051501</v>
      </c>
      <c r="AB60" s="70">
        <f t="shared" si="37"/>
        <v>543068.58082208002</v>
      </c>
      <c r="AC60" s="70">
        <f t="shared" si="37"/>
        <v>652527.45930349501</v>
      </c>
      <c r="AD60" s="70">
        <f t="shared" si="37"/>
        <v>590738.86946726497</v>
      </c>
      <c r="AE60" s="70">
        <f t="shared" si="37"/>
        <v>533275.74492261</v>
      </c>
      <c r="AF60" s="70">
        <f t="shared" si="37"/>
        <v>467980.26400000002</v>
      </c>
      <c r="AG60" s="70">
        <f t="shared" si="37"/>
        <v>454424.70699999999</v>
      </c>
      <c r="AH60" s="70">
        <f t="shared" si="37"/>
        <v>409523.11597899999</v>
      </c>
      <c r="AI60" s="70">
        <f t="shared" si="37"/>
        <v>390331.33600000001</v>
      </c>
      <c r="AJ60" s="70">
        <f t="shared" si="37"/>
        <v>350363.98100000003</v>
      </c>
      <c r="AK60" s="70">
        <f t="shared" si="37"/>
        <v>37898.188999999998</v>
      </c>
      <c r="AL60" s="70">
        <f t="shared" si="37"/>
        <v>40582.080999999998</v>
      </c>
      <c r="AM60" s="70">
        <f t="shared" si="37"/>
        <v>41333.470999999998</v>
      </c>
      <c r="AN60" s="70">
        <f t="shared" si="37"/>
        <v>50008.286836201994</v>
      </c>
      <c r="AO60" s="70">
        <f t="shared" si="37"/>
        <v>54297.417209442443</v>
      </c>
      <c r="AP60" s="70">
        <f t="shared" si="37"/>
        <v>54486.114272112434</v>
      </c>
      <c r="AQ60" s="70">
        <f t="shared" si="37"/>
        <v>67739.510590000005</v>
      </c>
      <c r="AR60" s="70">
        <f t="shared" si="37"/>
        <v>68089.082299999995</v>
      </c>
      <c r="AS60" s="70">
        <f t="shared" si="37"/>
        <v>73439.955393108001</v>
      </c>
      <c r="AT60" s="70">
        <f t="shared" si="37"/>
        <v>71997.882248406604</v>
      </c>
      <c r="AU60" s="70">
        <f t="shared" si="37"/>
        <v>73454.018770187686</v>
      </c>
      <c r="AV60" s="70">
        <f t="shared" si="37"/>
        <v>73056.219669490965</v>
      </c>
      <c r="AW60" s="70">
        <f t="shared" si="37"/>
        <v>67694.236446691008</v>
      </c>
      <c r="AX60" s="70">
        <f t="shared" si="37"/>
        <v>75670.104999999996</v>
      </c>
      <c r="AY60" s="70">
        <f t="shared" si="37"/>
        <v>74131.675000000003</v>
      </c>
      <c r="AZ60" s="70">
        <f t="shared" si="37"/>
        <v>67493.260999999999</v>
      </c>
      <c r="BA60" s="70">
        <f t="shared" si="37"/>
        <v>71238.019</v>
      </c>
      <c r="BB60" s="70">
        <f t="shared" si="37"/>
        <v>173158.03593754568</v>
      </c>
      <c r="BC60" s="70">
        <f t="shared" si="37"/>
        <v>192755.56936652676</v>
      </c>
      <c r="BD60" s="70">
        <f t="shared" si="37"/>
        <v>243136.6498313061</v>
      </c>
      <c r="BE60" s="70">
        <f t="shared" si="37"/>
        <v>229075.96469774732</v>
      </c>
      <c r="BF60" s="70">
        <f t="shared" si="37"/>
        <v>228043.59112183331</v>
      </c>
      <c r="BG60" s="70">
        <f t="shared" si="37"/>
        <v>244517.0998057948</v>
      </c>
      <c r="BH60" s="70">
        <f t="shared" si="37"/>
        <v>276189.14942971262</v>
      </c>
      <c r="BI60" s="70">
        <f t="shared" si="37"/>
        <v>248232.2275998212</v>
      </c>
      <c r="BJ60" s="70">
        <f t="shared" si="37"/>
        <v>295997.52023237501</v>
      </c>
      <c r="BK60" s="70">
        <f t="shared" si="37"/>
        <v>300530.03952954285</v>
      </c>
      <c r="BL60" s="70">
        <f t="shared" si="37"/>
        <v>316821.14712986699</v>
      </c>
      <c r="BM60" s="70">
        <f t="shared" si="37"/>
        <v>290656.54168067907</v>
      </c>
      <c r="BN60" s="70">
        <f t="shared" si="37"/>
        <v>278512.48718438006</v>
      </c>
      <c r="BO60" s="70">
        <f t="shared" si="37"/>
        <v>291794.86913370003</v>
      </c>
      <c r="BP60" s="70">
        <f t="shared" si="37"/>
        <v>259970.16376625502</v>
      </c>
      <c r="BQ60" s="70">
        <f t="shared" si="37"/>
        <v>272205.97344527696</v>
      </c>
      <c r="BR60" s="70">
        <f t="shared" si="37"/>
        <v>276174.46399999998</v>
      </c>
      <c r="BS60" s="70">
        <f t="shared" si="37"/>
        <v>203391.00643221589</v>
      </c>
      <c r="BT60" s="70">
        <f t="shared" si="37"/>
        <v>245038.43019628001</v>
      </c>
      <c r="BU60" s="70">
        <f t="shared" si="37"/>
        <v>270734.64824942936</v>
      </c>
      <c r="BV60" s="70">
        <f t="shared" si="37"/>
        <v>289293.06264344038</v>
      </c>
      <c r="BW60" s="70">
        <f t="shared" si="37"/>
        <v>290823.1193110157</v>
      </c>
      <c r="BX60" s="70">
        <f t="shared" si="37"/>
        <v>332430.89486645564</v>
      </c>
      <c r="BY60" s="70">
        <f t="shared" si="37"/>
        <v>370283.76816004416</v>
      </c>
      <c r="BZ60" s="70">
        <f t="shared" si="37"/>
        <v>407311.95354971435</v>
      </c>
      <c r="CA60" s="70">
        <f t="shared" si="37"/>
        <v>390233.18903118349</v>
      </c>
      <c r="CB60" s="70">
        <f t="shared" si="37"/>
        <v>421671.38971983065</v>
      </c>
      <c r="CC60" s="70">
        <f t="shared" si="37"/>
        <v>385683.09634885762</v>
      </c>
      <c r="CD60" s="70">
        <f t="shared" si="37"/>
        <v>383795.11304166587</v>
      </c>
      <c r="CE60" s="70">
        <f t="shared" si="37"/>
        <v>398546.59066905046</v>
      </c>
      <c r="CF60" s="70">
        <f t="shared" si="37"/>
        <v>385080.41533664323</v>
      </c>
      <c r="CG60" s="70">
        <f t="shared" ref="CG60:ET60" si="38">CG55</f>
        <v>378940.35891394789</v>
      </c>
      <c r="CH60" s="70">
        <f t="shared" si="38"/>
        <v>392934.74461496645</v>
      </c>
      <c r="CI60" s="70">
        <f t="shared" si="38"/>
        <v>420899.80138333316</v>
      </c>
      <c r="CJ60" s="70">
        <f t="shared" si="38"/>
        <v>328450.67775370367</v>
      </c>
      <c r="CK60" s="70">
        <f t="shared" si="38"/>
        <v>314117.44280743861</v>
      </c>
      <c r="CL60" s="70">
        <f t="shared" si="38"/>
        <v>351956.67354095803</v>
      </c>
      <c r="CM60" s="70">
        <f t="shared" si="38"/>
        <v>352440.60055190895</v>
      </c>
      <c r="CN60" s="70">
        <f t="shared" si="38"/>
        <v>358645.91452986334</v>
      </c>
      <c r="CO60" s="70">
        <f t="shared" si="38"/>
        <v>438502.57794558577</v>
      </c>
      <c r="CP60" s="70">
        <f t="shared" si="38"/>
        <v>473552.57786512509</v>
      </c>
      <c r="CQ60" s="70">
        <f t="shared" si="38"/>
        <v>396894.09990378871</v>
      </c>
      <c r="CR60" s="70">
        <f t="shared" si="38"/>
        <v>412448.34124129853</v>
      </c>
      <c r="CS60" s="70">
        <f t="shared" si="38"/>
        <v>459958.66147334105</v>
      </c>
      <c r="CT60" s="70">
        <f t="shared" si="38"/>
        <v>451043.84626636445</v>
      </c>
      <c r="CU60" s="70">
        <f t="shared" si="38"/>
        <v>411267.77110382053</v>
      </c>
      <c r="CV60" s="70">
        <f t="shared" si="38"/>
        <v>420845.88526630681</v>
      </c>
      <c r="CW60" s="70">
        <f t="shared" si="38"/>
        <v>439391.46162860282</v>
      </c>
      <c r="CX60" s="70">
        <f t="shared" si="38"/>
        <v>471635.74230853823</v>
      </c>
      <c r="CY60" s="70">
        <f t="shared" si="38"/>
        <v>381389.06418793899</v>
      </c>
      <c r="CZ60" s="70">
        <f t="shared" si="38"/>
        <v>393820.5393030665</v>
      </c>
      <c r="DA60" s="70">
        <f t="shared" si="38"/>
        <v>259512.70302584243</v>
      </c>
      <c r="DB60" s="70">
        <f t="shared" si="38"/>
        <v>321110.07103787101</v>
      </c>
      <c r="DC60" s="70">
        <f t="shared" si="38"/>
        <v>382924.51082332933</v>
      </c>
      <c r="DD60" s="70">
        <f t="shared" si="38"/>
        <v>366150.1169553746</v>
      </c>
      <c r="DE60" s="70">
        <f t="shared" si="38"/>
        <v>408797.33885724487</v>
      </c>
      <c r="DF60" s="70">
        <f t="shared" si="38"/>
        <v>428987.86973761127</v>
      </c>
      <c r="DG60" s="70">
        <f t="shared" si="38"/>
        <v>545508.47029752308</v>
      </c>
      <c r="DH60" s="70">
        <f t="shared" si="38"/>
        <v>498609.56726852624</v>
      </c>
      <c r="DI60" s="70">
        <f t="shared" si="38"/>
        <v>491882.73613880406</v>
      </c>
      <c r="DJ60" s="70">
        <f t="shared" si="38"/>
        <v>442683.02080096811</v>
      </c>
      <c r="DK60" s="70">
        <f t="shared" si="38"/>
        <v>365550.70929830213</v>
      </c>
      <c r="DL60" s="70">
        <f t="shared" si="38"/>
        <v>358375.09771504463</v>
      </c>
      <c r="DM60" s="70">
        <f t="shared" si="38"/>
        <v>380873.63400000002</v>
      </c>
      <c r="DN60" s="70">
        <f t="shared" si="38"/>
        <v>442180.00900000002</v>
      </c>
      <c r="DO60" s="70">
        <f t="shared" si="38"/>
        <v>431036.37299999996</v>
      </c>
      <c r="DP60" s="70">
        <f t="shared" si="38"/>
        <v>434187.93192</v>
      </c>
      <c r="DQ60" s="70">
        <f t="shared" si="38"/>
        <v>413880.68199999997</v>
      </c>
      <c r="DR60" s="70">
        <f t="shared" si="38"/>
        <v>46756.092287101899</v>
      </c>
      <c r="DS60" s="70">
        <f t="shared" si="38"/>
        <v>51252.352222211397</v>
      </c>
      <c r="DT60" s="70">
        <f t="shared" si="38"/>
        <v>43220.358648427202</v>
      </c>
      <c r="DU60" s="70">
        <f t="shared" si="38"/>
        <v>48349.725749867001</v>
      </c>
      <c r="DV60" s="70">
        <f t="shared" si="38"/>
        <v>58605.575110382997</v>
      </c>
      <c r="DW60" s="70">
        <f t="shared" si="38"/>
        <v>66223.988115314729</v>
      </c>
      <c r="DX60" s="70">
        <f t="shared" si="38"/>
        <v>82861.176102655692</v>
      </c>
      <c r="DY60" s="70">
        <f t="shared" si="38"/>
        <v>83295.789556688193</v>
      </c>
      <c r="DZ60" s="70">
        <f t="shared" si="38"/>
        <v>81839.89075075349</v>
      </c>
      <c r="EA60" s="70">
        <f t="shared" si="38"/>
        <v>83810.675510022906</v>
      </c>
      <c r="EB60" s="70">
        <f t="shared" si="38"/>
        <v>89922.443806029289</v>
      </c>
      <c r="EC60" s="70">
        <f t="shared" si="38"/>
        <v>95124.824283925991</v>
      </c>
      <c r="ED60" s="70">
        <f t="shared" si="38"/>
        <v>90354.527270000006</v>
      </c>
      <c r="EE60" s="70">
        <f t="shared" si="38"/>
        <v>92437.99136</v>
      </c>
      <c r="EF60" s="70">
        <f t="shared" si="38"/>
        <v>83587.755040000004</v>
      </c>
      <c r="EG60" s="70">
        <f t="shared" si="38"/>
        <v>75656.824590000004</v>
      </c>
      <c r="EH60" s="70">
        <f t="shared" si="38"/>
        <v>74664.096995365093</v>
      </c>
      <c r="EI60" s="70">
        <f t="shared" si="38"/>
        <v>82877.291930000007</v>
      </c>
      <c r="EJ60" s="70">
        <f t="shared" ref="EJ60" si="39">EJ55</f>
        <v>88592.699200000003</v>
      </c>
      <c r="EK60" s="70">
        <f t="shared" si="38"/>
        <v>134374.549</v>
      </c>
      <c r="EL60" s="70">
        <f t="shared" si="38"/>
        <v>124619.18799999999</v>
      </c>
      <c r="EM60" s="70">
        <f t="shared" si="38"/>
        <v>131719.929</v>
      </c>
      <c r="EN60" s="70">
        <f t="shared" si="38"/>
        <v>149199.54840999999</v>
      </c>
      <c r="EO60" s="70">
        <f t="shared" si="38"/>
        <v>152376.32739999998</v>
      </c>
      <c r="EP60" s="70">
        <f t="shared" si="38"/>
        <v>158210.78294999999</v>
      </c>
      <c r="EQ60" s="70">
        <f t="shared" si="38"/>
        <v>193863.29666137332</v>
      </c>
      <c r="ER60" s="70">
        <f t="shared" si="38"/>
        <v>211476.52206592911</v>
      </c>
      <c r="ES60" s="70">
        <f t="shared" si="38"/>
        <v>204553.83417000002</v>
      </c>
      <c r="ET60" s="70">
        <f t="shared" si="38"/>
        <v>218764.51264158211</v>
      </c>
      <c r="EU60" s="70">
        <f t="shared" ref="EU60:HF60" si="40">EU55</f>
        <v>193867.98746270817</v>
      </c>
      <c r="EV60" s="70">
        <f t="shared" si="40"/>
        <v>211012.4831935305</v>
      </c>
      <c r="EW60" s="70">
        <f t="shared" si="40"/>
        <v>221767.02495278599</v>
      </c>
      <c r="EX60" s="70">
        <f t="shared" si="40"/>
        <v>221423.82199999999</v>
      </c>
      <c r="EY60" s="70">
        <f t="shared" si="40"/>
        <v>214972.49</v>
      </c>
      <c r="EZ60" s="70">
        <f t="shared" si="40"/>
        <v>218274.83</v>
      </c>
      <c r="FA60" s="70">
        <f t="shared" si="40"/>
        <v>230371.899</v>
      </c>
      <c r="FB60" s="70">
        <f t="shared" si="40"/>
        <v>116302.749904419</v>
      </c>
      <c r="FC60" s="70">
        <f t="shared" si="40"/>
        <v>112914.640378019</v>
      </c>
      <c r="FD60" s="70">
        <f t="shared" si="40"/>
        <v>130933.87803296199</v>
      </c>
      <c r="FE60" s="70">
        <f t="shared" si="40"/>
        <v>149173.38508183201</v>
      </c>
      <c r="FF60" s="70">
        <f t="shared" si="40"/>
        <v>152669.628414626</v>
      </c>
      <c r="FG60" s="70">
        <f t="shared" si="40"/>
        <v>197231.65958920601</v>
      </c>
      <c r="FH60" s="70">
        <f t="shared" si="40"/>
        <v>210494.32048673902</v>
      </c>
      <c r="FI60" s="70">
        <f t="shared" si="40"/>
        <v>228733.33101324001</v>
      </c>
      <c r="FJ60" s="70">
        <f t="shared" si="40"/>
        <v>233849.701</v>
      </c>
      <c r="FK60" s="70">
        <f t="shared" si="40"/>
        <v>248377.486889666</v>
      </c>
      <c r="FL60" s="70">
        <f t="shared" si="40"/>
        <v>211867.16309531001</v>
      </c>
      <c r="FM60" s="70">
        <f t="shared" si="40"/>
        <v>248667.39895521599</v>
      </c>
      <c r="FN60" s="70">
        <f t="shared" si="40"/>
        <v>249010.83126000001</v>
      </c>
      <c r="FO60" s="70">
        <f t="shared" si="40"/>
        <v>261706.81672</v>
      </c>
      <c r="FP60" s="70">
        <f t="shared" si="40"/>
        <v>237845.67388999998</v>
      </c>
      <c r="FQ60" s="70">
        <f t="shared" si="40"/>
        <v>245707.57653999998</v>
      </c>
      <c r="FR60" s="70">
        <f t="shared" si="40"/>
        <v>268338.46308999998</v>
      </c>
      <c r="FS60" s="70">
        <f t="shared" si="40"/>
        <v>91512.370999999999</v>
      </c>
      <c r="FT60" s="70">
        <f t="shared" si="40"/>
        <v>111659.02499999999</v>
      </c>
      <c r="FU60" s="70">
        <f t="shared" si="40"/>
        <v>126954.183</v>
      </c>
      <c r="FV60" s="70">
        <f t="shared" si="40"/>
        <v>147045.14508703566</v>
      </c>
      <c r="FW60" s="70">
        <f t="shared" si="40"/>
        <v>148249.28921411154</v>
      </c>
      <c r="FX60" s="70">
        <f t="shared" si="40"/>
        <v>156451.11528364252</v>
      </c>
      <c r="FY60" s="70">
        <f t="shared" si="40"/>
        <v>173292.1959652995</v>
      </c>
      <c r="FZ60" s="70">
        <f t="shared" si="40"/>
        <v>188964.70734896982</v>
      </c>
      <c r="GA60" s="70">
        <f t="shared" si="40"/>
        <v>198623.8972691597</v>
      </c>
      <c r="GB60" s="70">
        <f t="shared" si="40"/>
        <v>216635.19392531272</v>
      </c>
      <c r="GC60" s="70">
        <f t="shared" si="40"/>
        <v>236404.80011395976</v>
      </c>
      <c r="GD60" s="70">
        <f t="shared" si="40"/>
        <v>210858.53991651189</v>
      </c>
      <c r="GE60" s="70">
        <f t="shared" si="40"/>
        <v>196660.56693628174</v>
      </c>
      <c r="GF60" s="70">
        <f t="shared" si="40"/>
        <v>209949.63536162334</v>
      </c>
      <c r="GG60" s="70">
        <f t="shared" si="40"/>
        <v>222301.18486246382</v>
      </c>
      <c r="GH60" s="70">
        <f t="shared" si="40"/>
        <v>227160.68726690396</v>
      </c>
      <c r="GI60" s="70">
        <f t="shared" si="40"/>
        <v>221633.79366366839</v>
      </c>
      <c r="GJ60" s="70">
        <f t="shared" si="40"/>
        <v>52868.241597880879</v>
      </c>
      <c r="GK60" s="70">
        <f t="shared" si="40"/>
        <v>55158.45329777195</v>
      </c>
      <c r="GL60" s="70">
        <f t="shared" si="40"/>
        <v>57916.22277341369</v>
      </c>
      <c r="GM60" s="70">
        <f t="shared" si="40"/>
        <v>67194.460550882941</v>
      </c>
      <c r="GN60" s="70">
        <f t="shared" si="40"/>
        <v>81545.096734338353</v>
      </c>
      <c r="GO60" s="70">
        <f t="shared" si="40"/>
        <v>81632.886673280795</v>
      </c>
      <c r="GP60" s="70">
        <f t="shared" si="40"/>
        <v>93877.759666273836</v>
      </c>
      <c r="GQ60" s="70">
        <f t="shared" si="40"/>
        <v>74956.74567742864</v>
      </c>
      <c r="GR60" s="70">
        <f t="shared" si="40"/>
        <v>78193.911082667109</v>
      </c>
      <c r="GS60" s="70">
        <f t="shared" si="40"/>
        <v>65602.40088127373</v>
      </c>
      <c r="GT60" s="70">
        <f t="shared" si="40"/>
        <v>72920.104480320268</v>
      </c>
      <c r="GU60" s="70">
        <f t="shared" si="40"/>
        <v>98348.727444605931</v>
      </c>
      <c r="GV60" s="70">
        <f t="shared" si="40"/>
        <v>97037.359690964702</v>
      </c>
      <c r="GW60" s="70">
        <f t="shared" si="40"/>
        <v>91107.370435041899</v>
      </c>
      <c r="GX60" s="70">
        <f t="shared" si="40"/>
        <v>98523.05692312849</v>
      </c>
      <c r="GY60" s="70">
        <f t="shared" si="40"/>
        <v>104019.59618108421</v>
      </c>
      <c r="GZ60" s="70">
        <f t="shared" si="40"/>
        <v>105315.0092425849</v>
      </c>
      <c r="HA60" s="70">
        <f t="shared" si="40"/>
        <v>83237</v>
      </c>
      <c r="HB60" s="70">
        <f t="shared" si="40"/>
        <v>81473</v>
      </c>
      <c r="HC60" s="70">
        <f t="shared" si="40"/>
        <v>85413.886309046997</v>
      </c>
      <c r="HD60" s="70">
        <f t="shared" si="40"/>
        <v>89047.922493129998</v>
      </c>
      <c r="HE60" s="70">
        <f t="shared" si="40"/>
        <v>96130.066559793398</v>
      </c>
      <c r="HF60" s="70">
        <f t="shared" si="40"/>
        <v>121992.755514909</v>
      </c>
      <c r="HG60" s="70">
        <f t="shared" ref="HG60:HQ60" si="41">HG55</f>
        <v>126519.882999029</v>
      </c>
      <c r="HH60" s="70">
        <f t="shared" si="41"/>
        <v>116175.49106407601</v>
      </c>
      <c r="HI60" s="70">
        <f t="shared" si="41"/>
        <v>121867.70902049799</v>
      </c>
      <c r="HJ60" s="70">
        <f t="shared" si="41"/>
        <v>117721.494565381</v>
      </c>
      <c r="HK60" s="70">
        <f t="shared" si="41"/>
        <v>138427.94329502599</v>
      </c>
      <c r="HL60" s="70">
        <f t="shared" si="41"/>
        <v>132835.09312937901</v>
      </c>
      <c r="HM60" s="70">
        <f t="shared" si="41"/>
        <v>108242.14191396099</v>
      </c>
      <c r="HN60" s="70">
        <f t="shared" si="41"/>
        <v>110815.785</v>
      </c>
      <c r="HO60" s="70">
        <f t="shared" si="41"/>
        <v>118042.307</v>
      </c>
      <c r="HP60" s="70">
        <f t="shared" si="41"/>
        <v>118292.577</v>
      </c>
      <c r="HQ60" s="70">
        <f t="shared" si="41"/>
        <v>124679.376</v>
      </c>
    </row>
    <row r="61" spans="1:225" s="252" customFormat="1" ht="13.7" customHeight="1">
      <c r="A61" s="252" t="s">
        <v>281</v>
      </c>
      <c r="B61" s="291">
        <v>20</v>
      </c>
      <c r="C61" s="70">
        <f>C59</f>
        <v>38538.624900945346</v>
      </c>
      <c r="D61" s="70">
        <f t="shared" ref="D61:BO61" si="42">D59</f>
        <v>40555.568802439702</v>
      </c>
      <c r="E61" s="70">
        <f t="shared" si="42"/>
        <v>44812.70258129912</v>
      </c>
      <c r="F61" s="70">
        <f t="shared" si="42"/>
        <v>46821.896889849857</v>
      </c>
      <c r="G61" s="70">
        <f t="shared" si="42"/>
        <v>55266.38145396336</v>
      </c>
      <c r="H61" s="70">
        <f t="shared" si="42"/>
        <v>63737.765832817691</v>
      </c>
      <c r="I61" s="70">
        <f t="shared" si="42"/>
        <v>70608.373543978203</v>
      </c>
      <c r="J61" s="70">
        <f t="shared" si="42"/>
        <v>77834.327675292603</v>
      </c>
      <c r="K61" s="70">
        <f t="shared" si="42"/>
        <v>88864.580625233939</v>
      </c>
      <c r="L61" s="70">
        <f t="shared" si="42"/>
        <v>86548.092643177908</v>
      </c>
      <c r="M61" s="70">
        <f t="shared" si="42"/>
        <v>52497.721534325196</v>
      </c>
      <c r="N61" s="70">
        <f t="shared" si="42"/>
        <v>58245.248035999997</v>
      </c>
      <c r="O61" s="70">
        <f t="shared" si="42"/>
        <v>72071.139840504809</v>
      </c>
      <c r="P61" s="70">
        <f t="shared" si="42"/>
        <v>70694.304359999995</v>
      </c>
      <c r="Q61" s="70">
        <f t="shared" si="42"/>
        <v>68958.093410000001</v>
      </c>
      <c r="R61" s="70">
        <f t="shared" si="42"/>
        <v>66360.226999999999</v>
      </c>
      <c r="S61" s="70">
        <f t="shared" si="42"/>
        <v>71365.648977441</v>
      </c>
      <c r="T61" s="70">
        <f t="shared" si="42"/>
        <v>359429.30472414085</v>
      </c>
      <c r="U61" s="70">
        <f t="shared" si="42"/>
        <v>319120.88969815226</v>
      </c>
      <c r="V61" s="70">
        <f t="shared" si="42"/>
        <v>470681.79458618024</v>
      </c>
      <c r="W61" s="70">
        <f t="shared" si="42"/>
        <v>443700.63762656803</v>
      </c>
      <c r="X61" s="70">
        <f t="shared" si="42"/>
        <v>516405.56407726306</v>
      </c>
      <c r="Y61" s="70">
        <f t="shared" si="42"/>
        <v>513411.9445176929</v>
      </c>
      <c r="Z61" s="70">
        <f t="shared" si="42"/>
        <v>583745.18660643906</v>
      </c>
      <c r="AA61" s="70">
        <f t="shared" si="42"/>
        <v>475807.76904051501</v>
      </c>
      <c r="AB61" s="70">
        <f t="shared" si="42"/>
        <v>543068.58082208002</v>
      </c>
      <c r="AC61" s="70">
        <f t="shared" si="42"/>
        <v>652527.45930349501</v>
      </c>
      <c r="AD61" s="70">
        <f t="shared" si="42"/>
        <v>590738.86946726497</v>
      </c>
      <c r="AE61" s="70">
        <f t="shared" si="42"/>
        <v>533275.74492261</v>
      </c>
      <c r="AF61" s="70">
        <f t="shared" si="42"/>
        <v>467980.26400000002</v>
      </c>
      <c r="AG61" s="70">
        <f t="shared" si="42"/>
        <v>454424.70699999999</v>
      </c>
      <c r="AH61" s="70">
        <f t="shared" si="42"/>
        <v>409523.11597899999</v>
      </c>
      <c r="AI61" s="70">
        <f t="shared" si="42"/>
        <v>390331.33600000001</v>
      </c>
      <c r="AJ61" s="70">
        <f t="shared" si="42"/>
        <v>350363.98100000003</v>
      </c>
      <c r="AK61" s="70">
        <f t="shared" si="42"/>
        <v>37898.188999999998</v>
      </c>
      <c r="AL61" s="70">
        <f t="shared" si="42"/>
        <v>40582.080999999998</v>
      </c>
      <c r="AM61" s="70">
        <f t="shared" si="42"/>
        <v>41333.470999999998</v>
      </c>
      <c r="AN61" s="70">
        <f t="shared" si="42"/>
        <v>50008.286836201994</v>
      </c>
      <c r="AO61" s="70">
        <f t="shared" si="42"/>
        <v>54297.417209442443</v>
      </c>
      <c r="AP61" s="70">
        <f t="shared" si="42"/>
        <v>54486.114272112434</v>
      </c>
      <c r="AQ61" s="70">
        <f t="shared" si="42"/>
        <v>67739.510590000005</v>
      </c>
      <c r="AR61" s="70">
        <f t="shared" si="42"/>
        <v>68089.082299999995</v>
      </c>
      <c r="AS61" s="70">
        <f t="shared" si="42"/>
        <v>73439.955393108001</v>
      </c>
      <c r="AT61" s="70">
        <f t="shared" si="42"/>
        <v>71997.882248406604</v>
      </c>
      <c r="AU61" s="70">
        <f t="shared" si="42"/>
        <v>73454.018770187686</v>
      </c>
      <c r="AV61" s="70">
        <f t="shared" si="42"/>
        <v>73056.219669490965</v>
      </c>
      <c r="AW61" s="70">
        <f t="shared" si="42"/>
        <v>67694.236446691008</v>
      </c>
      <c r="AX61" s="70">
        <f t="shared" si="42"/>
        <v>75670.104999999996</v>
      </c>
      <c r="AY61" s="70">
        <f t="shared" si="42"/>
        <v>74131.675000000003</v>
      </c>
      <c r="AZ61" s="70">
        <f t="shared" si="42"/>
        <v>67493.260999999999</v>
      </c>
      <c r="BA61" s="70">
        <f t="shared" si="42"/>
        <v>71238.019</v>
      </c>
      <c r="BB61" s="70">
        <f t="shared" si="42"/>
        <v>173158.03593754568</v>
      </c>
      <c r="BC61" s="70">
        <f t="shared" si="42"/>
        <v>192755.56936652676</v>
      </c>
      <c r="BD61" s="70">
        <f t="shared" si="42"/>
        <v>243136.6498313061</v>
      </c>
      <c r="BE61" s="70">
        <f t="shared" si="42"/>
        <v>229075.96469774732</v>
      </c>
      <c r="BF61" s="70">
        <f t="shared" si="42"/>
        <v>228043.59112183331</v>
      </c>
      <c r="BG61" s="70">
        <f t="shared" si="42"/>
        <v>244517.0998057948</v>
      </c>
      <c r="BH61" s="70">
        <f t="shared" si="42"/>
        <v>276189.14942971262</v>
      </c>
      <c r="BI61" s="70">
        <f t="shared" si="42"/>
        <v>248232.2275998212</v>
      </c>
      <c r="BJ61" s="70">
        <f t="shared" si="42"/>
        <v>295997.52023237501</v>
      </c>
      <c r="BK61" s="70">
        <f t="shared" si="42"/>
        <v>300530.03952954285</v>
      </c>
      <c r="BL61" s="70">
        <f t="shared" si="42"/>
        <v>316821.14712986699</v>
      </c>
      <c r="BM61" s="70">
        <f t="shared" si="42"/>
        <v>290656.54168067907</v>
      </c>
      <c r="BN61" s="70">
        <f t="shared" si="42"/>
        <v>278512.48718438006</v>
      </c>
      <c r="BO61" s="70">
        <f t="shared" si="42"/>
        <v>291794.86913370003</v>
      </c>
      <c r="BP61" s="70">
        <f t="shared" ref="BP61:EA61" si="43">BP59</f>
        <v>259970.16376625502</v>
      </c>
      <c r="BQ61" s="70">
        <f t="shared" si="43"/>
        <v>272205.97344527696</v>
      </c>
      <c r="BR61" s="70">
        <f t="shared" si="43"/>
        <v>276174.46399999998</v>
      </c>
      <c r="BS61" s="70">
        <f t="shared" si="43"/>
        <v>203391.00643221589</v>
      </c>
      <c r="BT61" s="70">
        <f t="shared" si="43"/>
        <v>245038.43019628001</v>
      </c>
      <c r="BU61" s="70">
        <f t="shared" si="43"/>
        <v>270734.64824942936</v>
      </c>
      <c r="BV61" s="70">
        <f t="shared" si="43"/>
        <v>289293.06264344038</v>
      </c>
      <c r="BW61" s="70">
        <f t="shared" si="43"/>
        <v>290823.1193110157</v>
      </c>
      <c r="BX61" s="70">
        <f t="shared" si="43"/>
        <v>332430.89486645564</v>
      </c>
      <c r="BY61" s="70">
        <f t="shared" si="43"/>
        <v>370283.76816004416</v>
      </c>
      <c r="BZ61" s="70">
        <f t="shared" si="43"/>
        <v>407311.95354971435</v>
      </c>
      <c r="CA61" s="70">
        <f t="shared" si="43"/>
        <v>390233.18903118349</v>
      </c>
      <c r="CB61" s="70">
        <f t="shared" si="43"/>
        <v>421671.38971983065</v>
      </c>
      <c r="CC61" s="70">
        <f t="shared" si="43"/>
        <v>385683.09634885762</v>
      </c>
      <c r="CD61" s="70">
        <f t="shared" si="43"/>
        <v>383795.11304166587</v>
      </c>
      <c r="CE61" s="70">
        <f t="shared" si="43"/>
        <v>398546.59066905046</v>
      </c>
      <c r="CF61" s="70">
        <f t="shared" si="43"/>
        <v>385080.41533664323</v>
      </c>
      <c r="CG61" s="70">
        <f t="shared" si="43"/>
        <v>378940.35891394789</v>
      </c>
      <c r="CH61" s="70">
        <f t="shared" si="43"/>
        <v>392934.74461496645</v>
      </c>
      <c r="CI61" s="70">
        <f t="shared" si="43"/>
        <v>420899.80138333316</v>
      </c>
      <c r="CJ61" s="70">
        <f t="shared" si="43"/>
        <v>328450.67775370367</v>
      </c>
      <c r="CK61" s="70">
        <f t="shared" si="43"/>
        <v>314117.44280743861</v>
      </c>
      <c r="CL61" s="70">
        <f t="shared" si="43"/>
        <v>351956.67354095803</v>
      </c>
      <c r="CM61" s="70">
        <f t="shared" si="43"/>
        <v>352440.60055190895</v>
      </c>
      <c r="CN61" s="70">
        <f t="shared" si="43"/>
        <v>358645.91452986334</v>
      </c>
      <c r="CO61" s="70">
        <f t="shared" si="43"/>
        <v>438502.57794558577</v>
      </c>
      <c r="CP61" s="70">
        <f t="shared" si="43"/>
        <v>473552.57786512509</v>
      </c>
      <c r="CQ61" s="70">
        <f t="shared" si="43"/>
        <v>396894.09990378871</v>
      </c>
      <c r="CR61" s="70">
        <f t="shared" si="43"/>
        <v>412448.34124129853</v>
      </c>
      <c r="CS61" s="70">
        <f t="shared" si="43"/>
        <v>459958.66147334105</v>
      </c>
      <c r="CT61" s="70">
        <f t="shared" si="43"/>
        <v>451043.84626636445</v>
      </c>
      <c r="CU61" s="70">
        <f t="shared" si="43"/>
        <v>411267.77110382053</v>
      </c>
      <c r="CV61" s="70">
        <f t="shared" si="43"/>
        <v>420845.88526630681</v>
      </c>
      <c r="CW61" s="70">
        <f t="shared" si="43"/>
        <v>439391.46162860282</v>
      </c>
      <c r="CX61" s="70">
        <f t="shared" si="43"/>
        <v>471635.74230853823</v>
      </c>
      <c r="CY61" s="70">
        <f t="shared" si="43"/>
        <v>381389.06418793899</v>
      </c>
      <c r="CZ61" s="70">
        <f t="shared" si="43"/>
        <v>393820.5393030665</v>
      </c>
      <c r="DA61" s="70">
        <f t="shared" si="43"/>
        <v>259512.70302584243</v>
      </c>
      <c r="DB61" s="70">
        <f t="shared" si="43"/>
        <v>321110.07103787101</v>
      </c>
      <c r="DC61" s="70">
        <f t="shared" si="43"/>
        <v>382924.51082332933</v>
      </c>
      <c r="DD61" s="70">
        <f t="shared" si="43"/>
        <v>366150.1169553746</v>
      </c>
      <c r="DE61" s="70">
        <f t="shared" si="43"/>
        <v>408797.33885724487</v>
      </c>
      <c r="DF61" s="70">
        <f t="shared" si="43"/>
        <v>428987.86973761127</v>
      </c>
      <c r="DG61" s="70">
        <f t="shared" si="43"/>
        <v>545508.47029752308</v>
      </c>
      <c r="DH61" s="70">
        <f t="shared" si="43"/>
        <v>498609.56726852624</v>
      </c>
      <c r="DI61" s="70">
        <f t="shared" si="43"/>
        <v>491882.73613880406</v>
      </c>
      <c r="DJ61" s="70">
        <f t="shared" si="43"/>
        <v>442683.02080096811</v>
      </c>
      <c r="DK61" s="70">
        <f t="shared" si="43"/>
        <v>365550.70929830213</v>
      </c>
      <c r="DL61" s="70">
        <f t="shared" si="43"/>
        <v>358375.09771504463</v>
      </c>
      <c r="DM61" s="70">
        <f t="shared" si="43"/>
        <v>380873.63400000002</v>
      </c>
      <c r="DN61" s="70">
        <f t="shared" si="43"/>
        <v>442180.00900000002</v>
      </c>
      <c r="DO61" s="70">
        <f t="shared" si="43"/>
        <v>431036.37299999996</v>
      </c>
      <c r="DP61" s="70">
        <f t="shared" si="43"/>
        <v>434187.93192</v>
      </c>
      <c r="DQ61" s="70">
        <f t="shared" si="43"/>
        <v>413880.68199999997</v>
      </c>
      <c r="DR61" s="70">
        <f t="shared" si="43"/>
        <v>46756.092287101899</v>
      </c>
      <c r="DS61" s="70">
        <f t="shared" si="43"/>
        <v>51252.352222211397</v>
      </c>
      <c r="DT61" s="70">
        <f t="shared" si="43"/>
        <v>43220.358648427202</v>
      </c>
      <c r="DU61" s="70">
        <f t="shared" si="43"/>
        <v>48349.725749867001</v>
      </c>
      <c r="DV61" s="70">
        <f t="shared" si="43"/>
        <v>58605.575110382997</v>
      </c>
      <c r="DW61" s="70">
        <f t="shared" si="43"/>
        <v>66223.988115314729</v>
      </c>
      <c r="DX61" s="70">
        <f t="shared" si="43"/>
        <v>82861.176102655692</v>
      </c>
      <c r="DY61" s="70">
        <f t="shared" si="43"/>
        <v>83295.789556688193</v>
      </c>
      <c r="DZ61" s="70">
        <f t="shared" si="43"/>
        <v>81839.89075075349</v>
      </c>
      <c r="EA61" s="70">
        <f t="shared" si="43"/>
        <v>83810.675510022906</v>
      </c>
      <c r="EB61" s="70">
        <f t="shared" ref="EB61:GO61" si="44">EB59</f>
        <v>89922.443806029289</v>
      </c>
      <c r="EC61" s="70">
        <f t="shared" si="44"/>
        <v>95124.824283925991</v>
      </c>
      <c r="ED61" s="70">
        <f t="shared" si="44"/>
        <v>90354.527270000006</v>
      </c>
      <c r="EE61" s="70">
        <f t="shared" si="44"/>
        <v>92437.99136</v>
      </c>
      <c r="EF61" s="70">
        <f t="shared" si="44"/>
        <v>83587.755040000004</v>
      </c>
      <c r="EG61" s="70">
        <f t="shared" si="44"/>
        <v>75656.824590000004</v>
      </c>
      <c r="EH61" s="70">
        <f t="shared" si="44"/>
        <v>74664.096995365093</v>
      </c>
      <c r="EI61" s="70">
        <f t="shared" si="44"/>
        <v>82877.291930000007</v>
      </c>
      <c r="EJ61" s="70">
        <f t="shared" ref="EJ61" si="45">EJ59</f>
        <v>88592.699200000003</v>
      </c>
      <c r="EK61" s="70">
        <f t="shared" si="44"/>
        <v>134374.549</v>
      </c>
      <c r="EL61" s="70">
        <f t="shared" si="44"/>
        <v>124619.18799999999</v>
      </c>
      <c r="EM61" s="70">
        <f t="shared" si="44"/>
        <v>131719.929</v>
      </c>
      <c r="EN61" s="70">
        <f t="shared" si="44"/>
        <v>149199.54840999999</v>
      </c>
      <c r="EO61" s="70">
        <f t="shared" si="44"/>
        <v>152376.32739999998</v>
      </c>
      <c r="EP61" s="70">
        <f t="shared" si="44"/>
        <v>158210.78294999999</v>
      </c>
      <c r="EQ61" s="70">
        <f t="shared" si="44"/>
        <v>193863.29666137332</v>
      </c>
      <c r="ER61" s="70">
        <f t="shared" si="44"/>
        <v>211476.52206592911</v>
      </c>
      <c r="ES61" s="70">
        <f t="shared" si="44"/>
        <v>204553.83417000002</v>
      </c>
      <c r="ET61" s="70">
        <f t="shared" si="44"/>
        <v>218764.51264158211</v>
      </c>
      <c r="EU61" s="70">
        <f t="shared" si="44"/>
        <v>193867.98746270817</v>
      </c>
      <c r="EV61" s="70">
        <f t="shared" si="44"/>
        <v>211012.4831935305</v>
      </c>
      <c r="EW61" s="70">
        <f t="shared" si="44"/>
        <v>221767.02495278599</v>
      </c>
      <c r="EX61" s="70">
        <f t="shared" si="44"/>
        <v>221423.82199999999</v>
      </c>
      <c r="EY61" s="70">
        <f t="shared" si="44"/>
        <v>214972.49</v>
      </c>
      <c r="EZ61" s="70">
        <f t="shared" si="44"/>
        <v>218274.83</v>
      </c>
      <c r="FA61" s="70">
        <f t="shared" si="44"/>
        <v>230371.899</v>
      </c>
      <c r="FB61" s="70">
        <f t="shared" si="44"/>
        <v>116302.749904419</v>
      </c>
      <c r="FC61" s="70">
        <f t="shared" si="44"/>
        <v>112914.640378019</v>
      </c>
      <c r="FD61" s="70">
        <f t="shared" si="44"/>
        <v>130933.87803296199</v>
      </c>
      <c r="FE61" s="70">
        <f t="shared" si="44"/>
        <v>149173.38508183201</v>
      </c>
      <c r="FF61" s="70">
        <f t="shared" si="44"/>
        <v>152669.628414626</v>
      </c>
      <c r="FG61" s="70">
        <f t="shared" si="44"/>
        <v>197231.65958920601</v>
      </c>
      <c r="FH61" s="70">
        <f t="shared" si="44"/>
        <v>210494.32048673902</v>
      </c>
      <c r="FI61" s="70">
        <f t="shared" si="44"/>
        <v>228733.33101324001</v>
      </c>
      <c r="FJ61" s="70">
        <f t="shared" si="44"/>
        <v>233849.701</v>
      </c>
      <c r="FK61" s="70">
        <f t="shared" si="44"/>
        <v>248377.486889666</v>
      </c>
      <c r="FL61" s="70">
        <f t="shared" si="44"/>
        <v>211867.16309531001</v>
      </c>
      <c r="FM61" s="70">
        <f t="shared" si="44"/>
        <v>248667.39895521599</v>
      </c>
      <c r="FN61" s="70">
        <f t="shared" si="44"/>
        <v>249010.83126000001</v>
      </c>
      <c r="FO61" s="70">
        <f t="shared" si="44"/>
        <v>261706.81672</v>
      </c>
      <c r="FP61" s="70">
        <f t="shared" si="44"/>
        <v>237845.67388999998</v>
      </c>
      <c r="FQ61" s="70">
        <f t="shared" si="44"/>
        <v>245707.57653999998</v>
      </c>
      <c r="FR61" s="70">
        <f t="shared" si="44"/>
        <v>268338.46308999998</v>
      </c>
      <c r="FS61" s="70">
        <f t="shared" si="44"/>
        <v>91512.370999999999</v>
      </c>
      <c r="FT61" s="70">
        <f t="shared" si="44"/>
        <v>111659.02499999999</v>
      </c>
      <c r="FU61" s="70">
        <f t="shared" si="44"/>
        <v>126954.183</v>
      </c>
      <c r="FV61" s="70">
        <f t="shared" si="44"/>
        <v>147045.14508703566</v>
      </c>
      <c r="FW61" s="70">
        <f t="shared" si="44"/>
        <v>148249.28921411154</v>
      </c>
      <c r="FX61" s="70">
        <f t="shared" si="44"/>
        <v>156451.11528364252</v>
      </c>
      <c r="FY61" s="70">
        <f t="shared" si="44"/>
        <v>173292.1959652995</v>
      </c>
      <c r="FZ61" s="70">
        <f t="shared" si="44"/>
        <v>188964.70734896982</v>
      </c>
      <c r="GA61" s="70">
        <f t="shared" si="44"/>
        <v>198623.8972691597</v>
      </c>
      <c r="GB61" s="70">
        <f t="shared" si="44"/>
        <v>216635.19392531272</v>
      </c>
      <c r="GC61" s="70">
        <f t="shared" si="44"/>
        <v>236404.80011395976</v>
      </c>
      <c r="GD61" s="70">
        <f t="shared" si="44"/>
        <v>210858.53991651189</v>
      </c>
      <c r="GE61" s="70">
        <f t="shared" si="44"/>
        <v>196660.56693628174</v>
      </c>
      <c r="GF61" s="70">
        <f t="shared" si="44"/>
        <v>209949.63536162334</v>
      </c>
      <c r="GG61" s="70">
        <f t="shared" si="44"/>
        <v>222301.18486246382</v>
      </c>
      <c r="GH61" s="70">
        <f t="shared" si="44"/>
        <v>227160.68726690396</v>
      </c>
      <c r="GI61" s="70">
        <f t="shared" si="44"/>
        <v>221633.79366366839</v>
      </c>
      <c r="GJ61" s="70">
        <f t="shared" si="44"/>
        <v>52868.241597880879</v>
      </c>
      <c r="GK61" s="70">
        <f t="shared" si="44"/>
        <v>55158.45329777195</v>
      </c>
      <c r="GL61" s="70">
        <f t="shared" si="44"/>
        <v>57916.22277341369</v>
      </c>
      <c r="GM61" s="70">
        <f t="shared" si="44"/>
        <v>67194.460550882941</v>
      </c>
      <c r="GN61" s="70">
        <f t="shared" si="44"/>
        <v>81545.096734338353</v>
      </c>
      <c r="GO61" s="70">
        <f t="shared" si="44"/>
        <v>81632.886673280795</v>
      </c>
      <c r="GP61" s="70">
        <f t="shared" ref="GP61:HQ61" si="46">GP59</f>
        <v>93877.759666273836</v>
      </c>
      <c r="GQ61" s="70">
        <f t="shared" si="46"/>
        <v>74956.74567742864</v>
      </c>
      <c r="GR61" s="70">
        <f t="shared" si="46"/>
        <v>78193.911082667109</v>
      </c>
      <c r="GS61" s="70">
        <f t="shared" si="46"/>
        <v>65602.40088127373</v>
      </c>
      <c r="GT61" s="70">
        <f t="shared" si="46"/>
        <v>72920.104480320268</v>
      </c>
      <c r="GU61" s="70">
        <f t="shared" si="46"/>
        <v>98348.727444605931</v>
      </c>
      <c r="GV61" s="70">
        <f t="shared" si="46"/>
        <v>97037.359690964702</v>
      </c>
      <c r="GW61" s="70">
        <f t="shared" si="46"/>
        <v>91107.370435041899</v>
      </c>
      <c r="GX61" s="70">
        <f t="shared" si="46"/>
        <v>98523.05692312849</v>
      </c>
      <c r="GY61" s="70">
        <f t="shared" si="46"/>
        <v>104019.59618108421</v>
      </c>
      <c r="GZ61" s="70">
        <f t="shared" si="46"/>
        <v>105315.0092425849</v>
      </c>
      <c r="HA61" s="70">
        <f t="shared" si="46"/>
        <v>83237</v>
      </c>
      <c r="HB61" s="70">
        <f t="shared" si="46"/>
        <v>81473</v>
      </c>
      <c r="HC61" s="70">
        <f t="shared" si="46"/>
        <v>85413.886309046997</v>
      </c>
      <c r="HD61" s="70">
        <f t="shared" si="46"/>
        <v>89047.922493129998</v>
      </c>
      <c r="HE61" s="70">
        <f t="shared" si="46"/>
        <v>96130.066559793398</v>
      </c>
      <c r="HF61" s="70">
        <f t="shared" si="46"/>
        <v>121992.755514909</v>
      </c>
      <c r="HG61" s="70">
        <f t="shared" si="46"/>
        <v>126519.882999029</v>
      </c>
      <c r="HH61" s="70">
        <f t="shared" si="46"/>
        <v>116175.49106407601</v>
      </c>
      <c r="HI61" s="70">
        <f t="shared" si="46"/>
        <v>121867.70902049799</v>
      </c>
      <c r="HJ61" s="70">
        <f t="shared" si="46"/>
        <v>117721.494565381</v>
      </c>
      <c r="HK61" s="70">
        <f t="shared" si="46"/>
        <v>138427.94329502599</v>
      </c>
      <c r="HL61" s="70">
        <f t="shared" si="46"/>
        <v>132835.09312937901</v>
      </c>
      <c r="HM61" s="70">
        <f t="shared" si="46"/>
        <v>108242.14191396099</v>
      </c>
      <c r="HN61" s="70">
        <f t="shared" si="46"/>
        <v>110815.785</v>
      </c>
      <c r="HO61" s="70">
        <f t="shared" si="46"/>
        <v>118042.307</v>
      </c>
      <c r="HP61" s="70">
        <f t="shared" si="46"/>
        <v>118292.577</v>
      </c>
      <c r="HQ61" s="70">
        <f t="shared" si="46"/>
        <v>124679.376</v>
      </c>
    </row>
    <row r="62" spans="1:225" s="252" customFormat="1" ht="13.7" customHeight="1">
      <c r="A62" s="252" t="s">
        <v>282</v>
      </c>
      <c r="B62" s="291">
        <v>21</v>
      </c>
      <c r="C62" s="70">
        <f>C61</f>
        <v>38538.624900945346</v>
      </c>
      <c r="D62" s="70">
        <f t="shared" ref="D62:BO63" si="47">D61</f>
        <v>40555.568802439702</v>
      </c>
      <c r="E62" s="70">
        <f t="shared" si="47"/>
        <v>44812.70258129912</v>
      </c>
      <c r="F62" s="70">
        <f t="shared" si="47"/>
        <v>46821.896889849857</v>
      </c>
      <c r="G62" s="70">
        <f t="shared" si="47"/>
        <v>55266.38145396336</v>
      </c>
      <c r="H62" s="70">
        <f t="shared" si="47"/>
        <v>63737.765832817691</v>
      </c>
      <c r="I62" s="70">
        <f t="shared" si="47"/>
        <v>70608.373543978203</v>
      </c>
      <c r="J62" s="70">
        <f t="shared" si="47"/>
        <v>77834.327675292603</v>
      </c>
      <c r="K62" s="70">
        <f t="shared" si="47"/>
        <v>88864.580625233939</v>
      </c>
      <c r="L62" s="70">
        <f t="shared" si="47"/>
        <v>86548.092643177908</v>
      </c>
      <c r="M62" s="70">
        <f t="shared" si="47"/>
        <v>52497.721534325196</v>
      </c>
      <c r="N62" s="70">
        <f t="shared" si="47"/>
        <v>58245.248035999997</v>
      </c>
      <c r="O62" s="70">
        <f t="shared" si="47"/>
        <v>72071.139840504809</v>
      </c>
      <c r="P62" s="70">
        <f t="shared" si="47"/>
        <v>70694.304359999995</v>
      </c>
      <c r="Q62" s="70">
        <f t="shared" si="47"/>
        <v>68958.093410000001</v>
      </c>
      <c r="R62" s="70">
        <f t="shared" si="47"/>
        <v>66360.226999999999</v>
      </c>
      <c r="S62" s="70">
        <f t="shared" si="47"/>
        <v>71365.648977441</v>
      </c>
      <c r="T62" s="70">
        <f t="shared" si="47"/>
        <v>359429.30472414085</v>
      </c>
      <c r="U62" s="70">
        <f t="shared" si="47"/>
        <v>319120.88969815226</v>
      </c>
      <c r="V62" s="70">
        <f t="shared" si="47"/>
        <v>470681.79458618024</v>
      </c>
      <c r="W62" s="70">
        <f t="shared" si="47"/>
        <v>443700.63762656803</v>
      </c>
      <c r="X62" s="70">
        <f t="shared" si="47"/>
        <v>516405.56407726306</v>
      </c>
      <c r="Y62" s="70">
        <f t="shared" si="47"/>
        <v>513411.9445176929</v>
      </c>
      <c r="Z62" s="70">
        <f t="shared" si="47"/>
        <v>583745.18660643906</v>
      </c>
      <c r="AA62" s="70">
        <f t="shared" si="47"/>
        <v>475807.76904051501</v>
      </c>
      <c r="AB62" s="70">
        <f t="shared" si="47"/>
        <v>543068.58082208002</v>
      </c>
      <c r="AC62" s="70">
        <f t="shared" si="47"/>
        <v>652527.45930349501</v>
      </c>
      <c r="AD62" s="70">
        <f t="shared" si="47"/>
        <v>590738.86946726497</v>
      </c>
      <c r="AE62" s="70">
        <f t="shared" si="47"/>
        <v>533275.74492261</v>
      </c>
      <c r="AF62" s="70">
        <f t="shared" si="47"/>
        <v>467980.26400000002</v>
      </c>
      <c r="AG62" s="70">
        <f t="shared" si="47"/>
        <v>454424.70699999999</v>
      </c>
      <c r="AH62" s="70">
        <f t="shared" si="47"/>
        <v>409523.11597899999</v>
      </c>
      <c r="AI62" s="70">
        <f t="shared" si="47"/>
        <v>390331.33600000001</v>
      </c>
      <c r="AJ62" s="70">
        <f t="shared" si="47"/>
        <v>350363.98100000003</v>
      </c>
      <c r="AK62" s="70">
        <f t="shared" si="47"/>
        <v>37898.188999999998</v>
      </c>
      <c r="AL62" s="70">
        <f t="shared" si="47"/>
        <v>40582.080999999998</v>
      </c>
      <c r="AM62" s="70">
        <f t="shared" si="47"/>
        <v>41333.470999999998</v>
      </c>
      <c r="AN62" s="70">
        <f t="shared" si="47"/>
        <v>50008.286836201994</v>
      </c>
      <c r="AO62" s="70">
        <f t="shared" si="47"/>
        <v>54297.417209442443</v>
      </c>
      <c r="AP62" s="70">
        <f t="shared" si="47"/>
        <v>54486.114272112434</v>
      </c>
      <c r="AQ62" s="70">
        <f t="shared" si="47"/>
        <v>67739.510590000005</v>
      </c>
      <c r="AR62" s="70">
        <f t="shared" si="47"/>
        <v>68089.082299999995</v>
      </c>
      <c r="AS62" s="70">
        <f t="shared" si="47"/>
        <v>73439.955393108001</v>
      </c>
      <c r="AT62" s="70">
        <f t="shared" si="47"/>
        <v>71997.882248406604</v>
      </c>
      <c r="AU62" s="70">
        <f t="shared" si="47"/>
        <v>73454.018770187686</v>
      </c>
      <c r="AV62" s="70">
        <f t="shared" si="47"/>
        <v>73056.219669490965</v>
      </c>
      <c r="AW62" s="70">
        <f t="shared" si="47"/>
        <v>67694.236446691008</v>
      </c>
      <c r="AX62" s="70">
        <f t="shared" si="47"/>
        <v>75670.104999999996</v>
      </c>
      <c r="AY62" s="70">
        <f t="shared" si="47"/>
        <v>74131.675000000003</v>
      </c>
      <c r="AZ62" s="70">
        <f t="shared" si="47"/>
        <v>67493.260999999999</v>
      </c>
      <c r="BA62" s="70">
        <f t="shared" si="47"/>
        <v>71238.019</v>
      </c>
      <c r="BB62" s="70">
        <f t="shared" si="47"/>
        <v>173158.03593754568</v>
      </c>
      <c r="BC62" s="70">
        <f t="shared" si="47"/>
        <v>192755.56936652676</v>
      </c>
      <c r="BD62" s="70">
        <f t="shared" si="47"/>
        <v>243136.6498313061</v>
      </c>
      <c r="BE62" s="70">
        <f t="shared" si="47"/>
        <v>229075.96469774732</v>
      </c>
      <c r="BF62" s="70">
        <f t="shared" si="47"/>
        <v>228043.59112183331</v>
      </c>
      <c r="BG62" s="70">
        <f t="shared" si="47"/>
        <v>244517.0998057948</v>
      </c>
      <c r="BH62" s="70">
        <f t="shared" si="47"/>
        <v>276189.14942971262</v>
      </c>
      <c r="BI62" s="70">
        <f t="shared" si="47"/>
        <v>248232.2275998212</v>
      </c>
      <c r="BJ62" s="70">
        <f t="shared" si="47"/>
        <v>295997.52023237501</v>
      </c>
      <c r="BK62" s="70">
        <f t="shared" si="47"/>
        <v>300530.03952954285</v>
      </c>
      <c r="BL62" s="70">
        <f t="shared" si="47"/>
        <v>316821.14712986699</v>
      </c>
      <c r="BM62" s="70">
        <f t="shared" si="47"/>
        <v>290656.54168067907</v>
      </c>
      <c r="BN62" s="70">
        <f t="shared" si="47"/>
        <v>278512.48718438006</v>
      </c>
      <c r="BO62" s="70">
        <f t="shared" si="47"/>
        <v>291794.86913370003</v>
      </c>
      <c r="BP62" s="70">
        <f t="shared" ref="BP62:EA63" si="48">BP61</f>
        <v>259970.16376625502</v>
      </c>
      <c r="BQ62" s="70">
        <f t="shared" si="48"/>
        <v>272205.97344527696</v>
      </c>
      <c r="BR62" s="70">
        <f t="shared" si="48"/>
        <v>276174.46399999998</v>
      </c>
      <c r="BS62" s="70">
        <f t="shared" si="48"/>
        <v>203391.00643221589</v>
      </c>
      <c r="BT62" s="70">
        <f t="shared" si="48"/>
        <v>245038.43019628001</v>
      </c>
      <c r="BU62" s="70">
        <f t="shared" si="48"/>
        <v>270734.64824942936</v>
      </c>
      <c r="BV62" s="70">
        <f t="shared" si="48"/>
        <v>289293.06264344038</v>
      </c>
      <c r="BW62" s="70">
        <f t="shared" si="48"/>
        <v>290823.1193110157</v>
      </c>
      <c r="BX62" s="70">
        <f t="shared" si="48"/>
        <v>332430.89486645564</v>
      </c>
      <c r="BY62" s="70">
        <f t="shared" si="48"/>
        <v>370283.76816004416</v>
      </c>
      <c r="BZ62" s="70">
        <f t="shared" si="48"/>
        <v>407311.95354971435</v>
      </c>
      <c r="CA62" s="70">
        <f t="shared" si="48"/>
        <v>390233.18903118349</v>
      </c>
      <c r="CB62" s="70">
        <f t="shared" si="48"/>
        <v>421671.38971983065</v>
      </c>
      <c r="CC62" s="70">
        <f t="shared" si="48"/>
        <v>385683.09634885762</v>
      </c>
      <c r="CD62" s="70">
        <f t="shared" si="48"/>
        <v>383795.11304166587</v>
      </c>
      <c r="CE62" s="70">
        <f t="shared" si="48"/>
        <v>398546.59066905046</v>
      </c>
      <c r="CF62" s="70">
        <f t="shared" si="48"/>
        <v>385080.41533664323</v>
      </c>
      <c r="CG62" s="70">
        <f t="shared" si="48"/>
        <v>378940.35891394789</v>
      </c>
      <c r="CH62" s="70">
        <f t="shared" si="48"/>
        <v>392934.74461496645</v>
      </c>
      <c r="CI62" s="70">
        <f t="shared" si="48"/>
        <v>420899.80138333316</v>
      </c>
      <c r="CJ62" s="70">
        <f t="shared" si="48"/>
        <v>328450.67775370367</v>
      </c>
      <c r="CK62" s="70">
        <f t="shared" si="48"/>
        <v>314117.44280743861</v>
      </c>
      <c r="CL62" s="70">
        <f t="shared" si="48"/>
        <v>351956.67354095803</v>
      </c>
      <c r="CM62" s="70">
        <f t="shared" si="48"/>
        <v>352440.60055190895</v>
      </c>
      <c r="CN62" s="70">
        <f t="shared" si="48"/>
        <v>358645.91452986334</v>
      </c>
      <c r="CO62" s="70">
        <f t="shared" si="48"/>
        <v>438502.57794558577</v>
      </c>
      <c r="CP62" s="70">
        <f t="shared" si="48"/>
        <v>473552.57786512509</v>
      </c>
      <c r="CQ62" s="70">
        <f t="shared" si="48"/>
        <v>396894.09990378871</v>
      </c>
      <c r="CR62" s="70">
        <f t="shared" si="48"/>
        <v>412448.34124129853</v>
      </c>
      <c r="CS62" s="70">
        <f t="shared" si="48"/>
        <v>459958.66147334105</v>
      </c>
      <c r="CT62" s="70">
        <f t="shared" si="48"/>
        <v>451043.84626636445</v>
      </c>
      <c r="CU62" s="70">
        <f t="shared" si="48"/>
        <v>411267.77110382053</v>
      </c>
      <c r="CV62" s="70">
        <f t="shared" si="48"/>
        <v>420845.88526630681</v>
      </c>
      <c r="CW62" s="70">
        <f t="shared" si="48"/>
        <v>439391.46162860282</v>
      </c>
      <c r="CX62" s="70">
        <f t="shared" si="48"/>
        <v>471635.74230853823</v>
      </c>
      <c r="CY62" s="70">
        <f t="shared" si="48"/>
        <v>381389.06418793899</v>
      </c>
      <c r="CZ62" s="70">
        <f t="shared" si="48"/>
        <v>393820.5393030665</v>
      </c>
      <c r="DA62" s="70">
        <f t="shared" si="48"/>
        <v>259512.70302584243</v>
      </c>
      <c r="DB62" s="70">
        <f t="shared" si="48"/>
        <v>321110.07103787101</v>
      </c>
      <c r="DC62" s="70">
        <f t="shared" si="48"/>
        <v>382924.51082332933</v>
      </c>
      <c r="DD62" s="70">
        <f t="shared" si="48"/>
        <v>366150.1169553746</v>
      </c>
      <c r="DE62" s="70">
        <f t="shared" si="48"/>
        <v>408797.33885724487</v>
      </c>
      <c r="DF62" s="70">
        <f t="shared" si="48"/>
        <v>428987.86973761127</v>
      </c>
      <c r="DG62" s="70">
        <f t="shared" si="48"/>
        <v>545508.47029752308</v>
      </c>
      <c r="DH62" s="70">
        <f t="shared" si="48"/>
        <v>498609.56726852624</v>
      </c>
      <c r="DI62" s="70">
        <f t="shared" si="48"/>
        <v>491882.73613880406</v>
      </c>
      <c r="DJ62" s="70">
        <f t="shared" si="48"/>
        <v>442683.02080096811</v>
      </c>
      <c r="DK62" s="70">
        <f t="shared" si="48"/>
        <v>365550.70929830213</v>
      </c>
      <c r="DL62" s="70">
        <f t="shared" si="48"/>
        <v>358375.09771504463</v>
      </c>
      <c r="DM62" s="70">
        <f t="shared" si="48"/>
        <v>380873.63400000002</v>
      </c>
      <c r="DN62" s="70">
        <f t="shared" si="48"/>
        <v>442180.00900000002</v>
      </c>
      <c r="DO62" s="70">
        <f t="shared" si="48"/>
        <v>431036.37299999996</v>
      </c>
      <c r="DP62" s="70">
        <f t="shared" si="48"/>
        <v>434187.93192</v>
      </c>
      <c r="DQ62" s="70">
        <f t="shared" si="48"/>
        <v>413880.68199999997</v>
      </c>
      <c r="DR62" s="70">
        <f t="shared" si="48"/>
        <v>46756.092287101899</v>
      </c>
      <c r="DS62" s="70">
        <f t="shared" si="48"/>
        <v>51252.352222211397</v>
      </c>
      <c r="DT62" s="70">
        <f t="shared" si="48"/>
        <v>43220.358648427202</v>
      </c>
      <c r="DU62" s="70">
        <f t="shared" si="48"/>
        <v>48349.725749867001</v>
      </c>
      <c r="DV62" s="70">
        <f t="shared" si="48"/>
        <v>58605.575110382997</v>
      </c>
      <c r="DW62" s="70">
        <f t="shared" si="48"/>
        <v>66223.988115314729</v>
      </c>
      <c r="DX62" s="70">
        <f t="shared" si="48"/>
        <v>82861.176102655692</v>
      </c>
      <c r="DY62" s="70">
        <f t="shared" si="48"/>
        <v>83295.789556688193</v>
      </c>
      <c r="DZ62" s="70">
        <f t="shared" si="48"/>
        <v>81839.89075075349</v>
      </c>
      <c r="EA62" s="70">
        <f t="shared" si="48"/>
        <v>83810.675510022906</v>
      </c>
      <c r="EB62" s="70">
        <f t="shared" ref="EB62:GN63" si="49">EB61</f>
        <v>89922.443806029289</v>
      </c>
      <c r="EC62" s="70">
        <f t="shared" si="49"/>
        <v>95124.824283925991</v>
      </c>
      <c r="ED62" s="70">
        <f t="shared" si="49"/>
        <v>90354.527270000006</v>
      </c>
      <c r="EE62" s="70">
        <f t="shared" si="49"/>
        <v>92437.99136</v>
      </c>
      <c r="EF62" s="70">
        <f t="shared" si="49"/>
        <v>83587.755040000004</v>
      </c>
      <c r="EG62" s="70">
        <f t="shared" si="49"/>
        <v>75656.824590000004</v>
      </c>
      <c r="EH62" s="70">
        <f t="shared" si="49"/>
        <v>74664.096995365093</v>
      </c>
      <c r="EI62" s="70">
        <f t="shared" si="49"/>
        <v>82877.291930000007</v>
      </c>
      <c r="EJ62" s="70">
        <f t="shared" ref="EJ62:EJ63" si="50">EJ61</f>
        <v>88592.699200000003</v>
      </c>
      <c r="EK62" s="70">
        <f t="shared" si="49"/>
        <v>134374.549</v>
      </c>
      <c r="EL62" s="70">
        <f t="shared" si="49"/>
        <v>124619.18799999999</v>
      </c>
      <c r="EM62" s="70">
        <f t="shared" si="49"/>
        <v>131719.929</v>
      </c>
      <c r="EN62" s="70">
        <f t="shared" si="49"/>
        <v>149199.54840999999</v>
      </c>
      <c r="EO62" s="70">
        <f t="shared" si="49"/>
        <v>152376.32739999998</v>
      </c>
      <c r="EP62" s="70">
        <f t="shared" si="49"/>
        <v>158210.78294999999</v>
      </c>
      <c r="EQ62" s="70">
        <f t="shared" si="49"/>
        <v>193863.29666137332</v>
      </c>
      <c r="ER62" s="70">
        <f t="shared" si="49"/>
        <v>211476.52206592911</v>
      </c>
      <c r="ES62" s="70">
        <f t="shared" si="49"/>
        <v>204553.83417000002</v>
      </c>
      <c r="ET62" s="70">
        <f t="shared" si="49"/>
        <v>218764.51264158211</v>
      </c>
      <c r="EU62" s="70">
        <f t="shared" si="49"/>
        <v>193867.98746270817</v>
      </c>
      <c r="EV62" s="70">
        <f t="shared" si="49"/>
        <v>211012.4831935305</v>
      </c>
      <c r="EW62" s="70">
        <f t="shared" si="49"/>
        <v>221767.02495278599</v>
      </c>
      <c r="EX62" s="70">
        <f t="shared" si="49"/>
        <v>221423.82199999999</v>
      </c>
      <c r="EY62" s="70">
        <f t="shared" si="49"/>
        <v>214972.49</v>
      </c>
      <c r="EZ62" s="70">
        <f t="shared" si="49"/>
        <v>218274.83</v>
      </c>
      <c r="FA62" s="70">
        <f t="shared" si="49"/>
        <v>230371.899</v>
      </c>
      <c r="FB62" s="70">
        <f t="shared" si="49"/>
        <v>116302.749904419</v>
      </c>
      <c r="FC62" s="70">
        <f t="shared" si="49"/>
        <v>112914.640378019</v>
      </c>
      <c r="FD62" s="70">
        <f t="shared" si="49"/>
        <v>130933.87803296199</v>
      </c>
      <c r="FE62" s="70">
        <f t="shared" si="49"/>
        <v>149173.38508183201</v>
      </c>
      <c r="FF62" s="70">
        <f t="shared" si="49"/>
        <v>152669.628414626</v>
      </c>
      <c r="FG62" s="70">
        <f t="shared" si="49"/>
        <v>197231.65958920601</v>
      </c>
      <c r="FH62" s="70">
        <f t="shared" si="49"/>
        <v>210494.32048673902</v>
      </c>
      <c r="FI62" s="70">
        <f t="shared" si="49"/>
        <v>228733.33101324001</v>
      </c>
      <c r="FJ62" s="70">
        <f t="shared" si="49"/>
        <v>233849.701</v>
      </c>
      <c r="FK62" s="70">
        <f t="shared" si="49"/>
        <v>248377.486889666</v>
      </c>
      <c r="FL62" s="70">
        <f t="shared" si="49"/>
        <v>211867.16309531001</v>
      </c>
      <c r="FM62" s="70">
        <f t="shared" si="49"/>
        <v>248667.39895521599</v>
      </c>
      <c r="FN62" s="70">
        <f t="shared" si="49"/>
        <v>249010.83126000001</v>
      </c>
      <c r="FO62" s="70">
        <f t="shared" si="49"/>
        <v>261706.81672</v>
      </c>
      <c r="FP62" s="70">
        <f t="shared" si="49"/>
        <v>237845.67388999998</v>
      </c>
      <c r="FQ62" s="70">
        <f t="shared" si="49"/>
        <v>245707.57653999998</v>
      </c>
      <c r="FR62" s="70">
        <f t="shared" si="49"/>
        <v>268338.46308999998</v>
      </c>
      <c r="FS62" s="70">
        <f t="shared" si="49"/>
        <v>91512.370999999999</v>
      </c>
      <c r="FT62" s="70">
        <f t="shared" si="49"/>
        <v>111659.02499999999</v>
      </c>
      <c r="FU62" s="70">
        <f t="shared" si="49"/>
        <v>126954.183</v>
      </c>
      <c r="FV62" s="70">
        <f t="shared" si="49"/>
        <v>147045.14508703566</v>
      </c>
      <c r="FW62" s="70">
        <f t="shared" si="49"/>
        <v>148249.28921411154</v>
      </c>
      <c r="FX62" s="70">
        <f t="shared" si="49"/>
        <v>156451.11528364252</v>
      </c>
      <c r="FY62" s="70">
        <f t="shared" si="49"/>
        <v>173292.1959652995</v>
      </c>
      <c r="FZ62" s="70">
        <f t="shared" si="49"/>
        <v>188964.70734896982</v>
      </c>
      <c r="GA62" s="70">
        <f t="shared" si="49"/>
        <v>198623.8972691597</v>
      </c>
      <c r="GB62" s="70">
        <f t="shared" si="49"/>
        <v>216635.19392531272</v>
      </c>
      <c r="GC62" s="70">
        <f t="shared" si="49"/>
        <v>236404.80011395976</v>
      </c>
      <c r="GD62" s="70">
        <f t="shared" si="49"/>
        <v>210858.53991651189</v>
      </c>
      <c r="GE62" s="70">
        <f t="shared" si="49"/>
        <v>196660.56693628174</v>
      </c>
      <c r="GF62" s="70">
        <f t="shared" si="49"/>
        <v>209949.63536162334</v>
      </c>
      <c r="GG62" s="70">
        <f t="shared" si="49"/>
        <v>222301.18486246382</v>
      </c>
      <c r="GH62" s="70">
        <f t="shared" si="49"/>
        <v>227160.68726690396</v>
      </c>
      <c r="GI62" s="70">
        <f t="shared" si="49"/>
        <v>221633.79366366839</v>
      </c>
      <c r="GJ62" s="70">
        <f t="shared" si="49"/>
        <v>52868.241597880879</v>
      </c>
      <c r="GK62" s="70">
        <f t="shared" si="49"/>
        <v>55158.45329777195</v>
      </c>
      <c r="GL62" s="70">
        <f t="shared" si="49"/>
        <v>57916.22277341369</v>
      </c>
      <c r="GM62" s="70">
        <f t="shared" si="49"/>
        <v>67194.460550882941</v>
      </c>
      <c r="GN62" s="70">
        <f t="shared" si="49"/>
        <v>81545.096734338353</v>
      </c>
      <c r="GO62" s="70">
        <f t="shared" ref="GO62:HQ62" si="51">GO61</f>
        <v>81632.886673280795</v>
      </c>
      <c r="GP62" s="70">
        <f t="shared" si="51"/>
        <v>93877.759666273836</v>
      </c>
      <c r="GQ62" s="70">
        <f t="shared" si="51"/>
        <v>74956.74567742864</v>
      </c>
      <c r="GR62" s="70">
        <f t="shared" si="51"/>
        <v>78193.911082667109</v>
      </c>
      <c r="GS62" s="70">
        <f t="shared" si="51"/>
        <v>65602.40088127373</v>
      </c>
      <c r="GT62" s="70">
        <f t="shared" si="51"/>
        <v>72920.104480320268</v>
      </c>
      <c r="GU62" s="70">
        <f t="shared" si="51"/>
        <v>98348.727444605931</v>
      </c>
      <c r="GV62" s="70">
        <f t="shared" si="51"/>
        <v>97037.359690964702</v>
      </c>
      <c r="GW62" s="70">
        <f t="shared" si="51"/>
        <v>91107.370435041899</v>
      </c>
      <c r="GX62" s="70">
        <f t="shared" si="51"/>
        <v>98523.05692312849</v>
      </c>
      <c r="GY62" s="70">
        <f t="shared" si="51"/>
        <v>104019.59618108421</v>
      </c>
      <c r="GZ62" s="70">
        <f t="shared" si="51"/>
        <v>105315.0092425849</v>
      </c>
      <c r="HA62" s="70">
        <f t="shared" si="51"/>
        <v>83237</v>
      </c>
      <c r="HB62" s="70">
        <f t="shared" si="51"/>
        <v>81473</v>
      </c>
      <c r="HC62" s="70">
        <f t="shared" si="51"/>
        <v>85413.886309046997</v>
      </c>
      <c r="HD62" s="70">
        <f t="shared" si="51"/>
        <v>89047.922493129998</v>
      </c>
      <c r="HE62" s="70">
        <f t="shared" si="51"/>
        <v>96130.066559793398</v>
      </c>
      <c r="HF62" s="70">
        <f t="shared" si="51"/>
        <v>121992.755514909</v>
      </c>
      <c r="HG62" s="70">
        <f t="shared" si="51"/>
        <v>126519.882999029</v>
      </c>
      <c r="HH62" s="70">
        <f t="shared" si="51"/>
        <v>116175.49106407601</v>
      </c>
      <c r="HI62" s="70">
        <f t="shared" si="51"/>
        <v>121867.70902049799</v>
      </c>
      <c r="HJ62" s="70">
        <f t="shared" si="51"/>
        <v>117721.494565381</v>
      </c>
      <c r="HK62" s="70">
        <f t="shared" si="51"/>
        <v>138427.94329502599</v>
      </c>
      <c r="HL62" s="70">
        <f t="shared" si="51"/>
        <v>132835.09312937901</v>
      </c>
      <c r="HM62" s="70">
        <f t="shared" si="51"/>
        <v>108242.14191396099</v>
      </c>
      <c r="HN62" s="70">
        <f t="shared" si="51"/>
        <v>110815.785</v>
      </c>
      <c r="HO62" s="70">
        <f t="shared" si="51"/>
        <v>118042.307</v>
      </c>
      <c r="HP62" s="70">
        <f t="shared" si="51"/>
        <v>118292.577</v>
      </c>
      <c r="HQ62" s="70">
        <f t="shared" si="51"/>
        <v>124679.376</v>
      </c>
    </row>
    <row r="63" spans="1:225" s="329" customFormat="1" ht="13.7" customHeight="1">
      <c r="A63" s="329" t="s">
        <v>1067</v>
      </c>
      <c r="B63" s="331">
        <v>22</v>
      </c>
      <c r="C63" s="330">
        <f>C62</f>
        <v>38538.624900945346</v>
      </c>
      <c r="D63" s="330">
        <f t="shared" si="47"/>
        <v>40555.568802439702</v>
      </c>
      <c r="E63" s="330">
        <f t="shared" si="47"/>
        <v>44812.70258129912</v>
      </c>
      <c r="F63" s="330">
        <f t="shared" si="47"/>
        <v>46821.896889849857</v>
      </c>
      <c r="G63" s="330">
        <f t="shared" si="47"/>
        <v>55266.38145396336</v>
      </c>
      <c r="H63" s="330">
        <f t="shared" si="47"/>
        <v>63737.765832817691</v>
      </c>
      <c r="I63" s="330">
        <f t="shared" si="47"/>
        <v>70608.373543978203</v>
      </c>
      <c r="J63" s="330">
        <f t="shared" si="47"/>
        <v>77834.327675292603</v>
      </c>
      <c r="K63" s="330">
        <f t="shared" si="47"/>
        <v>88864.580625233939</v>
      </c>
      <c r="L63" s="330">
        <f t="shared" si="47"/>
        <v>86548.092643177908</v>
      </c>
      <c r="M63" s="330">
        <f t="shared" si="47"/>
        <v>52497.721534325196</v>
      </c>
      <c r="N63" s="330">
        <f t="shared" si="47"/>
        <v>58245.248035999997</v>
      </c>
      <c r="O63" s="330">
        <f t="shared" si="47"/>
        <v>72071.139840504809</v>
      </c>
      <c r="P63" s="330">
        <f t="shared" si="47"/>
        <v>70694.304359999995</v>
      </c>
      <c r="Q63" s="330">
        <f t="shared" si="47"/>
        <v>68958.093410000001</v>
      </c>
      <c r="R63" s="330">
        <f t="shared" si="47"/>
        <v>66360.226999999999</v>
      </c>
      <c r="S63" s="330">
        <f t="shared" si="47"/>
        <v>71365.648977441</v>
      </c>
      <c r="T63" s="330">
        <f t="shared" si="47"/>
        <v>359429.30472414085</v>
      </c>
      <c r="U63" s="330">
        <f t="shared" si="47"/>
        <v>319120.88969815226</v>
      </c>
      <c r="V63" s="330">
        <f t="shared" si="47"/>
        <v>470681.79458618024</v>
      </c>
      <c r="W63" s="330">
        <f t="shared" si="47"/>
        <v>443700.63762656803</v>
      </c>
      <c r="X63" s="330">
        <f t="shared" si="47"/>
        <v>516405.56407726306</v>
      </c>
      <c r="Y63" s="330">
        <f t="shared" si="47"/>
        <v>513411.9445176929</v>
      </c>
      <c r="Z63" s="330">
        <f t="shared" si="47"/>
        <v>583745.18660643906</v>
      </c>
      <c r="AA63" s="330">
        <f t="shared" si="47"/>
        <v>475807.76904051501</v>
      </c>
      <c r="AB63" s="330">
        <f t="shared" si="47"/>
        <v>543068.58082208002</v>
      </c>
      <c r="AC63" s="330">
        <f t="shared" si="47"/>
        <v>652527.45930349501</v>
      </c>
      <c r="AD63" s="330">
        <f t="shared" si="47"/>
        <v>590738.86946726497</v>
      </c>
      <c r="AE63" s="330">
        <f t="shared" si="47"/>
        <v>533275.74492261</v>
      </c>
      <c r="AF63" s="330">
        <f t="shared" si="47"/>
        <v>467980.26400000002</v>
      </c>
      <c r="AG63" s="330">
        <f t="shared" si="47"/>
        <v>454424.70699999999</v>
      </c>
      <c r="AH63" s="330">
        <f t="shared" si="47"/>
        <v>409523.11597899999</v>
      </c>
      <c r="AI63" s="330">
        <f t="shared" si="47"/>
        <v>390331.33600000001</v>
      </c>
      <c r="AJ63" s="330">
        <f t="shared" si="47"/>
        <v>350363.98100000003</v>
      </c>
      <c r="AK63" s="330">
        <f t="shared" si="47"/>
        <v>37898.188999999998</v>
      </c>
      <c r="AL63" s="330">
        <f t="shared" si="47"/>
        <v>40582.080999999998</v>
      </c>
      <c r="AM63" s="330">
        <f t="shared" si="47"/>
        <v>41333.470999999998</v>
      </c>
      <c r="AN63" s="330">
        <f t="shared" si="47"/>
        <v>50008.286836201994</v>
      </c>
      <c r="AO63" s="330">
        <f t="shared" si="47"/>
        <v>54297.417209442443</v>
      </c>
      <c r="AP63" s="330">
        <f t="shared" si="47"/>
        <v>54486.114272112434</v>
      </c>
      <c r="AQ63" s="330">
        <f t="shared" si="47"/>
        <v>67739.510590000005</v>
      </c>
      <c r="AR63" s="330">
        <f t="shared" si="47"/>
        <v>68089.082299999995</v>
      </c>
      <c r="AS63" s="330">
        <f t="shared" si="47"/>
        <v>73439.955393108001</v>
      </c>
      <c r="AT63" s="330">
        <f t="shared" si="47"/>
        <v>71997.882248406604</v>
      </c>
      <c r="AU63" s="330">
        <f t="shared" si="47"/>
        <v>73454.018770187686</v>
      </c>
      <c r="AV63" s="330">
        <f t="shared" si="47"/>
        <v>73056.219669490965</v>
      </c>
      <c r="AW63" s="330">
        <f t="shared" si="47"/>
        <v>67694.236446691008</v>
      </c>
      <c r="AX63" s="330">
        <f t="shared" si="47"/>
        <v>75670.104999999996</v>
      </c>
      <c r="AY63" s="330">
        <f t="shared" si="47"/>
        <v>74131.675000000003</v>
      </c>
      <c r="AZ63" s="330">
        <f t="shared" si="47"/>
        <v>67493.260999999999</v>
      </c>
      <c r="BA63" s="330">
        <f t="shared" si="47"/>
        <v>71238.019</v>
      </c>
      <c r="BB63" s="330">
        <f t="shared" si="47"/>
        <v>173158.03593754568</v>
      </c>
      <c r="BC63" s="330">
        <f t="shared" si="47"/>
        <v>192755.56936652676</v>
      </c>
      <c r="BD63" s="330">
        <f t="shared" si="47"/>
        <v>243136.6498313061</v>
      </c>
      <c r="BE63" s="330">
        <f t="shared" si="47"/>
        <v>229075.96469774732</v>
      </c>
      <c r="BF63" s="330">
        <f t="shared" si="47"/>
        <v>228043.59112183331</v>
      </c>
      <c r="BG63" s="330">
        <f t="shared" si="47"/>
        <v>244517.0998057948</v>
      </c>
      <c r="BH63" s="330">
        <f t="shared" si="47"/>
        <v>276189.14942971262</v>
      </c>
      <c r="BI63" s="330">
        <f t="shared" si="47"/>
        <v>248232.2275998212</v>
      </c>
      <c r="BJ63" s="330">
        <f t="shared" si="47"/>
        <v>295997.52023237501</v>
      </c>
      <c r="BK63" s="330">
        <f t="shared" si="47"/>
        <v>300530.03952954285</v>
      </c>
      <c r="BL63" s="330">
        <f t="shared" si="47"/>
        <v>316821.14712986699</v>
      </c>
      <c r="BM63" s="330">
        <f t="shared" si="47"/>
        <v>290656.54168067907</v>
      </c>
      <c r="BN63" s="330">
        <f t="shared" si="47"/>
        <v>278512.48718438006</v>
      </c>
      <c r="BO63" s="330">
        <f t="shared" si="47"/>
        <v>291794.86913370003</v>
      </c>
      <c r="BP63" s="330">
        <f t="shared" si="48"/>
        <v>259970.16376625502</v>
      </c>
      <c r="BQ63" s="330">
        <f t="shared" si="48"/>
        <v>272205.97344527696</v>
      </c>
      <c r="BR63" s="330">
        <f t="shared" si="48"/>
        <v>276174.46399999998</v>
      </c>
      <c r="BS63" s="330">
        <f t="shared" si="48"/>
        <v>203391.00643221589</v>
      </c>
      <c r="BT63" s="330">
        <f t="shared" si="48"/>
        <v>245038.43019628001</v>
      </c>
      <c r="BU63" s="330">
        <f t="shared" si="48"/>
        <v>270734.64824942936</v>
      </c>
      <c r="BV63" s="330">
        <f t="shared" si="48"/>
        <v>289293.06264344038</v>
      </c>
      <c r="BW63" s="330">
        <f t="shared" si="48"/>
        <v>290823.1193110157</v>
      </c>
      <c r="BX63" s="330">
        <f t="shared" si="48"/>
        <v>332430.89486645564</v>
      </c>
      <c r="BY63" s="330">
        <f t="shared" si="48"/>
        <v>370283.76816004416</v>
      </c>
      <c r="BZ63" s="330">
        <f t="shared" si="48"/>
        <v>407311.95354971435</v>
      </c>
      <c r="CA63" s="330">
        <f t="shared" si="48"/>
        <v>390233.18903118349</v>
      </c>
      <c r="CB63" s="330">
        <f t="shared" si="48"/>
        <v>421671.38971983065</v>
      </c>
      <c r="CC63" s="330">
        <f t="shared" si="48"/>
        <v>385683.09634885762</v>
      </c>
      <c r="CD63" s="330">
        <f t="shared" si="48"/>
        <v>383795.11304166587</v>
      </c>
      <c r="CE63" s="330">
        <f t="shared" si="48"/>
        <v>398546.59066905046</v>
      </c>
      <c r="CF63" s="330">
        <f t="shared" si="48"/>
        <v>385080.41533664323</v>
      </c>
      <c r="CG63" s="330">
        <f t="shared" si="48"/>
        <v>378940.35891394789</v>
      </c>
      <c r="CH63" s="330">
        <f t="shared" si="48"/>
        <v>392934.74461496645</v>
      </c>
      <c r="CI63" s="330">
        <f t="shared" si="48"/>
        <v>420899.80138333316</v>
      </c>
      <c r="CJ63" s="330">
        <f t="shared" si="48"/>
        <v>328450.67775370367</v>
      </c>
      <c r="CK63" s="330">
        <f t="shared" si="48"/>
        <v>314117.44280743861</v>
      </c>
      <c r="CL63" s="330">
        <f t="shared" si="48"/>
        <v>351956.67354095803</v>
      </c>
      <c r="CM63" s="330">
        <f t="shared" si="48"/>
        <v>352440.60055190895</v>
      </c>
      <c r="CN63" s="330">
        <f t="shared" si="48"/>
        <v>358645.91452986334</v>
      </c>
      <c r="CO63" s="330">
        <f t="shared" si="48"/>
        <v>438502.57794558577</v>
      </c>
      <c r="CP63" s="330">
        <f t="shared" si="48"/>
        <v>473552.57786512509</v>
      </c>
      <c r="CQ63" s="330">
        <f t="shared" si="48"/>
        <v>396894.09990378871</v>
      </c>
      <c r="CR63" s="330">
        <f t="shared" si="48"/>
        <v>412448.34124129853</v>
      </c>
      <c r="CS63" s="330">
        <f t="shared" si="48"/>
        <v>459958.66147334105</v>
      </c>
      <c r="CT63" s="330">
        <f t="shared" si="48"/>
        <v>451043.84626636445</v>
      </c>
      <c r="CU63" s="330">
        <f t="shared" si="48"/>
        <v>411267.77110382053</v>
      </c>
      <c r="CV63" s="330">
        <f t="shared" si="48"/>
        <v>420845.88526630681</v>
      </c>
      <c r="CW63" s="330">
        <f t="shared" si="48"/>
        <v>439391.46162860282</v>
      </c>
      <c r="CX63" s="330">
        <f t="shared" si="48"/>
        <v>471635.74230853823</v>
      </c>
      <c r="CY63" s="330">
        <f t="shared" si="48"/>
        <v>381389.06418793899</v>
      </c>
      <c r="CZ63" s="330">
        <f t="shared" si="48"/>
        <v>393820.5393030665</v>
      </c>
      <c r="DA63" s="330">
        <f t="shared" si="48"/>
        <v>259512.70302584243</v>
      </c>
      <c r="DB63" s="330">
        <f t="shared" si="48"/>
        <v>321110.07103787101</v>
      </c>
      <c r="DC63" s="330">
        <f t="shared" si="48"/>
        <v>382924.51082332933</v>
      </c>
      <c r="DD63" s="330">
        <f t="shared" si="48"/>
        <v>366150.1169553746</v>
      </c>
      <c r="DE63" s="330">
        <f t="shared" si="48"/>
        <v>408797.33885724487</v>
      </c>
      <c r="DF63" s="330">
        <f t="shared" si="48"/>
        <v>428987.86973761127</v>
      </c>
      <c r="DG63" s="330">
        <f t="shared" si="48"/>
        <v>545508.47029752308</v>
      </c>
      <c r="DH63" s="330">
        <f t="shared" si="48"/>
        <v>498609.56726852624</v>
      </c>
      <c r="DI63" s="330">
        <f t="shared" si="48"/>
        <v>491882.73613880406</v>
      </c>
      <c r="DJ63" s="330">
        <f t="shared" si="48"/>
        <v>442683.02080096811</v>
      </c>
      <c r="DK63" s="330">
        <f t="shared" si="48"/>
        <v>365550.70929830213</v>
      </c>
      <c r="DL63" s="330">
        <f t="shared" si="48"/>
        <v>358375.09771504463</v>
      </c>
      <c r="DM63" s="330">
        <f t="shared" si="48"/>
        <v>380873.63400000002</v>
      </c>
      <c r="DN63" s="330">
        <f t="shared" si="48"/>
        <v>442180.00900000002</v>
      </c>
      <c r="DO63" s="330">
        <f t="shared" si="48"/>
        <v>431036.37299999996</v>
      </c>
      <c r="DP63" s="330">
        <f t="shared" si="48"/>
        <v>434187.93192</v>
      </c>
      <c r="DQ63" s="330">
        <f t="shared" si="48"/>
        <v>413880.68199999997</v>
      </c>
      <c r="DR63" s="330">
        <f t="shared" si="48"/>
        <v>46756.092287101899</v>
      </c>
      <c r="DS63" s="330">
        <f t="shared" si="48"/>
        <v>51252.352222211397</v>
      </c>
      <c r="DT63" s="330">
        <f t="shared" si="48"/>
        <v>43220.358648427202</v>
      </c>
      <c r="DU63" s="330">
        <f t="shared" si="48"/>
        <v>48349.725749867001</v>
      </c>
      <c r="DV63" s="330">
        <f t="shared" si="48"/>
        <v>58605.575110382997</v>
      </c>
      <c r="DW63" s="330">
        <f t="shared" si="48"/>
        <v>66223.988115314729</v>
      </c>
      <c r="DX63" s="330">
        <f t="shared" si="48"/>
        <v>82861.176102655692</v>
      </c>
      <c r="DY63" s="330">
        <f t="shared" si="48"/>
        <v>83295.789556688193</v>
      </c>
      <c r="DZ63" s="330">
        <f t="shared" si="48"/>
        <v>81839.89075075349</v>
      </c>
      <c r="EA63" s="330">
        <f t="shared" si="48"/>
        <v>83810.675510022906</v>
      </c>
      <c r="EB63" s="330">
        <f t="shared" si="49"/>
        <v>89922.443806029289</v>
      </c>
      <c r="EC63" s="330">
        <f t="shared" si="49"/>
        <v>95124.824283925991</v>
      </c>
      <c r="ED63" s="330">
        <f t="shared" si="49"/>
        <v>90354.527270000006</v>
      </c>
      <c r="EE63" s="330">
        <f t="shared" si="49"/>
        <v>92437.99136</v>
      </c>
      <c r="EF63" s="330">
        <f t="shared" si="49"/>
        <v>83587.755040000004</v>
      </c>
      <c r="EG63" s="330">
        <f t="shared" si="49"/>
        <v>75656.824590000004</v>
      </c>
      <c r="EH63" s="330">
        <f t="shared" si="49"/>
        <v>74664.096995365093</v>
      </c>
      <c r="EI63" s="330">
        <f t="shared" si="49"/>
        <v>82877.291930000007</v>
      </c>
      <c r="EJ63" s="330">
        <f t="shared" si="50"/>
        <v>88592.699200000003</v>
      </c>
      <c r="EK63" s="332"/>
      <c r="EL63" s="332"/>
      <c r="EM63" s="332"/>
      <c r="EN63" s="332"/>
      <c r="EO63" s="332"/>
      <c r="EP63" s="332"/>
      <c r="EQ63" s="332"/>
      <c r="ER63" s="332"/>
      <c r="ES63" s="332"/>
      <c r="ET63" s="332"/>
      <c r="EU63" s="332"/>
      <c r="EV63" s="332"/>
      <c r="EW63" s="332"/>
      <c r="EX63" s="332"/>
      <c r="EY63" s="332"/>
      <c r="EZ63" s="332"/>
      <c r="FA63" s="332"/>
      <c r="FB63" s="332"/>
      <c r="FC63" s="332"/>
      <c r="FD63" s="332"/>
      <c r="FE63" s="332"/>
      <c r="FF63" s="332"/>
      <c r="FG63" s="332"/>
      <c r="FH63" s="332"/>
      <c r="FI63" s="332"/>
      <c r="FJ63" s="332"/>
      <c r="FK63" s="332"/>
      <c r="FL63" s="332"/>
      <c r="FM63" s="332"/>
      <c r="FN63" s="332"/>
      <c r="FO63" s="332"/>
      <c r="FP63" s="332"/>
      <c r="FQ63" s="332"/>
      <c r="FR63" s="332"/>
      <c r="FS63" s="332"/>
      <c r="FT63" s="332"/>
      <c r="FU63" s="332"/>
      <c r="FV63" s="332"/>
      <c r="FW63" s="332"/>
      <c r="FX63" s="332"/>
      <c r="FY63" s="332"/>
      <c r="FZ63" s="332"/>
      <c r="GA63" s="332"/>
      <c r="GB63" s="332"/>
      <c r="GC63" s="332"/>
      <c r="GD63" s="332"/>
      <c r="GE63" s="332"/>
      <c r="GF63" s="332"/>
      <c r="GG63" s="332"/>
      <c r="GH63" s="332"/>
      <c r="GI63" s="332"/>
      <c r="GJ63" s="332"/>
      <c r="GK63" s="332"/>
      <c r="GL63" s="332"/>
      <c r="GM63" s="332"/>
      <c r="GN63" s="332"/>
      <c r="GO63" s="332"/>
      <c r="GP63" s="332"/>
      <c r="GQ63" s="332"/>
      <c r="GR63" s="332"/>
      <c r="GS63" s="332"/>
      <c r="GT63" s="332"/>
      <c r="GU63" s="332"/>
      <c r="GV63" s="332"/>
      <c r="GW63" s="332"/>
      <c r="GX63" s="332"/>
      <c r="GY63" s="332"/>
      <c r="GZ63" s="332"/>
      <c r="HA63" s="332"/>
      <c r="HB63" s="332"/>
      <c r="HC63" s="332"/>
      <c r="HD63" s="332"/>
      <c r="HE63" s="332"/>
      <c r="HF63" s="332"/>
      <c r="HG63" s="332"/>
      <c r="HH63" s="332"/>
      <c r="HI63" s="332"/>
      <c r="HJ63" s="332"/>
      <c r="HK63" s="332"/>
      <c r="HL63" s="332"/>
      <c r="HM63" s="332"/>
      <c r="HN63" s="332"/>
      <c r="HO63" s="332"/>
      <c r="HP63" s="332"/>
      <c r="HQ63" s="332"/>
    </row>
    <row r="64" spans="1:225" ht="13.7" customHeight="1">
      <c r="A64" s="25" t="s">
        <v>533</v>
      </c>
      <c r="B64" s="10"/>
      <c r="C64" s="70">
        <f t="shared" ref="C64:Q64" si="52">C60-C59</f>
        <v>0</v>
      </c>
      <c r="D64" s="70">
        <f t="shared" si="52"/>
        <v>0</v>
      </c>
      <c r="E64" s="70">
        <f t="shared" si="52"/>
        <v>0</v>
      </c>
      <c r="F64" s="70">
        <f t="shared" si="52"/>
        <v>0</v>
      </c>
      <c r="G64" s="70">
        <f t="shared" si="52"/>
        <v>0</v>
      </c>
      <c r="H64" s="70">
        <f t="shared" si="52"/>
        <v>0</v>
      </c>
      <c r="I64" s="70">
        <f t="shared" si="52"/>
        <v>0</v>
      </c>
      <c r="J64" s="70">
        <f t="shared" si="52"/>
        <v>0</v>
      </c>
      <c r="K64" s="70">
        <f t="shared" si="52"/>
        <v>0</v>
      </c>
      <c r="L64" s="70">
        <f t="shared" si="52"/>
        <v>930.46814756470849</v>
      </c>
      <c r="M64" s="70">
        <f t="shared" si="52"/>
        <v>1365.3097105264169</v>
      </c>
      <c r="N64" s="70">
        <f t="shared" si="52"/>
        <v>1289.5879340000029</v>
      </c>
      <c r="O64" s="70">
        <f t="shared" si="52"/>
        <v>1356.3857094951236</v>
      </c>
      <c r="P64" s="70">
        <f t="shared" si="52"/>
        <v>1758.2740000000049</v>
      </c>
      <c r="Q64" s="70">
        <f t="shared" si="52"/>
        <v>1404.7909999999974</v>
      </c>
      <c r="R64" s="70">
        <f>R60-R59</f>
        <v>1040.601999999999</v>
      </c>
      <c r="S64" s="70">
        <f>S60-S59</f>
        <v>1379.6330000000016</v>
      </c>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66"/>
      <c r="FJ64" s="66"/>
      <c r="FK64" s="66"/>
      <c r="FL64" s="66"/>
      <c r="FM64" s="66"/>
      <c r="FN64" s="66"/>
      <c r="FO64" s="66"/>
      <c r="FP64" s="66"/>
      <c r="FQ64" s="66"/>
      <c r="FR64" s="66"/>
      <c r="FS64" s="66"/>
      <c r="FT64" s="66"/>
      <c r="FU64" s="66"/>
      <c r="FV64" s="66"/>
      <c r="FW64" s="66"/>
      <c r="FX64" s="66"/>
      <c r="FY64" s="66"/>
      <c r="FZ64" s="66"/>
      <c r="GA64" s="66"/>
      <c r="GB64" s="66"/>
      <c r="GC64" s="66"/>
      <c r="GD64" s="66"/>
      <c r="GE64" s="66"/>
      <c r="GF64" s="66"/>
      <c r="GG64" s="66"/>
      <c r="GH64" s="66"/>
      <c r="GI64" s="66"/>
      <c r="GJ64" s="66"/>
      <c r="GK64" s="66"/>
      <c r="GL64" s="66"/>
      <c r="GM64" s="66"/>
      <c r="GN64" s="66"/>
      <c r="GO64" s="66"/>
      <c r="GP64" s="66"/>
      <c r="GQ64" s="66"/>
      <c r="GR64" s="66"/>
      <c r="GS64" s="66"/>
      <c r="GT64" s="66"/>
      <c r="GU64" s="66"/>
      <c r="GV64" s="66"/>
      <c r="GW64" s="66"/>
      <c r="GX64" s="66"/>
      <c r="GY64" s="66"/>
      <c r="GZ64" s="66"/>
      <c r="HA64" s="66"/>
      <c r="HB64" s="66"/>
      <c r="HC64" s="66"/>
      <c r="HD64" s="66"/>
      <c r="HE64" s="66"/>
      <c r="HF64" s="66"/>
      <c r="HG64" s="66"/>
      <c r="HH64" s="66"/>
      <c r="HI64" s="66"/>
      <c r="HJ64" s="66"/>
      <c r="HK64" s="66"/>
      <c r="HL64" s="66"/>
      <c r="HM64" s="66"/>
      <c r="HN64" s="66"/>
      <c r="HO64" s="66"/>
      <c r="HP64" s="66"/>
      <c r="HQ64" s="66"/>
    </row>
    <row r="65" spans="1:241" s="4" customFormat="1" ht="13.7" customHeight="1">
      <c r="A65" s="2" t="s">
        <v>534</v>
      </c>
      <c r="C65" s="3"/>
      <c r="D65" s="3"/>
      <c r="E65" s="3"/>
      <c r="F65" s="3"/>
      <c r="G65" s="5"/>
      <c r="H65" s="6"/>
      <c r="I65" s="5"/>
      <c r="J65" s="6"/>
      <c r="K65" s="5"/>
      <c r="L65" s="5"/>
      <c r="M65" s="5"/>
      <c r="N65" s="5"/>
      <c r="O65" s="5"/>
      <c r="P65" s="5"/>
      <c r="Q65" s="5"/>
      <c r="R65" s="5"/>
      <c r="S65" s="5"/>
      <c r="T65" s="5"/>
      <c r="U65" s="6"/>
      <c r="V65" s="6"/>
      <c r="W65" s="5"/>
      <c r="X65" s="5"/>
      <c r="Y65" s="5"/>
      <c r="Z65" s="5"/>
      <c r="AA65" s="5"/>
    </row>
    <row r="67" spans="1:241" s="249" customFormat="1" ht="13.7" customHeight="1">
      <c r="A67" s="249" t="s">
        <v>286</v>
      </c>
      <c r="B67" s="249" t="s">
        <v>287</v>
      </c>
      <c r="C67" s="250" t="s">
        <v>288</v>
      </c>
      <c r="D67" s="250" t="s">
        <v>289</v>
      </c>
      <c r="E67" s="250" t="s">
        <v>290</v>
      </c>
      <c r="F67" s="250" t="s">
        <v>291</v>
      </c>
      <c r="G67" s="250" t="s">
        <v>292</v>
      </c>
      <c r="H67" s="250" t="s">
        <v>293</v>
      </c>
      <c r="I67" s="250" t="s">
        <v>294</v>
      </c>
      <c r="J67" s="250" t="s">
        <v>295</v>
      </c>
      <c r="K67" s="250" t="s">
        <v>296</v>
      </c>
      <c r="L67" s="250" t="s">
        <v>297</v>
      </c>
      <c r="M67" s="250" t="s">
        <v>298</v>
      </c>
      <c r="N67" s="250" t="s">
        <v>299</v>
      </c>
      <c r="O67" s="250" t="s">
        <v>300</v>
      </c>
      <c r="P67" s="250" t="s">
        <v>301</v>
      </c>
      <c r="Q67" s="250" t="s">
        <v>302</v>
      </c>
      <c r="R67" s="250" t="s">
        <v>303</v>
      </c>
      <c r="S67" s="250" t="s">
        <v>304</v>
      </c>
      <c r="T67" s="250" t="s">
        <v>305</v>
      </c>
      <c r="U67" s="250" t="s">
        <v>306</v>
      </c>
      <c r="V67" s="250" t="s">
        <v>307</v>
      </c>
      <c r="W67" s="250" t="s">
        <v>308</v>
      </c>
      <c r="X67" s="250" t="s">
        <v>309</v>
      </c>
      <c r="Y67" s="250" t="s">
        <v>310</v>
      </c>
      <c r="Z67" s="250" t="s">
        <v>311</v>
      </c>
      <c r="AA67" s="250" t="s">
        <v>312</v>
      </c>
      <c r="AB67" s="250" t="s">
        <v>313</v>
      </c>
      <c r="AC67" s="250" t="s">
        <v>314</v>
      </c>
      <c r="AD67" s="250" t="s">
        <v>315</v>
      </c>
      <c r="AE67" s="250" t="s">
        <v>316</v>
      </c>
      <c r="AF67" s="250" t="s">
        <v>317</v>
      </c>
      <c r="AG67" s="250" t="s">
        <v>318</v>
      </c>
      <c r="AH67" s="250" t="s">
        <v>319</v>
      </c>
      <c r="AI67" s="250" t="s">
        <v>320</v>
      </c>
      <c r="AJ67" s="250" t="s">
        <v>321</v>
      </c>
      <c r="AK67" s="250" t="s">
        <v>322</v>
      </c>
      <c r="AL67" s="250" t="s">
        <v>323</v>
      </c>
      <c r="AM67" s="250" t="s">
        <v>324</v>
      </c>
      <c r="AN67" s="250" t="s">
        <v>325</v>
      </c>
      <c r="AO67" s="250" t="s">
        <v>326</v>
      </c>
      <c r="AP67" s="250" t="s">
        <v>327</v>
      </c>
      <c r="AQ67" s="250" t="s">
        <v>328</v>
      </c>
      <c r="AR67" s="250" t="s">
        <v>329</v>
      </c>
      <c r="AS67" s="250" t="s">
        <v>330</v>
      </c>
      <c r="AT67" s="250" t="s">
        <v>331</v>
      </c>
      <c r="AU67" s="250" t="s">
        <v>332</v>
      </c>
      <c r="AV67" s="250" t="s">
        <v>333</v>
      </c>
      <c r="AW67" s="250" t="s">
        <v>334</v>
      </c>
      <c r="AX67" s="250" t="s">
        <v>335</v>
      </c>
      <c r="AY67" s="250" t="s">
        <v>336</v>
      </c>
      <c r="AZ67" s="250" t="s">
        <v>337</v>
      </c>
      <c r="BA67" s="250" t="s">
        <v>338</v>
      </c>
      <c r="BB67" s="250" t="s">
        <v>339</v>
      </c>
      <c r="BC67" s="250" t="s">
        <v>340</v>
      </c>
      <c r="BD67" s="250" t="s">
        <v>341</v>
      </c>
      <c r="BE67" s="250" t="s">
        <v>342</v>
      </c>
      <c r="BF67" s="250" t="s">
        <v>343</v>
      </c>
      <c r="BG67" s="250" t="s">
        <v>344</v>
      </c>
      <c r="BH67" s="250" t="s">
        <v>345</v>
      </c>
      <c r="BI67" s="250" t="s">
        <v>346</v>
      </c>
      <c r="BJ67" s="250" t="s">
        <v>347</v>
      </c>
      <c r="BK67" s="250" t="s">
        <v>348</v>
      </c>
      <c r="BL67" s="250" t="s">
        <v>349</v>
      </c>
      <c r="BM67" s="250" t="s">
        <v>350</v>
      </c>
      <c r="BN67" s="250" t="s">
        <v>351</v>
      </c>
      <c r="BO67" s="250" t="s">
        <v>352</v>
      </c>
      <c r="BP67" s="250" t="s">
        <v>353</v>
      </c>
      <c r="BQ67" s="250" t="s">
        <v>354</v>
      </c>
      <c r="BR67" s="250" t="s">
        <v>355</v>
      </c>
      <c r="BS67" s="250" t="s">
        <v>356</v>
      </c>
      <c r="BT67" s="250" t="s">
        <v>357</v>
      </c>
      <c r="BU67" s="250" t="s">
        <v>358</v>
      </c>
      <c r="BV67" s="250" t="s">
        <v>359</v>
      </c>
      <c r="BW67" s="250" t="s">
        <v>360</v>
      </c>
      <c r="BX67" s="250" t="s">
        <v>361</v>
      </c>
      <c r="BY67" s="250" t="s">
        <v>362</v>
      </c>
      <c r="BZ67" s="250" t="s">
        <v>363</v>
      </c>
      <c r="CA67" s="250" t="s">
        <v>364</v>
      </c>
      <c r="CB67" s="250" t="s">
        <v>365</v>
      </c>
      <c r="CC67" s="250" t="s">
        <v>366</v>
      </c>
      <c r="CD67" s="250" t="s">
        <v>367</v>
      </c>
      <c r="CE67" s="250" t="s">
        <v>368</v>
      </c>
      <c r="CF67" s="250" t="s">
        <v>369</v>
      </c>
      <c r="CG67" s="250" t="s">
        <v>370</v>
      </c>
      <c r="CH67" s="250" t="s">
        <v>371</v>
      </c>
      <c r="CI67" s="250" t="s">
        <v>372</v>
      </c>
      <c r="CJ67" s="250" t="s">
        <v>373</v>
      </c>
      <c r="CK67" s="250" t="s">
        <v>374</v>
      </c>
      <c r="CL67" s="250" t="s">
        <v>375</v>
      </c>
      <c r="CM67" s="250" t="s">
        <v>376</v>
      </c>
      <c r="CN67" s="250" t="s">
        <v>377</v>
      </c>
      <c r="CO67" s="250" t="s">
        <v>378</v>
      </c>
      <c r="CP67" s="250" t="s">
        <v>379</v>
      </c>
      <c r="CQ67" s="250" t="s">
        <v>380</v>
      </c>
      <c r="CR67" s="250" t="s">
        <v>381</v>
      </c>
      <c r="CS67" s="250" t="s">
        <v>382</v>
      </c>
      <c r="CT67" s="250" t="s">
        <v>383</v>
      </c>
      <c r="CU67" s="250" t="s">
        <v>384</v>
      </c>
      <c r="CV67" s="250" t="s">
        <v>385</v>
      </c>
      <c r="CW67" s="250" t="s">
        <v>386</v>
      </c>
      <c r="CX67" s="250" t="s">
        <v>387</v>
      </c>
      <c r="CY67" s="250" t="s">
        <v>388</v>
      </c>
      <c r="CZ67" s="250" t="s">
        <v>389</v>
      </c>
      <c r="DA67" s="250" t="s">
        <v>390</v>
      </c>
      <c r="DB67" s="250" t="s">
        <v>391</v>
      </c>
      <c r="DC67" s="250" t="s">
        <v>392</v>
      </c>
      <c r="DD67" s="250" t="s">
        <v>393</v>
      </c>
      <c r="DE67" s="250" t="s">
        <v>394</v>
      </c>
      <c r="DF67" s="250" t="s">
        <v>395</v>
      </c>
      <c r="DG67" s="250" t="s">
        <v>396</v>
      </c>
      <c r="DH67" s="250" t="s">
        <v>397</v>
      </c>
      <c r="DI67" s="250" t="s">
        <v>398</v>
      </c>
      <c r="DJ67" s="250" t="s">
        <v>399</v>
      </c>
      <c r="DK67" s="250" t="s">
        <v>400</v>
      </c>
      <c r="DL67" s="250" t="s">
        <v>401</v>
      </c>
      <c r="DM67" s="250" t="s">
        <v>402</v>
      </c>
      <c r="DN67" s="250" t="s">
        <v>403</v>
      </c>
      <c r="DO67" s="250" t="s">
        <v>404</v>
      </c>
      <c r="DP67" s="250" t="s">
        <v>405</v>
      </c>
      <c r="DQ67" s="250" t="s">
        <v>406</v>
      </c>
      <c r="DR67" s="250" t="s">
        <v>407</v>
      </c>
      <c r="DS67" s="250" t="s">
        <v>408</v>
      </c>
      <c r="DT67" s="250" t="s">
        <v>409</v>
      </c>
      <c r="DU67" s="250" t="s">
        <v>410</v>
      </c>
      <c r="DV67" s="250" t="s">
        <v>411</v>
      </c>
      <c r="DW67" s="250" t="s">
        <v>412</v>
      </c>
      <c r="DX67" s="250" t="s">
        <v>413</v>
      </c>
      <c r="DY67" s="250" t="s">
        <v>414</v>
      </c>
      <c r="DZ67" s="250" t="s">
        <v>415</v>
      </c>
      <c r="EA67" s="250" t="s">
        <v>416</v>
      </c>
      <c r="EB67" s="250" t="s">
        <v>417</v>
      </c>
      <c r="EC67" s="250" t="s">
        <v>418</v>
      </c>
      <c r="ED67" s="250" t="s">
        <v>419</v>
      </c>
      <c r="EE67" s="250" t="s">
        <v>420</v>
      </c>
      <c r="EF67" s="250" t="s">
        <v>421</v>
      </c>
      <c r="EG67" s="250" t="s">
        <v>422</v>
      </c>
      <c r="EH67" s="250" t="s">
        <v>423</v>
      </c>
      <c r="EI67" s="250" t="s">
        <v>424</v>
      </c>
      <c r="EJ67" s="250" t="s">
        <v>425</v>
      </c>
      <c r="EK67" s="250" t="s">
        <v>426</v>
      </c>
      <c r="EL67" s="250" t="s">
        <v>427</v>
      </c>
      <c r="EM67" s="250" t="s">
        <v>428</v>
      </c>
      <c r="EN67" s="250" t="s">
        <v>429</v>
      </c>
      <c r="EO67" s="250" t="s">
        <v>430</v>
      </c>
      <c r="EP67" s="250" t="s">
        <v>431</v>
      </c>
      <c r="EQ67" s="250" t="s">
        <v>432</v>
      </c>
      <c r="ER67" s="250" t="s">
        <v>433</v>
      </c>
      <c r="ES67" s="250" t="s">
        <v>434</v>
      </c>
      <c r="ET67" s="250" t="s">
        <v>435</v>
      </c>
      <c r="EU67" s="250" t="s">
        <v>436</v>
      </c>
      <c r="EV67" s="250" t="s">
        <v>437</v>
      </c>
      <c r="EW67" s="250" t="s">
        <v>438</v>
      </c>
      <c r="EX67" s="250" t="s">
        <v>439</v>
      </c>
      <c r="EY67" s="250" t="s">
        <v>440</v>
      </c>
      <c r="EZ67" s="250" t="s">
        <v>441</v>
      </c>
      <c r="FA67" s="250" t="s">
        <v>442</v>
      </c>
      <c r="FB67" s="250" t="s">
        <v>443</v>
      </c>
      <c r="FC67" s="250" t="s">
        <v>444</v>
      </c>
      <c r="FD67" s="250" t="s">
        <v>445</v>
      </c>
      <c r="FE67" s="250" t="s">
        <v>446</v>
      </c>
      <c r="FF67" s="250" t="s">
        <v>447</v>
      </c>
      <c r="FG67" s="250" t="s">
        <v>448</v>
      </c>
      <c r="FH67" s="250" t="s">
        <v>449</v>
      </c>
      <c r="FI67" s="250" t="s">
        <v>450</v>
      </c>
      <c r="FJ67" s="250" t="s">
        <v>451</v>
      </c>
      <c r="FK67" s="250" t="s">
        <v>452</v>
      </c>
      <c r="FL67" s="250" t="s">
        <v>453</v>
      </c>
      <c r="FM67" s="250" t="s">
        <v>454</v>
      </c>
      <c r="FN67" s="250" t="s">
        <v>455</v>
      </c>
      <c r="FO67" s="250" t="s">
        <v>456</v>
      </c>
      <c r="FP67" s="250" t="s">
        <v>457</v>
      </c>
      <c r="FQ67" s="250" t="s">
        <v>458</v>
      </c>
      <c r="FR67" s="250" t="s">
        <v>459</v>
      </c>
      <c r="FS67" s="250" t="s">
        <v>460</v>
      </c>
      <c r="FT67" s="250" t="s">
        <v>461</v>
      </c>
      <c r="FU67" s="250" t="s">
        <v>462</v>
      </c>
      <c r="FV67" s="250" t="s">
        <v>463</v>
      </c>
      <c r="FW67" s="250" t="s">
        <v>464</v>
      </c>
      <c r="FX67" s="250" t="s">
        <v>465</v>
      </c>
      <c r="FY67" s="250" t="s">
        <v>466</v>
      </c>
      <c r="FZ67" s="250" t="s">
        <v>467</v>
      </c>
      <c r="GA67" s="250" t="s">
        <v>468</v>
      </c>
      <c r="GB67" s="250" t="s">
        <v>469</v>
      </c>
      <c r="GC67" s="250" t="s">
        <v>470</v>
      </c>
      <c r="GD67" s="250" t="s">
        <v>471</v>
      </c>
      <c r="GE67" s="250" t="s">
        <v>472</v>
      </c>
      <c r="GF67" s="250" t="s">
        <v>473</v>
      </c>
      <c r="GG67" s="250" t="s">
        <v>474</v>
      </c>
      <c r="GH67" s="250" t="s">
        <v>475</v>
      </c>
      <c r="GI67" s="250" t="s">
        <v>476</v>
      </c>
      <c r="GJ67" s="250" t="s">
        <v>477</v>
      </c>
      <c r="GK67" s="250" t="s">
        <v>478</v>
      </c>
      <c r="GL67" s="250" t="s">
        <v>479</v>
      </c>
      <c r="GM67" s="250" t="s">
        <v>480</v>
      </c>
      <c r="GN67" s="250" t="s">
        <v>481</v>
      </c>
      <c r="GO67" s="250" t="s">
        <v>482</v>
      </c>
      <c r="GP67" s="250" t="s">
        <v>483</v>
      </c>
      <c r="GQ67" s="250" t="s">
        <v>484</v>
      </c>
      <c r="GR67" s="250" t="s">
        <v>485</v>
      </c>
      <c r="GS67" s="250" t="s">
        <v>486</v>
      </c>
      <c r="GT67" s="250" t="s">
        <v>487</v>
      </c>
      <c r="GU67" s="250" t="s">
        <v>488</v>
      </c>
      <c r="GV67" s="250" t="s">
        <v>489</v>
      </c>
      <c r="GW67" s="250" t="s">
        <v>490</v>
      </c>
      <c r="GX67" s="250" t="s">
        <v>491</v>
      </c>
      <c r="GY67" s="250" t="s">
        <v>492</v>
      </c>
      <c r="GZ67" s="250" t="s">
        <v>493</v>
      </c>
      <c r="HA67" s="250" t="s">
        <v>494</v>
      </c>
      <c r="HB67" s="250" t="s">
        <v>495</v>
      </c>
      <c r="HC67" s="250" t="s">
        <v>496</v>
      </c>
      <c r="HD67" s="250" t="s">
        <v>497</v>
      </c>
      <c r="HE67" s="250" t="s">
        <v>498</v>
      </c>
      <c r="HF67" s="250" t="s">
        <v>499</v>
      </c>
      <c r="HG67" s="250" t="s">
        <v>500</v>
      </c>
      <c r="HH67" s="250" t="s">
        <v>501</v>
      </c>
      <c r="HI67" s="250" t="s">
        <v>502</v>
      </c>
      <c r="HJ67" s="250" t="s">
        <v>503</v>
      </c>
      <c r="HK67" s="250" t="s">
        <v>504</v>
      </c>
      <c r="HL67" s="250" t="s">
        <v>505</v>
      </c>
      <c r="HM67" s="250" t="s">
        <v>506</v>
      </c>
      <c r="HN67" s="250" t="s">
        <v>507</v>
      </c>
      <c r="HO67" s="250" t="s">
        <v>508</v>
      </c>
      <c r="HP67" s="250" t="s">
        <v>509</v>
      </c>
      <c r="HQ67" s="250" t="s">
        <v>510</v>
      </c>
    </row>
    <row r="68" spans="1:241" s="248" customFormat="1" ht="13.7" customHeight="1">
      <c r="A68" s="248" t="s">
        <v>519</v>
      </c>
      <c r="B68" s="248" t="s">
        <v>520</v>
      </c>
      <c r="C68" s="70">
        <f>VLOOKUP(Parameter_Scenario, Table_Data_opex_alternative, MATCH(C67, Header_Table_Data_EBRIN, 0), FALSE)</f>
        <v>38538.624900945346</v>
      </c>
      <c r="D68" s="70">
        <f t="shared" ref="D68:BR68" si="53">VLOOKUP(Parameter_Scenario, Table_Data_opex_alternative, MATCH(D67, Header_Table_Data_EBRIN, 0), FALSE)</f>
        <v>40555.568802439702</v>
      </c>
      <c r="E68" s="70">
        <f t="shared" si="53"/>
        <v>44812.70258129912</v>
      </c>
      <c r="F68" s="70">
        <f>VLOOKUP(Parameter_Scenario, Table_Data_opex_alternative, MATCH(F67, Header_Table_Data_EBRIN, 0), FALSE)</f>
        <v>46821.896889849857</v>
      </c>
      <c r="G68" s="70">
        <f t="shared" si="53"/>
        <v>55266.38145396336</v>
      </c>
      <c r="H68" s="70">
        <f t="shared" si="53"/>
        <v>63737.765832817691</v>
      </c>
      <c r="I68" s="70">
        <f t="shared" si="53"/>
        <v>70608.373543978203</v>
      </c>
      <c r="J68" s="70">
        <f t="shared" si="53"/>
        <v>77834.327675292603</v>
      </c>
      <c r="K68" s="70">
        <f t="shared" si="53"/>
        <v>88864.580625233939</v>
      </c>
      <c r="L68" s="70">
        <f t="shared" si="53"/>
        <v>86548.092643177908</v>
      </c>
      <c r="M68" s="70">
        <f t="shared" si="53"/>
        <v>52497.721534325196</v>
      </c>
      <c r="N68" s="70">
        <f t="shared" si="53"/>
        <v>58245.248035999997</v>
      </c>
      <c r="O68" s="70">
        <f t="shared" si="53"/>
        <v>72071.139840504809</v>
      </c>
      <c r="P68" s="70">
        <f t="shared" si="53"/>
        <v>70694.304359999995</v>
      </c>
      <c r="Q68" s="70">
        <f t="shared" si="53"/>
        <v>68958.093410000001</v>
      </c>
      <c r="R68" s="70">
        <f t="shared" si="53"/>
        <v>66360.226999999999</v>
      </c>
      <c r="S68" s="70">
        <f t="shared" si="53"/>
        <v>71365.648977441</v>
      </c>
      <c r="T68" s="70">
        <f t="shared" si="53"/>
        <v>359429.30472414085</v>
      </c>
      <c r="U68" s="70">
        <f t="shared" si="53"/>
        <v>319120.88969815226</v>
      </c>
      <c r="V68" s="70">
        <f t="shared" si="53"/>
        <v>470681.79458618024</v>
      </c>
      <c r="W68" s="70">
        <f t="shared" si="53"/>
        <v>443700.63762656803</v>
      </c>
      <c r="X68" s="70">
        <f t="shared" si="53"/>
        <v>516405.56407726306</v>
      </c>
      <c r="Y68" s="70">
        <f t="shared" si="53"/>
        <v>513411.9445176929</v>
      </c>
      <c r="Z68" s="70">
        <f t="shared" si="53"/>
        <v>583745.18660643906</v>
      </c>
      <c r="AA68" s="70">
        <f t="shared" si="53"/>
        <v>475807.76904051501</v>
      </c>
      <c r="AB68" s="70">
        <f t="shared" si="53"/>
        <v>543068.58082208002</v>
      </c>
      <c r="AC68" s="70">
        <f t="shared" si="53"/>
        <v>652527.45930349501</v>
      </c>
      <c r="AD68" s="70">
        <f t="shared" si="53"/>
        <v>590738.86946726497</v>
      </c>
      <c r="AE68" s="70">
        <f t="shared" si="53"/>
        <v>533275.74492261</v>
      </c>
      <c r="AF68" s="70">
        <f t="shared" si="53"/>
        <v>467980.26400000002</v>
      </c>
      <c r="AG68" s="70">
        <f t="shared" si="53"/>
        <v>454424.70699999999</v>
      </c>
      <c r="AH68" s="70">
        <f t="shared" si="53"/>
        <v>409523.11597899999</v>
      </c>
      <c r="AI68" s="70">
        <f t="shared" si="53"/>
        <v>390331.33600000001</v>
      </c>
      <c r="AJ68" s="70">
        <f t="shared" si="53"/>
        <v>350363.98100000003</v>
      </c>
      <c r="AK68" s="70">
        <f t="shared" si="53"/>
        <v>37898.188999999998</v>
      </c>
      <c r="AL68" s="70">
        <f t="shared" si="53"/>
        <v>40582.080999999998</v>
      </c>
      <c r="AM68" s="70">
        <f t="shared" si="53"/>
        <v>41333.470999999998</v>
      </c>
      <c r="AN68" s="70">
        <f t="shared" si="53"/>
        <v>50008.286836201994</v>
      </c>
      <c r="AO68" s="70">
        <f t="shared" si="53"/>
        <v>54297.417209442443</v>
      </c>
      <c r="AP68" s="70">
        <f t="shared" si="53"/>
        <v>54486.114272112434</v>
      </c>
      <c r="AQ68" s="70">
        <f t="shared" si="53"/>
        <v>67739.510590000005</v>
      </c>
      <c r="AR68" s="70">
        <f t="shared" si="53"/>
        <v>68089.082299999995</v>
      </c>
      <c r="AS68" s="70">
        <f t="shared" si="53"/>
        <v>73439.955393108001</v>
      </c>
      <c r="AT68" s="70">
        <f t="shared" si="53"/>
        <v>71997.882248406604</v>
      </c>
      <c r="AU68" s="70">
        <f t="shared" si="53"/>
        <v>73454.018770187686</v>
      </c>
      <c r="AV68" s="70">
        <f t="shared" si="53"/>
        <v>73056.219669490965</v>
      </c>
      <c r="AW68" s="70">
        <f t="shared" si="53"/>
        <v>67694.236446691008</v>
      </c>
      <c r="AX68" s="70">
        <f t="shared" si="53"/>
        <v>75670.104999999996</v>
      </c>
      <c r="AY68" s="70">
        <f>VLOOKUP(Parameter_Scenario, Table_Data_opex_alternative, MATCH(AY67, Header_Table_Data_EBRIN, 0), FALSE)</f>
        <v>74131.675000000003</v>
      </c>
      <c r="AZ68" s="70">
        <f t="shared" si="53"/>
        <v>67493.260999999999</v>
      </c>
      <c r="BA68" s="70">
        <f t="shared" si="53"/>
        <v>71238.019</v>
      </c>
      <c r="BB68" s="70">
        <f t="shared" si="53"/>
        <v>173158.03593754568</v>
      </c>
      <c r="BC68" s="70">
        <f t="shared" si="53"/>
        <v>192755.56936652676</v>
      </c>
      <c r="BD68" s="70">
        <f t="shared" si="53"/>
        <v>243136.6498313061</v>
      </c>
      <c r="BE68" s="70">
        <f t="shared" si="53"/>
        <v>229075.96469774732</v>
      </c>
      <c r="BF68" s="70">
        <f t="shared" si="53"/>
        <v>228043.59112183331</v>
      </c>
      <c r="BG68" s="70">
        <f t="shared" si="53"/>
        <v>244517.0998057948</v>
      </c>
      <c r="BH68" s="70">
        <f t="shared" si="53"/>
        <v>276189.14942971262</v>
      </c>
      <c r="BI68" s="70">
        <f t="shared" si="53"/>
        <v>248232.2275998212</v>
      </c>
      <c r="BJ68" s="70">
        <f t="shared" si="53"/>
        <v>295997.52023237501</v>
      </c>
      <c r="BK68" s="70">
        <f t="shared" si="53"/>
        <v>300530.03952954285</v>
      </c>
      <c r="BL68" s="70">
        <f t="shared" si="53"/>
        <v>316821.14712986699</v>
      </c>
      <c r="BM68" s="70">
        <f t="shared" si="53"/>
        <v>290656.54168067907</v>
      </c>
      <c r="BN68" s="70">
        <f t="shared" si="53"/>
        <v>278512.48718438006</v>
      </c>
      <c r="BO68" s="70">
        <f t="shared" si="53"/>
        <v>291794.86913370003</v>
      </c>
      <c r="BP68" s="70">
        <f t="shared" si="53"/>
        <v>259970.16376625502</v>
      </c>
      <c r="BQ68" s="70">
        <f t="shared" si="53"/>
        <v>272205.97344527696</v>
      </c>
      <c r="BR68" s="70">
        <f t="shared" si="53"/>
        <v>276174.46399999998</v>
      </c>
      <c r="BS68" s="70">
        <f t="shared" ref="BS68:EJ68" si="54">VLOOKUP(Parameter_Scenario, Table_Data_opex_alternative, MATCH(BS67, Header_Table_Data_EBRIN, 0), FALSE)</f>
        <v>203391.00643221589</v>
      </c>
      <c r="BT68" s="70">
        <f t="shared" si="54"/>
        <v>245038.43019628001</v>
      </c>
      <c r="BU68" s="70">
        <f t="shared" si="54"/>
        <v>270734.64824942936</v>
      </c>
      <c r="BV68" s="70">
        <f t="shared" si="54"/>
        <v>289293.06264344038</v>
      </c>
      <c r="BW68" s="70">
        <f t="shared" si="54"/>
        <v>290823.1193110157</v>
      </c>
      <c r="BX68" s="70">
        <f t="shared" si="54"/>
        <v>332430.89486645564</v>
      </c>
      <c r="BY68" s="70">
        <f t="shared" si="54"/>
        <v>370283.76816004416</v>
      </c>
      <c r="BZ68" s="70">
        <f t="shared" si="54"/>
        <v>407311.95354971435</v>
      </c>
      <c r="CA68" s="70">
        <f t="shared" si="54"/>
        <v>390233.18903118349</v>
      </c>
      <c r="CB68" s="70">
        <f t="shared" si="54"/>
        <v>421671.38971983065</v>
      </c>
      <c r="CC68" s="70">
        <f t="shared" si="54"/>
        <v>385683.09634885762</v>
      </c>
      <c r="CD68" s="70">
        <f t="shared" si="54"/>
        <v>383795.11304166587</v>
      </c>
      <c r="CE68" s="70">
        <f t="shared" si="54"/>
        <v>398546.59066905046</v>
      </c>
      <c r="CF68" s="70">
        <f t="shared" si="54"/>
        <v>385080.41533664323</v>
      </c>
      <c r="CG68" s="70">
        <f t="shared" si="54"/>
        <v>378940.35891394789</v>
      </c>
      <c r="CH68" s="70">
        <f t="shared" si="54"/>
        <v>392934.74461496645</v>
      </c>
      <c r="CI68" s="70">
        <f t="shared" si="54"/>
        <v>420899.80138333316</v>
      </c>
      <c r="CJ68" s="70">
        <f t="shared" si="54"/>
        <v>328450.67775370367</v>
      </c>
      <c r="CK68" s="70">
        <f t="shared" si="54"/>
        <v>314117.44280743861</v>
      </c>
      <c r="CL68" s="70">
        <f t="shared" si="54"/>
        <v>351956.67354095803</v>
      </c>
      <c r="CM68" s="70">
        <f t="shared" si="54"/>
        <v>352440.60055190895</v>
      </c>
      <c r="CN68" s="70">
        <f t="shared" si="54"/>
        <v>358645.91452986334</v>
      </c>
      <c r="CO68" s="70">
        <f t="shared" si="54"/>
        <v>438502.57794558577</v>
      </c>
      <c r="CP68" s="70">
        <f t="shared" si="54"/>
        <v>473552.57786512509</v>
      </c>
      <c r="CQ68" s="70">
        <f t="shared" si="54"/>
        <v>396894.09990378871</v>
      </c>
      <c r="CR68" s="70">
        <f t="shared" si="54"/>
        <v>412448.34124129853</v>
      </c>
      <c r="CS68" s="70">
        <f t="shared" si="54"/>
        <v>459958.66147334105</v>
      </c>
      <c r="CT68" s="70">
        <f t="shared" si="54"/>
        <v>451043.84626636445</v>
      </c>
      <c r="CU68" s="70">
        <f t="shared" si="54"/>
        <v>411267.77110382053</v>
      </c>
      <c r="CV68" s="70">
        <f t="shared" si="54"/>
        <v>420845.88526630681</v>
      </c>
      <c r="CW68" s="70">
        <f t="shared" si="54"/>
        <v>439391.46162860282</v>
      </c>
      <c r="CX68" s="70">
        <f t="shared" si="54"/>
        <v>471635.74230853823</v>
      </c>
      <c r="CY68" s="70">
        <f t="shared" si="54"/>
        <v>381389.06418793899</v>
      </c>
      <c r="CZ68" s="70">
        <f t="shared" si="54"/>
        <v>393820.5393030665</v>
      </c>
      <c r="DA68" s="70">
        <f t="shared" si="54"/>
        <v>259512.70302584243</v>
      </c>
      <c r="DB68" s="70">
        <f t="shared" si="54"/>
        <v>321110.07103787101</v>
      </c>
      <c r="DC68" s="70">
        <f t="shared" si="54"/>
        <v>382924.51082332933</v>
      </c>
      <c r="DD68" s="70">
        <f t="shared" si="54"/>
        <v>366150.1169553746</v>
      </c>
      <c r="DE68" s="70">
        <f t="shared" si="54"/>
        <v>408797.33885724487</v>
      </c>
      <c r="DF68" s="70">
        <f t="shared" si="54"/>
        <v>428987.86973761127</v>
      </c>
      <c r="DG68" s="70">
        <f t="shared" si="54"/>
        <v>545508.47029752308</v>
      </c>
      <c r="DH68" s="70">
        <f t="shared" si="54"/>
        <v>498609.56726852624</v>
      </c>
      <c r="DI68" s="70">
        <f t="shared" si="54"/>
        <v>491882.73613880406</v>
      </c>
      <c r="DJ68" s="70">
        <f t="shared" si="54"/>
        <v>442683.02080096811</v>
      </c>
      <c r="DK68" s="70">
        <f t="shared" si="54"/>
        <v>365550.70929830213</v>
      </c>
      <c r="DL68" s="70">
        <f t="shared" si="54"/>
        <v>358375.09771504463</v>
      </c>
      <c r="DM68" s="70">
        <f t="shared" si="54"/>
        <v>380873.63400000002</v>
      </c>
      <c r="DN68" s="70">
        <f t="shared" si="54"/>
        <v>442180.00900000002</v>
      </c>
      <c r="DO68" s="70">
        <f t="shared" si="54"/>
        <v>431036.37299999996</v>
      </c>
      <c r="DP68" s="70">
        <f t="shared" si="54"/>
        <v>434187.93192</v>
      </c>
      <c r="DQ68" s="70">
        <f t="shared" si="54"/>
        <v>413880.68199999997</v>
      </c>
      <c r="DR68" s="70">
        <f t="shared" si="54"/>
        <v>46756.092287101899</v>
      </c>
      <c r="DS68" s="70">
        <f t="shared" si="54"/>
        <v>51252.352222211397</v>
      </c>
      <c r="DT68" s="70">
        <f t="shared" si="54"/>
        <v>43220.358648427202</v>
      </c>
      <c r="DU68" s="70">
        <f t="shared" si="54"/>
        <v>48349.725749867001</v>
      </c>
      <c r="DV68" s="70">
        <f t="shared" si="54"/>
        <v>58605.575110382997</v>
      </c>
      <c r="DW68" s="70">
        <f t="shared" si="54"/>
        <v>66223.988115314729</v>
      </c>
      <c r="DX68" s="70">
        <f t="shared" si="54"/>
        <v>82861.176102655692</v>
      </c>
      <c r="DY68" s="70">
        <f t="shared" si="54"/>
        <v>83295.789556688193</v>
      </c>
      <c r="DZ68" s="70">
        <f t="shared" si="54"/>
        <v>81839.89075075349</v>
      </c>
      <c r="EA68" s="70">
        <f t="shared" si="54"/>
        <v>83810.675510022906</v>
      </c>
      <c r="EB68" s="70">
        <f t="shared" si="54"/>
        <v>89922.443806029289</v>
      </c>
      <c r="EC68" s="70">
        <f t="shared" si="54"/>
        <v>95124.824283925991</v>
      </c>
      <c r="ED68" s="70">
        <f t="shared" si="54"/>
        <v>90354.527270000006</v>
      </c>
      <c r="EE68" s="70">
        <f t="shared" si="54"/>
        <v>92437.99136</v>
      </c>
      <c r="EF68" s="70">
        <f t="shared" si="54"/>
        <v>83587.755040000004</v>
      </c>
      <c r="EG68" s="70">
        <f t="shared" si="54"/>
        <v>75656.824590000004</v>
      </c>
      <c r="EH68" s="70">
        <f t="shared" si="54"/>
        <v>74664.096995365093</v>
      </c>
      <c r="EI68" s="70">
        <f t="shared" si="54"/>
        <v>82877.291930000007</v>
      </c>
      <c r="EJ68" s="70">
        <f t="shared" si="54"/>
        <v>88592.699200000003</v>
      </c>
      <c r="EK68" s="70">
        <f t="shared" ref="EK68:GZ68" si="55">VLOOKUP(Parameter_Scenario, Table_Data_opex_alternative, MATCH(EK67, Header_Table_Data_EBRIN, 0), FALSE)</f>
        <v>0</v>
      </c>
      <c r="EL68" s="70">
        <f t="shared" si="55"/>
        <v>0</v>
      </c>
      <c r="EM68" s="70">
        <f t="shared" si="55"/>
        <v>0</v>
      </c>
      <c r="EN68" s="70">
        <f t="shared" si="55"/>
        <v>0</v>
      </c>
      <c r="EO68" s="70">
        <f t="shared" si="55"/>
        <v>0</v>
      </c>
      <c r="EP68" s="70">
        <f t="shared" si="55"/>
        <v>0</v>
      </c>
      <c r="EQ68" s="70">
        <f t="shared" si="55"/>
        <v>0</v>
      </c>
      <c r="ER68" s="70">
        <f t="shared" si="55"/>
        <v>0</v>
      </c>
      <c r="ES68" s="70">
        <f t="shared" si="55"/>
        <v>0</v>
      </c>
      <c r="ET68" s="70">
        <f t="shared" si="55"/>
        <v>0</v>
      </c>
      <c r="EU68" s="70">
        <f t="shared" si="55"/>
        <v>0</v>
      </c>
      <c r="EV68" s="70">
        <f t="shared" si="55"/>
        <v>0</v>
      </c>
      <c r="EW68" s="70">
        <f t="shared" si="55"/>
        <v>0</v>
      </c>
      <c r="EX68" s="70">
        <f t="shared" si="55"/>
        <v>0</v>
      </c>
      <c r="EY68" s="70">
        <f t="shared" si="55"/>
        <v>0</v>
      </c>
      <c r="EZ68" s="70">
        <f t="shared" si="55"/>
        <v>0</v>
      </c>
      <c r="FA68" s="70">
        <f t="shared" si="55"/>
        <v>0</v>
      </c>
      <c r="FB68" s="70">
        <f t="shared" si="55"/>
        <v>0</v>
      </c>
      <c r="FC68" s="70">
        <f t="shared" si="55"/>
        <v>0</v>
      </c>
      <c r="FD68" s="70">
        <f t="shared" si="55"/>
        <v>0</v>
      </c>
      <c r="FE68" s="70">
        <f t="shared" si="55"/>
        <v>0</v>
      </c>
      <c r="FF68" s="70">
        <f t="shared" si="55"/>
        <v>0</v>
      </c>
      <c r="FG68" s="70">
        <f t="shared" si="55"/>
        <v>0</v>
      </c>
      <c r="FH68" s="70">
        <f t="shared" si="55"/>
        <v>0</v>
      </c>
      <c r="FI68" s="70">
        <f t="shared" si="55"/>
        <v>0</v>
      </c>
      <c r="FJ68" s="70">
        <f t="shared" si="55"/>
        <v>0</v>
      </c>
      <c r="FK68" s="70">
        <f t="shared" si="55"/>
        <v>0</v>
      </c>
      <c r="FL68" s="70">
        <f t="shared" si="55"/>
        <v>0</v>
      </c>
      <c r="FM68" s="70">
        <f t="shared" si="55"/>
        <v>0</v>
      </c>
      <c r="FN68" s="70">
        <f t="shared" si="55"/>
        <v>0</v>
      </c>
      <c r="FO68" s="70">
        <f t="shared" si="55"/>
        <v>0</v>
      </c>
      <c r="FP68" s="70">
        <f t="shared" si="55"/>
        <v>0</v>
      </c>
      <c r="FQ68" s="70">
        <f t="shared" si="55"/>
        <v>0</v>
      </c>
      <c r="FR68" s="70">
        <f t="shared" si="55"/>
        <v>0</v>
      </c>
      <c r="FS68" s="70">
        <f t="shared" si="55"/>
        <v>0</v>
      </c>
      <c r="FT68" s="70">
        <f t="shared" si="55"/>
        <v>0</v>
      </c>
      <c r="FU68" s="70">
        <f t="shared" si="55"/>
        <v>0</v>
      </c>
      <c r="FV68" s="70">
        <f t="shared" si="55"/>
        <v>0</v>
      </c>
      <c r="FW68" s="70">
        <f t="shared" si="55"/>
        <v>0</v>
      </c>
      <c r="FX68" s="70">
        <f t="shared" si="55"/>
        <v>0</v>
      </c>
      <c r="FY68" s="70">
        <f t="shared" si="55"/>
        <v>0</v>
      </c>
      <c r="FZ68" s="70">
        <f t="shared" si="55"/>
        <v>0</v>
      </c>
      <c r="GA68" s="70">
        <f t="shared" si="55"/>
        <v>0</v>
      </c>
      <c r="GB68" s="70">
        <f t="shared" si="55"/>
        <v>0</v>
      </c>
      <c r="GC68" s="70">
        <f t="shared" si="55"/>
        <v>0</v>
      </c>
      <c r="GD68" s="70">
        <f t="shared" si="55"/>
        <v>0</v>
      </c>
      <c r="GE68" s="70">
        <f t="shared" si="55"/>
        <v>0</v>
      </c>
      <c r="GF68" s="70">
        <f t="shared" si="55"/>
        <v>0</v>
      </c>
      <c r="GG68" s="70">
        <f t="shared" si="55"/>
        <v>0</v>
      </c>
      <c r="GH68" s="70">
        <f t="shared" si="55"/>
        <v>0</v>
      </c>
      <c r="GI68" s="70">
        <f t="shared" si="55"/>
        <v>0</v>
      </c>
      <c r="GJ68" s="70">
        <f t="shared" si="55"/>
        <v>0</v>
      </c>
      <c r="GK68" s="70">
        <f t="shared" si="55"/>
        <v>0</v>
      </c>
      <c r="GL68" s="70">
        <f t="shared" si="55"/>
        <v>0</v>
      </c>
      <c r="GM68" s="70">
        <f t="shared" si="55"/>
        <v>0</v>
      </c>
      <c r="GN68" s="70">
        <f t="shared" si="55"/>
        <v>0</v>
      </c>
      <c r="GO68" s="70">
        <f t="shared" si="55"/>
        <v>0</v>
      </c>
      <c r="GP68" s="70">
        <f t="shared" si="55"/>
        <v>0</v>
      </c>
      <c r="GQ68" s="70">
        <f t="shared" si="55"/>
        <v>0</v>
      </c>
      <c r="GR68" s="70">
        <f t="shared" si="55"/>
        <v>0</v>
      </c>
      <c r="GS68" s="70">
        <f t="shared" si="55"/>
        <v>0</v>
      </c>
      <c r="GT68" s="70">
        <f t="shared" si="55"/>
        <v>0</v>
      </c>
      <c r="GU68" s="70">
        <f t="shared" si="55"/>
        <v>0</v>
      </c>
      <c r="GV68" s="70">
        <f t="shared" si="55"/>
        <v>0</v>
      </c>
      <c r="GW68" s="70">
        <f t="shared" si="55"/>
        <v>0</v>
      </c>
      <c r="GX68" s="70">
        <f t="shared" si="55"/>
        <v>0</v>
      </c>
      <c r="GY68" s="70">
        <f t="shared" si="55"/>
        <v>0</v>
      </c>
      <c r="GZ68" s="70">
        <f t="shared" si="55"/>
        <v>0</v>
      </c>
      <c r="HA68" s="70">
        <f t="shared" ref="HA68:HQ68" si="56">VLOOKUP(Parameter_Scenario, Table_Data_opex_alternative, MATCH(HA67, Header_Table_Data_EBRIN, 0), FALSE)</f>
        <v>0</v>
      </c>
      <c r="HB68" s="70">
        <f t="shared" si="56"/>
        <v>0</v>
      </c>
      <c r="HC68" s="70">
        <f t="shared" si="56"/>
        <v>0</v>
      </c>
      <c r="HD68" s="70">
        <f t="shared" si="56"/>
        <v>0</v>
      </c>
      <c r="HE68" s="70">
        <f t="shared" si="56"/>
        <v>0</v>
      </c>
      <c r="HF68" s="70">
        <f t="shared" si="56"/>
        <v>0</v>
      </c>
      <c r="HG68" s="70">
        <f t="shared" si="56"/>
        <v>0</v>
      </c>
      <c r="HH68" s="70">
        <f t="shared" si="56"/>
        <v>0</v>
      </c>
      <c r="HI68" s="70">
        <f t="shared" si="56"/>
        <v>0</v>
      </c>
      <c r="HJ68" s="70">
        <f t="shared" si="56"/>
        <v>0</v>
      </c>
      <c r="HK68" s="70">
        <f t="shared" si="56"/>
        <v>0</v>
      </c>
      <c r="HL68" s="70">
        <f t="shared" si="56"/>
        <v>0</v>
      </c>
      <c r="HM68" s="70">
        <f t="shared" si="56"/>
        <v>0</v>
      </c>
      <c r="HN68" s="70">
        <f t="shared" si="56"/>
        <v>0</v>
      </c>
      <c r="HO68" s="70">
        <f t="shared" si="56"/>
        <v>0</v>
      </c>
      <c r="HP68" s="70">
        <f t="shared" si="56"/>
        <v>0</v>
      </c>
      <c r="HQ68" s="70">
        <f t="shared" si="56"/>
        <v>0</v>
      </c>
      <c r="HR68" s="251"/>
      <c r="HS68" s="251"/>
      <c r="HT68" s="251"/>
      <c r="HU68" s="251"/>
      <c r="HV68" s="251"/>
      <c r="HW68" s="251"/>
      <c r="HX68" s="251"/>
      <c r="HY68" s="251"/>
      <c r="HZ68" s="251"/>
      <c r="IA68" s="251"/>
      <c r="IB68" s="251"/>
      <c r="IC68" s="251"/>
      <c r="ID68" s="251"/>
      <c r="IE68" s="251"/>
      <c r="IF68" s="251"/>
      <c r="IG68" s="251"/>
    </row>
    <row r="69" spans="1:241" ht="13.7" customHeight="1">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BZ69" s="104"/>
      <c r="CA69" s="104"/>
      <c r="CB69" s="104"/>
      <c r="CC69" s="104"/>
      <c r="CD69" s="104"/>
      <c r="CE69" s="104"/>
      <c r="CF69" s="104"/>
      <c r="CG69" s="104"/>
      <c r="CH69" s="104"/>
      <c r="CI69" s="104"/>
      <c r="CJ69" s="104"/>
      <c r="CK69" s="104"/>
      <c r="CL69" s="104"/>
      <c r="CM69" s="104"/>
      <c r="CN69" s="104"/>
      <c r="CO69" s="104"/>
      <c r="CP69" s="104"/>
      <c r="CQ69" s="104"/>
      <c r="CR69" s="104"/>
      <c r="CS69" s="104"/>
      <c r="CT69" s="104"/>
      <c r="CU69" s="104"/>
      <c r="CV69" s="104"/>
      <c r="CW69" s="104"/>
      <c r="CX69" s="104"/>
      <c r="CY69" s="104"/>
      <c r="CZ69" s="104"/>
      <c r="DA69" s="104"/>
      <c r="DB69" s="104"/>
      <c r="DC69" s="104"/>
      <c r="DD69" s="104"/>
      <c r="DE69" s="104"/>
      <c r="DF69" s="104"/>
      <c r="DG69" s="104"/>
      <c r="DH69" s="104"/>
      <c r="DI69" s="104"/>
      <c r="DJ69" s="104"/>
      <c r="DK69" s="104"/>
      <c r="DL69" s="104"/>
      <c r="DM69" s="104"/>
      <c r="DN69" s="104"/>
      <c r="DO69" s="104"/>
      <c r="DP69" s="104"/>
      <c r="DQ69" s="104"/>
      <c r="DR69" s="104"/>
      <c r="DS69" s="104"/>
      <c r="DT69" s="104"/>
      <c r="DU69" s="104"/>
      <c r="DV69" s="104"/>
      <c r="DW69" s="104"/>
      <c r="DX69" s="104"/>
      <c r="DY69" s="104"/>
      <c r="DZ69" s="104"/>
      <c r="EA69" s="104"/>
      <c r="EB69" s="104"/>
      <c r="EC69" s="104"/>
      <c r="ED69" s="104"/>
      <c r="EE69" s="104"/>
      <c r="EF69" s="104"/>
      <c r="EG69" s="104"/>
      <c r="EH69" s="104"/>
      <c r="EI69" s="104"/>
      <c r="EJ69" s="104"/>
      <c r="EK69" s="104"/>
      <c r="EL69" s="104"/>
      <c r="EM69" s="104"/>
      <c r="EN69" s="104"/>
      <c r="EO69" s="104"/>
      <c r="EP69" s="104"/>
      <c r="EQ69" s="104"/>
      <c r="ER69" s="104"/>
      <c r="ES69" s="104"/>
      <c r="ET69" s="104"/>
      <c r="EU69" s="104"/>
      <c r="EV69" s="104"/>
      <c r="EW69" s="104"/>
      <c r="EX69" s="104"/>
      <c r="EY69" s="104"/>
      <c r="EZ69" s="104"/>
      <c r="FA69" s="104"/>
      <c r="FB69" s="104"/>
      <c r="FC69" s="104"/>
      <c r="FD69" s="104"/>
      <c r="FE69" s="104"/>
      <c r="FF69" s="104"/>
      <c r="FG69" s="104"/>
      <c r="FH69" s="104"/>
      <c r="FI69" s="104"/>
      <c r="FJ69" s="104"/>
      <c r="FK69" s="104"/>
      <c r="FL69" s="104"/>
      <c r="FM69" s="104"/>
      <c r="FN69" s="104"/>
      <c r="FO69" s="104"/>
      <c r="FP69" s="104"/>
      <c r="FQ69" s="104"/>
      <c r="FR69" s="104"/>
      <c r="FS69" s="104"/>
      <c r="FT69" s="104"/>
      <c r="FU69" s="104"/>
      <c r="FV69" s="104"/>
      <c r="FW69" s="104"/>
      <c r="FX69" s="104"/>
      <c r="FY69" s="104"/>
      <c r="FZ69" s="104"/>
      <c r="GA69" s="104"/>
      <c r="GB69" s="104"/>
      <c r="GC69" s="104"/>
      <c r="GD69" s="104"/>
      <c r="GE69" s="104"/>
      <c r="GF69" s="104"/>
      <c r="GG69" s="104"/>
      <c r="GH69" s="104"/>
      <c r="GI69" s="104"/>
      <c r="GJ69" s="104"/>
      <c r="GK69" s="104"/>
      <c r="GL69" s="104"/>
      <c r="GM69" s="104"/>
      <c r="GN69" s="104"/>
      <c r="GO69" s="104"/>
      <c r="GP69" s="104"/>
      <c r="GQ69" s="104"/>
      <c r="GR69" s="104"/>
      <c r="GS69" s="104"/>
      <c r="GT69" s="104"/>
      <c r="GU69" s="104"/>
      <c r="GV69" s="104"/>
      <c r="GW69" s="104"/>
      <c r="GX69" s="104"/>
      <c r="GY69" s="104"/>
      <c r="GZ69" s="104"/>
      <c r="HA69" s="104"/>
      <c r="HB69" s="104"/>
      <c r="HC69" s="104"/>
      <c r="HD69" s="104"/>
      <c r="HE69" s="104"/>
      <c r="HF69" s="104"/>
      <c r="HG69" s="104"/>
      <c r="HH69" s="104"/>
      <c r="HI69" s="104"/>
      <c r="HJ69" s="104"/>
      <c r="HK69" s="104"/>
      <c r="HL69" s="104"/>
      <c r="HM69" s="104"/>
      <c r="HN69" s="104"/>
      <c r="HO69" s="104"/>
      <c r="HP69" s="104"/>
      <c r="HQ69" s="104"/>
    </row>
    <row r="70" spans="1:241" s="22" customFormat="1" ht="13.7" customHeight="1">
      <c r="A70" s="2" t="s">
        <v>227</v>
      </c>
      <c r="B70" s="4"/>
      <c r="C70" s="4"/>
    </row>
    <row r="71" spans="1:241" ht="12.2" customHeight="1">
      <c r="A71" s="89"/>
      <c r="F71" s="66"/>
      <c r="G71" s="66"/>
      <c r="H71" s="66"/>
      <c r="I71" s="66"/>
      <c r="J71" s="66"/>
      <c r="K71" s="66"/>
      <c r="L71" s="66"/>
      <c r="M71" s="66"/>
      <c r="N71" s="66"/>
      <c r="O71" s="66"/>
      <c r="P71" s="66"/>
      <c r="Q71" s="66"/>
      <c r="R71" s="66"/>
      <c r="S71" s="66"/>
      <c r="W71" s="66"/>
      <c r="X71" s="66"/>
      <c r="Y71" s="66"/>
      <c r="Z71" s="66"/>
      <c r="AA71" s="66"/>
      <c r="AB71" s="66"/>
      <c r="AC71" s="66"/>
      <c r="AD71" s="66"/>
      <c r="AE71" s="66"/>
      <c r="AF71" s="66"/>
      <c r="AG71" s="66"/>
      <c r="AH71" s="66"/>
      <c r="AI71" s="66"/>
      <c r="AJ71" s="66"/>
      <c r="AN71" s="66"/>
      <c r="AO71" s="66"/>
      <c r="AP71" s="66"/>
      <c r="AQ71" s="66"/>
      <c r="AR71" s="66"/>
      <c r="AS71" s="66"/>
      <c r="AT71" s="66"/>
      <c r="AU71" s="66"/>
      <c r="AV71" s="66"/>
      <c r="AW71" s="66"/>
      <c r="AX71" s="66"/>
      <c r="AY71" s="66"/>
      <c r="AZ71" s="66"/>
      <c r="BA71" s="66"/>
      <c r="BE71" s="66"/>
      <c r="BF71" s="66"/>
      <c r="BG71" s="66"/>
      <c r="BH71" s="66"/>
      <c r="BI71" s="66"/>
      <c r="BJ71" s="66"/>
      <c r="BK71" s="66"/>
      <c r="BL71" s="66"/>
      <c r="BM71" s="66"/>
      <c r="BN71" s="66"/>
      <c r="BO71" s="66"/>
      <c r="BP71" s="66"/>
      <c r="BQ71" s="66"/>
      <c r="BR71" s="66"/>
      <c r="BV71" s="66"/>
      <c r="BW71" s="66"/>
      <c r="BX71" s="66"/>
      <c r="BY71" s="66"/>
      <c r="BZ71" s="66"/>
      <c r="CA71" s="66"/>
      <c r="CB71" s="66"/>
      <c r="CC71" s="66"/>
      <c r="CD71" s="66"/>
      <c r="CE71" s="66"/>
      <c r="CF71" s="66"/>
      <c r="CG71" s="66"/>
      <c r="CH71" s="66"/>
      <c r="CI71" s="66"/>
      <c r="CM71" s="66"/>
      <c r="CN71" s="66"/>
      <c r="CO71" s="66"/>
      <c r="CP71" s="66"/>
      <c r="CQ71" s="66"/>
      <c r="CR71" s="66"/>
      <c r="CS71" s="66"/>
      <c r="CT71" s="66"/>
      <c r="CU71" s="66"/>
      <c r="CV71" s="66"/>
      <c r="CW71" s="66"/>
      <c r="CX71" s="66"/>
      <c r="CY71" s="66"/>
      <c r="CZ71" s="66"/>
      <c r="DD71" s="66"/>
      <c r="DE71" s="66"/>
      <c r="DF71" s="66"/>
      <c r="DG71" s="66"/>
      <c r="DH71" s="66"/>
      <c r="DI71" s="66"/>
      <c r="DJ71" s="66"/>
      <c r="DK71" s="66"/>
      <c r="DL71" s="66"/>
      <c r="DM71" s="66"/>
      <c r="DN71" s="66"/>
      <c r="DO71" s="66"/>
      <c r="DP71" s="66"/>
      <c r="DQ71" s="66"/>
      <c r="DU71" s="66"/>
      <c r="DV71" s="66"/>
      <c r="DW71" s="66"/>
      <c r="DX71" s="66"/>
      <c r="DY71" s="66"/>
      <c r="DZ71" s="66"/>
      <c r="EA71" s="66"/>
      <c r="EB71" s="66"/>
      <c r="EC71" s="66"/>
      <c r="ED71" s="66"/>
      <c r="EE71" s="66"/>
      <c r="EF71" s="66"/>
      <c r="EG71" s="66"/>
      <c r="EH71" s="66"/>
      <c r="EI71" s="66"/>
      <c r="EJ71" s="66"/>
      <c r="EN71" s="66"/>
      <c r="EO71" s="66"/>
      <c r="EP71" s="66"/>
      <c r="EQ71" s="66"/>
      <c r="ER71" s="66"/>
      <c r="ES71" s="66"/>
      <c r="ET71" s="66"/>
      <c r="EU71" s="66"/>
      <c r="EV71" s="66"/>
      <c r="EW71" s="66"/>
      <c r="EX71" s="66"/>
      <c r="EY71" s="66"/>
      <c r="EZ71" s="66"/>
      <c r="FA71" s="66"/>
      <c r="FE71" s="66"/>
      <c r="FF71" s="66"/>
      <c r="FG71" s="66"/>
      <c r="FH71" s="66"/>
      <c r="FI71" s="66"/>
      <c r="FJ71" s="66"/>
      <c r="FK71" s="66"/>
      <c r="FL71" s="66"/>
      <c r="FM71" s="66"/>
      <c r="FN71" s="66"/>
      <c r="FO71" s="66"/>
      <c r="FP71" s="66"/>
      <c r="FQ71" s="66"/>
      <c r="FR71" s="66"/>
      <c r="FV71" s="66"/>
      <c r="FW71" s="66"/>
      <c r="FX71" s="66"/>
      <c r="FY71" s="66"/>
      <c r="FZ71" s="66"/>
      <c r="GA71" s="66"/>
      <c r="GB71" s="66"/>
      <c r="GC71" s="66"/>
      <c r="GD71" s="66"/>
      <c r="GE71" s="66"/>
      <c r="GF71" s="66"/>
      <c r="GG71" s="66"/>
      <c r="GH71" s="66"/>
      <c r="GI71" s="66"/>
      <c r="GM71" s="66"/>
      <c r="GN71" s="66"/>
      <c r="GO71" s="66"/>
      <c r="GP71" s="66"/>
      <c r="GQ71" s="66"/>
      <c r="GR71" s="66"/>
      <c r="GS71" s="66"/>
      <c r="GT71" s="66"/>
      <c r="GU71" s="66"/>
      <c r="GV71" s="66"/>
      <c r="GW71" s="66"/>
      <c r="GX71" s="66"/>
      <c r="GY71" s="66"/>
      <c r="GZ71" s="66"/>
      <c r="HD71" s="66"/>
      <c r="HE71" s="66"/>
      <c r="HF71" s="66"/>
      <c r="HG71" s="66"/>
      <c r="HH71" s="66"/>
      <c r="HI71" s="66"/>
      <c r="HJ71" s="66"/>
      <c r="HK71" s="66"/>
      <c r="HL71" s="66"/>
      <c r="HM71" s="66"/>
      <c r="HN71" s="66"/>
      <c r="HO71" s="66"/>
      <c r="HP71" s="66"/>
    </row>
    <row r="72" spans="1:241" ht="13.7" customHeight="1">
      <c r="A72" s="89"/>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c r="EO72" s="66"/>
      <c r="EP72" s="66"/>
      <c r="EQ72" s="66"/>
      <c r="ER72" s="66"/>
      <c r="ES72" s="66"/>
      <c r="ET72" s="66"/>
      <c r="EU72" s="66"/>
      <c r="EV72" s="66"/>
      <c r="EW72" s="66"/>
      <c r="EX72" s="66"/>
      <c r="EY72" s="66"/>
      <c r="EZ72" s="66"/>
      <c r="FA72" s="66"/>
      <c r="FB72" s="66"/>
      <c r="FC72" s="66"/>
      <c r="FD72" s="66"/>
      <c r="FE72" s="66"/>
      <c r="FF72" s="66"/>
      <c r="FG72" s="66"/>
      <c r="FH72" s="66"/>
      <c r="FI72" s="66"/>
      <c r="FJ72" s="66"/>
      <c r="FK72" s="66"/>
      <c r="FL72" s="66"/>
      <c r="FM72" s="66"/>
      <c r="FN72" s="66"/>
      <c r="FO72" s="66"/>
      <c r="FP72" s="66"/>
      <c r="FQ72" s="66"/>
      <c r="FR72" s="66"/>
      <c r="FS72" s="66"/>
      <c r="FT72" s="66"/>
      <c r="FU72" s="66"/>
      <c r="FV72" s="66"/>
      <c r="FW72" s="66"/>
      <c r="FX72" s="66"/>
      <c r="FY72" s="66"/>
      <c r="FZ72" s="66"/>
      <c r="GA72" s="66"/>
      <c r="GB72" s="66"/>
      <c r="GC72" s="66"/>
      <c r="GD72" s="66"/>
      <c r="GE72" s="66"/>
      <c r="GF72" s="66"/>
      <c r="GG72" s="66"/>
      <c r="GH72" s="66"/>
      <c r="GI72" s="66"/>
      <c r="GJ72" s="66"/>
      <c r="GK72" s="66"/>
      <c r="GL72" s="66"/>
      <c r="GM72" s="66"/>
      <c r="GN72" s="66"/>
      <c r="GO72" s="66"/>
      <c r="GP72" s="66"/>
      <c r="GQ72" s="66"/>
      <c r="GR72" s="66"/>
      <c r="GS72" s="66"/>
      <c r="GT72" s="66"/>
      <c r="GU72" s="66"/>
      <c r="GV72" s="66"/>
      <c r="GW72" s="66"/>
      <c r="GX72" s="66"/>
      <c r="GY72" s="66"/>
      <c r="GZ72" s="66"/>
      <c r="HA72" s="66"/>
      <c r="HB72" s="66"/>
      <c r="HC72" s="66"/>
      <c r="HD72" s="66"/>
      <c r="HE72" s="66"/>
      <c r="HF72" s="66"/>
      <c r="HG72" s="66"/>
      <c r="HH72" s="66"/>
      <c r="HI72" s="66"/>
      <c r="HJ72" s="66"/>
      <c r="HK72" s="66"/>
      <c r="HL72" s="66"/>
      <c r="HM72" s="66"/>
      <c r="HN72" s="66"/>
      <c r="HO72" s="66"/>
      <c r="HP72" s="66"/>
    </row>
    <row r="73" spans="1:241" ht="13.7" customHeight="1">
      <c r="B73" s="68"/>
      <c r="F73" s="104"/>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66"/>
      <c r="AO73" s="104"/>
      <c r="AP73" s="104"/>
      <c r="AQ73" s="104"/>
      <c r="AR73" s="104"/>
      <c r="AS73" s="104"/>
      <c r="AT73" s="104"/>
      <c r="AU73" s="104"/>
      <c r="AV73" s="104"/>
      <c r="AW73" s="104"/>
      <c r="AX73" s="104"/>
      <c r="AY73" s="104"/>
      <c r="AZ73" s="104"/>
      <c r="BA73" s="104"/>
      <c r="BB73" s="104"/>
      <c r="BC73" s="104"/>
      <c r="BD73" s="104"/>
      <c r="BE73" s="104"/>
      <c r="BF73" s="104"/>
      <c r="BG73" s="104"/>
      <c r="BH73" s="104"/>
      <c r="BI73" s="104"/>
      <c r="BJ73" s="104"/>
      <c r="BK73" s="104"/>
      <c r="BL73" s="104"/>
      <c r="BM73" s="104"/>
      <c r="BN73" s="104"/>
      <c r="BO73" s="104"/>
      <c r="BP73" s="104"/>
      <c r="BQ73" s="104"/>
      <c r="BR73" s="104"/>
      <c r="BS73" s="104"/>
      <c r="BT73" s="104"/>
      <c r="BU73" s="104"/>
      <c r="BV73" s="104"/>
      <c r="BW73" s="104"/>
      <c r="BX73" s="104"/>
      <c r="BY73" s="104"/>
      <c r="BZ73" s="104"/>
      <c r="CA73" s="104"/>
      <c r="CB73" s="104"/>
      <c r="CC73" s="104"/>
      <c r="CD73" s="104"/>
      <c r="CE73" s="104"/>
      <c r="CF73" s="104"/>
      <c r="CG73" s="104"/>
      <c r="CH73" s="104"/>
      <c r="CI73" s="104"/>
      <c r="CJ73" s="104"/>
      <c r="CK73" s="104"/>
      <c r="CL73" s="104"/>
      <c r="CM73" s="104"/>
      <c r="CN73" s="104"/>
      <c r="CO73" s="104"/>
      <c r="CP73" s="104"/>
      <c r="CQ73" s="104"/>
      <c r="CR73" s="104"/>
      <c r="CS73" s="104"/>
      <c r="CT73" s="104"/>
      <c r="CU73" s="104"/>
      <c r="CV73" s="104"/>
      <c r="CW73" s="104"/>
      <c r="CX73" s="104"/>
      <c r="CY73" s="104"/>
      <c r="CZ73" s="104"/>
      <c r="DA73" s="104"/>
      <c r="DB73" s="104"/>
      <c r="DC73" s="104"/>
      <c r="DD73" s="104"/>
      <c r="DE73" s="104"/>
      <c r="DF73" s="104"/>
      <c r="DG73" s="104"/>
      <c r="DH73" s="104"/>
      <c r="DI73" s="104"/>
      <c r="DJ73" s="104"/>
      <c r="DK73" s="104"/>
      <c r="DL73" s="104"/>
      <c r="DM73" s="104"/>
      <c r="DN73" s="104"/>
      <c r="DO73" s="104"/>
      <c r="DP73" s="104"/>
      <c r="DQ73" s="104"/>
      <c r="DR73" s="104"/>
      <c r="DS73" s="104"/>
      <c r="DT73" s="104"/>
      <c r="DU73" s="104"/>
      <c r="DV73" s="104"/>
      <c r="DW73" s="104"/>
      <c r="DX73" s="104"/>
      <c r="DY73" s="104"/>
      <c r="DZ73" s="104"/>
      <c r="EA73" s="104"/>
      <c r="EB73" s="104"/>
      <c r="EC73" s="104"/>
      <c r="ED73" s="104"/>
      <c r="EE73" s="104"/>
      <c r="EF73" s="104"/>
      <c r="EG73" s="104"/>
      <c r="EH73" s="104"/>
      <c r="EI73" s="104"/>
      <c r="EJ73" s="104"/>
      <c r="EK73" s="104"/>
      <c r="EL73" s="104"/>
      <c r="EM73" s="104"/>
      <c r="EN73" s="104"/>
      <c r="EO73" s="104"/>
      <c r="EP73" s="104"/>
      <c r="EQ73" s="104"/>
      <c r="ER73" s="104"/>
      <c r="ES73" s="104"/>
      <c r="ET73" s="104"/>
      <c r="EU73" s="104"/>
      <c r="EV73" s="104"/>
      <c r="EW73" s="104"/>
      <c r="EX73" s="104"/>
      <c r="EY73" s="104"/>
      <c r="EZ73" s="104"/>
      <c r="FA73" s="104"/>
      <c r="FB73" s="104"/>
      <c r="FC73" s="104"/>
      <c r="FD73" s="104"/>
      <c r="FE73" s="104"/>
      <c r="FF73" s="104"/>
      <c r="FG73" s="104"/>
      <c r="FH73" s="104"/>
      <c r="FI73" s="104"/>
      <c r="FJ73" s="104"/>
      <c r="FK73" s="104"/>
      <c r="FL73" s="104"/>
      <c r="FM73" s="104"/>
      <c r="FN73" s="104"/>
      <c r="FO73" s="104"/>
      <c r="FP73" s="104"/>
      <c r="FQ73" s="104"/>
      <c r="FR73" s="104"/>
      <c r="FS73" s="104"/>
      <c r="FT73" s="104"/>
      <c r="FU73" s="104"/>
      <c r="FV73" s="104"/>
      <c r="FW73" s="104"/>
      <c r="FX73" s="104"/>
      <c r="FY73" s="104"/>
      <c r="FZ73" s="104"/>
      <c r="GA73" s="104"/>
      <c r="GB73" s="104"/>
      <c r="GC73" s="104"/>
      <c r="GD73" s="104"/>
      <c r="GE73" s="104"/>
      <c r="GF73" s="104"/>
      <c r="GG73" s="104"/>
      <c r="GH73" s="104"/>
      <c r="GI73" s="104"/>
      <c r="GJ73" s="104"/>
      <c r="GK73" s="104"/>
      <c r="GL73" s="104"/>
      <c r="GM73" s="104"/>
      <c r="GN73" s="104"/>
      <c r="GO73" s="104"/>
      <c r="GP73" s="104"/>
      <c r="GQ73" s="104"/>
      <c r="GR73" s="104"/>
      <c r="GS73" s="104"/>
      <c r="GT73" s="104"/>
      <c r="GU73" s="104"/>
      <c r="GV73" s="104"/>
      <c r="GW73" s="104"/>
      <c r="GX73" s="104"/>
      <c r="GY73" s="104"/>
      <c r="GZ73" s="104"/>
      <c r="HA73" s="104"/>
      <c r="HB73" s="104"/>
      <c r="HC73" s="104"/>
      <c r="HD73" s="104"/>
      <c r="HE73" s="104"/>
      <c r="HF73" s="104"/>
      <c r="HG73" s="104"/>
      <c r="HH73" s="104"/>
      <c r="HI73" s="104"/>
      <c r="HJ73" s="104"/>
      <c r="HK73" s="104"/>
      <c r="HL73" s="104"/>
      <c r="HM73" s="104"/>
      <c r="HN73" s="104"/>
      <c r="HO73" s="104"/>
      <c r="HP73" s="104"/>
    </row>
    <row r="74" spans="1:241" ht="13.7" customHeight="1">
      <c r="A74" s="89"/>
      <c r="E74" s="195"/>
      <c r="F74" s="194"/>
      <c r="G74" s="194"/>
      <c r="H74" s="194"/>
      <c r="I74" s="194"/>
      <c r="J74" s="194"/>
      <c r="K74" s="194"/>
      <c r="L74" s="194"/>
      <c r="M74" s="194"/>
      <c r="N74" s="194"/>
      <c r="O74" s="194"/>
      <c r="P74" s="194"/>
      <c r="Q74" s="194"/>
      <c r="R74" s="194"/>
      <c r="S74" s="194"/>
      <c r="V74" s="195"/>
      <c r="W74" s="194"/>
      <c r="X74" s="194"/>
      <c r="Y74" s="194"/>
      <c r="Z74" s="194"/>
      <c r="AA74" s="194"/>
      <c r="AB74" s="194"/>
      <c r="AC74" s="194"/>
      <c r="AD74" s="194"/>
      <c r="AE74" s="194"/>
      <c r="AF74" s="194"/>
      <c r="AG74" s="194"/>
      <c r="AH74" s="194"/>
      <c r="AI74" s="194"/>
      <c r="AJ74" s="194"/>
      <c r="AM74" s="195"/>
      <c r="AN74" s="194"/>
      <c r="AO74" s="194"/>
      <c r="AP74" s="194"/>
      <c r="AQ74" s="194"/>
      <c r="AR74" s="194"/>
      <c r="AS74" s="194"/>
      <c r="AT74" s="194"/>
      <c r="AU74" s="194"/>
      <c r="AV74" s="194"/>
      <c r="AW74" s="194"/>
      <c r="AX74" s="194"/>
      <c r="AY74" s="194"/>
      <c r="AZ74" s="194"/>
      <c r="BA74" s="194"/>
      <c r="BD74" s="195"/>
      <c r="BE74" s="194"/>
      <c r="BF74" s="194"/>
      <c r="BG74" s="194"/>
      <c r="BH74" s="194"/>
      <c r="BI74" s="194"/>
      <c r="BJ74" s="194"/>
      <c r="BK74" s="194"/>
      <c r="BL74" s="194"/>
      <c r="BM74" s="194"/>
      <c r="BN74" s="194"/>
      <c r="BO74" s="194"/>
      <c r="BP74" s="194"/>
      <c r="BQ74" s="194"/>
      <c r="BR74" s="194"/>
      <c r="BU74" s="195"/>
      <c r="BV74" s="194"/>
      <c r="BW74" s="194"/>
      <c r="BX74" s="194"/>
      <c r="BY74" s="194"/>
      <c r="BZ74" s="194"/>
      <c r="CA74" s="194"/>
      <c r="CB74" s="194"/>
      <c r="CC74" s="194"/>
      <c r="CD74" s="194"/>
      <c r="CE74" s="194"/>
      <c r="CF74" s="194"/>
      <c r="CG74" s="194"/>
      <c r="CH74" s="194"/>
      <c r="CI74" s="194"/>
      <c r="CJ74" s="104"/>
      <c r="CK74" s="104"/>
      <c r="CL74" s="195"/>
      <c r="CM74" s="194"/>
      <c r="CN74" s="194"/>
      <c r="CO74" s="194"/>
      <c r="CP74" s="194"/>
      <c r="CQ74" s="194"/>
      <c r="CR74" s="194"/>
      <c r="CS74" s="194"/>
      <c r="CT74" s="194"/>
      <c r="CU74" s="194"/>
      <c r="CV74" s="194"/>
      <c r="CW74" s="194"/>
      <c r="CX74" s="194"/>
      <c r="CY74" s="194"/>
      <c r="CZ74" s="194"/>
      <c r="DC74" s="195"/>
      <c r="DD74" s="194"/>
      <c r="DE74" s="194"/>
      <c r="DF74" s="194"/>
      <c r="DG74" s="194"/>
      <c r="DH74" s="194"/>
      <c r="DI74" s="194"/>
      <c r="DJ74" s="194"/>
      <c r="DK74" s="194"/>
      <c r="DL74" s="194"/>
      <c r="DM74" s="194"/>
      <c r="DN74" s="194"/>
      <c r="DO74" s="194"/>
      <c r="DP74" s="194"/>
      <c r="DQ74" s="194"/>
      <c r="DT74" s="195"/>
      <c r="DU74" s="194"/>
      <c r="DV74" s="194"/>
      <c r="DW74" s="194"/>
      <c r="DX74" s="194"/>
      <c r="DY74" s="194"/>
      <c r="DZ74" s="194"/>
      <c r="EA74" s="194"/>
      <c r="EB74" s="194"/>
      <c r="EC74" s="194"/>
      <c r="ED74" s="194"/>
      <c r="EE74" s="194"/>
      <c r="EF74" s="194"/>
      <c r="EG74" s="194"/>
      <c r="EH74" s="194"/>
      <c r="EI74" s="194"/>
      <c r="EJ74" s="194"/>
      <c r="EK74" s="104"/>
      <c r="EL74" s="104"/>
      <c r="EM74" s="195"/>
      <c r="EN74" s="194"/>
      <c r="EO74" s="194"/>
      <c r="EP74" s="194"/>
      <c r="EQ74" s="194"/>
      <c r="ER74" s="194"/>
      <c r="ES74" s="194"/>
      <c r="ET74" s="194"/>
      <c r="EU74" s="194"/>
      <c r="EV74" s="194"/>
      <c r="EW74" s="194"/>
      <c r="EX74" s="194"/>
      <c r="EY74" s="194"/>
      <c r="EZ74" s="194"/>
      <c r="FA74" s="194"/>
      <c r="FD74" s="195"/>
      <c r="FE74" s="194"/>
      <c r="FF74" s="194"/>
      <c r="FG74" s="194"/>
      <c r="FH74" s="194"/>
      <c r="FI74" s="194"/>
      <c r="FJ74" s="194"/>
      <c r="FK74" s="194"/>
      <c r="FL74" s="194"/>
      <c r="FM74" s="194"/>
      <c r="FN74" s="194"/>
      <c r="FO74" s="194"/>
      <c r="FP74" s="194"/>
      <c r="FQ74" s="194"/>
      <c r="FR74" s="194"/>
      <c r="FU74" s="195"/>
      <c r="FV74" s="194"/>
      <c r="FW74" s="194"/>
      <c r="FX74" s="194"/>
      <c r="FY74" s="194"/>
      <c r="FZ74" s="194"/>
      <c r="GA74" s="194"/>
      <c r="GB74" s="194"/>
      <c r="GC74" s="194"/>
      <c r="GD74" s="194"/>
      <c r="GE74" s="194"/>
      <c r="GF74" s="194"/>
      <c r="GG74" s="194"/>
      <c r="GH74" s="194"/>
      <c r="GI74" s="194"/>
      <c r="GL74" s="195"/>
      <c r="GM74" s="194"/>
      <c r="GN74" s="194"/>
      <c r="GO74" s="194"/>
      <c r="GP74" s="194"/>
      <c r="GQ74" s="194"/>
      <c r="GR74" s="194"/>
      <c r="GS74" s="194"/>
      <c r="GT74" s="194"/>
      <c r="GU74" s="194"/>
      <c r="GV74" s="194"/>
      <c r="GW74" s="194"/>
      <c r="GX74" s="194"/>
      <c r="GY74" s="194"/>
      <c r="GZ74" s="194"/>
      <c r="HC74" s="195"/>
      <c r="HD74" s="194"/>
      <c r="HE74" s="194"/>
      <c r="HF74" s="194"/>
      <c r="HG74" s="194"/>
      <c r="HH74" s="194"/>
      <c r="HI74" s="194"/>
      <c r="HJ74" s="194"/>
      <c r="HK74" s="194"/>
      <c r="HL74" s="194"/>
      <c r="HM74" s="194"/>
      <c r="HN74" s="194"/>
      <c r="HO74" s="194"/>
      <c r="HP74" s="194"/>
    </row>
    <row r="75" spans="1:241" ht="13.7" customHeight="1">
      <c r="B75" s="195"/>
      <c r="AU75" s="104"/>
      <c r="AV75" s="104"/>
      <c r="AW75" s="104"/>
      <c r="AX75" s="104"/>
      <c r="AY75" s="104"/>
      <c r="AZ75" s="104"/>
      <c r="BA75" s="104"/>
      <c r="CH75" s="104"/>
      <c r="CI75" s="104"/>
      <c r="CJ75" s="104"/>
      <c r="CK75" s="104"/>
      <c r="CL75" s="104"/>
      <c r="CM75" s="104"/>
      <c r="CN75" s="104"/>
      <c r="CT75" s="104"/>
      <c r="CU75" s="104"/>
      <c r="CV75" s="104"/>
      <c r="CW75" s="104"/>
      <c r="CX75" s="104"/>
      <c r="CY75" s="104"/>
      <c r="CZ75" s="104"/>
      <c r="EG75" s="104"/>
      <c r="EH75" s="104"/>
      <c r="EI75" s="104"/>
      <c r="EJ75" s="104"/>
      <c r="EK75" s="104"/>
      <c r="EL75" s="104"/>
      <c r="EM75" s="104"/>
      <c r="EN75" s="104"/>
      <c r="EO75" s="104"/>
      <c r="EU75" s="104"/>
      <c r="EV75" s="104"/>
      <c r="EW75" s="104"/>
      <c r="EX75" s="104"/>
      <c r="EY75" s="104"/>
      <c r="EZ75" s="104"/>
      <c r="FA75" s="104"/>
    </row>
    <row r="76" spans="1:241" ht="13.7" customHeight="1">
      <c r="B76" s="195"/>
      <c r="HL76" s="71"/>
    </row>
    <row r="77" spans="1:241" ht="13.7" customHeight="1">
      <c r="B77" s="195"/>
    </row>
    <row r="78" spans="1:241" ht="13.7" customHeight="1">
      <c r="B78" s="195"/>
      <c r="HL78" s="62"/>
    </row>
    <row r="79" spans="1:241" ht="13.7" customHeight="1">
      <c r="B79" s="195"/>
      <c r="HL79" s="64"/>
    </row>
    <row r="80" spans="1:241" ht="13.7" customHeight="1">
      <c r="B80" s="195"/>
      <c r="HL80" s="64"/>
    </row>
    <row r="81" spans="2:220" ht="13.7" customHeight="1">
      <c r="B81" s="195"/>
      <c r="HL81" s="64"/>
    </row>
    <row r="82" spans="2:220" ht="13.7" customHeight="1">
      <c r="B82" s="195"/>
      <c r="HL82" s="64"/>
    </row>
    <row r="83" spans="2:220" ht="13.7" customHeight="1">
      <c r="B83" s="195"/>
      <c r="HL83" s="64"/>
    </row>
    <row r="84" spans="2:220" ht="13.7" customHeight="1">
      <c r="B84" s="195"/>
      <c r="HL84" s="64"/>
    </row>
    <row r="85" spans="2:220" ht="13.7" customHeight="1">
      <c r="B85" s="195"/>
      <c r="HL85" s="64"/>
    </row>
    <row r="86" spans="2:220" ht="13.7" customHeight="1">
      <c r="B86" s="195"/>
      <c r="HL86" s="64"/>
    </row>
    <row r="87" spans="2:220" ht="13.7" customHeight="1">
      <c r="B87" s="195"/>
      <c r="HL87" s="64"/>
    </row>
    <row r="88" spans="2:220" ht="13.7" customHeight="1">
      <c r="B88" s="195"/>
    </row>
    <row r="89" spans="2:220" ht="13.7" customHeight="1">
      <c r="HL89" s="71"/>
    </row>
    <row r="91" spans="2:220" ht="13.7" customHeight="1">
      <c r="HL91" s="62"/>
    </row>
    <row r="92" spans="2:220" ht="13.7" customHeight="1">
      <c r="HL92" s="64"/>
    </row>
    <row r="93" spans="2:220" ht="13.7" customHeight="1">
      <c r="HL93" s="64"/>
    </row>
    <row r="94" spans="2:220" ht="13.7" customHeight="1">
      <c r="HL94" s="64"/>
    </row>
    <row r="95" spans="2:220" ht="13.7" customHeight="1">
      <c r="HL95" s="64"/>
    </row>
    <row r="96" spans="2:220" ht="13.7" customHeight="1">
      <c r="HL96" s="64"/>
    </row>
    <row r="97" spans="220:220" ht="13.7" customHeight="1">
      <c r="HL97" s="64"/>
    </row>
    <row r="98" spans="220:220" ht="13.7" customHeight="1">
      <c r="HL98" s="64"/>
    </row>
    <row r="99" spans="220:220" ht="13.7" customHeight="1">
      <c r="HL99" s="64"/>
    </row>
    <row r="100" spans="220:220" ht="13.7" customHeight="1">
      <c r="HL100" s="64"/>
    </row>
    <row r="102" spans="220:220" ht="13.7" customHeight="1">
      <c r="HL102" s="71"/>
    </row>
    <row r="104" spans="220:220" ht="13.7" customHeight="1">
      <c r="HL104" s="62"/>
    </row>
    <row r="105" spans="220:220" ht="13.7" customHeight="1">
      <c r="HL105" s="64"/>
    </row>
    <row r="106" spans="220:220" ht="13.7" customHeight="1">
      <c r="HL106" s="64"/>
    </row>
    <row r="107" spans="220:220" ht="13.7" customHeight="1">
      <c r="HL107" s="64"/>
    </row>
    <row r="108" spans="220:220" ht="13.7" customHeight="1">
      <c r="HL108" s="64"/>
    </row>
    <row r="109" spans="220:220" ht="13.7" customHeight="1">
      <c r="HL109" s="64"/>
    </row>
    <row r="110" spans="220:220" ht="13.7" customHeight="1">
      <c r="HL110" s="64"/>
    </row>
    <row r="111" spans="220:220" ht="13.7" customHeight="1">
      <c r="HL111" s="64"/>
    </row>
    <row r="112" spans="220:220" ht="13.7" customHeight="1">
      <c r="HL112" s="64"/>
    </row>
    <row r="113" spans="220:220" ht="13.7" customHeight="1">
      <c r="HL113" s="64"/>
    </row>
    <row r="115" spans="220:220" ht="13.7" customHeight="1">
      <c r="HL115" s="71"/>
    </row>
    <row r="117" spans="220:220" ht="13.7" customHeight="1">
      <c r="HL117" s="62"/>
    </row>
    <row r="118" spans="220:220" ht="13.7" customHeight="1">
      <c r="HL118" s="64"/>
    </row>
    <row r="119" spans="220:220" ht="13.7" customHeight="1">
      <c r="HL119" s="64"/>
    </row>
    <row r="120" spans="220:220" ht="13.7" customHeight="1">
      <c r="HL120" s="64"/>
    </row>
    <row r="121" spans="220:220" ht="13.7" customHeight="1">
      <c r="HL121" s="64"/>
    </row>
    <row r="122" spans="220:220" ht="13.7" customHeight="1">
      <c r="HL122" s="64"/>
    </row>
    <row r="123" spans="220:220" ht="13.7" customHeight="1">
      <c r="HL123" s="64"/>
    </row>
    <row r="124" spans="220:220" ht="13.7" customHeight="1">
      <c r="HL124" s="64"/>
    </row>
    <row r="125" spans="220:220" ht="13.7" customHeight="1">
      <c r="HL125" s="64"/>
    </row>
    <row r="126" spans="220:220" ht="13.7" customHeight="1">
      <c r="HL126" s="64"/>
    </row>
    <row r="128" spans="220:220" ht="13.7" customHeight="1">
      <c r="HL128" s="71"/>
    </row>
    <row r="130" spans="220:220" ht="13.7" customHeight="1">
      <c r="HL130" s="62"/>
    </row>
    <row r="131" spans="220:220" ht="13.7" customHeight="1">
      <c r="HL131" s="64"/>
    </row>
    <row r="132" spans="220:220" ht="13.7" customHeight="1">
      <c r="HL132" s="64"/>
    </row>
    <row r="133" spans="220:220" ht="13.7" customHeight="1">
      <c r="HL133" s="64"/>
    </row>
    <row r="134" spans="220:220" ht="13.7" customHeight="1">
      <c r="HL134" s="64"/>
    </row>
    <row r="135" spans="220:220" ht="13.7" customHeight="1">
      <c r="HL135" s="64"/>
    </row>
    <row r="136" spans="220:220" ht="13.7" customHeight="1">
      <c r="HL136" s="64"/>
    </row>
    <row r="137" spans="220:220" ht="13.7" customHeight="1">
      <c r="HL137" s="64"/>
    </row>
    <row r="138" spans="220:220" ht="13.7" customHeight="1">
      <c r="HL138" s="64"/>
    </row>
    <row r="139" spans="220:220" ht="13.7" customHeight="1">
      <c r="HL139" s="64"/>
    </row>
  </sheetData>
  <dataValidations disablePrompts="1" count="1">
    <dataValidation type="custom" operator="greaterThanOrEqual" allowBlank="1" showInputMessage="1" showErrorMessage="1" errorTitle="Asset base" error="Must be a number" promptTitle="Assets" prompt="Enter a value in dollars" sqref="CB18:CC27 CB31:CC31" xr:uid="{00000000-0002-0000-0200-000000000000}">
      <formula1>ISNUMBER(CB18)</formula1>
    </dataValidation>
  </dataValidations>
  <hyperlinks>
    <hyperlink ref="A2" location="Index!A1" display="Index"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sheetPr>
  <dimension ref="A1:GW121"/>
  <sheetViews>
    <sheetView workbookViewId="0"/>
  </sheetViews>
  <sheetFormatPr defaultColWidth="8.85546875" defaultRowHeight="13.7" customHeight="1"/>
  <cols>
    <col min="1" max="1" width="10.140625" style="23" bestFit="1" customWidth="1"/>
    <col min="2" max="4" width="12.42578125" style="23" customWidth="1"/>
    <col min="5" max="8" width="21.42578125" style="23" customWidth="1"/>
    <col min="9" max="15" width="8.85546875" style="23" customWidth="1"/>
    <col min="16" max="16" width="8.85546875" style="23" bestFit="1" customWidth="1"/>
    <col min="17" max="17" width="8.85546875" style="23" customWidth="1"/>
    <col min="18" max="31" width="10" style="23" customWidth="1"/>
    <col min="32" max="32" width="10" style="23" bestFit="1" customWidth="1"/>
    <col min="33" max="33" width="10" style="23" customWidth="1"/>
    <col min="34" max="47" width="8.85546875" style="23" customWidth="1"/>
    <col min="48" max="48" width="8.85546875" style="23" bestFit="1" customWidth="1"/>
    <col min="49" max="61" width="8.85546875" style="23" customWidth="1"/>
    <col min="62" max="63" width="10" style="23" customWidth="1"/>
    <col min="64" max="64" width="10" style="23" bestFit="1" customWidth="1"/>
    <col min="65" max="79" width="10" style="23" customWidth="1"/>
    <col min="80" max="80" width="10" style="23" bestFit="1" customWidth="1"/>
    <col min="81" max="81" width="10" style="23" customWidth="1"/>
    <col min="82" max="95" width="8.85546875" style="23" customWidth="1"/>
    <col min="96" max="96" width="8.85546875" style="23" bestFit="1" customWidth="1"/>
    <col min="97" max="111" width="8.85546875" style="23" customWidth="1"/>
    <col min="112" max="112" width="8.85546875" style="23" bestFit="1" customWidth="1"/>
    <col min="113" max="127" width="8.85546875" style="23" customWidth="1"/>
    <col min="128" max="128" width="8.85546875" style="23" bestFit="1" customWidth="1"/>
    <col min="129" max="143" width="8.85546875" style="23" customWidth="1"/>
    <col min="144" max="144" width="8.85546875" style="23" bestFit="1" customWidth="1"/>
    <col min="145" max="159" width="8.85546875" style="23" customWidth="1"/>
    <col min="160" max="160" width="8.85546875" style="23" bestFit="1" customWidth="1"/>
    <col min="161" max="175" width="8.85546875" style="23" customWidth="1"/>
    <col min="176" max="176" width="8.85546875" style="23" bestFit="1" customWidth="1"/>
    <col min="177" max="191" width="8.85546875" style="23" customWidth="1"/>
    <col min="192" max="192" width="8.85546875" style="23" bestFit="1" customWidth="1"/>
    <col min="193" max="196" width="8.85546875" style="23" customWidth="1"/>
    <col min="197" max="200" width="9.42578125" style="23" customWidth="1"/>
    <col min="201" max="201" width="8.85546875" style="23" customWidth="1"/>
    <col min="202" max="202" width="9.42578125" style="23" customWidth="1"/>
    <col min="203" max="203" width="8.85546875" style="23" customWidth="1"/>
    <col min="204" max="204" width="9.42578125" style="23" customWidth="1"/>
    <col min="205" max="205" width="8.85546875" style="23" customWidth="1"/>
    <col min="206" max="207" width="9.42578125" style="23" customWidth="1"/>
    <col min="208" max="209" width="8.85546875" style="23" bestFit="1" customWidth="1"/>
    <col min="210" max="228" width="9.140625" style="23" bestFit="1" customWidth="1"/>
    <col min="229" max="16384" width="8.85546875" style="23"/>
  </cols>
  <sheetData>
    <row r="1" spans="1:205" s="7" customFormat="1" ht="15.6" customHeight="1">
      <c r="A1" s="1" t="s">
        <v>0</v>
      </c>
    </row>
    <row r="2" spans="1:205" s="16" customFormat="1" ht="13.7" customHeight="1">
      <c r="A2" s="85" t="s">
        <v>5</v>
      </c>
      <c r="E2" s="84"/>
    </row>
    <row r="3" spans="1:205" s="9" customFormat="1" ht="13.7" customHeight="1" thickBot="1">
      <c r="A3" s="8" t="s">
        <v>18</v>
      </c>
    </row>
    <row r="4" spans="1:205" s="9" customFormat="1" ht="13.7" customHeight="1"/>
    <row r="5" spans="1:205" s="4" customFormat="1" ht="13.7" customHeight="1">
      <c r="A5" s="2" t="s">
        <v>535</v>
      </c>
      <c r="D5" s="3"/>
      <c r="E5" s="3"/>
      <c r="F5" s="3"/>
      <c r="G5" s="5"/>
      <c r="H5" s="6"/>
      <c r="I5" s="6"/>
      <c r="J5" s="5"/>
      <c r="K5" s="5"/>
      <c r="L5" s="5"/>
      <c r="M5" s="5"/>
      <c r="N5" s="5"/>
      <c r="O5" s="5"/>
      <c r="P5" s="5"/>
      <c r="Q5" s="5"/>
      <c r="R5" s="5"/>
      <c r="S5" s="6"/>
      <c r="T5" s="6"/>
      <c r="U5" s="5"/>
      <c r="V5" s="5"/>
      <c r="W5" s="5"/>
      <c r="X5" s="5"/>
      <c r="Y5" s="5"/>
    </row>
    <row r="6" spans="1:205" ht="13.7" customHeight="1">
      <c r="A6" s="62"/>
    </row>
    <row r="7" spans="1:205" s="21" customFormat="1" ht="13.7" customHeight="1">
      <c r="A7" s="92" t="s">
        <v>284</v>
      </c>
      <c r="B7" s="23" t="s">
        <v>536</v>
      </c>
      <c r="C7" s="117"/>
    </row>
    <row r="8" spans="1:205" s="21" customFormat="1" ht="13.7" customHeight="1">
      <c r="B8" s="157"/>
      <c r="C8" s="117"/>
      <c r="G8" s="191"/>
    </row>
    <row r="9" spans="1:205" s="21" customFormat="1" ht="13.7" customHeight="1">
      <c r="A9" s="92"/>
      <c r="C9" s="117"/>
    </row>
    <row r="10" spans="1:205" s="249" customFormat="1" ht="13.7" customHeight="1">
      <c r="A10" s="249" t="s">
        <v>233</v>
      </c>
      <c r="B10" s="249" t="s">
        <v>537</v>
      </c>
      <c r="E10" s="296"/>
      <c r="F10" s="296"/>
      <c r="GW10" s="297"/>
    </row>
    <row r="11" spans="1:205" s="252" customFormat="1" ht="13.7" customHeight="1">
      <c r="A11" s="252" t="s">
        <v>234</v>
      </c>
      <c r="B11" s="125">
        <v>4.0254680682733884E-2</v>
      </c>
      <c r="F11" s="298"/>
      <c r="G11" s="298"/>
      <c r="H11" s="302"/>
      <c r="GW11" s="299"/>
    </row>
    <row r="12" spans="1:205" s="252" customFormat="1" ht="13.7" customHeight="1">
      <c r="A12" s="252" t="s">
        <v>236</v>
      </c>
      <c r="B12" s="125">
        <v>1.3109877602309038E-2</v>
      </c>
      <c r="F12" s="298"/>
      <c r="G12" s="298"/>
      <c r="GW12" s="299"/>
    </row>
    <row r="13" spans="1:205" s="252" customFormat="1" ht="13.7" customHeight="1">
      <c r="A13" s="252" t="s">
        <v>238</v>
      </c>
      <c r="B13" s="125">
        <v>2.7414684430648335E-2</v>
      </c>
      <c r="F13" s="298"/>
      <c r="G13" s="298"/>
      <c r="GW13" s="299"/>
    </row>
    <row r="14" spans="1:205" s="252" customFormat="1" ht="13.7" customHeight="1">
      <c r="A14" s="252" t="s">
        <v>240</v>
      </c>
      <c r="B14" s="125">
        <v>3.1613209927882434E-2</v>
      </c>
      <c r="F14" s="298"/>
      <c r="G14" s="298"/>
    </row>
    <row r="15" spans="1:205" s="252" customFormat="1" ht="13.7" customHeight="1">
      <c r="A15" s="252" t="s">
        <v>242</v>
      </c>
      <c r="B15" s="125">
        <v>3.0074949649734731E-2</v>
      </c>
      <c r="F15" s="298"/>
      <c r="G15" s="298"/>
      <c r="GW15" s="300"/>
    </row>
    <row r="16" spans="1:205" s="252" customFormat="1" ht="13.7" customHeight="1">
      <c r="A16" s="252" t="s">
        <v>244</v>
      </c>
      <c r="B16" s="125">
        <v>0.11409173480487066</v>
      </c>
      <c r="F16" s="298"/>
      <c r="G16" s="298"/>
    </row>
    <row r="17" spans="1:205" s="252" customFormat="1" ht="13.7" customHeight="1">
      <c r="A17" s="252" t="s">
        <v>246</v>
      </c>
      <c r="B17" s="125">
        <v>5.1723504703193722E-2</v>
      </c>
      <c r="F17" s="298"/>
      <c r="G17" s="298"/>
      <c r="GW17" s="301"/>
    </row>
    <row r="18" spans="1:205" s="252" customFormat="1" ht="13.7" customHeight="1">
      <c r="A18" s="252" t="s">
        <v>248</v>
      </c>
      <c r="B18" s="125">
        <v>4.6760200536967427E-3</v>
      </c>
      <c r="F18" s="298"/>
      <c r="G18" s="298"/>
      <c r="GW18" s="299"/>
    </row>
    <row r="19" spans="1:205" s="252" customFormat="1" ht="13.7" customHeight="1">
      <c r="A19" s="252" t="s">
        <v>250</v>
      </c>
      <c r="B19" s="125">
        <v>6.2356581317742684E-3</v>
      </c>
      <c r="F19" s="298"/>
      <c r="G19" s="298"/>
      <c r="GW19" s="299"/>
    </row>
    <row r="20" spans="1:205" s="252" customFormat="1" ht="13.7" customHeight="1">
      <c r="A20" s="252" t="s">
        <v>252</v>
      </c>
      <c r="B20" s="125">
        <v>9.6085586403553986E-3</v>
      </c>
      <c r="F20" s="298"/>
      <c r="G20" s="298"/>
      <c r="GW20" s="299"/>
    </row>
    <row r="21" spans="1:205" s="252" customFormat="1" ht="13.7" customHeight="1">
      <c r="A21" s="252" t="s">
        <v>254</v>
      </c>
      <c r="B21" s="125">
        <v>-1.3144309419814208E-2</v>
      </c>
      <c r="F21" s="298"/>
      <c r="G21" s="298"/>
      <c r="GW21" s="299"/>
    </row>
    <row r="22" spans="1:205" s="252" customFormat="1" ht="13.7" customHeight="1">
      <c r="A22" s="252" t="s">
        <v>256</v>
      </c>
      <c r="B22" s="125">
        <v>-3.1170273207352002E-3</v>
      </c>
      <c r="F22" s="298"/>
      <c r="G22" s="298"/>
      <c r="GW22" s="299"/>
    </row>
    <row r="23" spans="1:205" s="252" customFormat="1" ht="13.7" customHeight="1">
      <c r="A23" s="252" t="s">
        <v>258</v>
      </c>
      <c r="B23" s="125">
        <v>-4.3877584689734142E-3</v>
      </c>
      <c r="F23" s="298"/>
      <c r="G23" s="298"/>
      <c r="GW23" s="299"/>
    </row>
    <row r="24" spans="1:205" ht="13.7" customHeight="1">
      <c r="GW24" s="64"/>
    </row>
    <row r="25" spans="1:205" s="4" customFormat="1" ht="13.7" customHeight="1">
      <c r="A25" s="2" t="s">
        <v>538</v>
      </c>
      <c r="D25" s="3"/>
      <c r="E25" s="3"/>
      <c r="F25" s="3"/>
      <c r="G25" s="5"/>
      <c r="H25" s="6"/>
      <c r="I25" s="6"/>
      <c r="J25" s="5"/>
      <c r="K25" s="5"/>
      <c r="L25" s="5"/>
      <c r="M25" s="5"/>
      <c r="N25" s="5"/>
      <c r="O25" s="5"/>
      <c r="P25" s="5"/>
      <c r="Q25" s="5"/>
      <c r="R25" s="5"/>
      <c r="S25" s="6"/>
      <c r="T25" s="6"/>
      <c r="U25" s="5"/>
      <c r="V25" s="5"/>
      <c r="W25" s="5"/>
      <c r="X25" s="5"/>
      <c r="Y25" s="5"/>
    </row>
    <row r="26" spans="1:205" ht="13.7" customHeight="1">
      <c r="A26" s="62"/>
    </row>
    <row r="27" spans="1:205" s="21" customFormat="1" ht="13.7" customHeight="1">
      <c r="A27" s="92" t="s">
        <v>284</v>
      </c>
      <c r="B27" s="23" t="s">
        <v>536</v>
      </c>
      <c r="C27" s="117"/>
    </row>
    <row r="28" spans="1:205" s="21" customFormat="1" ht="13.7" customHeight="1">
      <c r="B28" s="157"/>
      <c r="C28" s="117"/>
    </row>
    <row r="29" spans="1:205" s="21" customFormat="1" ht="13.7" customHeight="1">
      <c r="A29" s="92"/>
      <c r="C29" s="117"/>
    </row>
    <row r="30" spans="1:205" s="249" customFormat="1" ht="13.7" customHeight="1">
      <c r="A30" s="249" t="s">
        <v>233</v>
      </c>
      <c r="B30" s="249" t="s">
        <v>537</v>
      </c>
      <c r="GW30" s="297"/>
    </row>
    <row r="31" spans="1:205" s="252" customFormat="1" ht="13.7" customHeight="1">
      <c r="A31" s="252" t="s">
        <v>234</v>
      </c>
      <c r="B31" s="125">
        <v>-4.5981961492009615E-2</v>
      </c>
      <c r="GW31" s="299"/>
    </row>
    <row r="32" spans="1:205" s="252" customFormat="1" ht="13.7" customHeight="1">
      <c r="A32" s="252" t="s">
        <v>236</v>
      </c>
      <c r="B32" s="125">
        <v>-6.3106428753789037E-2</v>
      </c>
      <c r="GW32" s="299"/>
    </row>
    <row r="33" spans="1:205" s="252" customFormat="1" ht="13.7" customHeight="1">
      <c r="A33" s="252" t="s">
        <v>254</v>
      </c>
      <c r="B33" s="125">
        <v>4.9923003451804865E-2</v>
      </c>
      <c r="GW33" s="299"/>
    </row>
    <row r="34" spans="1:205" s="252" customFormat="1" ht="13.7" customHeight="1">
      <c r="A34" s="252" t="s">
        <v>238</v>
      </c>
      <c r="B34" s="125">
        <v>5.2127786633324458E-3</v>
      </c>
    </row>
    <row r="35" spans="1:205" s="252" customFormat="1" ht="13.7" customHeight="1">
      <c r="A35" s="252" t="s">
        <v>240</v>
      </c>
      <c r="B35" s="125">
        <v>-6.3106428753789037E-2</v>
      </c>
      <c r="GW35" s="300"/>
    </row>
    <row r="36" spans="1:205" s="252" customFormat="1" ht="13.7" customHeight="1">
      <c r="A36" s="252" t="s">
        <v>242</v>
      </c>
      <c r="B36" s="125">
        <v>-6.3106428753789037E-2</v>
      </c>
    </row>
    <row r="37" spans="1:205" s="252" customFormat="1" ht="13.7" customHeight="1">
      <c r="A37" s="252" t="s">
        <v>244</v>
      </c>
      <c r="B37" s="125">
        <v>-6.3106428753789037E-2</v>
      </c>
      <c r="GW37" s="301"/>
    </row>
    <row r="38" spans="1:205" s="252" customFormat="1" ht="13.7" customHeight="1">
      <c r="A38" s="252" t="s">
        <v>246</v>
      </c>
      <c r="B38" s="125">
        <v>-6.3106428753789037E-2</v>
      </c>
      <c r="GW38" s="299"/>
    </row>
    <row r="39" spans="1:205" s="252" customFormat="1" ht="13.7" customHeight="1">
      <c r="A39" s="252" t="s">
        <v>248</v>
      </c>
      <c r="B39" s="125">
        <v>-3.0979964125175313E-2</v>
      </c>
      <c r="GW39" s="299"/>
    </row>
    <row r="40" spans="1:205" s="252" customFormat="1" ht="13.7" customHeight="1">
      <c r="A40" s="252" t="s">
        <v>250</v>
      </c>
      <c r="B40" s="125">
        <v>4.9625558380688189E-2</v>
      </c>
      <c r="GW40" s="299"/>
    </row>
    <row r="41" spans="1:205" s="252" customFormat="1" ht="13.7" customHeight="1">
      <c r="A41" s="252" t="s">
        <v>252</v>
      </c>
      <c r="B41" s="125">
        <v>-6.3106428753789037E-2</v>
      </c>
      <c r="GW41" s="299"/>
    </row>
    <row r="42" spans="1:205" s="252" customFormat="1" ht="13.7" customHeight="1">
      <c r="A42" s="252" t="s">
        <v>256</v>
      </c>
      <c r="B42" s="125">
        <v>-6.3106428753789037E-2</v>
      </c>
      <c r="GW42" s="299"/>
    </row>
    <row r="43" spans="1:205" s="252" customFormat="1" ht="13.7" customHeight="1">
      <c r="A43" s="252" t="s">
        <v>258</v>
      </c>
      <c r="B43" s="125">
        <v>-7.6922861908056486E-3</v>
      </c>
      <c r="GW43" s="299"/>
    </row>
    <row r="44" spans="1:205" ht="13.7" customHeight="1">
      <c r="GW44" s="64"/>
    </row>
    <row r="45" spans="1:205" s="4" customFormat="1" ht="13.7" customHeight="1">
      <c r="A45" s="222"/>
      <c r="B45" s="223"/>
      <c r="C45" s="223"/>
      <c r="D45" s="224"/>
      <c r="E45" s="224"/>
      <c r="F45" s="224"/>
      <c r="G45" s="225"/>
      <c r="H45" s="226"/>
      <c r="I45" s="226"/>
      <c r="J45" s="5"/>
      <c r="K45" s="5"/>
      <c r="L45" s="5"/>
      <c r="M45" s="5"/>
      <c r="N45" s="5"/>
      <c r="O45" s="5"/>
      <c r="P45" s="5"/>
      <c r="Q45" s="5"/>
      <c r="R45" s="5"/>
      <c r="S45" s="6"/>
      <c r="T45" s="6"/>
      <c r="U45" s="5"/>
      <c r="V45" s="5"/>
      <c r="W45" s="5"/>
      <c r="X45" s="5"/>
      <c r="Y45" s="5"/>
    </row>
    <row r="46" spans="1:205" ht="13.7" customHeight="1">
      <c r="A46" s="62"/>
    </row>
    <row r="47" spans="1:205" s="21" customFormat="1" ht="13.7" customHeight="1">
      <c r="A47" s="92"/>
      <c r="B47" s="23"/>
      <c r="C47" s="232"/>
    </row>
    <row r="48" spans="1:205" s="21" customFormat="1" ht="13.7" customHeight="1">
      <c r="B48" s="233"/>
      <c r="C48" s="232"/>
    </row>
    <row r="49" spans="1:205" s="21" customFormat="1" ht="13.7" customHeight="1">
      <c r="A49" s="92"/>
      <c r="C49" s="232"/>
    </row>
    <row r="50" spans="1:205" ht="13.7" customHeight="1">
      <c r="A50" s="62"/>
      <c r="E50" s="24"/>
    </row>
    <row r="51" spans="1:205" s="24" customFormat="1" ht="13.7" customHeight="1">
      <c r="GW51" s="124"/>
    </row>
    <row r="52" spans="1:205" ht="13.7" customHeight="1">
      <c r="B52" s="201"/>
      <c r="C52" s="201"/>
      <c r="D52" s="201"/>
      <c r="E52" s="201"/>
      <c r="F52" s="201"/>
      <c r="G52" s="201"/>
      <c r="H52" s="201"/>
      <c r="GW52" s="64"/>
    </row>
    <row r="53" spans="1:205" ht="13.7" customHeight="1">
      <c r="B53" s="201"/>
      <c r="C53" s="201"/>
      <c r="D53" s="201"/>
      <c r="E53" s="201"/>
      <c r="F53" s="201"/>
      <c r="G53" s="201"/>
      <c r="H53" s="201"/>
      <c r="GW53" s="64"/>
    </row>
    <row r="54" spans="1:205" ht="13.7" customHeight="1">
      <c r="B54" s="201"/>
      <c r="C54" s="201"/>
      <c r="D54" s="201"/>
      <c r="E54" s="201"/>
      <c r="F54" s="201"/>
      <c r="G54" s="201"/>
      <c r="H54" s="201"/>
      <c r="GW54" s="64"/>
    </row>
    <row r="55" spans="1:205" ht="13.7" customHeight="1">
      <c r="B55" s="201"/>
      <c r="C55" s="201"/>
      <c r="D55" s="201"/>
      <c r="E55" s="201"/>
      <c r="F55" s="201"/>
      <c r="G55" s="201"/>
      <c r="H55" s="201"/>
    </row>
    <row r="56" spans="1:205" ht="13.7" customHeight="1">
      <c r="B56" s="201"/>
      <c r="C56" s="201"/>
      <c r="D56" s="201"/>
      <c r="E56" s="201"/>
      <c r="F56" s="201"/>
      <c r="G56" s="201"/>
      <c r="H56" s="201"/>
      <c r="GW56" s="71"/>
    </row>
    <row r="57" spans="1:205" ht="13.7" customHeight="1">
      <c r="B57" s="201"/>
      <c r="C57" s="201"/>
      <c r="D57" s="201"/>
      <c r="E57" s="201"/>
      <c r="F57" s="201"/>
      <c r="G57" s="201"/>
      <c r="H57" s="201"/>
    </row>
    <row r="58" spans="1:205" ht="13.7" customHeight="1">
      <c r="B58" s="201"/>
      <c r="C58" s="201"/>
      <c r="D58" s="201"/>
      <c r="E58" s="201"/>
      <c r="F58" s="201"/>
      <c r="G58" s="201"/>
      <c r="H58" s="201"/>
      <c r="GW58" s="62"/>
    </row>
    <row r="59" spans="1:205" ht="13.7" customHeight="1">
      <c r="B59" s="201"/>
      <c r="C59" s="201"/>
      <c r="D59" s="201"/>
      <c r="E59" s="201"/>
      <c r="F59" s="201"/>
      <c r="G59" s="201"/>
      <c r="H59" s="201"/>
      <c r="GW59" s="64"/>
    </row>
    <row r="60" spans="1:205" ht="13.7" customHeight="1">
      <c r="B60" s="201"/>
      <c r="C60" s="201"/>
      <c r="D60" s="201"/>
      <c r="E60" s="201"/>
      <c r="F60" s="201"/>
      <c r="G60" s="201"/>
      <c r="H60" s="201"/>
      <c r="GW60" s="64"/>
    </row>
    <row r="61" spans="1:205" ht="13.7" customHeight="1">
      <c r="B61" s="201"/>
      <c r="C61" s="201"/>
      <c r="D61" s="201"/>
      <c r="E61" s="201"/>
      <c r="F61" s="201"/>
      <c r="G61" s="201"/>
      <c r="H61" s="201"/>
      <c r="GW61" s="64"/>
    </row>
    <row r="62" spans="1:205" ht="13.7" customHeight="1">
      <c r="B62" s="201"/>
      <c r="C62" s="201"/>
      <c r="D62" s="201"/>
      <c r="E62" s="201"/>
      <c r="F62" s="201"/>
      <c r="G62" s="201"/>
      <c r="H62" s="201"/>
      <c r="GW62" s="64"/>
    </row>
    <row r="63" spans="1:205" ht="13.7" customHeight="1">
      <c r="B63" s="201"/>
      <c r="C63" s="201"/>
      <c r="D63" s="201"/>
      <c r="E63" s="201"/>
      <c r="F63" s="201"/>
      <c r="G63" s="201"/>
      <c r="H63" s="201"/>
      <c r="GW63" s="64"/>
    </row>
    <row r="64" spans="1:205" ht="13.7" customHeight="1">
      <c r="B64" s="201"/>
      <c r="C64" s="201"/>
      <c r="D64" s="201"/>
      <c r="E64" s="201"/>
      <c r="F64" s="201"/>
      <c r="G64" s="201"/>
      <c r="H64" s="201"/>
      <c r="GW64" s="64"/>
    </row>
    <row r="65" spans="1:205" ht="13.7" customHeight="1">
      <c r="GW65" s="64"/>
    </row>
    <row r="66" spans="1:205" s="4" customFormat="1" ht="13.7" customHeight="1">
      <c r="A66" s="227" t="s">
        <v>227</v>
      </c>
      <c r="B66" s="228"/>
      <c r="C66" s="229"/>
      <c r="D66" s="229"/>
      <c r="E66" s="229"/>
      <c r="F66" s="229"/>
      <c r="G66" s="230"/>
      <c r="H66" s="231"/>
      <c r="I66" s="231"/>
      <c r="J66" s="5"/>
      <c r="K66" s="5"/>
      <c r="L66" s="5"/>
      <c r="M66" s="5"/>
      <c r="N66" s="5"/>
      <c r="O66" s="5"/>
      <c r="P66" s="5"/>
      <c r="Q66" s="5"/>
      <c r="R66" s="5"/>
      <c r="S66" s="6"/>
      <c r="T66" s="6"/>
      <c r="U66" s="5"/>
      <c r="V66" s="5"/>
      <c r="W66" s="5"/>
      <c r="X66" s="5"/>
      <c r="Y66" s="5"/>
    </row>
    <row r="67" spans="1:205" ht="13.7" customHeight="1">
      <c r="BV67" s="65"/>
      <c r="DO67" s="63"/>
      <c r="GC67" s="65"/>
      <c r="GD67" s="65"/>
      <c r="GE67" s="65"/>
      <c r="GF67" s="65"/>
      <c r="GG67" s="65"/>
      <c r="GH67" s="65"/>
      <c r="GI67" s="65"/>
      <c r="GJ67" s="65"/>
      <c r="GK67" s="65"/>
      <c r="GL67" s="65"/>
      <c r="GM67" s="65"/>
      <c r="GN67" s="65"/>
      <c r="GW67" s="64"/>
    </row>
    <row r="68" spans="1:205" ht="13.7" customHeight="1">
      <c r="GW68" s="64"/>
    </row>
    <row r="69" spans="1:205" ht="13.7" customHeight="1">
      <c r="GW69" s="64"/>
    </row>
    <row r="71" spans="1:205" ht="13.7" customHeight="1">
      <c r="GW71" s="71"/>
    </row>
    <row r="73" spans="1:205" ht="13.7" customHeight="1">
      <c r="GW73" s="62"/>
    </row>
    <row r="74" spans="1:205" ht="13.7" customHeight="1">
      <c r="GW74" s="64"/>
    </row>
    <row r="75" spans="1:205" ht="13.7" customHeight="1">
      <c r="GW75" s="64"/>
    </row>
    <row r="76" spans="1:205" ht="13.7" customHeight="1">
      <c r="GW76" s="64"/>
    </row>
    <row r="77" spans="1:205" ht="13.7" customHeight="1">
      <c r="GW77" s="64"/>
    </row>
    <row r="78" spans="1:205" ht="13.7" customHeight="1">
      <c r="GW78" s="64"/>
    </row>
    <row r="79" spans="1:205" ht="13.7" customHeight="1">
      <c r="GW79" s="64"/>
    </row>
    <row r="80" spans="1:205" ht="13.7" customHeight="1">
      <c r="GW80" s="64"/>
    </row>
    <row r="81" spans="205:205" ht="13.7" customHeight="1">
      <c r="GW81" s="64"/>
    </row>
    <row r="82" spans="205:205" ht="13.7" customHeight="1">
      <c r="GW82" s="64"/>
    </row>
    <row r="84" spans="205:205" ht="13.7" customHeight="1">
      <c r="GW84" s="71"/>
    </row>
    <row r="86" spans="205:205" ht="13.7" customHeight="1">
      <c r="GW86" s="62"/>
    </row>
    <row r="87" spans="205:205" ht="13.7" customHeight="1">
      <c r="GW87" s="64"/>
    </row>
    <row r="88" spans="205:205" ht="13.7" customHeight="1">
      <c r="GW88" s="64"/>
    </row>
    <row r="89" spans="205:205" ht="13.7" customHeight="1">
      <c r="GW89" s="64"/>
    </row>
    <row r="90" spans="205:205" ht="13.7" customHeight="1">
      <c r="GW90" s="64"/>
    </row>
    <row r="91" spans="205:205" ht="13.7" customHeight="1">
      <c r="GW91" s="64"/>
    </row>
    <row r="92" spans="205:205" ht="13.7" customHeight="1">
      <c r="GW92" s="64"/>
    </row>
    <row r="93" spans="205:205" ht="13.7" customHeight="1">
      <c r="GW93" s="64"/>
    </row>
    <row r="94" spans="205:205" ht="13.7" customHeight="1">
      <c r="GW94" s="64"/>
    </row>
    <row r="95" spans="205:205" ht="13.7" customHeight="1">
      <c r="GW95" s="64"/>
    </row>
    <row r="97" spans="205:205" ht="13.7" customHeight="1">
      <c r="GW97" s="71"/>
    </row>
    <row r="99" spans="205:205" ht="13.7" customHeight="1">
      <c r="GW99" s="62"/>
    </row>
    <row r="100" spans="205:205" ht="13.7" customHeight="1">
      <c r="GW100" s="64"/>
    </row>
    <row r="101" spans="205:205" ht="13.7" customHeight="1">
      <c r="GW101" s="64"/>
    </row>
    <row r="102" spans="205:205" ht="13.7" customHeight="1">
      <c r="GW102" s="64"/>
    </row>
    <row r="103" spans="205:205" ht="13.7" customHeight="1">
      <c r="GW103" s="64"/>
    </row>
    <row r="104" spans="205:205" ht="13.7" customHeight="1">
      <c r="GW104" s="64"/>
    </row>
    <row r="105" spans="205:205" ht="13.7" customHeight="1">
      <c r="GW105" s="64"/>
    </row>
    <row r="106" spans="205:205" ht="13.7" customHeight="1">
      <c r="GW106" s="64"/>
    </row>
    <row r="107" spans="205:205" ht="13.7" customHeight="1">
      <c r="GW107" s="64"/>
    </row>
    <row r="108" spans="205:205" ht="13.7" customHeight="1">
      <c r="GW108" s="64"/>
    </row>
    <row r="110" spans="205:205" ht="13.7" customHeight="1">
      <c r="GW110" s="71"/>
    </row>
    <row r="112" spans="205:205" ht="13.7" customHeight="1">
      <c r="GW112" s="62"/>
    </row>
    <row r="113" spans="205:205" ht="13.7" customHeight="1">
      <c r="GW113" s="64"/>
    </row>
    <row r="114" spans="205:205" ht="13.7" customHeight="1">
      <c r="GW114" s="64"/>
    </row>
    <row r="115" spans="205:205" ht="13.7" customHeight="1">
      <c r="GW115" s="64"/>
    </row>
    <row r="116" spans="205:205" ht="13.7" customHeight="1">
      <c r="GW116" s="64"/>
    </row>
    <row r="117" spans="205:205" ht="13.7" customHeight="1">
      <c r="GW117" s="64"/>
    </row>
    <row r="118" spans="205:205" ht="13.7" customHeight="1">
      <c r="GW118" s="64"/>
    </row>
    <row r="119" spans="205:205" ht="13.7" customHeight="1">
      <c r="GW119" s="64"/>
    </row>
    <row r="120" spans="205:205" ht="13.7" customHeight="1">
      <c r="GW120" s="64"/>
    </row>
    <row r="121" spans="205:205" ht="13.7" customHeight="1">
      <c r="GW121" s="64"/>
    </row>
  </sheetData>
  <dataValidations disablePrompts="1" count="1">
    <dataValidation type="custom" operator="greaterThanOrEqual" allowBlank="1" showInputMessage="1" showErrorMessage="1" errorTitle="Asset base" error="Must be a number" promptTitle="Assets" prompt="Enter a value in dollars" sqref="BW66:BX67" xr:uid="{00000000-0002-0000-0300-000000000000}">
      <formula1>ISNUMBER(BW66)</formula1>
    </dataValidation>
  </dataValidations>
  <hyperlinks>
    <hyperlink ref="A2" location="Index!A1" display="Index"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sheetPr>
  <dimension ref="A1:GW121"/>
  <sheetViews>
    <sheetView workbookViewId="0"/>
  </sheetViews>
  <sheetFormatPr defaultColWidth="8.85546875" defaultRowHeight="13.7" customHeight="1"/>
  <cols>
    <col min="1" max="1" width="10.140625" style="23" bestFit="1" customWidth="1"/>
    <col min="2" max="4" width="12.42578125" style="23" customWidth="1"/>
    <col min="5" max="8" width="21.42578125" style="23" customWidth="1"/>
    <col min="9" max="15" width="8.85546875" style="23" customWidth="1"/>
    <col min="16" max="16" width="8.85546875" style="23" bestFit="1" customWidth="1"/>
    <col min="17" max="17" width="8.85546875" style="23" customWidth="1"/>
    <col min="18" max="31" width="10" style="23" customWidth="1"/>
    <col min="32" max="32" width="10" style="23" bestFit="1" customWidth="1"/>
    <col min="33" max="33" width="10" style="23" customWidth="1"/>
    <col min="34" max="47" width="8.85546875" style="23" customWidth="1"/>
    <col min="48" max="48" width="8.85546875" style="23" bestFit="1" customWidth="1"/>
    <col min="49" max="61" width="8.85546875" style="23" customWidth="1"/>
    <col min="62" max="63" width="10" style="23" customWidth="1"/>
    <col min="64" max="64" width="10" style="23" bestFit="1" customWidth="1"/>
    <col min="65" max="79" width="10" style="23" customWidth="1"/>
    <col min="80" max="80" width="10" style="23" bestFit="1" customWidth="1"/>
    <col min="81" max="81" width="10" style="23" customWidth="1"/>
    <col min="82" max="95" width="8.85546875" style="23" customWidth="1"/>
    <col min="96" max="96" width="8.85546875" style="23" bestFit="1" customWidth="1"/>
    <col min="97" max="111" width="8.85546875" style="23" customWidth="1"/>
    <col min="112" max="112" width="8.85546875" style="23" bestFit="1" customWidth="1"/>
    <col min="113" max="127" width="8.85546875" style="23" customWidth="1"/>
    <col min="128" max="128" width="8.85546875" style="23" bestFit="1" customWidth="1"/>
    <col min="129" max="143" width="8.85546875" style="23" customWidth="1"/>
    <col min="144" max="144" width="8.85546875" style="23" bestFit="1" customWidth="1"/>
    <col min="145" max="159" width="8.85546875" style="23" customWidth="1"/>
    <col min="160" max="160" width="8.85546875" style="23" bestFit="1" customWidth="1"/>
    <col min="161" max="175" width="8.85546875" style="23" customWidth="1"/>
    <col min="176" max="176" width="8.85546875" style="23" bestFit="1" customWidth="1"/>
    <col min="177" max="191" width="8.85546875" style="23" customWidth="1"/>
    <col min="192" max="192" width="8.85546875" style="23" bestFit="1" customWidth="1"/>
    <col min="193" max="196" width="8.85546875" style="23" customWidth="1"/>
    <col min="197" max="200" width="9.42578125" style="23" customWidth="1"/>
    <col min="201" max="201" width="8.85546875" style="23" customWidth="1"/>
    <col min="202" max="202" width="9.42578125" style="23" customWidth="1"/>
    <col min="203" max="203" width="8.85546875" style="23" customWidth="1"/>
    <col min="204" max="204" width="9.42578125" style="23" customWidth="1"/>
    <col min="205" max="205" width="8.85546875" style="23" customWidth="1"/>
    <col min="206" max="207" width="9.42578125" style="23" customWidth="1"/>
    <col min="208" max="209" width="8.85546875" style="23" bestFit="1" customWidth="1"/>
    <col min="210" max="228" width="9.140625" style="23" bestFit="1" customWidth="1"/>
    <col min="229" max="16384" width="8.85546875" style="23"/>
  </cols>
  <sheetData>
    <row r="1" spans="1:205" s="7" customFormat="1" ht="15.6" customHeight="1">
      <c r="A1" s="1" t="s">
        <v>0</v>
      </c>
    </row>
    <row r="2" spans="1:205" s="16" customFormat="1" ht="13.7" customHeight="1">
      <c r="A2" s="85" t="s">
        <v>5</v>
      </c>
      <c r="E2" s="84"/>
    </row>
    <row r="3" spans="1:205" s="9" customFormat="1" ht="13.7" customHeight="1" thickBot="1">
      <c r="A3" s="8" t="s">
        <v>20</v>
      </c>
    </row>
    <row r="4" spans="1:205" s="9" customFormat="1" ht="13.7" customHeight="1"/>
    <row r="5" spans="1:205" s="4" customFormat="1" ht="13.7" customHeight="1">
      <c r="A5" s="2" t="s">
        <v>535</v>
      </c>
      <c r="D5" s="3"/>
      <c r="E5" s="3"/>
      <c r="F5" s="3"/>
      <c r="G5" s="5"/>
      <c r="H5" s="6"/>
      <c r="I5" s="6"/>
      <c r="J5" s="5"/>
      <c r="K5" s="5"/>
      <c r="L5" s="5"/>
      <c r="M5" s="5"/>
      <c r="N5" s="5"/>
      <c r="O5" s="5"/>
      <c r="P5" s="5"/>
      <c r="Q5" s="5"/>
      <c r="R5" s="5"/>
      <c r="S5" s="6"/>
      <c r="T5" s="6"/>
      <c r="U5" s="5"/>
      <c r="V5" s="5"/>
      <c r="W5" s="5"/>
      <c r="X5" s="5"/>
      <c r="Y5" s="5"/>
    </row>
    <row r="6" spans="1:205" ht="13.7" customHeight="1">
      <c r="A6" s="62"/>
    </row>
    <row r="7" spans="1:205" s="21" customFormat="1" ht="13.7" customHeight="1">
      <c r="A7" s="92" t="s">
        <v>284</v>
      </c>
      <c r="B7" s="23" t="s">
        <v>536</v>
      </c>
      <c r="C7" s="117"/>
    </row>
    <row r="8" spans="1:205" s="21" customFormat="1" ht="13.7" customHeight="1">
      <c r="B8" s="157"/>
      <c r="C8" s="117"/>
      <c r="G8" s="191"/>
    </row>
    <row r="9" spans="1:205" s="21" customFormat="1" ht="13.7" customHeight="1">
      <c r="A9" s="92"/>
      <c r="C9" s="117"/>
    </row>
    <row r="10" spans="1:205" s="249" customFormat="1" ht="13.7" customHeight="1">
      <c r="A10" s="249" t="s">
        <v>233</v>
      </c>
      <c r="B10" s="249" t="s">
        <v>537</v>
      </c>
      <c r="E10" s="296"/>
      <c r="F10" s="296"/>
      <c r="GW10" s="297"/>
    </row>
    <row r="11" spans="1:205" s="252" customFormat="1" ht="13.7" customHeight="1">
      <c r="A11" s="252" t="s">
        <v>234</v>
      </c>
      <c r="B11" s="125">
        <v>3.8868833089422912E-2</v>
      </c>
      <c r="F11" s="298"/>
      <c r="G11" s="298"/>
      <c r="GW11" s="299"/>
    </row>
    <row r="12" spans="1:205" s="252" customFormat="1" ht="13.7" customHeight="1">
      <c r="A12" s="252" t="s">
        <v>236</v>
      </c>
      <c r="B12" s="125">
        <v>8.1180191937344805E-3</v>
      </c>
      <c r="F12" s="298"/>
      <c r="G12" s="298"/>
      <c r="GW12" s="299"/>
    </row>
    <row r="13" spans="1:205" s="252" customFormat="1" ht="18.75">
      <c r="A13" s="252" t="s">
        <v>238</v>
      </c>
      <c r="B13" s="125">
        <v>2.6118676067355084E-2</v>
      </c>
      <c r="F13" s="298"/>
      <c r="G13" s="298"/>
      <c r="GW13" s="299"/>
    </row>
    <row r="14" spans="1:205" s="252" customFormat="1" ht="18.75">
      <c r="A14" s="252" t="s">
        <v>240</v>
      </c>
      <c r="B14" s="125">
        <v>3.3203998496265263E-2</v>
      </c>
      <c r="F14" s="298"/>
      <c r="G14" s="298"/>
    </row>
    <row r="15" spans="1:205" s="252" customFormat="1" ht="17.45" customHeight="1">
      <c r="A15" s="252" t="s">
        <v>242</v>
      </c>
      <c r="B15" s="125">
        <v>3.5866624603803424E-2</v>
      </c>
      <c r="F15" s="298"/>
      <c r="G15" s="298"/>
      <c r="GW15" s="300"/>
    </row>
    <row r="16" spans="1:205" s="252" customFormat="1" ht="18.75">
      <c r="A16" s="252" t="s">
        <v>244</v>
      </c>
      <c r="B16" s="125">
        <v>0.11914388801164771</v>
      </c>
      <c r="F16" s="298"/>
      <c r="G16" s="298"/>
    </row>
    <row r="17" spans="1:205" s="252" customFormat="1" ht="13.7" customHeight="1">
      <c r="A17" s="252" t="s">
        <v>246</v>
      </c>
      <c r="B17" s="125">
        <v>4.8266450478982634E-2</v>
      </c>
      <c r="F17" s="298"/>
      <c r="G17" s="298"/>
      <c r="GW17" s="301"/>
    </row>
    <row r="18" spans="1:205" s="252" customFormat="1" ht="13.7" customHeight="1">
      <c r="A18" s="252" t="s">
        <v>248</v>
      </c>
      <c r="B18" s="125">
        <v>-1.2204359145938843E-3</v>
      </c>
      <c r="F18" s="298"/>
      <c r="G18" s="298"/>
      <c r="GW18" s="299"/>
    </row>
    <row r="19" spans="1:205" s="252" customFormat="1" ht="13.7" customHeight="1">
      <c r="A19" s="252" t="s">
        <v>250</v>
      </c>
      <c r="B19" s="125">
        <v>3.6041829887000099E-3</v>
      </c>
      <c r="F19" s="298"/>
      <c r="G19" s="298"/>
      <c r="GW19" s="299"/>
    </row>
    <row r="20" spans="1:205" s="252" customFormat="1" ht="13.7" customHeight="1">
      <c r="A20" s="252" t="s">
        <v>252</v>
      </c>
      <c r="B20" s="125">
        <v>9.7772715496508497E-3</v>
      </c>
      <c r="F20" s="298"/>
      <c r="G20" s="298"/>
      <c r="GW20" s="299"/>
    </row>
    <row r="21" spans="1:205" s="252" customFormat="1" ht="13.7" customHeight="1">
      <c r="A21" s="252" t="s">
        <v>254</v>
      </c>
      <c r="B21" s="125">
        <v>-1.5537158440327162E-2</v>
      </c>
      <c r="F21" s="298"/>
      <c r="G21" s="298"/>
      <c r="GW21" s="299"/>
    </row>
    <row r="22" spans="1:205" s="252" customFormat="1" ht="13.7" customHeight="1">
      <c r="A22" s="252" t="s">
        <v>256</v>
      </c>
      <c r="B22" s="125">
        <v>-7.9900261654136627E-3</v>
      </c>
      <c r="F22" s="298"/>
      <c r="G22" s="298"/>
      <c r="GW22" s="299"/>
    </row>
    <row r="23" spans="1:205" s="252" customFormat="1" ht="13.7" customHeight="1">
      <c r="A23" s="252" t="s">
        <v>258</v>
      </c>
      <c r="B23" s="125">
        <v>-9.5497843323311959E-3</v>
      </c>
      <c r="F23" s="298"/>
      <c r="G23" s="298"/>
      <c r="GW23" s="299"/>
    </row>
    <row r="24" spans="1:205" ht="13.7" customHeight="1">
      <c r="GW24" s="64"/>
    </row>
    <row r="25" spans="1:205" s="4" customFormat="1" ht="13.7" customHeight="1">
      <c r="A25" s="2" t="s">
        <v>538</v>
      </c>
      <c r="D25" s="3"/>
      <c r="E25" s="3"/>
      <c r="F25" s="3"/>
      <c r="G25" s="5"/>
      <c r="H25" s="6"/>
      <c r="I25" s="6"/>
      <c r="J25" s="5"/>
      <c r="K25" s="5"/>
      <c r="L25" s="5"/>
      <c r="M25" s="5"/>
      <c r="N25" s="5"/>
      <c r="O25" s="5"/>
      <c r="P25" s="5"/>
      <c r="Q25" s="5"/>
      <c r="R25" s="5"/>
      <c r="S25" s="6"/>
      <c r="T25" s="6"/>
      <c r="U25" s="5"/>
      <c r="V25" s="5"/>
      <c r="W25" s="5"/>
      <c r="X25" s="5"/>
      <c r="Y25" s="5"/>
    </row>
    <row r="26" spans="1:205" ht="13.7" customHeight="1">
      <c r="A26" s="62"/>
    </row>
    <row r="27" spans="1:205" s="21" customFormat="1" ht="13.7" customHeight="1">
      <c r="A27" s="92" t="s">
        <v>284</v>
      </c>
      <c r="B27" s="23" t="s">
        <v>536</v>
      </c>
      <c r="C27" s="117"/>
    </row>
    <row r="28" spans="1:205" s="21" customFormat="1" ht="13.7" customHeight="1">
      <c r="B28" s="157"/>
      <c r="C28" s="117"/>
    </row>
    <row r="29" spans="1:205" s="21" customFormat="1" ht="13.7" customHeight="1">
      <c r="A29" s="92"/>
      <c r="C29" s="117"/>
    </row>
    <row r="30" spans="1:205" s="249" customFormat="1" ht="13.7" customHeight="1">
      <c r="A30" s="249" t="s">
        <v>233</v>
      </c>
      <c r="B30" s="249" t="s">
        <v>537</v>
      </c>
      <c r="GW30" s="297"/>
    </row>
    <row r="31" spans="1:205" s="252" customFormat="1" ht="13.7" customHeight="1">
      <c r="A31" s="252" t="s">
        <v>234</v>
      </c>
      <c r="B31" s="125">
        <v>-3.3792137052320245E-2</v>
      </c>
      <c r="GW31" s="299"/>
    </row>
    <row r="32" spans="1:205" s="252" customFormat="1" ht="13.7" customHeight="1">
      <c r="A32" s="252" t="s">
        <v>236</v>
      </c>
      <c r="B32" s="125">
        <v>-3.1603458944468379E-2</v>
      </c>
      <c r="GW32" s="299"/>
    </row>
    <row r="33" spans="1:205" s="252" customFormat="1" ht="13.7" customHeight="1">
      <c r="A33" s="252" t="s">
        <v>254</v>
      </c>
      <c r="B33" s="125">
        <v>3.2432177205569707E-2</v>
      </c>
      <c r="GW33" s="299"/>
    </row>
    <row r="34" spans="1:205" s="252" customFormat="1" ht="13.7" customHeight="1">
      <c r="A34" s="252" t="s">
        <v>238</v>
      </c>
      <c r="B34" s="125">
        <v>2.8737091068196628E-3</v>
      </c>
    </row>
    <row r="35" spans="1:205" s="252" customFormat="1" ht="13.7" customHeight="1">
      <c r="A35" s="252" t="s">
        <v>240</v>
      </c>
      <c r="B35" s="125">
        <v>-2.2326124420434062E-2</v>
      </c>
      <c r="GW35" s="300"/>
    </row>
    <row r="36" spans="1:205" s="252" customFormat="1" ht="13.7" customHeight="1">
      <c r="A36" s="252" t="s">
        <v>242</v>
      </c>
      <c r="B36" s="125">
        <v>-2.3207272526858641E-2</v>
      </c>
    </row>
    <row r="37" spans="1:205" s="252" customFormat="1" ht="13.7" customHeight="1">
      <c r="A37" s="252" t="s">
        <v>244</v>
      </c>
      <c r="B37" s="125">
        <v>-2.2668930641044967E-2</v>
      </c>
      <c r="GW37" s="301"/>
    </row>
    <row r="38" spans="1:205" s="252" customFormat="1" ht="13.7" customHeight="1">
      <c r="A38" s="252" t="s">
        <v>246</v>
      </c>
      <c r="B38" s="125">
        <v>-1.8931360809499795E-3</v>
      </c>
      <c r="GW38" s="299"/>
    </row>
    <row r="39" spans="1:205" s="252" customFormat="1" ht="13.7" customHeight="1">
      <c r="A39" s="252" t="s">
        <v>248</v>
      </c>
      <c r="B39" s="125">
        <v>-2.2835270499380632E-2</v>
      </c>
      <c r="GW39" s="299"/>
    </row>
    <row r="40" spans="1:205" s="252" customFormat="1" ht="13.7" customHeight="1">
      <c r="A40" s="252" t="s">
        <v>250</v>
      </c>
      <c r="B40" s="125">
        <v>3.235983757576006E-2</v>
      </c>
      <c r="GW40" s="299"/>
    </row>
    <row r="41" spans="1:205" s="252" customFormat="1" ht="13.7" customHeight="1">
      <c r="A41" s="252" t="s">
        <v>252</v>
      </c>
      <c r="B41" s="125">
        <v>-4.6798002964018141E-2</v>
      </c>
      <c r="GW41" s="299"/>
    </row>
    <row r="42" spans="1:205" s="252" customFormat="1" ht="13.7" customHeight="1">
      <c r="A42" s="252" t="s">
        <v>256</v>
      </c>
      <c r="B42" s="125">
        <v>-1.7743702007535087E-2</v>
      </c>
      <c r="GW42" s="299"/>
    </row>
    <row r="43" spans="1:205" s="252" customFormat="1" ht="13.7" customHeight="1">
      <c r="A43" s="252" t="s">
        <v>258</v>
      </c>
      <c r="B43" s="125">
        <v>-7.1955604703586914E-3</v>
      </c>
      <c r="GW43" s="299"/>
    </row>
    <row r="44" spans="1:205" ht="13.7" customHeight="1">
      <c r="GW44" s="64"/>
    </row>
    <row r="45" spans="1:205" s="4" customFormat="1" ht="13.7" customHeight="1">
      <c r="A45" s="2"/>
      <c r="D45" s="3"/>
      <c r="E45" s="3"/>
      <c r="F45" s="3"/>
      <c r="G45" s="5"/>
      <c r="H45" s="6"/>
      <c r="I45" s="6"/>
      <c r="J45" s="5"/>
      <c r="K45" s="5"/>
      <c r="L45" s="5"/>
      <c r="M45" s="5"/>
      <c r="N45" s="5"/>
      <c r="O45" s="5"/>
      <c r="P45" s="5"/>
      <c r="Q45" s="5"/>
      <c r="R45" s="5"/>
      <c r="S45" s="6"/>
      <c r="T45" s="6"/>
      <c r="U45" s="5"/>
      <c r="V45" s="5"/>
      <c r="W45" s="5"/>
      <c r="X45" s="5"/>
      <c r="Y45" s="5"/>
    </row>
    <row r="46" spans="1:205" ht="13.7" customHeight="1">
      <c r="A46" s="62"/>
    </row>
    <row r="47" spans="1:205" s="21" customFormat="1" ht="13.7" customHeight="1">
      <c r="A47" s="92"/>
      <c r="B47" s="23"/>
      <c r="C47" s="232"/>
    </row>
    <row r="48" spans="1:205" s="21" customFormat="1" ht="13.7" customHeight="1">
      <c r="B48" s="233"/>
      <c r="C48" s="232"/>
    </row>
    <row r="49" spans="1:205" s="21" customFormat="1" ht="13.7" customHeight="1">
      <c r="A49" s="92"/>
      <c r="C49" s="232"/>
    </row>
    <row r="50" spans="1:205" ht="13.7" customHeight="1">
      <c r="A50" s="62"/>
      <c r="E50" s="24"/>
    </row>
    <row r="51" spans="1:205" s="24" customFormat="1" ht="13.7" customHeight="1">
      <c r="GW51" s="124"/>
    </row>
    <row r="52" spans="1:205" ht="13.7" customHeight="1">
      <c r="B52" s="201"/>
      <c r="C52" s="201"/>
      <c r="D52" s="201"/>
      <c r="E52" s="201"/>
      <c r="F52" s="201"/>
      <c r="G52" s="201"/>
      <c r="H52" s="201"/>
      <c r="GW52" s="64"/>
    </row>
    <row r="53" spans="1:205" ht="13.7" customHeight="1">
      <c r="B53" s="201"/>
      <c r="C53" s="201"/>
      <c r="D53" s="201"/>
      <c r="E53" s="201"/>
      <c r="F53" s="201"/>
      <c r="G53" s="201"/>
      <c r="H53" s="201"/>
      <c r="GW53" s="64"/>
    </row>
    <row r="54" spans="1:205" ht="13.7" customHeight="1">
      <c r="B54" s="201"/>
      <c r="C54" s="201"/>
      <c r="D54" s="201"/>
      <c r="E54" s="201"/>
      <c r="F54" s="201"/>
      <c r="G54" s="201"/>
      <c r="H54" s="201"/>
      <c r="GW54" s="64"/>
    </row>
    <row r="55" spans="1:205" ht="13.7" customHeight="1">
      <c r="B55" s="201"/>
      <c r="C55" s="201"/>
      <c r="D55" s="201"/>
      <c r="E55" s="201"/>
      <c r="F55" s="201"/>
      <c r="G55" s="201"/>
      <c r="H55" s="201"/>
    </row>
    <row r="56" spans="1:205" ht="13.7" customHeight="1">
      <c r="B56" s="201"/>
      <c r="C56" s="201"/>
      <c r="D56" s="201"/>
      <c r="E56" s="201"/>
      <c r="F56" s="201"/>
      <c r="G56" s="201"/>
      <c r="H56" s="201"/>
      <c r="GW56" s="71"/>
    </row>
    <row r="57" spans="1:205" ht="13.7" customHeight="1">
      <c r="B57" s="201"/>
      <c r="C57" s="201"/>
      <c r="D57" s="201"/>
      <c r="E57" s="201"/>
      <c r="F57" s="201"/>
      <c r="G57" s="201"/>
      <c r="H57" s="201"/>
    </row>
    <row r="58" spans="1:205" ht="13.7" customHeight="1">
      <c r="B58" s="201"/>
      <c r="C58" s="201"/>
      <c r="D58" s="201"/>
      <c r="E58" s="201"/>
      <c r="F58" s="201"/>
      <c r="G58" s="201"/>
      <c r="H58" s="201"/>
      <c r="GW58" s="62"/>
    </row>
    <row r="59" spans="1:205" ht="13.7" customHeight="1">
      <c r="B59" s="201"/>
      <c r="C59" s="201"/>
      <c r="D59" s="201"/>
      <c r="E59" s="201"/>
      <c r="F59" s="201"/>
      <c r="G59" s="201"/>
      <c r="H59" s="201"/>
      <c r="GW59" s="64"/>
    </row>
    <row r="60" spans="1:205" ht="13.7" customHeight="1">
      <c r="B60" s="201"/>
      <c r="C60" s="201"/>
      <c r="D60" s="201"/>
      <c r="E60" s="201"/>
      <c r="F60" s="201"/>
      <c r="G60" s="201"/>
      <c r="H60" s="201"/>
      <c r="GW60" s="64"/>
    </row>
    <row r="61" spans="1:205" ht="13.7" customHeight="1">
      <c r="B61" s="201"/>
      <c r="C61" s="201"/>
      <c r="D61" s="201"/>
      <c r="E61" s="201"/>
      <c r="F61" s="201"/>
      <c r="G61" s="201"/>
      <c r="H61" s="201"/>
      <c r="GW61" s="64"/>
    </row>
    <row r="62" spans="1:205" ht="13.7" customHeight="1">
      <c r="B62" s="201"/>
      <c r="C62" s="201"/>
      <c r="D62" s="201"/>
      <c r="E62" s="201"/>
      <c r="F62" s="201"/>
      <c r="G62" s="201"/>
      <c r="H62" s="201"/>
      <c r="GW62" s="64"/>
    </row>
    <row r="63" spans="1:205" ht="13.7" customHeight="1">
      <c r="B63" s="201"/>
      <c r="C63" s="201"/>
      <c r="D63" s="201"/>
      <c r="E63" s="201"/>
      <c r="F63" s="201"/>
      <c r="G63" s="201"/>
      <c r="H63" s="201"/>
      <c r="GW63" s="64"/>
    </row>
    <row r="64" spans="1:205" ht="13.7" customHeight="1">
      <c r="B64" s="201"/>
      <c r="C64" s="201"/>
      <c r="D64" s="201"/>
      <c r="E64" s="201"/>
      <c r="F64" s="201"/>
      <c r="G64" s="201"/>
      <c r="H64" s="201"/>
      <c r="GW64" s="64"/>
    </row>
    <row r="65" spans="1:205" ht="13.7" customHeight="1">
      <c r="GW65" s="64"/>
    </row>
    <row r="66" spans="1:205" s="4" customFormat="1" ht="13.7" customHeight="1">
      <c r="A66" s="2" t="s">
        <v>227</v>
      </c>
      <c r="C66" s="3"/>
      <c r="D66" s="3"/>
      <c r="E66" s="3"/>
      <c r="F66" s="3"/>
      <c r="G66" s="5"/>
      <c r="H66" s="6"/>
      <c r="I66" s="6"/>
      <c r="J66" s="5"/>
      <c r="K66" s="5"/>
      <c r="L66" s="5"/>
      <c r="M66" s="5"/>
      <c r="N66" s="5"/>
      <c r="O66" s="5"/>
      <c r="P66" s="5"/>
      <c r="Q66" s="5"/>
      <c r="R66" s="5"/>
      <c r="S66" s="6"/>
      <c r="T66" s="6"/>
      <c r="U66" s="5"/>
      <c r="V66" s="5"/>
      <c r="W66" s="5"/>
      <c r="X66" s="5"/>
      <c r="Y66" s="5"/>
    </row>
    <row r="67" spans="1:205" ht="13.7" customHeight="1">
      <c r="BV67" s="65"/>
      <c r="DO67" s="63"/>
      <c r="GC67" s="65"/>
      <c r="GD67" s="65"/>
      <c r="GE67" s="65"/>
      <c r="GF67" s="65"/>
      <c r="GG67" s="65"/>
      <c r="GH67" s="65"/>
      <c r="GI67" s="65"/>
      <c r="GJ67" s="65"/>
      <c r="GK67" s="65"/>
      <c r="GL67" s="65"/>
      <c r="GM67" s="65"/>
      <c r="GN67" s="65"/>
      <c r="GW67" s="64"/>
    </row>
    <row r="68" spans="1:205" ht="13.7" customHeight="1">
      <c r="GW68" s="64"/>
    </row>
    <row r="69" spans="1:205" ht="13.7" customHeight="1">
      <c r="GW69" s="64"/>
    </row>
    <row r="71" spans="1:205" ht="13.7" customHeight="1">
      <c r="GW71" s="71"/>
    </row>
    <row r="73" spans="1:205" ht="13.7" customHeight="1">
      <c r="GW73" s="62"/>
    </row>
    <row r="74" spans="1:205" ht="13.7" customHeight="1">
      <c r="GW74" s="64"/>
    </row>
    <row r="75" spans="1:205" ht="13.7" customHeight="1">
      <c r="GW75" s="64"/>
    </row>
    <row r="76" spans="1:205" ht="13.7" customHeight="1">
      <c r="GW76" s="64"/>
    </row>
    <row r="77" spans="1:205" ht="13.7" customHeight="1">
      <c r="GW77" s="64"/>
    </row>
    <row r="78" spans="1:205" ht="13.7" customHeight="1">
      <c r="GW78" s="64"/>
    </row>
    <row r="79" spans="1:205" ht="13.7" customHeight="1">
      <c r="GW79" s="64"/>
    </row>
    <row r="80" spans="1:205" ht="13.7" customHeight="1">
      <c r="GW80" s="64"/>
    </row>
    <row r="81" spans="205:205" ht="13.7" customHeight="1">
      <c r="GW81" s="64"/>
    </row>
    <row r="82" spans="205:205" ht="13.7" customHeight="1">
      <c r="GW82" s="64"/>
    </row>
    <row r="84" spans="205:205" ht="13.7" customHeight="1">
      <c r="GW84" s="71"/>
    </row>
    <row r="86" spans="205:205" ht="13.7" customHeight="1">
      <c r="GW86" s="62"/>
    </row>
    <row r="87" spans="205:205" ht="13.7" customHeight="1">
      <c r="GW87" s="64"/>
    </row>
    <row r="88" spans="205:205" ht="13.7" customHeight="1">
      <c r="GW88" s="64"/>
    </row>
    <row r="89" spans="205:205" ht="13.7" customHeight="1">
      <c r="GW89" s="64"/>
    </row>
    <row r="90" spans="205:205" ht="13.7" customHeight="1">
      <c r="GW90" s="64"/>
    </row>
    <row r="91" spans="205:205" ht="13.7" customHeight="1">
      <c r="GW91" s="64"/>
    </row>
    <row r="92" spans="205:205" ht="13.7" customHeight="1">
      <c r="GW92" s="64"/>
    </row>
    <row r="93" spans="205:205" ht="13.7" customHeight="1">
      <c r="GW93" s="64"/>
    </row>
    <row r="94" spans="205:205" ht="13.7" customHeight="1">
      <c r="GW94" s="64"/>
    </row>
    <row r="95" spans="205:205" ht="13.7" customHeight="1">
      <c r="GW95" s="64"/>
    </row>
    <row r="97" spans="205:205" ht="13.7" customHeight="1">
      <c r="GW97" s="71"/>
    </row>
    <row r="99" spans="205:205" ht="13.7" customHeight="1">
      <c r="GW99" s="62"/>
    </row>
    <row r="100" spans="205:205" ht="13.7" customHeight="1">
      <c r="GW100" s="64"/>
    </row>
    <row r="101" spans="205:205" ht="13.7" customHeight="1">
      <c r="GW101" s="64"/>
    </row>
    <row r="102" spans="205:205" ht="13.7" customHeight="1">
      <c r="GW102" s="64"/>
    </row>
    <row r="103" spans="205:205" ht="13.7" customHeight="1">
      <c r="GW103" s="64"/>
    </row>
    <row r="104" spans="205:205" ht="13.7" customHeight="1">
      <c r="GW104" s="64"/>
    </row>
    <row r="105" spans="205:205" ht="13.7" customHeight="1">
      <c r="GW105" s="64"/>
    </row>
    <row r="106" spans="205:205" ht="13.7" customHeight="1">
      <c r="GW106" s="64"/>
    </row>
    <row r="107" spans="205:205" ht="13.7" customHeight="1">
      <c r="GW107" s="64"/>
    </row>
    <row r="108" spans="205:205" ht="13.7" customHeight="1">
      <c r="GW108" s="64"/>
    </row>
    <row r="110" spans="205:205" ht="13.7" customHeight="1">
      <c r="GW110" s="71"/>
    </row>
    <row r="112" spans="205:205" ht="13.7" customHeight="1">
      <c r="GW112" s="62"/>
    </row>
    <row r="113" spans="205:205" ht="13.7" customHeight="1">
      <c r="GW113" s="64"/>
    </row>
    <row r="114" spans="205:205" ht="13.7" customHeight="1">
      <c r="GW114" s="64"/>
    </row>
    <row r="115" spans="205:205" ht="13.7" customHeight="1">
      <c r="GW115" s="64"/>
    </row>
    <row r="116" spans="205:205" ht="13.7" customHeight="1">
      <c r="GW116" s="64"/>
    </row>
    <row r="117" spans="205:205" ht="13.7" customHeight="1">
      <c r="GW117" s="64"/>
    </row>
    <row r="118" spans="205:205" ht="13.7" customHeight="1">
      <c r="GW118" s="64"/>
    </row>
    <row r="119" spans="205:205" ht="13.7" customHeight="1">
      <c r="GW119" s="64"/>
    </row>
    <row r="120" spans="205:205" ht="13.7" customHeight="1">
      <c r="GW120" s="64"/>
    </row>
    <row r="121" spans="205:205" ht="13.7" customHeight="1">
      <c r="GW121" s="64"/>
    </row>
  </sheetData>
  <dataValidations count="1">
    <dataValidation type="custom" operator="greaterThanOrEqual" allowBlank="1" showInputMessage="1" showErrorMessage="1" errorTitle="Asset base" error="Must be a number" promptTitle="Assets" prompt="Enter a value in dollars" sqref="BW66:BX67" xr:uid="{00000000-0002-0000-0400-000000000000}">
      <formula1>ISNUMBER(BW66)</formula1>
    </dataValidation>
  </dataValidations>
  <hyperlinks>
    <hyperlink ref="A2" location="Index!A1" display="Index"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A1:KK1008"/>
  <sheetViews>
    <sheetView zoomScaleNormal="100" workbookViewId="0"/>
  </sheetViews>
  <sheetFormatPr defaultColWidth="8.85546875" defaultRowHeight="13.7" customHeight="1"/>
  <cols>
    <col min="1" max="1" width="12.42578125" style="94" bestFit="1" customWidth="1"/>
    <col min="2" max="2" width="12.42578125" style="103" customWidth="1"/>
    <col min="3" max="3" width="8.85546875" style="117"/>
    <col min="4" max="4" width="9.140625" style="210" bestFit="1" customWidth="1"/>
    <col min="5" max="9" width="8.85546875" style="21"/>
    <col min="10" max="10" width="25.42578125" style="21" customWidth="1"/>
    <col min="11" max="16384" width="8.85546875" style="21"/>
  </cols>
  <sheetData>
    <row r="1" spans="1:25" s="7" customFormat="1" ht="15.6" customHeight="1">
      <c r="A1" s="1" t="s">
        <v>0</v>
      </c>
      <c r="B1" s="96"/>
      <c r="C1" s="113"/>
      <c r="D1" s="206"/>
    </row>
    <row r="2" spans="1:25" s="16" customFormat="1" ht="13.7" customHeight="1">
      <c r="A2" s="90" t="s">
        <v>5</v>
      </c>
      <c r="B2" s="97"/>
      <c r="C2" s="114"/>
      <c r="D2" s="207"/>
      <c r="E2" s="84"/>
    </row>
    <row r="3" spans="1:25" s="9" customFormat="1" ht="13.7" customHeight="1" thickBot="1">
      <c r="A3" s="8" t="s">
        <v>22</v>
      </c>
      <c r="B3" s="98"/>
      <c r="C3" s="115"/>
      <c r="D3" s="208"/>
    </row>
    <row r="4" spans="1:25" s="9" customFormat="1" ht="13.7" customHeight="1">
      <c r="A4" s="91"/>
      <c r="B4" s="98"/>
      <c r="C4" s="115"/>
      <c r="D4" s="208"/>
    </row>
    <row r="5" spans="1:25" s="4" customFormat="1" ht="13.7" customHeight="1">
      <c r="A5" s="2" t="s">
        <v>539</v>
      </c>
      <c r="B5" s="99"/>
      <c r="C5" s="116"/>
      <c r="D5" s="209"/>
      <c r="E5" s="3"/>
      <c r="F5" s="3"/>
      <c r="G5" s="5"/>
      <c r="H5" s="6"/>
      <c r="I5" s="5"/>
      <c r="J5" s="6"/>
      <c r="K5" s="5"/>
      <c r="L5" s="5"/>
      <c r="M5" s="5"/>
      <c r="N5" s="5"/>
      <c r="O5" s="5"/>
      <c r="P5" s="5"/>
      <c r="Q5" s="5"/>
      <c r="R5" s="5"/>
      <c r="S5" s="6"/>
      <c r="T5" s="6"/>
      <c r="U5" s="5"/>
      <c r="V5" s="5"/>
      <c r="W5" s="5"/>
      <c r="X5" s="5"/>
      <c r="Y5" s="5"/>
    </row>
    <row r="7" spans="1:25" ht="13.7" customHeight="1">
      <c r="A7" s="92" t="s">
        <v>540</v>
      </c>
      <c r="B7" s="92" t="s">
        <v>541</v>
      </c>
    </row>
    <row r="8" spans="1:25" ht="13.7" customHeight="1">
      <c r="A8" s="21"/>
      <c r="B8" s="100" t="s">
        <v>542</v>
      </c>
    </row>
    <row r="9" spans="1:25" ht="13.7" customHeight="1">
      <c r="A9" s="92"/>
      <c r="B9" s="101" t="s">
        <v>543</v>
      </c>
    </row>
    <row r="10" spans="1:25" ht="13.7" customHeight="1">
      <c r="A10" s="92"/>
      <c r="B10" s="101" t="s">
        <v>1068</v>
      </c>
    </row>
    <row r="11" spans="1:25" ht="13.7" customHeight="1">
      <c r="A11" s="92"/>
      <c r="B11" s="101"/>
    </row>
    <row r="12" spans="1:25" ht="13.7" customHeight="1">
      <c r="A12" s="92"/>
      <c r="B12" s="111" t="s">
        <v>544</v>
      </c>
    </row>
    <row r="13" spans="1:25" ht="13.7" customHeight="1">
      <c r="A13" s="92"/>
      <c r="B13" s="239" t="s">
        <v>545</v>
      </c>
    </row>
    <row r="14" spans="1:25" ht="13.7" customHeight="1">
      <c r="A14" s="92"/>
      <c r="B14" s="101" t="s">
        <v>1069</v>
      </c>
    </row>
    <row r="15" spans="1:25" ht="13.7" customHeight="1">
      <c r="A15" s="92"/>
      <c r="B15" s="101" t="s">
        <v>546</v>
      </c>
    </row>
    <row r="16" spans="1:25" ht="13.7" customHeight="1">
      <c r="A16" s="92"/>
      <c r="B16" s="101"/>
    </row>
    <row r="17" spans="1:297" ht="13.7" customHeight="1">
      <c r="A17" s="92" t="s">
        <v>541</v>
      </c>
      <c r="C17" s="118" t="s">
        <v>544</v>
      </c>
    </row>
    <row r="18" spans="1:297" s="274" customFormat="1" ht="65.25" customHeight="1">
      <c r="A18" s="270"/>
      <c r="B18" s="271" t="s">
        <v>547</v>
      </c>
      <c r="C18" s="272" t="s">
        <v>548</v>
      </c>
      <c r="D18" s="273"/>
      <c r="J18" s="21"/>
    </row>
    <row r="19" spans="1:297" s="252" customFormat="1" ht="13.7" customHeight="1">
      <c r="A19" s="275" t="s">
        <v>549</v>
      </c>
      <c r="B19" s="276" t="s">
        <v>550</v>
      </c>
      <c r="C19" s="277"/>
      <c r="D19" s="278"/>
      <c r="J19" s="21"/>
    </row>
    <row r="20" spans="1:297" s="252" customFormat="1" ht="13.7" customHeight="1">
      <c r="A20" s="275" t="s">
        <v>551</v>
      </c>
      <c r="B20" s="276" t="s">
        <v>552</v>
      </c>
      <c r="C20" s="277"/>
      <c r="D20" s="278"/>
    </row>
    <row r="21" spans="1:297" s="252" customFormat="1" ht="13.7" customHeight="1">
      <c r="A21" s="275" t="s">
        <v>553</v>
      </c>
      <c r="B21" s="276" t="s">
        <v>554</v>
      </c>
      <c r="C21" s="277"/>
      <c r="D21" s="278"/>
    </row>
    <row r="22" spans="1:297" s="252" customFormat="1" ht="13.7" customHeight="1">
      <c r="A22" s="275" t="s">
        <v>555</v>
      </c>
      <c r="B22" s="276" t="s">
        <v>556</v>
      </c>
      <c r="C22" s="277"/>
      <c r="D22" s="278"/>
    </row>
    <row r="23" spans="1:297" s="252" customFormat="1" ht="13.7" customHeight="1">
      <c r="A23" s="275" t="s">
        <v>557</v>
      </c>
      <c r="B23" s="279">
        <v>3</v>
      </c>
      <c r="C23" s="277"/>
      <c r="D23" s="278"/>
    </row>
    <row r="24" spans="1:297" s="252" customFormat="1" ht="13.7" customHeight="1">
      <c r="A24" s="275" t="s">
        <v>558</v>
      </c>
      <c r="B24" s="280" t="s">
        <v>559</v>
      </c>
      <c r="C24" s="277"/>
      <c r="D24" s="278"/>
    </row>
    <row r="25" spans="1:297" s="252" customFormat="1" ht="13.7" customHeight="1">
      <c r="A25" s="275" t="s">
        <v>560</v>
      </c>
      <c r="B25" s="281" t="s">
        <v>561</v>
      </c>
      <c r="C25" s="277"/>
      <c r="D25" s="278"/>
    </row>
    <row r="26" spans="1:297" s="252" customFormat="1" ht="13.7" customHeight="1">
      <c r="A26" s="275" t="s">
        <v>562</v>
      </c>
      <c r="B26" s="279">
        <v>297</v>
      </c>
      <c r="C26" s="277"/>
      <c r="D26" s="278"/>
      <c r="E26" s="249"/>
    </row>
    <row r="27" spans="1:297" s="252" customFormat="1" ht="13.7" customHeight="1">
      <c r="A27" s="275" t="s">
        <v>563</v>
      </c>
      <c r="B27" s="276" t="s">
        <v>564</v>
      </c>
      <c r="C27" s="277"/>
      <c r="D27" s="282"/>
      <c r="E27" s="283"/>
      <c r="F27" s="283"/>
      <c r="G27" s="283"/>
      <c r="H27" s="283"/>
      <c r="I27" s="283"/>
      <c r="J27" s="283"/>
      <c r="K27" s="283"/>
      <c r="L27" s="283"/>
      <c r="M27" s="283"/>
      <c r="N27" s="283"/>
      <c r="O27" s="283"/>
      <c r="P27" s="283"/>
      <c r="Q27" s="283"/>
      <c r="R27" s="283"/>
      <c r="S27" s="283"/>
      <c r="T27" s="283"/>
      <c r="U27" s="283"/>
      <c r="V27" s="283"/>
      <c r="W27" s="283"/>
      <c r="X27" s="283"/>
      <c r="Y27" s="283"/>
      <c r="Z27" s="283"/>
      <c r="AA27" s="283"/>
      <c r="AB27" s="283"/>
      <c r="AC27" s="283"/>
      <c r="AD27" s="283"/>
      <c r="AE27" s="283"/>
      <c r="AF27" s="283"/>
      <c r="AG27" s="283"/>
      <c r="AH27" s="283"/>
      <c r="AI27" s="283"/>
      <c r="AJ27" s="283"/>
      <c r="AK27" s="283"/>
      <c r="AL27" s="283"/>
      <c r="AM27" s="283"/>
      <c r="AN27" s="283"/>
      <c r="AO27" s="283"/>
      <c r="AP27" s="283"/>
      <c r="AQ27" s="283"/>
      <c r="AR27" s="283"/>
      <c r="AS27" s="283"/>
      <c r="AT27" s="283"/>
      <c r="AU27" s="283"/>
      <c r="AV27" s="283"/>
      <c r="AW27" s="283"/>
      <c r="AX27" s="283"/>
      <c r="AY27" s="283"/>
      <c r="AZ27" s="283"/>
      <c r="BA27" s="283"/>
      <c r="BB27" s="283"/>
      <c r="BC27" s="283"/>
      <c r="BD27" s="283"/>
      <c r="BE27" s="283"/>
      <c r="BF27" s="283"/>
      <c r="BG27" s="283"/>
      <c r="BH27" s="283"/>
      <c r="BI27" s="283"/>
      <c r="BJ27" s="283"/>
      <c r="BK27" s="283"/>
      <c r="BL27" s="283"/>
      <c r="BM27" s="283"/>
      <c r="BN27" s="283"/>
      <c r="BO27" s="283"/>
      <c r="BP27" s="283"/>
      <c r="BQ27" s="283"/>
      <c r="BR27" s="283"/>
      <c r="BS27" s="283"/>
      <c r="BT27" s="283"/>
      <c r="BU27" s="283"/>
      <c r="BV27" s="283"/>
      <c r="BW27" s="283"/>
      <c r="BX27" s="283"/>
      <c r="BY27" s="283"/>
      <c r="BZ27" s="283"/>
      <c r="CA27" s="283"/>
      <c r="CB27" s="283"/>
      <c r="CC27" s="283"/>
      <c r="CD27" s="283"/>
      <c r="CE27" s="283"/>
      <c r="CF27" s="283"/>
      <c r="CG27" s="283"/>
      <c r="CH27" s="283"/>
      <c r="CI27" s="283"/>
      <c r="CJ27" s="283"/>
      <c r="CK27" s="283"/>
      <c r="CL27" s="283"/>
      <c r="CM27" s="283"/>
      <c r="CN27" s="283"/>
      <c r="CO27" s="283"/>
      <c r="CP27" s="283"/>
      <c r="CQ27" s="283"/>
      <c r="CR27" s="283"/>
      <c r="CS27" s="283"/>
      <c r="CT27" s="283"/>
      <c r="CU27" s="283"/>
      <c r="CV27" s="283"/>
      <c r="CW27" s="283"/>
      <c r="CX27" s="283"/>
      <c r="CY27" s="283"/>
      <c r="CZ27" s="283"/>
      <c r="DA27" s="283"/>
      <c r="DB27" s="283"/>
      <c r="DC27" s="283"/>
      <c r="DD27" s="283"/>
      <c r="DE27" s="283"/>
      <c r="DF27" s="283"/>
      <c r="DG27" s="283"/>
      <c r="DH27" s="283"/>
      <c r="DI27" s="283"/>
      <c r="DJ27" s="283"/>
      <c r="DK27" s="283"/>
      <c r="DL27" s="283"/>
      <c r="DM27" s="283"/>
      <c r="DN27" s="283"/>
      <c r="DO27" s="283"/>
      <c r="DP27" s="283"/>
      <c r="DQ27" s="283"/>
      <c r="DR27" s="283"/>
      <c r="DS27" s="283"/>
      <c r="DT27" s="283"/>
      <c r="DU27" s="283"/>
      <c r="DV27" s="283"/>
      <c r="DW27" s="283"/>
      <c r="DX27" s="283"/>
      <c r="DY27" s="283"/>
      <c r="DZ27" s="283"/>
      <c r="EA27" s="283"/>
      <c r="EB27" s="283"/>
      <c r="EC27" s="283"/>
      <c r="ED27" s="283"/>
      <c r="EE27" s="283"/>
      <c r="EF27" s="283"/>
      <c r="EG27" s="283"/>
      <c r="EH27" s="283"/>
      <c r="EI27" s="283"/>
      <c r="EJ27" s="283"/>
      <c r="EK27" s="283"/>
      <c r="EL27" s="283"/>
      <c r="EM27" s="283"/>
      <c r="EN27" s="283"/>
      <c r="EO27" s="283"/>
      <c r="EP27" s="283"/>
      <c r="EQ27" s="283"/>
      <c r="ER27" s="283"/>
      <c r="ES27" s="283"/>
      <c r="ET27" s="283"/>
      <c r="EU27" s="283"/>
      <c r="EV27" s="283"/>
      <c r="EW27" s="283"/>
      <c r="EX27" s="283"/>
      <c r="EY27" s="283"/>
      <c r="EZ27" s="283"/>
      <c r="FA27" s="283"/>
      <c r="FB27" s="283"/>
      <c r="FC27" s="283"/>
      <c r="FD27" s="283"/>
      <c r="FE27" s="283"/>
      <c r="FF27" s="283"/>
      <c r="FG27" s="283"/>
      <c r="FH27" s="283"/>
      <c r="FI27" s="283"/>
      <c r="FJ27" s="283"/>
      <c r="FK27" s="283"/>
      <c r="FL27" s="283"/>
      <c r="FM27" s="283"/>
      <c r="FN27" s="283"/>
      <c r="FO27" s="283"/>
      <c r="FP27" s="283"/>
      <c r="FQ27" s="283"/>
      <c r="FR27" s="283"/>
      <c r="FS27" s="283"/>
      <c r="FT27" s="283"/>
      <c r="FU27" s="283"/>
      <c r="FV27" s="283"/>
      <c r="FW27" s="283"/>
      <c r="FX27" s="283"/>
      <c r="FY27" s="283"/>
      <c r="FZ27" s="283"/>
      <c r="GA27" s="283"/>
      <c r="GB27" s="283"/>
      <c r="GC27" s="283"/>
      <c r="GD27" s="283"/>
      <c r="GE27" s="283"/>
      <c r="GF27" s="283"/>
      <c r="GG27" s="283"/>
      <c r="GH27" s="283"/>
      <c r="GI27" s="283"/>
      <c r="GJ27" s="283"/>
      <c r="GK27" s="283"/>
      <c r="GL27" s="283"/>
      <c r="GM27" s="283"/>
      <c r="GN27" s="283"/>
      <c r="GO27" s="283"/>
      <c r="GP27" s="283"/>
      <c r="GQ27" s="283"/>
      <c r="GR27" s="283"/>
      <c r="GS27" s="283"/>
      <c r="GT27" s="283"/>
      <c r="GU27" s="283"/>
      <c r="GV27" s="283"/>
      <c r="GW27" s="283"/>
      <c r="GX27" s="283"/>
      <c r="GY27" s="283"/>
      <c r="GZ27" s="283"/>
      <c r="HA27" s="283"/>
      <c r="HB27" s="283"/>
      <c r="HC27" s="283"/>
      <c r="HD27" s="283"/>
      <c r="HE27" s="283"/>
      <c r="HF27" s="283"/>
      <c r="HG27" s="283"/>
      <c r="HH27" s="283"/>
      <c r="HI27" s="283"/>
      <c r="HJ27" s="283"/>
      <c r="HK27" s="283"/>
      <c r="HL27" s="283"/>
      <c r="HM27" s="283"/>
      <c r="HN27" s="283"/>
      <c r="HO27" s="283"/>
      <c r="HP27" s="283"/>
      <c r="HQ27" s="283"/>
      <c r="HR27" s="283"/>
      <c r="HS27" s="283"/>
      <c r="HT27" s="283"/>
      <c r="HU27" s="283"/>
      <c r="HV27" s="283"/>
      <c r="HW27" s="283"/>
      <c r="HX27" s="283"/>
      <c r="HY27" s="283"/>
      <c r="HZ27" s="283"/>
      <c r="IA27" s="283"/>
      <c r="IB27" s="283"/>
      <c r="IC27" s="283"/>
      <c r="ID27" s="283"/>
      <c r="IE27" s="283"/>
      <c r="IF27" s="283"/>
      <c r="IG27" s="283"/>
      <c r="IH27" s="283"/>
      <c r="II27" s="283"/>
      <c r="IJ27" s="283"/>
      <c r="IK27" s="283"/>
      <c r="IL27" s="283"/>
      <c r="IM27" s="283"/>
      <c r="IN27" s="283"/>
      <c r="IO27" s="283"/>
      <c r="IP27" s="283"/>
      <c r="IQ27" s="283"/>
      <c r="IR27" s="283"/>
      <c r="IS27" s="283"/>
      <c r="IT27" s="283"/>
      <c r="IU27" s="283"/>
      <c r="IV27" s="283"/>
      <c r="IW27" s="283"/>
      <c r="IX27" s="283"/>
      <c r="IY27" s="283"/>
      <c r="IZ27" s="283"/>
      <c r="JA27" s="283"/>
      <c r="JB27" s="283"/>
      <c r="JC27" s="283"/>
      <c r="JD27" s="283"/>
      <c r="JE27" s="283"/>
      <c r="JF27" s="283"/>
      <c r="JG27" s="283"/>
      <c r="JH27" s="283"/>
      <c r="JI27" s="283"/>
      <c r="JJ27" s="283"/>
      <c r="JK27" s="283"/>
      <c r="JL27" s="283"/>
      <c r="JM27" s="283"/>
      <c r="JN27" s="283"/>
      <c r="JO27" s="283"/>
      <c r="JP27" s="283"/>
      <c r="JQ27" s="283"/>
      <c r="JR27" s="283"/>
      <c r="JS27" s="283"/>
      <c r="JT27" s="283"/>
      <c r="JU27" s="283"/>
      <c r="JV27" s="283"/>
      <c r="JW27" s="283"/>
      <c r="JX27" s="283"/>
      <c r="JY27" s="283"/>
      <c r="JZ27" s="283"/>
      <c r="KA27" s="283"/>
      <c r="KB27" s="283"/>
      <c r="KC27" s="283"/>
      <c r="KD27" s="283"/>
      <c r="KE27" s="283"/>
      <c r="KF27" s="283"/>
      <c r="KG27" s="283"/>
      <c r="KH27" s="283"/>
      <c r="KI27" s="283"/>
      <c r="KJ27" s="283"/>
      <c r="KK27" s="283"/>
    </row>
    <row r="28" spans="1:297" s="252" customFormat="1" ht="13.7" hidden="1" customHeight="1">
      <c r="A28" s="93" t="s">
        <v>559</v>
      </c>
      <c r="B28" s="102">
        <v>3.7</v>
      </c>
      <c r="C28" s="112"/>
      <c r="D28" s="284"/>
    </row>
    <row r="29" spans="1:297" s="252" customFormat="1" ht="13.7" hidden="1" customHeight="1">
      <c r="A29" s="93" t="s">
        <v>565</v>
      </c>
      <c r="B29" s="102">
        <v>3.8</v>
      </c>
      <c r="C29" s="112"/>
      <c r="D29" s="284"/>
    </row>
    <row r="30" spans="1:297" s="252" customFormat="1" ht="13.7" hidden="1" customHeight="1">
      <c r="A30" s="93" t="s">
        <v>566</v>
      </c>
      <c r="B30" s="102">
        <v>3.9</v>
      </c>
      <c r="C30" s="112"/>
      <c r="D30" s="284"/>
    </row>
    <row r="31" spans="1:297" s="252" customFormat="1" ht="13.7" hidden="1" customHeight="1">
      <c r="A31" s="93" t="s">
        <v>567</v>
      </c>
      <c r="B31" s="102">
        <v>4</v>
      </c>
      <c r="C31" s="112"/>
      <c r="D31" s="284"/>
    </row>
    <row r="32" spans="1:297" s="252" customFormat="1" ht="13.7" hidden="1" customHeight="1">
      <c r="A32" s="93" t="s">
        <v>568</v>
      </c>
      <c r="B32" s="102">
        <v>4.0999999999999996</v>
      </c>
      <c r="C32" s="112"/>
      <c r="D32" s="284"/>
    </row>
    <row r="33" spans="1:4" s="252" customFormat="1" ht="13.7" hidden="1" customHeight="1">
      <c r="A33" s="93" t="s">
        <v>569</v>
      </c>
      <c r="B33" s="102">
        <v>4.0999999999999996</v>
      </c>
      <c r="C33" s="112"/>
      <c r="D33" s="284"/>
    </row>
    <row r="34" spans="1:4" s="252" customFormat="1" ht="13.7" hidden="1" customHeight="1">
      <c r="A34" s="93" t="s">
        <v>570</v>
      </c>
      <c r="B34" s="102">
        <v>4.2</v>
      </c>
      <c r="C34" s="112"/>
      <c r="D34" s="284"/>
    </row>
    <row r="35" spans="1:4" s="252" customFormat="1" ht="13.7" hidden="1" customHeight="1">
      <c r="A35" s="93" t="s">
        <v>571</v>
      </c>
      <c r="B35" s="102">
        <v>4.3</v>
      </c>
      <c r="C35" s="112"/>
      <c r="D35" s="284"/>
    </row>
    <row r="36" spans="1:4" s="252" customFormat="1" ht="13.7" hidden="1" customHeight="1">
      <c r="A36" s="93" t="s">
        <v>572</v>
      </c>
      <c r="B36" s="102">
        <v>4.4000000000000004</v>
      </c>
      <c r="C36" s="112"/>
      <c r="D36" s="284"/>
    </row>
    <row r="37" spans="1:4" s="252" customFormat="1" ht="13.7" hidden="1" customHeight="1">
      <c r="A37" s="93" t="s">
        <v>573</v>
      </c>
      <c r="B37" s="102">
        <v>4.5999999999999996</v>
      </c>
      <c r="C37" s="112"/>
      <c r="D37" s="284"/>
    </row>
    <row r="38" spans="1:4" s="252" customFormat="1" ht="13.7" hidden="1" customHeight="1">
      <c r="A38" s="93" t="s">
        <v>574</v>
      </c>
      <c r="B38" s="102">
        <v>4.8</v>
      </c>
      <c r="C38" s="112"/>
      <c r="D38" s="284"/>
    </row>
    <row r="39" spans="1:4" s="252" customFormat="1" ht="13.7" hidden="1" customHeight="1">
      <c r="A39" s="93" t="s">
        <v>575</v>
      </c>
      <c r="B39" s="102">
        <v>5.0999999999999996</v>
      </c>
      <c r="C39" s="112"/>
      <c r="D39" s="284"/>
    </row>
    <row r="40" spans="1:4" s="252" customFormat="1" ht="13.7" hidden="1" customHeight="1">
      <c r="A40" s="93" t="s">
        <v>576</v>
      </c>
      <c r="B40" s="102">
        <v>5.3</v>
      </c>
      <c r="C40" s="112"/>
      <c r="D40" s="284"/>
    </row>
    <row r="41" spans="1:4" s="252" customFormat="1" ht="13.7" hidden="1" customHeight="1">
      <c r="A41" s="93" t="s">
        <v>577</v>
      </c>
      <c r="B41" s="102">
        <v>5.7</v>
      </c>
      <c r="C41" s="112"/>
      <c r="D41" s="284"/>
    </row>
    <row r="42" spans="1:4" s="252" customFormat="1" ht="13.7" hidden="1" customHeight="1">
      <c r="A42" s="93" t="s">
        <v>578</v>
      </c>
      <c r="B42" s="102">
        <v>5.9</v>
      </c>
      <c r="C42" s="112"/>
      <c r="D42" s="284"/>
    </row>
    <row r="43" spans="1:4" s="252" customFormat="1" ht="13.7" hidden="1" customHeight="1">
      <c r="A43" s="93" t="s">
        <v>579</v>
      </c>
      <c r="B43" s="102">
        <v>6.1</v>
      </c>
      <c r="C43" s="112"/>
      <c r="D43" s="284"/>
    </row>
    <row r="44" spans="1:4" s="252" customFormat="1" ht="13.7" hidden="1" customHeight="1">
      <c r="A44" s="93" t="s">
        <v>580</v>
      </c>
      <c r="B44" s="102">
        <v>6.2</v>
      </c>
      <c r="C44" s="112"/>
      <c r="D44" s="284"/>
    </row>
    <row r="45" spans="1:4" s="252" customFormat="1" ht="13.7" hidden="1" customHeight="1">
      <c r="A45" s="93" t="s">
        <v>581</v>
      </c>
      <c r="B45" s="102">
        <v>6.3</v>
      </c>
      <c r="C45" s="112"/>
      <c r="D45" s="284"/>
    </row>
    <row r="46" spans="1:4" s="252" customFormat="1" ht="13.7" hidden="1" customHeight="1">
      <c r="A46" s="93" t="s">
        <v>582</v>
      </c>
      <c r="B46" s="102">
        <v>6.3</v>
      </c>
      <c r="C46" s="112"/>
      <c r="D46" s="284"/>
    </row>
    <row r="47" spans="1:4" s="252" customFormat="1" ht="13.7" hidden="1" customHeight="1">
      <c r="A47" s="93" t="s">
        <v>583</v>
      </c>
      <c r="B47" s="102">
        <v>6.4</v>
      </c>
      <c r="C47" s="112"/>
      <c r="D47" s="284"/>
    </row>
    <row r="48" spans="1:4" s="252" customFormat="1" ht="13.7" hidden="1" customHeight="1">
      <c r="A48" s="93" t="s">
        <v>584</v>
      </c>
      <c r="B48" s="102">
        <v>6.5</v>
      </c>
      <c r="C48" s="112"/>
      <c r="D48" s="284"/>
    </row>
    <row r="49" spans="1:4" s="252" customFormat="1" ht="13.7" hidden="1" customHeight="1">
      <c r="A49" s="93" t="s">
        <v>585</v>
      </c>
      <c r="B49" s="102">
        <v>6.4</v>
      </c>
      <c r="C49" s="112"/>
      <c r="D49" s="284"/>
    </row>
    <row r="50" spans="1:4" s="252" customFormat="1" ht="13.7" hidden="1" customHeight="1">
      <c r="A50" s="93" t="s">
        <v>586</v>
      </c>
      <c r="B50" s="102">
        <v>6.5</v>
      </c>
      <c r="C50" s="112"/>
      <c r="D50" s="284"/>
    </row>
    <row r="51" spans="1:4" s="252" customFormat="1" ht="13.7" hidden="1" customHeight="1">
      <c r="A51" s="93" t="s">
        <v>587</v>
      </c>
      <c r="B51" s="102">
        <v>6.5</v>
      </c>
      <c r="C51" s="112"/>
      <c r="D51" s="284"/>
    </row>
    <row r="52" spans="1:4" s="252" customFormat="1" ht="13.7" hidden="1" customHeight="1">
      <c r="A52" s="93" t="s">
        <v>588</v>
      </c>
      <c r="B52" s="102">
        <v>6.5</v>
      </c>
      <c r="C52" s="112"/>
      <c r="D52" s="284"/>
    </row>
    <row r="53" spans="1:4" s="252" customFormat="1" ht="13.7" hidden="1" customHeight="1">
      <c r="A53" s="93" t="s">
        <v>589</v>
      </c>
      <c r="B53" s="102">
        <v>6.5</v>
      </c>
      <c r="C53" s="112"/>
      <c r="D53" s="284"/>
    </row>
    <row r="54" spans="1:4" s="252" customFormat="1" ht="13.7" hidden="1" customHeight="1">
      <c r="A54" s="93" t="s">
        <v>590</v>
      </c>
      <c r="B54" s="102">
        <v>6.5</v>
      </c>
      <c r="C54" s="112"/>
      <c r="D54" s="284"/>
    </row>
    <row r="55" spans="1:4" s="252" customFormat="1" ht="13.7" hidden="1" customHeight="1">
      <c r="A55" s="93" t="s">
        <v>591</v>
      </c>
      <c r="B55" s="102">
        <v>6.6</v>
      </c>
      <c r="C55" s="112"/>
      <c r="D55" s="284"/>
    </row>
    <row r="56" spans="1:4" s="252" customFormat="1" ht="13.7" hidden="1" customHeight="1">
      <c r="A56" s="93" t="s">
        <v>592</v>
      </c>
      <c r="B56" s="102">
        <v>6.6</v>
      </c>
      <c r="C56" s="112"/>
      <c r="D56" s="284"/>
    </row>
    <row r="57" spans="1:4" s="252" customFormat="1" ht="13.7" hidden="1" customHeight="1">
      <c r="A57" s="93" t="s">
        <v>593</v>
      </c>
      <c r="B57" s="102">
        <v>6.7</v>
      </c>
      <c r="C57" s="112"/>
      <c r="D57" s="284"/>
    </row>
    <row r="58" spans="1:4" s="252" customFormat="1" ht="13.7" hidden="1" customHeight="1">
      <c r="A58" s="93" t="s">
        <v>594</v>
      </c>
      <c r="B58" s="102">
        <v>6.7</v>
      </c>
      <c r="C58" s="112"/>
      <c r="D58" s="284"/>
    </row>
    <row r="59" spans="1:4" s="252" customFormat="1" ht="13.7" hidden="1" customHeight="1">
      <c r="A59" s="93" t="s">
        <v>595</v>
      </c>
      <c r="B59" s="102">
        <v>7</v>
      </c>
      <c r="C59" s="112"/>
      <c r="D59" s="284"/>
    </row>
    <row r="60" spans="1:4" s="252" customFormat="1" ht="13.7" hidden="1" customHeight="1">
      <c r="A60" s="93" t="s">
        <v>596</v>
      </c>
      <c r="B60" s="102">
        <v>7.1</v>
      </c>
      <c r="C60" s="112"/>
      <c r="D60" s="284"/>
    </row>
    <row r="61" spans="1:4" s="252" customFormat="1" ht="13.7" hidden="1" customHeight="1">
      <c r="A61" s="93" t="s">
        <v>597</v>
      </c>
      <c r="B61" s="102">
        <v>7.1</v>
      </c>
      <c r="C61" s="112"/>
      <c r="D61" s="284"/>
    </row>
    <row r="62" spans="1:4" s="252" customFormat="1" ht="13.7" hidden="1" customHeight="1">
      <c r="A62" s="93" t="s">
        <v>598</v>
      </c>
      <c r="B62" s="102">
        <v>7.1</v>
      </c>
      <c r="C62" s="112"/>
      <c r="D62" s="284"/>
    </row>
    <row r="63" spans="1:4" s="252" customFormat="1" ht="13.7" hidden="1" customHeight="1">
      <c r="A63" s="93" t="s">
        <v>599</v>
      </c>
      <c r="B63" s="102">
        <v>7.2</v>
      </c>
      <c r="C63" s="112"/>
      <c r="D63" s="284"/>
    </row>
    <row r="64" spans="1:4" s="252" customFormat="1" ht="13.7" hidden="1" customHeight="1">
      <c r="A64" s="93" t="s">
        <v>600</v>
      </c>
      <c r="B64" s="102">
        <v>7.2</v>
      </c>
      <c r="C64" s="112"/>
      <c r="D64" s="284"/>
    </row>
    <row r="65" spans="1:4" s="252" customFormat="1" ht="13.7" hidden="1" customHeight="1">
      <c r="A65" s="93" t="s">
        <v>601</v>
      </c>
      <c r="B65" s="102">
        <v>7.2</v>
      </c>
      <c r="C65" s="112"/>
      <c r="D65" s="284"/>
    </row>
    <row r="66" spans="1:4" s="252" customFormat="1" ht="13.7" hidden="1" customHeight="1">
      <c r="A66" s="93" t="s">
        <v>602</v>
      </c>
      <c r="B66" s="102">
        <v>7.2</v>
      </c>
      <c r="C66" s="112"/>
      <c r="D66" s="284"/>
    </row>
    <row r="67" spans="1:4" s="252" customFormat="1" ht="13.7" hidden="1" customHeight="1">
      <c r="A67" s="93" t="s">
        <v>603</v>
      </c>
      <c r="B67" s="102">
        <v>7.2</v>
      </c>
      <c r="C67" s="112"/>
      <c r="D67" s="284"/>
    </row>
    <row r="68" spans="1:4" s="252" customFormat="1" ht="13.7" hidden="1" customHeight="1">
      <c r="A68" s="93" t="s">
        <v>604</v>
      </c>
      <c r="B68" s="102">
        <v>7.2</v>
      </c>
      <c r="C68" s="112"/>
      <c r="D68" s="284"/>
    </row>
    <row r="69" spans="1:4" s="252" customFormat="1" ht="13.7" hidden="1" customHeight="1">
      <c r="A69" s="93" t="s">
        <v>605</v>
      </c>
      <c r="B69" s="102">
        <v>7.3</v>
      </c>
      <c r="C69" s="112"/>
      <c r="D69" s="284"/>
    </row>
    <row r="70" spans="1:4" s="252" customFormat="1" ht="13.7" hidden="1" customHeight="1">
      <c r="A70" s="93" t="s">
        <v>606</v>
      </c>
      <c r="B70" s="102">
        <v>7.3</v>
      </c>
      <c r="C70" s="112"/>
      <c r="D70" s="284"/>
    </row>
    <row r="71" spans="1:4" s="252" customFormat="1" ht="13.7" hidden="1" customHeight="1">
      <c r="A71" s="93" t="s">
        <v>607</v>
      </c>
      <c r="B71" s="102">
        <v>7.3</v>
      </c>
      <c r="C71" s="112"/>
      <c r="D71" s="284"/>
    </row>
    <row r="72" spans="1:4" s="252" customFormat="1" ht="13.7" hidden="1" customHeight="1">
      <c r="A72" s="93" t="s">
        <v>608</v>
      </c>
      <c r="B72" s="102">
        <v>7.4</v>
      </c>
      <c r="C72" s="112"/>
      <c r="D72" s="284"/>
    </row>
    <row r="73" spans="1:4" s="252" customFormat="1" ht="13.7" hidden="1" customHeight="1">
      <c r="A73" s="93" t="s">
        <v>609</v>
      </c>
      <c r="B73" s="102">
        <v>7.5</v>
      </c>
      <c r="C73" s="112"/>
      <c r="D73" s="284"/>
    </row>
    <row r="74" spans="1:4" s="252" customFormat="1" ht="13.7" hidden="1" customHeight="1">
      <c r="A74" s="93" t="s">
        <v>610</v>
      </c>
      <c r="B74" s="102">
        <v>7.5</v>
      </c>
      <c r="C74" s="112"/>
      <c r="D74" s="284"/>
    </row>
    <row r="75" spans="1:4" s="252" customFormat="1" ht="13.7" hidden="1" customHeight="1">
      <c r="A75" s="93" t="s">
        <v>611</v>
      </c>
      <c r="B75" s="102">
        <v>7.6</v>
      </c>
      <c r="C75" s="112"/>
      <c r="D75" s="284"/>
    </row>
    <row r="76" spans="1:4" s="252" customFormat="1" ht="13.7" hidden="1" customHeight="1">
      <c r="A76" s="93" t="s">
        <v>612</v>
      </c>
      <c r="B76" s="102">
        <v>7.7</v>
      </c>
      <c r="C76" s="112"/>
      <c r="D76" s="284"/>
    </row>
    <row r="77" spans="1:4" s="252" customFormat="1" ht="13.7" hidden="1" customHeight="1">
      <c r="A77" s="93" t="s">
        <v>613</v>
      </c>
      <c r="B77" s="102">
        <v>7.8</v>
      </c>
      <c r="C77" s="112"/>
      <c r="D77" s="284"/>
    </row>
    <row r="78" spans="1:4" s="252" customFormat="1" ht="13.7" hidden="1" customHeight="1">
      <c r="A78" s="93" t="s">
        <v>614</v>
      </c>
      <c r="B78" s="102">
        <v>7.8</v>
      </c>
      <c r="C78" s="112"/>
      <c r="D78" s="284"/>
    </row>
    <row r="79" spans="1:4" s="252" customFormat="1" ht="13.7" hidden="1" customHeight="1">
      <c r="A79" s="93" t="s">
        <v>615</v>
      </c>
      <c r="B79" s="102">
        <v>7.9</v>
      </c>
      <c r="C79" s="112"/>
      <c r="D79" s="284"/>
    </row>
    <row r="80" spans="1:4" s="252" customFormat="1" ht="13.7" hidden="1" customHeight="1">
      <c r="A80" s="93" t="s">
        <v>616</v>
      </c>
      <c r="B80" s="102">
        <v>7.8</v>
      </c>
      <c r="C80" s="112"/>
      <c r="D80" s="284"/>
    </row>
    <row r="81" spans="1:4" s="252" customFormat="1" ht="13.7" hidden="1" customHeight="1">
      <c r="A81" s="93" t="s">
        <v>617</v>
      </c>
      <c r="B81" s="102">
        <v>7.8</v>
      </c>
      <c r="C81" s="112"/>
      <c r="D81" s="284"/>
    </row>
    <row r="82" spans="1:4" s="252" customFormat="1" ht="13.7" hidden="1" customHeight="1">
      <c r="A82" s="93" t="s">
        <v>618</v>
      </c>
      <c r="B82" s="102">
        <v>7.8</v>
      </c>
      <c r="C82" s="112"/>
      <c r="D82" s="284"/>
    </row>
    <row r="83" spans="1:4" s="252" customFormat="1" ht="13.7" hidden="1" customHeight="1">
      <c r="A83" s="93" t="s">
        <v>619</v>
      </c>
      <c r="B83" s="102">
        <v>7.8</v>
      </c>
      <c r="C83" s="112"/>
      <c r="D83" s="284"/>
    </row>
    <row r="84" spans="1:4" s="252" customFormat="1" ht="13.7" hidden="1" customHeight="1">
      <c r="A84" s="93" t="s">
        <v>620</v>
      </c>
      <c r="B84" s="102">
        <v>7.8</v>
      </c>
      <c r="C84" s="112"/>
      <c r="D84" s="284"/>
    </row>
    <row r="85" spans="1:4" s="252" customFormat="1" ht="13.7" hidden="1" customHeight="1">
      <c r="A85" s="93" t="s">
        <v>621</v>
      </c>
      <c r="B85" s="102">
        <v>7.8</v>
      </c>
      <c r="C85" s="112"/>
      <c r="D85" s="284"/>
    </row>
    <row r="86" spans="1:4" s="252" customFormat="1" ht="13.7" hidden="1" customHeight="1">
      <c r="A86" s="93" t="s">
        <v>622</v>
      </c>
      <c r="B86" s="102">
        <v>7.8</v>
      </c>
      <c r="C86" s="112"/>
      <c r="D86" s="284"/>
    </row>
    <row r="87" spans="1:4" s="252" customFormat="1" ht="13.7" hidden="1" customHeight="1">
      <c r="A87" s="93" t="s">
        <v>623</v>
      </c>
      <c r="B87" s="102">
        <v>7.8</v>
      </c>
      <c r="C87" s="112"/>
      <c r="D87" s="284"/>
    </row>
    <row r="88" spans="1:4" s="252" customFormat="1" ht="13.7" hidden="1" customHeight="1">
      <c r="A88" s="93" t="s">
        <v>624</v>
      </c>
      <c r="B88" s="102">
        <v>7.9</v>
      </c>
      <c r="C88" s="112"/>
      <c r="D88" s="284"/>
    </row>
    <row r="89" spans="1:4" s="252" customFormat="1" ht="13.7" hidden="1" customHeight="1">
      <c r="A89" s="93" t="s">
        <v>625</v>
      </c>
      <c r="B89" s="102">
        <v>7.9</v>
      </c>
      <c r="C89" s="112"/>
      <c r="D89" s="284"/>
    </row>
    <row r="90" spans="1:4" s="252" customFormat="1" ht="13.7" hidden="1" customHeight="1">
      <c r="A90" s="93" t="s">
        <v>626</v>
      </c>
      <c r="B90" s="102">
        <v>8</v>
      </c>
      <c r="C90" s="112"/>
      <c r="D90" s="284"/>
    </row>
    <row r="91" spans="1:4" s="252" customFormat="1" ht="13.7" hidden="1" customHeight="1">
      <c r="A91" s="93" t="s">
        <v>627</v>
      </c>
      <c r="B91" s="102">
        <v>8</v>
      </c>
      <c r="C91" s="112"/>
      <c r="D91" s="284"/>
    </row>
    <row r="92" spans="1:4" s="252" customFormat="1" ht="13.7" hidden="1" customHeight="1">
      <c r="A92" s="93" t="s">
        <v>628</v>
      </c>
      <c r="B92" s="102">
        <v>8.1</v>
      </c>
      <c r="C92" s="112"/>
      <c r="D92" s="284"/>
    </row>
    <row r="93" spans="1:4" s="252" customFormat="1" ht="13.7" hidden="1" customHeight="1">
      <c r="A93" s="93" t="s">
        <v>629</v>
      </c>
      <c r="B93" s="102">
        <v>8.1999999999999993</v>
      </c>
      <c r="C93" s="112"/>
      <c r="D93" s="284"/>
    </row>
    <row r="94" spans="1:4" s="252" customFormat="1" ht="13.7" hidden="1" customHeight="1">
      <c r="A94" s="93" t="s">
        <v>630</v>
      </c>
      <c r="B94" s="102">
        <v>8.1999999999999993</v>
      </c>
      <c r="C94" s="112"/>
      <c r="D94" s="284"/>
    </row>
    <row r="95" spans="1:4" s="252" customFormat="1" ht="13.7" hidden="1" customHeight="1">
      <c r="A95" s="93" t="s">
        <v>631</v>
      </c>
      <c r="B95" s="102">
        <v>8.3000000000000007</v>
      </c>
      <c r="C95" s="112"/>
      <c r="D95" s="284"/>
    </row>
    <row r="96" spans="1:4" s="252" customFormat="1" ht="13.7" hidden="1" customHeight="1">
      <c r="A96" s="93" t="s">
        <v>632</v>
      </c>
      <c r="B96" s="102">
        <v>8.4</v>
      </c>
      <c r="C96" s="112"/>
      <c r="D96" s="284"/>
    </row>
    <row r="97" spans="1:4" s="252" customFormat="1" ht="13.7" hidden="1" customHeight="1">
      <c r="A97" s="93" t="s">
        <v>633</v>
      </c>
      <c r="B97" s="102">
        <v>8.5</v>
      </c>
      <c r="C97" s="112"/>
      <c r="D97" s="284"/>
    </row>
    <row r="98" spans="1:4" s="252" customFormat="1" ht="13.7" hidden="1" customHeight="1">
      <c r="A98" s="93" t="s">
        <v>634</v>
      </c>
      <c r="B98" s="102">
        <v>8.6</v>
      </c>
      <c r="C98" s="112"/>
      <c r="D98" s="284"/>
    </row>
    <row r="99" spans="1:4" s="252" customFormat="1" ht="13.7" hidden="1" customHeight="1">
      <c r="A99" s="93" t="s">
        <v>635</v>
      </c>
      <c r="B99" s="102">
        <v>8.6</v>
      </c>
      <c r="C99" s="112"/>
      <c r="D99" s="284"/>
    </row>
    <row r="100" spans="1:4" s="252" customFormat="1" ht="13.7" hidden="1" customHeight="1">
      <c r="A100" s="93" t="s">
        <v>636</v>
      </c>
      <c r="B100" s="102">
        <v>8.6</v>
      </c>
      <c r="C100" s="112"/>
      <c r="D100" s="284"/>
    </row>
    <row r="101" spans="1:4" s="252" customFormat="1" ht="13.7" hidden="1" customHeight="1">
      <c r="A101" s="93" t="s">
        <v>637</v>
      </c>
      <c r="B101" s="102">
        <v>8.6999999999999993</v>
      </c>
      <c r="C101" s="112"/>
      <c r="D101" s="284"/>
    </row>
    <row r="102" spans="1:4" s="252" customFormat="1" ht="13.7" hidden="1" customHeight="1">
      <c r="A102" s="93" t="s">
        <v>638</v>
      </c>
      <c r="B102" s="102">
        <v>8.8000000000000007</v>
      </c>
      <c r="C102" s="112"/>
      <c r="D102" s="284"/>
    </row>
    <row r="103" spans="1:4" s="252" customFormat="1" ht="13.7" hidden="1" customHeight="1">
      <c r="A103" s="93" t="s">
        <v>639</v>
      </c>
      <c r="B103" s="102">
        <v>8.9</v>
      </c>
      <c r="C103" s="112"/>
      <c r="D103" s="284"/>
    </row>
    <row r="104" spans="1:4" s="252" customFormat="1" ht="13.7" hidden="1" customHeight="1">
      <c r="A104" s="93" t="s">
        <v>640</v>
      </c>
      <c r="B104" s="102">
        <v>9</v>
      </c>
      <c r="C104" s="112"/>
      <c r="D104" s="284"/>
    </row>
    <row r="105" spans="1:4" s="252" customFormat="1" ht="13.7" hidden="1" customHeight="1">
      <c r="A105" s="93" t="s">
        <v>641</v>
      </c>
      <c r="B105" s="102">
        <v>9</v>
      </c>
      <c r="C105" s="112"/>
      <c r="D105" s="284"/>
    </row>
    <row r="106" spans="1:4" s="252" customFormat="1" ht="13.7" hidden="1" customHeight="1">
      <c r="A106" s="93" t="s">
        <v>642</v>
      </c>
      <c r="B106" s="102">
        <v>9.1</v>
      </c>
      <c r="C106" s="112"/>
      <c r="D106" s="284"/>
    </row>
    <row r="107" spans="1:4" s="252" customFormat="1" ht="13.7" hidden="1" customHeight="1">
      <c r="A107" s="93" t="s">
        <v>643</v>
      </c>
      <c r="B107" s="102">
        <v>9.1</v>
      </c>
      <c r="C107" s="112"/>
      <c r="D107" s="284"/>
    </row>
    <row r="108" spans="1:4" s="252" customFormat="1" ht="13.7" hidden="1" customHeight="1">
      <c r="A108" s="93" t="s">
        <v>644</v>
      </c>
      <c r="B108" s="102">
        <v>9.1999999999999993</v>
      </c>
      <c r="C108" s="112"/>
      <c r="D108" s="284"/>
    </row>
    <row r="109" spans="1:4" s="252" customFormat="1" ht="13.7" hidden="1" customHeight="1">
      <c r="A109" s="93" t="s">
        <v>645</v>
      </c>
      <c r="B109" s="102">
        <v>9.1999999999999993</v>
      </c>
      <c r="C109" s="112"/>
      <c r="D109" s="284"/>
    </row>
    <row r="110" spans="1:4" s="252" customFormat="1" ht="13.7" hidden="1" customHeight="1">
      <c r="A110" s="93" t="s">
        <v>646</v>
      </c>
      <c r="B110" s="102">
        <v>9.4</v>
      </c>
      <c r="C110" s="112"/>
      <c r="D110" s="284"/>
    </row>
    <row r="111" spans="1:4" s="252" customFormat="1" ht="13.7" hidden="1" customHeight="1">
      <c r="A111" s="93" t="s">
        <v>647</v>
      </c>
      <c r="B111" s="102">
        <v>9.4</v>
      </c>
      <c r="C111" s="112"/>
      <c r="D111" s="284"/>
    </row>
    <row r="112" spans="1:4" s="252" customFormat="1" ht="13.7" hidden="1" customHeight="1">
      <c r="A112" s="93" t="s">
        <v>648</v>
      </c>
      <c r="B112" s="102">
        <v>9.5</v>
      </c>
      <c r="C112" s="112"/>
      <c r="D112" s="284"/>
    </row>
    <row r="113" spans="1:4" s="252" customFormat="1" ht="13.7" hidden="1" customHeight="1">
      <c r="A113" s="93" t="s">
        <v>649</v>
      </c>
      <c r="B113" s="102">
        <v>9.5</v>
      </c>
      <c r="C113" s="112"/>
      <c r="D113" s="284"/>
    </row>
    <row r="114" spans="1:4" s="252" customFormat="1" ht="13.7" hidden="1" customHeight="1">
      <c r="A114" s="93" t="s">
        <v>650</v>
      </c>
      <c r="B114" s="102">
        <v>9.6</v>
      </c>
      <c r="C114" s="112"/>
      <c r="D114" s="284"/>
    </row>
    <row r="115" spans="1:4" s="252" customFormat="1" ht="13.7" hidden="1" customHeight="1">
      <c r="A115" s="93" t="s">
        <v>651</v>
      </c>
      <c r="B115" s="102">
        <v>9.6999999999999993</v>
      </c>
      <c r="C115" s="112"/>
      <c r="D115" s="284"/>
    </row>
    <row r="116" spans="1:4" s="252" customFormat="1" ht="13.7" hidden="1" customHeight="1">
      <c r="A116" s="93" t="s">
        <v>652</v>
      </c>
      <c r="B116" s="102">
        <v>9.8000000000000007</v>
      </c>
      <c r="C116" s="112"/>
      <c r="D116" s="284"/>
    </row>
    <row r="117" spans="1:4" s="252" customFormat="1" ht="13.7" hidden="1" customHeight="1">
      <c r="A117" s="93" t="s">
        <v>653</v>
      </c>
      <c r="B117" s="102">
        <v>10</v>
      </c>
      <c r="C117" s="112"/>
      <c r="D117" s="284"/>
    </row>
    <row r="118" spans="1:4" s="252" customFormat="1" ht="13.7" hidden="1" customHeight="1">
      <c r="A118" s="93" t="s">
        <v>654</v>
      </c>
      <c r="B118" s="102">
        <v>10.1</v>
      </c>
      <c r="C118" s="112"/>
      <c r="D118" s="284"/>
    </row>
    <row r="119" spans="1:4" s="252" customFormat="1" ht="13.7" hidden="1" customHeight="1">
      <c r="A119" s="93" t="s">
        <v>655</v>
      </c>
      <c r="B119" s="102">
        <v>10.199999999999999</v>
      </c>
      <c r="C119" s="112"/>
      <c r="D119" s="284"/>
    </row>
    <row r="120" spans="1:4" s="252" customFormat="1" ht="13.7" hidden="1" customHeight="1">
      <c r="A120" s="93" t="s">
        <v>656</v>
      </c>
      <c r="B120" s="102">
        <v>10.5</v>
      </c>
      <c r="C120" s="112"/>
      <c r="D120" s="284"/>
    </row>
    <row r="121" spans="1:4" s="252" customFormat="1" ht="13.7" hidden="1" customHeight="1">
      <c r="A121" s="93" t="s">
        <v>657</v>
      </c>
      <c r="B121" s="102">
        <v>10.7</v>
      </c>
      <c r="C121" s="112"/>
      <c r="D121" s="284"/>
    </row>
    <row r="122" spans="1:4" s="252" customFormat="1" ht="13.7" hidden="1" customHeight="1">
      <c r="A122" s="93" t="s">
        <v>658</v>
      </c>
      <c r="B122" s="102">
        <v>10.8</v>
      </c>
      <c r="C122" s="112"/>
      <c r="D122" s="284"/>
    </row>
    <row r="123" spans="1:4" s="252" customFormat="1" ht="13.7" hidden="1" customHeight="1">
      <c r="A123" s="93" t="s">
        <v>659</v>
      </c>
      <c r="B123" s="102">
        <v>10.9</v>
      </c>
      <c r="C123" s="112"/>
      <c r="D123" s="284"/>
    </row>
    <row r="124" spans="1:4" s="252" customFormat="1" ht="13.7" hidden="1" customHeight="1">
      <c r="A124" s="93" t="s">
        <v>660</v>
      </c>
      <c r="B124" s="102">
        <v>11.1</v>
      </c>
      <c r="C124" s="112"/>
      <c r="D124" s="284"/>
    </row>
    <row r="125" spans="1:4" s="252" customFormat="1" ht="13.7" hidden="1" customHeight="1">
      <c r="A125" s="93" t="s">
        <v>661</v>
      </c>
      <c r="B125" s="102">
        <v>11.2</v>
      </c>
      <c r="C125" s="112"/>
      <c r="D125" s="284"/>
    </row>
    <row r="126" spans="1:4" s="252" customFormat="1" ht="13.7" hidden="1" customHeight="1">
      <c r="A126" s="93" t="s">
        <v>662</v>
      </c>
      <c r="B126" s="102">
        <v>11.4</v>
      </c>
      <c r="C126" s="112"/>
      <c r="D126" s="284"/>
    </row>
    <row r="127" spans="1:4" s="252" customFormat="1" ht="13.7" hidden="1" customHeight="1">
      <c r="A127" s="93" t="s">
        <v>663</v>
      </c>
      <c r="B127" s="102">
        <v>11.8</v>
      </c>
      <c r="C127" s="112"/>
      <c r="D127" s="284"/>
    </row>
    <row r="128" spans="1:4" s="252" customFormat="1" ht="13.7" hidden="1" customHeight="1">
      <c r="A128" s="93" t="s">
        <v>664</v>
      </c>
      <c r="B128" s="102">
        <v>12.2</v>
      </c>
      <c r="C128" s="112"/>
      <c r="D128" s="284"/>
    </row>
    <row r="129" spans="1:4" s="252" customFormat="1" ht="13.7" hidden="1" customHeight="1">
      <c r="A129" s="93" t="s">
        <v>665</v>
      </c>
      <c r="B129" s="102">
        <v>12.6</v>
      </c>
      <c r="C129" s="112"/>
      <c r="D129" s="284"/>
    </row>
    <row r="130" spans="1:4" s="252" customFormat="1" ht="13.7" hidden="1" customHeight="1">
      <c r="A130" s="93" t="s">
        <v>666</v>
      </c>
      <c r="B130" s="102">
        <v>13</v>
      </c>
      <c r="C130" s="112"/>
      <c r="D130" s="284"/>
    </row>
    <row r="131" spans="1:4" s="252" customFormat="1" ht="13.7" hidden="1" customHeight="1">
      <c r="A131" s="93" t="s">
        <v>667</v>
      </c>
      <c r="B131" s="102">
        <v>13.5</v>
      </c>
      <c r="C131" s="112"/>
      <c r="D131" s="284"/>
    </row>
    <row r="132" spans="1:4" s="252" customFormat="1" ht="13.7" hidden="1" customHeight="1">
      <c r="A132" s="93" t="s">
        <v>668</v>
      </c>
      <c r="B132" s="102">
        <v>14.2</v>
      </c>
      <c r="C132" s="112"/>
      <c r="D132" s="284"/>
    </row>
    <row r="133" spans="1:4" s="252" customFormat="1" ht="13.7" hidden="1" customHeight="1">
      <c r="A133" s="93" t="s">
        <v>669</v>
      </c>
      <c r="B133" s="102">
        <v>14.7</v>
      </c>
      <c r="C133" s="112"/>
      <c r="D133" s="284"/>
    </row>
    <row r="134" spans="1:4" s="252" customFormat="1" ht="13.7" hidden="1" customHeight="1">
      <c r="A134" s="93" t="s">
        <v>670</v>
      </c>
      <c r="B134" s="102">
        <v>15.3</v>
      </c>
      <c r="C134" s="112"/>
      <c r="D134" s="284"/>
    </row>
    <row r="135" spans="1:4" s="252" customFormat="1" ht="13.7" hidden="1" customHeight="1">
      <c r="A135" s="93" t="s">
        <v>671</v>
      </c>
      <c r="B135" s="102">
        <v>15.8</v>
      </c>
      <c r="C135" s="112"/>
      <c r="D135" s="284"/>
    </row>
    <row r="136" spans="1:4" s="252" customFormat="1" ht="13.7" hidden="1" customHeight="1">
      <c r="A136" s="93" t="s">
        <v>672</v>
      </c>
      <c r="B136" s="102">
        <v>15.9</v>
      </c>
      <c r="C136" s="112"/>
      <c r="D136" s="284"/>
    </row>
    <row r="137" spans="1:4" s="252" customFormat="1" ht="13.7" hidden="1" customHeight="1">
      <c r="A137" s="93" t="s">
        <v>673</v>
      </c>
      <c r="B137" s="102">
        <v>16.8</v>
      </c>
      <c r="C137" s="112"/>
      <c r="D137" s="284"/>
    </row>
    <row r="138" spans="1:4" s="252" customFormat="1" ht="13.7" hidden="1" customHeight="1">
      <c r="A138" s="93" t="s">
        <v>674</v>
      </c>
      <c r="B138" s="102">
        <v>17.3</v>
      </c>
      <c r="C138" s="112"/>
      <c r="D138" s="284"/>
    </row>
    <row r="139" spans="1:4" s="252" customFormat="1" ht="13.7" hidden="1" customHeight="1">
      <c r="A139" s="93" t="s">
        <v>675</v>
      </c>
      <c r="B139" s="102">
        <v>17.7</v>
      </c>
      <c r="C139" s="112"/>
      <c r="D139" s="284"/>
    </row>
    <row r="140" spans="1:4" s="252" customFormat="1" ht="13.7" hidden="1" customHeight="1">
      <c r="A140" s="93" t="s">
        <v>676</v>
      </c>
      <c r="B140" s="102">
        <v>18.100000000000001</v>
      </c>
      <c r="C140" s="112"/>
      <c r="D140" s="284"/>
    </row>
    <row r="141" spans="1:4" s="252" customFormat="1" ht="13.7" hidden="1" customHeight="1">
      <c r="A141" s="93" t="s">
        <v>677</v>
      </c>
      <c r="B141" s="102">
        <v>19.2</v>
      </c>
      <c r="C141" s="112"/>
      <c r="D141" s="284"/>
    </row>
    <row r="142" spans="1:4" s="252" customFormat="1" ht="13.7" hidden="1" customHeight="1">
      <c r="A142" s="93" t="s">
        <v>678</v>
      </c>
      <c r="B142" s="102">
        <v>19.600000000000001</v>
      </c>
      <c r="C142" s="112"/>
      <c r="D142" s="284"/>
    </row>
    <row r="143" spans="1:4" s="252" customFormat="1" ht="13.7" hidden="1" customHeight="1">
      <c r="A143" s="93" t="s">
        <v>679</v>
      </c>
      <c r="B143" s="102">
        <v>20.100000000000001</v>
      </c>
      <c r="C143" s="112"/>
      <c r="D143" s="284"/>
    </row>
    <row r="144" spans="1:4" s="252" customFormat="1" ht="13.7" hidden="1" customHeight="1">
      <c r="A144" s="93" t="s">
        <v>680</v>
      </c>
      <c r="B144" s="102">
        <v>20.5</v>
      </c>
      <c r="C144" s="112"/>
      <c r="D144" s="284"/>
    </row>
    <row r="145" spans="1:4" s="252" customFormat="1" ht="13.7" hidden="1" customHeight="1">
      <c r="A145" s="93" t="s">
        <v>681</v>
      </c>
      <c r="B145" s="102">
        <v>21</v>
      </c>
      <c r="C145" s="112"/>
      <c r="D145" s="284"/>
    </row>
    <row r="146" spans="1:4" s="252" customFormat="1" ht="13.7" hidden="1" customHeight="1">
      <c r="A146" s="93" t="s">
        <v>682</v>
      </c>
      <c r="B146" s="102">
        <v>21.3</v>
      </c>
      <c r="C146" s="112"/>
      <c r="D146" s="284"/>
    </row>
    <row r="147" spans="1:4" s="252" customFormat="1" ht="13.7" hidden="1" customHeight="1">
      <c r="A147" s="93" t="s">
        <v>683</v>
      </c>
      <c r="B147" s="102">
        <v>21.7</v>
      </c>
      <c r="C147" s="112"/>
      <c r="D147" s="284"/>
    </row>
    <row r="148" spans="1:4" s="252" customFormat="1" ht="13.7" hidden="1" customHeight="1">
      <c r="A148" s="93" t="s">
        <v>684</v>
      </c>
      <c r="B148" s="102">
        <v>22.1</v>
      </c>
      <c r="C148" s="112"/>
      <c r="D148" s="284"/>
    </row>
    <row r="149" spans="1:4" s="252" customFormat="1" ht="13.7" hidden="1" customHeight="1">
      <c r="A149" s="93" t="s">
        <v>685</v>
      </c>
      <c r="B149" s="102">
        <v>22.6</v>
      </c>
      <c r="C149" s="112"/>
      <c r="D149" s="284"/>
    </row>
    <row r="150" spans="1:4" s="252" customFormat="1" ht="13.7" hidden="1" customHeight="1">
      <c r="A150" s="93" t="s">
        <v>686</v>
      </c>
      <c r="B150" s="102">
        <v>23</v>
      </c>
      <c r="C150" s="112"/>
      <c r="D150" s="284"/>
    </row>
    <row r="151" spans="1:4" s="252" customFormat="1" ht="13.7" hidden="1" customHeight="1">
      <c r="A151" s="93" t="s">
        <v>687</v>
      </c>
      <c r="B151" s="102">
        <v>23.6</v>
      </c>
      <c r="C151" s="112"/>
      <c r="D151" s="284"/>
    </row>
    <row r="152" spans="1:4" s="252" customFormat="1" ht="13.7" hidden="1" customHeight="1">
      <c r="A152" s="93" t="s">
        <v>688</v>
      </c>
      <c r="B152" s="102">
        <v>24.2</v>
      </c>
      <c r="C152" s="112"/>
      <c r="D152" s="284"/>
    </row>
    <row r="153" spans="1:4" s="252" customFormat="1" ht="13.7" hidden="1" customHeight="1">
      <c r="A153" s="93" t="s">
        <v>689</v>
      </c>
      <c r="B153" s="102">
        <v>24.9</v>
      </c>
      <c r="C153" s="112"/>
      <c r="D153" s="284"/>
    </row>
    <row r="154" spans="1:4" s="252" customFormat="1" ht="13.7" hidden="1" customHeight="1">
      <c r="A154" s="93" t="s">
        <v>690</v>
      </c>
      <c r="B154" s="102">
        <v>25.4</v>
      </c>
      <c r="C154" s="112"/>
      <c r="D154" s="284"/>
    </row>
    <row r="155" spans="1:4" s="252" customFormat="1" ht="13.7" hidden="1" customHeight="1">
      <c r="A155" s="93" t="s">
        <v>691</v>
      </c>
      <c r="B155" s="102">
        <v>26.2</v>
      </c>
      <c r="C155" s="112"/>
      <c r="D155" s="284"/>
    </row>
    <row r="156" spans="1:4" s="252" customFormat="1" ht="13.7" hidden="1" customHeight="1">
      <c r="A156" s="93" t="s">
        <v>692</v>
      </c>
      <c r="B156" s="102">
        <v>26.6</v>
      </c>
      <c r="C156" s="112"/>
      <c r="D156" s="284"/>
    </row>
    <row r="157" spans="1:4" s="252" customFormat="1" ht="13.7" hidden="1" customHeight="1">
      <c r="A157" s="93" t="s">
        <v>693</v>
      </c>
      <c r="B157" s="102">
        <v>27.2</v>
      </c>
      <c r="C157" s="112"/>
      <c r="D157" s="284"/>
    </row>
    <row r="158" spans="1:4" s="252" customFormat="1" ht="13.7" hidden="1" customHeight="1">
      <c r="A158" s="93" t="s">
        <v>694</v>
      </c>
      <c r="B158" s="102">
        <v>27.8</v>
      </c>
      <c r="C158" s="112"/>
      <c r="D158" s="284"/>
    </row>
    <row r="159" spans="1:4" s="252" customFormat="1" ht="13.7" hidden="1" customHeight="1">
      <c r="A159" s="93" t="s">
        <v>695</v>
      </c>
      <c r="B159" s="102">
        <v>28.4</v>
      </c>
      <c r="C159" s="112"/>
      <c r="D159" s="284"/>
    </row>
    <row r="160" spans="1:4" s="252" customFormat="1" ht="13.7" hidden="1" customHeight="1">
      <c r="A160" s="93" t="s">
        <v>696</v>
      </c>
      <c r="B160" s="102">
        <v>29</v>
      </c>
      <c r="C160" s="112"/>
      <c r="D160" s="284"/>
    </row>
    <row r="161" spans="1:4" s="252" customFormat="1" ht="13.7" hidden="1" customHeight="1">
      <c r="A161" s="93" t="s">
        <v>697</v>
      </c>
      <c r="B161" s="102">
        <v>30.2</v>
      </c>
      <c r="C161" s="112"/>
      <c r="D161" s="284"/>
    </row>
    <row r="162" spans="1:4" s="252" customFormat="1" ht="13.7" hidden="1" customHeight="1">
      <c r="A162" s="93" t="s">
        <v>698</v>
      </c>
      <c r="B162" s="102">
        <v>30.8</v>
      </c>
      <c r="C162" s="112"/>
      <c r="D162" s="284"/>
    </row>
    <row r="163" spans="1:4" s="252" customFormat="1" ht="13.7" hidden="1" customHeight="1">
      <c r="A163" s="93" t="s">
        <v>699</v>
      </c>
      <c r="B163" s="102">
        <v>31.5</v>
      </c>
      <c r="C163" s="112"/>
      <c r="D163" s="284"/>
    </row>
    <row r="164" spans="1:4" s="252" customFormat="1" ht="13.7" hidden="1" customHeight="1">
      <c r="A164" s="93" t="s">
        <v>700</v>
      </c>
      <c r="B164" s="102">
        <v>32.6</v>
      </c>
      <c r="C164" s="112"/>
      <c r="D164" s="284"/>
    </row>
    <row r="165" spans="1:4" s="252" customFormat="1" ht="13.7" hidden="1" customHeight="1">
      <c r="A165" s="93" t="s">
        <v>701</v>
      </c>
      <c r="B165" s="102">
        <v>33.6</v>
      </c>
      <c r="C165" s="112"/>
      <c r="D165" s="284"/>
    </row>
    <row r="166" spans="1:4" s="252" customFormat="1" ht="13.7" hidden="1" customHeight="1">
      <c r="A166" s="93" t="s">
        <v>702</v>
      </c>
      <c r="B166" s="102">
        <v>34.299999999999997</v>
      </c>
      <c r="C166" s="112"/>
      <c r="D166" s="284"/>
    </row>
    <row r="167" spans="1:4" s="252" customFormat="1" ht="13.7" hidden="1" customHeight="1">
      <c r="A167" s="93" t="s">
        <v>703</v>
      </c>
      <c r="B167" s="102">
        <v>35</v>
      </c>
      <c r="C167" s="112"/>
      <c r="D167" s="284"/>
    </row>
    <row r="168" spans="1:4" s="252" customFormat="1" ht="13.7" hidden="1" customHeight="1">
      <c r="A168" s="93" t="s">
        <v>704</v>
      </c>
      <c r="B168" s="102">
        <v>35.6</v>
      </c>
      <c r="C168" s="112"/>
      <c r="D168" s="284"/>
    </row>
    <row r="169" spans="1:4" s="252" customFormat="1" ht="13.7" hidden="1" customHeight="1">
      <c r="A169" s="93" t="s">
        <v>705</v>
      </c>
      <c r="B169" s="102">
        <v>36.5</v>
      </c>
      <c r="C169" s="112"/>
      <c r="D169" s="284"/>
    </row>
    <row r="170" spans="1:4" s="252" customFormat="1" ht="13.7" hidden="1" customHeight="1">
      <c r="A170" s="93" t="s">
        <v>706</v>
      </c>
      <c r="B170" s="102">
        <v>36.299999999999997</v>
      </c>
      <c r="C170" s="112"/>
      <c r="D170" s="284"/>
    </row>
    <row r="171" spans="1:4" s="252" customFormat="1" ht="13.7" hidden="1" customHeight="1">
      <c r="A171" s="93" t="s">
        <v>707</v>
      </c>
      <c r="B171" s="102">
        <v>36.4</v>
      </c>
      <c r="C171" s="112"/>
      <c r="D171" s="284"/>
    </row>
    <row r="172" spans="1:4" s="252" customFormat="1" ht="13.7" hidden="1" customHeight="1">
      <c r="A172" s="93" t="s">
        <v>708</v>
      </c>
      <c r="B172" s="102">
        <v>36.9</v>
      </c>
      <c r="C172" s="112"/>
      <c r="D172" s="284"/>
    </row>
    <row r="173" spans="1:4" s="252" customFormat="1" ht="13.7" hidden="1" customHeight="1">
      <c r="A173" s="93" t="s">
        <v>709</v>
      </c>
      <c r="B173" s="102">
        <v>37.4</v>
      </c>
      <c r="C173" s="112"/>
      <c r="D173" s="284"/>
    </row>
    <row r="174" spans="1:4" s="252" customFormat="1" ht="13.7" hidden="1" customHeight="1">
      <c r="A174" s="93" t="s">
        <v>710</v>
      </c>
      <c r="B174" s="102">
        <v>37.9</v>
      </c>
      <c r="C174" s="112"/>
      <c r="D174" s="284"/>
    </row>
    <row r="175" spans="1:4" s="252" customFormat="1" ht="13.7" hidden="1" customHeight="1">
      <c r="A175" s="93" t="s">
        <v>711</v>
      </c>
      <c r="B175" s="102">
        <v>38.799999999999997</v>
      </c>
      <c r="C175" s="112"/>
      <c r="D175" s="284"/>
    </row>
    <row r="176" spans="1:4" s="252" customFormat="1" ht="13.7" hidden="1" customHeight="1">
      <c r="A176" s="93" t="s">
        <v>712</v>
      </c>
      <c r="B176" s="102">
        <v>39.700000000000003</v>
      </c>
      <c r="C176" s="112"/>
      <c r="D176" s="284"/>
    </row>
    <row r="177" spans="1:4" s="252" customFormat="1" ht="13.7" hidden="1" customHeight="1">
      <c r="A177" s="93" t="s">
        <v>713</v>
      </c>
      <c r="B177" s="102">
        <v>40.5</v>
      </c>
      <c r="C177" s="112"/>
      <c r="D177" s="284"/>
    </row>
    <row r="178" spans="1:4" s="252" customFormat="1" ht="13.7" hidden="1" customHeight="1">
      <c r="A178" s="93" t="s">
        <v>714</v>
      </c>
      <c r="B178" s="102">
        <v>41.4</v>
      </c>
      <c r="C178" s="112"/>
      <c r="D178" s="284"/>
    </row>
    <row r="179" spans="1:4" s="252" customFormat="1" ht="13.7" hidden="1" customHeight="1">
      <c r="A179" s="93" t="s">
        <v>715</v>
      </c>
      <c r="B179" s="102">
        <v>42.1</v>
      </c>
      <c r="C179" s="112"/>
      <c r="D179" s="284"/>
    </row>
    <row r="180" spans="1:4" s="252" customFormat="1" ht="13.7" hidden="1" customHeight="1">
      <c r="A180" s="93" t="s">
        <v>716</v>
      </c>
      <c r="B180" s="102">
        <v>43.2</v>
      </c>
      <c r="C180" s="112"/>
      <c r="D180" s="284"/>
    </row>
    <row r="181" spans="1:4" s="252" customFormat="1" ht="13.7" hidden="1" customHeight="1">
      <c r="A181" s="93" t="s">
        <v>717</v>
      </c>
      <c r="B181" s="102">
        <v>44.4</v>
      </c>
      <c r="C181" s="112"/>
      <c r="D181" s="284"/>
    </row>
    <row r="182" spans="1:4" s="252" customFormat="1" ht="13.7" hidden="1" customHeight="1">
      <c r="A182" s="93" t="s">
        <v>718</v>
      </c>
      <c r="B182" s="102">
        <v>45.3</v>
      </c>
      <c r="C182" s="112"/>
      <c r="D182" s="284"/>
    </row>
    <row r="183" spans="1:4" s="252" customFormat="1" ht="13.7" hidden="1" customHeight="1">
      <c r="A183" s="93" t="s">
        <v>719</v>
      </c>
      <c r="B183" s="102">
        <v>46</v>
      </c>
      <c r="C183" s="112"/>
      <c r="D183" s="284"/>
    </row>
    <row r="184" spans="1:4" s="252" customFormat="1" ht="13.7" hidden="1" customHeight="1">
      <c r="A184" s="93" t="s">
        <v>720</v>
      </c>
      <c r="B184" s="102">
        <v>46.8</v>
      </c>
      <c r="C184" s="112"/>
      <c r="D184" s="284"/>
    </row>
    <row r="185" spans="1:4" s="252" customFormat="1" ht="13.7" hidden="1" customHeight="1">
      <c r="A185" s="93" t="s">
        <v>721</v>
      </c>
      <c r="B185" s="102">
        <v>47.6</v>
      </c>
      <c r="C185" s="112"/>
      <c r="D185" s="284"/>
    </row>
    <row r="186" spans="1:4" s="252" customFormat="1" ht="13.7" hidden="1" customHeight="1">
      <c r="A186" s="93" t="s">
        <v>722</v>
      </c>
      <c r="B186" s="102">
        <v>48.4</v>
      </c>
      <c r="C186" s="112"/>
      <c r="D186" s="284"/>
    </row>
    <row r="187" spans="1:4" s="252" customFormat="1" ht="13.7" hidden="1" customHeight="1">
      <c r="A187" s="93" t="s">
        <v>723</v>
      </c>
      <c r="B187" s="102">
        <v>49.3</v>
      </c>
      <c r="C187" s="112"/>
      <c r="D187" s="284"/>
    </row>
    <row r="188" spans="1:4" s="252" customFormat="1" ht="13.7" hidden="1" customHeight="1">
      <c r="A188" s="93" t="s">
        <v>724</v>
      </c>
      <c r="B188" s="102">
        <v>50.2</v>
      </c>
      <c r="C188" s="112"/>
      <c r="D188" s="284"/>
    </row>
    <row r="189" spans="1:4" s="252" customFormat="1" ht="13.7" hidden="1" customHeight="1">
      <c r="A189" s="93" t="s">
        <v>725</v>
      </c>
      <c r="B189" s="102">
        <v>51.2</v>
      </c>
      <c r="C189" s="112"/>
      <c r="D189" s="284"/>
    </row>
    <row r="190" spans="1:4" s="252" customFormat="1" ht="13.7" hidden="1" customHeight="1">
      <c r="A190" s="93" t="s">
        <v>726</v>
      </c>
      <c r="B190" s="102">
        <v>51.7</v>
      </c>
      <c r="C190" s="112"/>
      <c r="D190" s="284"/>
    </row>
    <row r="191" spans="1:4" s="252" customFormat="1" ht="13.7" hidden="1" customHeight="1">
      <c r="A191" s="93" t="s">
        <v>727</v>
      </c>
      <c r="B191" s="102">
        <v>53</v>
      </c>
      <c r="C191" s="112"/>
      <c r="D191" s="284"/>
    </row>
    <row r="192" spans="1:4" s="252" customFormat="1" ht="13.7" hidden="1" customHeight="1">
      <c r="A192" s="93" t="s">
        <v>728</v>
      </c>
      <c r="B192" s="102">
        <v>54.2</v>
      </c>
      <c r="C192" s="112"/>
      <c r="D192" s="284"/>
    </row>
    <row r="193" spans="1:4" s="252" customFormat="1" ht="13.7" hidden="1" customHeight="1">
      <c r="A193" s="93" t="s">
        <v>729</v>
      </c>
      <c r="B193" s="102">
        <v>55.2</v>
      </c>
      <c r="C193" s="112"/>
      <c r="D193" s="284"/>
    </row>
    <row r="194" spans="1:4" s="252" customFormat="1" ht="13.7" hidden="1" customHeight="1">
      <c r="A194" s="93" t="s">
        <v>730</v>
      </c>
      <c r="B194" s="102">
        <v>56.2</v>
      </c>
      <c r="C194" s="112"/>
      <c r="D194" s="284"/>
    </row>
    <row r="195" spans="1:4" s="252" customFormat="1" ht="13.7" hidden="1" customHeight="1">
      <c r="A195" s="93" t="s">
        <v>731</v>
      </c>
      <c r="B195" s="102">
        <v>57.1</v>
      </c>
      <c r="C195" s="112"/>
      <c r="D195" s="284"/>
    </row>
    <row r="196" spans="1:4" s="252" customFormat="1" ht="13.7" hidden="1" customHeight="1">
      <c r="A196" s="93" t="s">
        <v>732</v>
      </c>
      <c r="B196" s="102">
        <v>57.5</v>
      </c>
      <c r="C196" s="112"/>
      <c r="D196" s="284"/>
    </row>
    <row r="197" spans="1:4" s="252" customFormat="1" ht="13.7" hidden="1" customHeight="1">
      <c r="A197" s="93" t="s">
        <v>733</v>
      </c>
      <c r="B197" s="102">
        <v>59</v>
      </c>
      <c r="C197" s="112"/>
      <c r="D197" s="284"/>
    </row>
    <row r="198" spans="1:4" s="252" customFormat="1" ht="13.7" hidden="1" customHeight="1">
      <c r="A198" s="93" t="s">
        <v>734</v>
      </c>
      <c r="B198" s="102">
        <v>58.9</v>
      </c>
      <c r="C198" s="112"/>
      <c r="D198" s="284"/>
    </row>
    <row r="199" spans="1:4" s="252" customFormat="1" ht="13.7" hidden="1" customHeight="1">
      <c r="A199" s="93" t="s">
        <v>735</v>
      </c>
      <c r="B199" s="102">
        <v>59</v>
      </c>
      <c r="C199" s="112"/>
      <c r="D199" s="284"/>
    </row>
    <row r="200" spans="1:4" s="252" customFormat="1" ht="13.7" hidden="1" customHeight="1">
      <c r="A200" s="93" t="s">
        <v>736</v>
      </c>
      <c r="B200" s="102">
        <v>59.3</v>
      </c>
      <c r="C200" s="112"/>
      <c r="D200" s="284"/>
    </row>
    <row r="201" spans="1:4" s="252" customFormat="1" ht="13.7" hidden="1" customHeight="1">
      <c r="A201" s="93" t="s">
        <v>737</v>
      </c>
      <c r="B201" s="102">
        <v>59.9</v>
      </c>
      <c r="C201" s="112"/>
      <c r="D201" s="284"/>
    </row>
    <row r="202" spans="1:4" s="252" customFormat="1" ht="13.7" hidden="1" customHeight="1">
      <c r="A202" s="93" t="s">
        <v>738</v>
      </c>
      <c r="B202" s="102">
        <v>59.9</v>
      </c>
      <c r="C202" s="112"/>
      <c r="D202" s="284"/>
    </row>
    <row r="203" spans="1:4" s="252" customFormat="1" ht="13.7" hidden="1" customHeight="1">
      <c r="A203" s="93" t="s">
        <v>739</v>
      </c>
      <c r="B203" s="102">
        <v>59.7</v>
      </c>
      <c r="C203" s="112"/>
      <c r="D203" s="284"/>
    </row>
    <row r="204" spans="1:4" s="252" customFormat="1" ht="13.7" hidden="1" customHeight="1">
      <c r="A204" s="93" t="s">
        <v>740</v>
      </c>
      <c r="B204" s="102">
        <v>59.8</v>
      </c>
      <c r="C204" s="112"/>
      <c r="D204" s="284"/>
    </row>
    <row r="205" spans="1:4" s="252" customFormat="1" ht="13.7" hidden="1" customHeight="1">
      <c r="A205" s="93" t="s">
        <v>741</v>
      </c>
      <c r="B205" s="102">
        <v>60.1</v>
      </c>
      <c r="C205" s="112"/>
      <c r="D205" s="284"/>
    </row>
    <row r="206" spans="1:4" s="252" customFormat="1" ht="13.7" hidden="1" customHeight="1">
      <c r="A206" s="93" t="s">
        <v>742</v>
      </c>
      <c r="B206" s="102">
        <v>60.6</v>
      </c>
      <c r="C206" s="112"/>
      <c r="D206" s="284"/>
    </row>
    <row r="207" spans="1:4" s="252" customFormat="1" ht="13.7" hidden="1" customHeight="1">
      <c r="A207" s="93" t="s">
        <v>743</v>
      </c>
      <c r="B207" s="102">
        <v>60.8</v>
      </c>
      <c r="C207" s="112"/>
      <c r="D207" s="284"/>
    </row>
    <row r="208" spans="1:4" s="252" customFormat="1" ht="13.7" hidden="1" customHeight="1">
      <c r="A208" s="93" t="s">
        <v>744</v>
      </c>
      <c r="B208" s="102">
        <v>61.1</v>
      </c>
      <c r="C208" s="112"/>
      <c r="D208" s="284"/>
    </row>
    <row r="209" spans="1:4" s="252" customFormat="1" ht="13.7" hidden="1" customHeight="1">
      <c r="A209" s="93" t="s">
        <v>745</v>
      </c>
      <c r="B209" s="102">
        <v>61.2</v>
      </c>
      <c r="C209" s="112"/>
      <c r="D209" s="284"/>
    </row>
    <row r="210" spans="1:4" s="252" customFormat="1" ht="13.7" hidden="1" customHeight="1">
      <c r="A210" s="93" t="s">
        <v>746</v>
      </c>
      <c r="B210" s="102">
        <v>61.5</v>
      </c>
      <c r="C210" s="112"/>
      <c r="D210" s="284"/>
    </row>
    <row r="211" spans="1:4" s="252" customFormat="1" ht="13.7" hidden="1" customHeight="1">
      <c r="A211" s="93" t="s">
        <v>747</v>
      </c>
      <c r="B211" s="102">
        <v>61.9</v>
      </c>
      <c r="C211" s="112"/>
      <c r="D211" s="284"/>
    </row>
    <row r="212" spans="1:4" s="252" customFormat="1" ht="13.7" hidden="1" customHeight="1">
      <c r="A212" s="93" t="s">
        <v>748</v>
      </c>
      <c r="B212" s="102">
        <v>62.3</v>
      </c>
      <c r="C212" s="112"/>
      <c r="D212" s="284"/>
    </row>
    <row r="213" spans="1:4" s="252" customFormat="1" ht="13.7" hidden="1" customHeight="1">
      <c r="A213" s="93" t="s">
        <v>749</v>
      </c>
      <c r="B213" s="102">
        <v>62.8</v>
      </c>
      <c r="C213" s="112"/>
      <c r="D213" s="284"/>
    </row>
    <row r="214" spans="1:4" s="252" customFormat="1" ht="13.7" hidden="1" customHeight="1">
      <c r="A214" s="93" t="s">
        <v>750</v>
      </c>
      <c r="B214" s="102">
        <v>63.8</v>
      </c>
      <c r="C214" s="112"/>
      <c r="D214" s="284"/>
    </row>
    <row r="215" spans="1:4" s="252" customFormat="1" ht="13.7" hidden="1" customHeight="1">
      <c r="A215" s="93" t="s">
        <v>751</v>
      </c>
      <c r="B215" s="102">
        <v>64.7</v>
      </c>
      <c r="C215" s="112"/>
      <c r="D215" s="284"/>
    </row>
    <row r="216" spans="1:4" s="252" customFormat="1" ht="13.7" hidden="1" customHeight="1">
      <c r="A216" s="93" t="s">
        <v>752</v>
      </c>
      <c r="B216" s="102">
        <v>65.5</v>
      </c>
      <c r="C216" s="112"/>
      <c r="D216" s="284"/>
    </row>
    <row r="217" spans="1:4" s="252" customFormat="1" ht="13.7" hidden="1" customHeight="1">
      <c r="A217" s="93" t="s">
        <v>753</v>
      </c>
      <c r="B217" s="102">
        <v>66</v>
      </c>
      <c r="C217" s="112"/>
      <c r="D217" s="284"/>
    </row>
    <row r="218" spans="1:4" s="252" customFormat="1" ht="13.7" hidden="1" customHeight="1">
      <c r="A218" s="93" t="s">
        <v>754</v>
      </c>
      <c r="B218" s="102">
        <v>66.2</v>
      </c>
      <c r="C218" s="112"/>
      <c r="D218" s="284"/>
    </row>
    <row r="219" spans="1:4" s="252" customFormat="1" ht="13.7" hidden="1" customHeight="1">
      <c r="A219" s="93" t="s">
        <v>755</v>
      </c>
      <c r="B219" s="102">
        <v>66.7</v>
      </c>
      <c r="C219" s="112"/>
      <c r="D219" s="284"/>
    </row>
    <row r="220" spans="1:4" s="252" customFormat="1" ht="13.7" hidden="1" customHeight="1">
      <c r="A220" s="93" t="s">
        <v>756</v>
      </c>
      <c r="B220" s="102">
        <v>66.900000000000006</v>
      </c>
      <c r="C220" s="112"/>
      <c r="D220" s="284"/>
    </row>
    <row r="221" spans="1:4" s="252" customFormat="1" ht="13.7" hidden="1" customHeight="1">
      <c r="A221" s="93" t="s">
        <v>757</v>
      </c>
      <c r="B221" s="102">
        <v>67</v>
      </c>
      <c r="C221" s="112"/>
      <c r="D221" s="284"/>
    </row>
    <row r="222" spans="1:4" s="252" customFormat="1" ht="13.7" hidden="1" customHeight="1">
      <c r="A222" s="93" t="s">
        <v>758</v>
      </c>
      <c r="B222" s="102">
        <v>67.099999999999994</v>
      </c>
      <c r="C222" s="112"/>
      <c r="D222" s="284"/>
    </row>
    <row r="223" spans="1:4" s="252" customFormat="1" ht="13.7" hidden="1" customHeight="1">
      <c r="A223" s="93" t="s">
        <v>759</v>
      </c>
      <c r="B223" s="102">
        <v>66.900000000000006</v>
      </c>
      <c r="C223" s="112"/>
      <c r="D223" s="284"/>
    </row>
    <row r="224" spans="1:4" s="252" customFormat="1" ht="13.7" hidden="1" customHeight="1">
      <c r="A224" s="93" t="s">
        <v>760</v>
      </c>
      <c r="B224" s="102">
        <v>66.599999999999994</v>
      </c>
      <c r="C224" s="112"/>
      <c r="D224" s="284"/>
    </row>
    <row r="225" spans="1:4" s="252" customFormat="1" ht="13.7" hidden="1" customHeight="1">
      <c r="A225" s="93" t="s">
        <v>761</v>
      </c>
      <c r="B225" s="102">
        <v>66.8</v>
      </c>
      <c r="C225" s="112"/>
      <c r="D225" s="284"/>
    </row>
    <row r="226" spans="1:4" s="252" customFormat="1" ht="13.7" hidden="1" customHeight="1">
      <c r="A226" s="93" t="s">
        <v>762</v>
      </c>
      <c r="B226" s="102">
        <v>67</v>
      </c>
      <c r="C226" s="112"/>
      <c r="D226" s="284"/>
    </row>
    <row r="227" spans="1:4" s="252" customFormat="1" ht="13.7" hidden="1" customHeight="1">
      <c r="A227" s="93" t="s">
        <v>763</v>
      </c>
      <c r="B227" s="102">
        <v>67.400000000000006</v>
      </c>
      <c r="C227" s="112"/>
      <c r="D227" s="284"/>
    </row>
    <row r="228" spans="1:4" s="252" customFormat="1" ht="13.7" hidden="1" customHeight="1">
      <c r="A228" s="93" t="s">
        <v>764</v>
      </c>
      <c r="B228" s="102">
        <v>67.5</v>
      </c>
      <c r="C228" s="112"/>
      <c r="D228" s="284"/>
    </row>
    <row r="229" spans="1:4" s="252" customFormat="1" ht="13.7" hidden="1" customHeight="1">
      <c r="A229" s="93" t="s">
        <v>765</v>
      </c>
      <c r="B229" s="102">
        <v>67.8</v>
      </c>
      <c r="C229" s="112"/>
      <c r="D229" s="284"/>
    </row>
    <row r="230" spans="1:4" s="252" customFormat="1" ht="13.7" hidden="1" customHeight="1">
      <c r="A230" s="93" t="s">
        <v>766</v>
      </c>
      <c r="B230" s="102">
        <v>67.8</v>
      </c>
      <c r="C230" s="112"/>
      <c r="D230" s="284"/>
    </row>
    <row r="231" spans="1:4" s="252" customFormat="1" ht="13.7" hidden="1" customHeight="1">
      <c r="A231" s="93" t="s">
        <v>767</v>
      </c>
      <c r="B231" s="102">
        <v>68.099999999999994</v>
      </c>
      <c r="C231" s="112"/>
      <c r="D231" s="284"/>
    </row>
    <row r="232" spans="1:4" s="252" customFormat="1" ht="13.7" hidden="1" customHeight="1">
      <c r="A232" s="93" t="s">
        <v>768</v>
      </c>
      <c r="B232" s="102">
        <v>68.7</v>
      </c>
      <c r="C232" s="112"/>
      <c r="D232" s="284"/>
    </row>
    <row r="233" spans="1:4" s="252" customFormat="1" ht="13.7" hidden="1" customHeight="1">
      <c r="A233" s="93" t="s">
        <v>769</v>
      </c>
      <c r="B233" s="102">
        <v>69.099999999999994</v>
      </c>
      <c r="C233" s="112"/>
      <c r="D233" s="284"/>
    </row>
    <row r="234" spans="1:4" s="252" customFormat="1" ht="13.7" hidden="1" customHeight="1">
      <c r="A234" s="93" t="s">
        <v>770</v>
      </c>
      <c r="B234" s="102">
        <v>69.7</v>
      </c>
      <c r="C234" s="112"/>
      <c r="D234" s="284"/>
    </row>
    <row r="235" spans="1:4" s="252" customFormat="1" ht="13.7" hidden="1" customHeight="1">
      <c r="A235" s="93" t="s">
        <v>771</v>
      </c>
      <c r="B235" s="102">
        <v>70.2</v>
      </c>
      <c r="C235" s="112"/>
      <c r="D235" s="284"/>
    </row>
    <row r="236" spans="1:4" s="252" customFormat="1" ht="13.7" hidden="1" customHeight="1">
      <c r="A236" s="93" t="s">
        <v>772</v>
      </c>
      <c r="B236" s="102">
        <v>72.900000000000006</v>
      </c>
      <c r="C236" s="112"/>
      <c r="D236" s="284"/>
    </row>
    <row r="237" spans="1:4" s="252" customFormat="1" ht="13.7" hidden="1" customHeight="1">
      <c r="A237" s="93" t="s">
        <v>773</v>
      </c>
      <c r="B237" s="102">
        <v>73.099999999999994</v>
      </c>
      <c r="C237" s="112"/>
      <c r="D237" s="284"/>
    </row>
    <row r="238" spans="1:4" s="252" customFormat="1" ht="13.7" hidden="1" customHeight="1">
      <c r="A238" s="93" t="s">
        <v>774</v>
      </c>
      <c r="B238" s="102">
        <v>73.900000000000006</v>
      </c>
      <c r="C238" s="112"/>
      <c r="D238" s="284"/>
    </row>
    <row r="239" spans="1:4" s="252" customFormat="1" ht="13.7" hidden="1" customHeight="1">
      <c r="A239" s="93" t="s">
        <v>775</v>
      </c>
      <c r="B239" s="102">
        <v>74.5</v>
      </c>
      <c r="C239" s="112"/>
      <c r="D239" s="284"/>
    </row>
    <row r="240" spans="1:4" s="252" customFormat="1" ht="13.7" hidden="1" customHeight="1">
      <c r="A240" s="93" t="s">
        <v>776</v>
      </c>
      <c r="B240" s="102">
        <v>74.7</v>
      </c>
      <c r="C240" s="112"/>
      <c r="D240" s="284"/>
    </row>
    <row r="241" spans="1:4" s="252" customFormat="1" ht="13.7" hidden="1" customHeight="1">
      <c r="A241" s="93" t="s">
        <v>777</v>
      </c>
      <c r="B241" s="102">
        <v>75.400000000000006</v>
      </c>
      <c r="C241" s="112"/>
      <c r="D241" s="284"/>
    </row>
    <row r="242" spans="1:4" s="252" customFormat="1" ht="13.7" hidden="1" customHeight="1">
      <c r="A242" s="93" t="s">
        <v>778</v>
      </c>
      <c r="B242" s="102">
        <v>76.099999999999994</v>
      </c>
      <c r="C242" s="112"/>
      <c r="D242" s="284"/>
    </row>
    <row r="243" spans="1:4" s="252" customFormat="1" ht="13.7" hidden="1" customHeight="1">
      <c r="A243" s="93" t="s">
        <v>779</v>
      </c>
      <c r="B243" s="102">
        <v>76.599999999999994</v>
      </c>
      <c r="C243" s="112"/>
      <c r="D243" s="284"/>
    </row>
    <row r="244" spans="1:4" s="252" customFormat="1" ht="13.7" hidden="1" customHeight="1">
      <c r="A244" s="93" t="s">
        <v>780</v>
      </c>
      <c r="B244" s="102">
        <v>77.099999999999994</v>
      </c>
      <c r="C244" s="112"/>
      <c r="D244" s="284"/>
    </row>
    <row r="245" spans="1:4" s="252" customFormat="1" ht="13.7" hidden="1" customHeight="1">
      <c r="A245" s="93" t="s">
        <v>781</v>
      </c>
      <c r="B245" s="102">
        <v>77.599999999999994</v>
      </c>
      <c r="C245" s="112"/>
      <c r="D245" s="284"/>
    </row>
    <row r="246" spans="1:4" s="252" customFormat="1" ht="13.7" hidden="1" customHeight="1">
      <c r="A246" s="93" t="s">
        <v>782</v>
      </c>
      <c r="B246" s="102">
        <v>78.599999999999994</v>
      </c>
      <c r="C246" s="112"/>
      <c r="D246" s="284"/>
    </row>
    <row r="247" spans="1:4" s="252" customFormat="1" ht="13.7" hidden="1" customHeight="1">
      <c r="A247" s="93" t="s">
        <v>783</v>
      </c>
      <c r="B247" s="102">
        <v>78.599999999999994</v>
      </c>
      <c r="C247" s="112"/>
      <c r="D247" s="284"/>
    </row>
    <row r="248" spans="1:4" s="252" customFormat="1" ht="13.7" hidden="1" customHeight="1">
      <c r="A248" s="93" t="s">
        <v>784</v>
      </c>
      <c r="B248" s="102">
        <v>79.099999999999994</v>
      </c>
      <c r="C248" s="112"/>
      <c r="D248" s="284"/>
    </row>
    <row r="249" spans="1:4" s="252" customFormat="1" ht="13.7" hidden="1" customHeight="1">
      <c r="A249" s="93" t="s">
        <v>785</v>
      </c>
      <c r="B249" s="102">
        <v>79.5</v>
      </c>
      <c r="C249" s="112"/>
      <c r="D249" s="284"/>
    </row>
    <row r="250" spans="1:4" s="252" customFormat="1" ht="13.7" hidden="1" customHeight="1">
      <c r="A250" s="93" t="s">
        <v>786</v>
      </c>
      <c r="B250" s="102">
        <v>80.2</v>
      </c>
      <c r="C250" s="112"/>
      <c r="D250" s="284"/>
    </row>
    <row r="251" spans="1:4" s="252" customFormat="1" ht="13.7" hidden="1" customHeight="1">
      <c r="A251" s="93" t="s">
        <v>787</v>
      </c>
      <c r="B251" s="102">
        <v>80.599999999999994</v>
      </c>
      <c r="C251" s="112"/>
      <c r="D251" s="284"/>
    </row>
    <row r="252" spans="1:4" s="252" customFormat="1" ht="13.7" hidden="1" customHeight="1">
      <c r="A252" s="93" t="s">
        <v>788</v>
      </c>
      <c r="B252" s="102">
        <v>80.900000000000006</v>
      </c>
      <c r="C252" s="112"/>
      <c r="D252" s="284"/>
    </row>
    <row r="253" spans="1:4" s="252" customFormat="1" ht="13.7" hidden="1" customHeight="1">
      <c r="A253" s="93" t="s">
        <v>789</v>
      </c>
      <c r="B253" s="102">
        <v>81.5</v>
      </c>
      <c r="C253" s="112"/>
      <c r="D253" s="284"/>
    </row>
    <row r="254" spans="1:4" s="252" customFormat="1" ht="13.7" hidden="1" customHeight="1">
      <c r="A254" s="93" t="s">
        <v>790</v>
      </c>
      <c r="B254" s="102">
        <v>82.1</v>
      </c>
      <c r="C254" s="112"/>
      <c r="D254" s="284"/>
    </row>
    <row r="255" spans="1:4" s="252" customFormat="1" ht="13.7" hidden="1" customHeight="1">
      <c r="A255" s="93" t="s">
        <v>791</v>
      </c>
      <c r="B255" s="102">
        <v>82.6</v>
      </c>
      <c r="C255" s="112"/>
      <c r="D255" s="284"/>
    </row>
    <row r="256" spans="1:4" s="252" customFormat="1" ht="13.7" hidden="1" customHeight="1">
      <c r="A256" s="93" t="s">
        <v>792</v>
      </c>
      <c r="B256" s="102">
        <v>83.4</v>
      </c>
      <c r="C256" s="112"/>
      <c r="D256" s="284"/>
    </row>
    <row r="257" spans="1:4" s="252" customFormat="1" ht="13.7" customHeight="1">
      <c r="A257" s="93" t="s">
        <v>793</v>
      </c>
      <c r="B257" s="102">
        <v>83.8</v>
      </c>
      <c r="C257" s="112"/>
      <c r="D257" s="285"/>
    </row>
    <row r="258" spans="1:4" s="252" customFormat="1" ht="13.7" customHeight="1">
      <c r="A258" s="93" t="s">
        <v>794</v>
      </c>
      <c r="B258" s="102">
        <v>84.5</v>
      </c>
      <c r="C258" s="112"/>
      <c r="D258" s="285"/>
    </row>
    <row r="259" spans="1:4" s="252" customFormat="1" ht="13.7" customHeight="1">
      <c r="A259" s="93" t="s">
        <v>795</v>
      </c>
      <c r="B259" s="102">
        <v>85.9</v>
      </c>
      <c r="C259" s="112"/>
      <c r="D259" s="285"/>
    </row>
    <row r="260" spans="1:4" s="252" customFormat="1" ht="13.7" customHeight="1">
      <c r="A260" s="93" t="s">
        <v>796</v>
      </c>
      <c r="B260" s="102">
        <v>86.7</v>
      </c>
      <c r="C260" s="112"/>
      <c r="D260" s="285"/>
    </row>
    <row r="261" spans="1:4" s="252" customFormat="1" ht="13.7" customHeight="1">
      <c r="A261" s="93" t="s">
        <v>797</v>
      </c>
      <c r="B261" s="102">
        <v>86.6</v>
      </c>
      <c r="C261" s="112"/>
      <c r="D261" s="285"/>
    </row>
    <row r="262" spans="1:4" s="252" customFormat="1" ht="13.7" customHeight="1">
      <c r="A262" s="93" t="s">
        <v>798</v>
      </c>
      <c r="B262" s="102">
        <v>86.6</v>
      </c>
      <c r="C262" s="112"/>
      <c r="D262" s="285"/>
    </row>
    <row r="263" spans="1:4" s="252" customFormat="1" ht="13.7" customHeight="1">
      <c r="A263" s="93" t="s">
        <v>799</v>
      </c>
      <c r="B263" s="102">
        <v>87.7</v>
      </c>
      <c r="C263" s="112"/>
      <c r="D263" s="285"/>
    </row>
    <row r="264" spans="1:4" s="252" customFormat="1" ht="13.7" customHeight="1">
      <c r="A264" s="93" t="s">
        <v>800</v>
      </c>
      <c r="B264" s="102">
        <v>88.3</v>
      </c>
      <c r="C264" s="112"/>
      <c r="D264" s="285"/>
    </row>
    <row r="265" spans="1:4" s="252" customFormat="1" ht="13.7" customHeight="1">
      <c r="A265" s="93" t="s">
        <v>801</v>
      </c>
      <c r="B265" s="102">
        <v>89.1</v>
      </c>
      <c r="C265" s="112"/>
      <c r="D265" s="285"/>
    </row>
    <row r="266" spans="1:4" s="252" customFormat="1" ht="13.7" customHeight="1">
      <c r="A266" s="93" t="s">
        <v>802</v>
      </c>
      <c r="B266" s="102">
        <v>90.3</v>
      </c>
      <c r="C266" s="112"/>
      <c r="D266" s="285"/>
    </row>
    <row r="267" spans="1:4" s="252" customFormat="1" ht="13.7" customHeight="1">
      <c r="A267" s="93" t="s">
        <v>803</v>
      </c>
      <c r="B267" s="102">
        <v>91.6</v>
      </c>
      <c r="C267" s="112"/>
      <c r="D267" s="285"/>
    </row>
    <row r="268" spans="1:4" s="252" customFormat="1" ht="13.7" customHeight="1">
      <c r="A268" s="93" t="s">
        <v>804</v>
      </c>
      <c r="B268" s="102">
        <v>92.7</v>
      </c>
      <c r="C268" s="112"/>
      <c r="D268" s="285"/>
    </row>
    <row r="269" spans="1:4" s="252" customFormat="1" ht="13.7" customHeight="1">
      <c r="A269" s="93" t="s">
        <v>805</v>
      </c>
      <c r="B269" s="102">
        <v>92.4</v>
      </c>
      <c r="C269" s="112"/>
      <c r="D269" s="285"/>
    </row>
    <row r="270" spans="1:4" s="252" customFormat="1" ht="13.7" customHeight="1">
      <c r="A270" s="93" t="s">
        <v>806</v>
      </c>
      <c r="B270" s="102">
        <v>92.5</v>
      </c>
      <c r="C270" s="112"/>
      <c r="D270" s="285"/>
    </row>
    <row r="271" spans="1:4" s="252" customFormat="1" ht="13.7" customHeight="1">
      <c r="A271" s="93" t="s">
        <v>807</v>
      </c>
      <c r="B271" s="102">
        <v>92.9</v>
      </c>
      <c r="C271" s="112"/>
      <c r="D271" s="285"/>
    </row>
    <row r="272" spans="1:4" s="252" customFormat="1" ht="13.7" customHeight="1">
      <c r="A272" s="93" t="s">
        <v>808</v>
      </c>
      <c r="B272" s="102">
        <v>93.8</v>
      </c>
      <c r="C272" s="112"/>
      <c r="D272" s="285"/>
    </row>
    <row r="273" spans="1:4" s="252" customFormat="1" ht="13.7" customHeight="1">
      <c r="A273" s="93" t="s">
        <v>809</v>
      </c>
      <c r="B273" s="102">
        <v>94.3</v>
      </c>
      <c r="C273" s="112"/>
      <c r="D273" s="285"/>
    </row>
    <row r="274" spans="1:4" s="252" customFormat="1" ht="13.7" customHeight="1">
      <c r="A274" s="93" t="s">
        <v>810</v>
      </c>
      <c r="B274" s="102">
        <v>95.2</v>
      </c>
      <c r="C274" s="112"/>
      <c r="D274" s="286"/>
    </row>
    <row r="275" spans="1:4" s="252" customFormat="1" ht="13.7" customHeight="1">
      <c r="A275" s="93" t="s">
        <v>811</v>
      </c>
      <c r="B275" s="102">
        <v>95.8</v>
      </c>
      <c r="C275" s="112"/>
      <c r="D275" s="286"/>
    </row>
    <row r="276" spans="1:4" s="252" customFormat="1" ht="13.7" customHeight="1">
      <c r="A276" s="93" t="s">
        <v>812</v>
      </c>
      <c r="B276" s="102">
        <v>96.5</v>
      </c>
      <c r="C276" s="112"/>
      <c r="D276" s="286"/>
    </row>
    <row r="277" spans="1:4" s="252" customFormat="1" ht="13.7" customHeight="1">
      <c r="A277" s="93" t="s">
        <v>813</v>
      </c>
      <c r="B277" s="102">
        <v>96.9</v>
      </c>
      <c r="C277" s="112"/>
      <c r="D277" s="286"/>
    </row>
    <row r="278" spans="1:4" s="252" customFormat="1" ht="13.7" customHeight="1">
      <c r="A278" s="93" t="s">
        <v>814</v>
      </c>
      <c r="B278" s="102">
        <v>98.3</v>
      </c>
      <c r="C278" s="112"/>
      <c r="D278" s="286"/>
    </row>
    <row r="279" spans="1:4" s="252" customFormat="1" ht="13.7" customHeight="1">
      <c r="A279" s="93" t="s">
        <v>815</v>
      </c>
      <c r="B279" s="102">
        <v>99.2</v>
      </c>
      <c r="C279" s="112"/>
      <c r="D279" s="286"/>
    </row>
    <row r="280" spans="1:4" s="252" customFormat="1" ht="13.7" customHeight="1">
      <c r="A280" s="93" t="s">
        <v>816</v>
      </c>
      <c r="B280" s="102">
        <v>99.8</v>
      </c>
      <c r="C280" s="112"/>
      <c r="D280" s="286"/>
    </row>
    <row r="281" spans="1:4" s="252" customFormat="1" ht="13.7" customHeight="1">
      <c r="A281" s="93" t="s">
        <v>817</v>
      </c>
      <c r="B281" s="102">
        <v>99.8</v>
      </c>
      <c r="C281" s="112"/>
      <c r="D281" s="286"/>
    </row>
    <row r="282" spans="1:4" s="252" customFormat="1" ht="13.7" customHeight="1">
      <c r="A282" s="93" t="s">
        <v>818</v>
      </c>
      <c r="B282" s="102">
        <v>99.9</v>
      </c>
      <c r="C282" s="112"/>
      <c r="D282" s="286"/>
    </row>
    <row r="283" spans="1:4" s="252" customFormat="1" ht="13.7" customHeight="1">
      <c r="A283" s="93" t="s">
        <v>819</v>
      </c>
      <c r="B283" s="102">
        <v>100.4</v>
      </c>
      <c r="C283" s="112"/>
      <c r="D283" s="286"/>
    </row>
    <row r="284" spans="1:4" s="252" customFormat="1" ht="13.7" customHeight="1">
      <c r="A284" s="93" t="s">
        <v>820</v>
      </c>
      <c r="B284" s="102">
        <v>101.8</v>
      </c>
      <c r="C284" s="112"/>
      <c r="D284" s="286"/>
    </row>
    <row r="285" spans="1:4" s="252" customFormat="1" ht="13.7" customHeight="1">
      <c r="A285" s="93" t="s">
        <v>821</v>
      </c>
      <c r="B285" s="102">
        <v>102</v>
      </c>
      <c r="C285" s="112"/>
      <c r="D285" s="286"/>
    </row>
    <row r="286" spans="1:4" s="252" customFormat="1" ht="13.7" customHeight="1">
      <c r="A286" s="93" t="s">
        <v>822</v>
      </c>
      <c r="B286" s="102">
        <v>102.4</v>
      </c>
      <c r="C286" s="112"/>
      <c r="D286" s="286"/>
    </row>
    <row r="287" spans="1:4" s="252" customFormat="1" ht="13.7" customHeight="1">
      <c r="A287" s="93" t="s">
        <v>823</v>
      </c>
      <c r="B287" s="102">
        <v>102.8</v>
      </c>
      <c r="C287" s="112"/>
      <c r="D287" s="286"/>
    </row>
    <row r="288" spans="1:4" s="252" customFormat="1" ht="13.7" customHeight="1">
      <c r="A288" s="93" t="s">
        <v>824</v>
      </c>
      <c r="B288" s="102">
        <v>104</v>
      </c>
      <c r="C288" s="112"/>
      <c r="D288" s="286"/>
    </row>
    <row r="289" spans="1:4" s="252" customFormat="1" ht="13.7" customHeight="1">
      <c r="A289" s="93" t="s">
        <v>825</v>
      </c>
      <c r="B289" s="102">
        <v>104.8</v>
      </c>
      <c r="C289" s="112"/>
      <c r="D289" s="286"/>
    </row>
    <row r="290" spans="1:4" s="252" customFormat="1" ht="13.7" customHeight="1">
      <c r="A290" s="93" t="s">
        <v>826</v>
      </c>
      <c r="B290" s="102">
        <v>105.4</v>
      </c>
      <c r="C290" s="112"/>
      <c r="D290" s="286"/>
    </row>
    <row r="291" spans="1:4" s="252" customFormat="1" ht="13.7" customHeight="1">
      <c r="A291" s="93" t="s">
        <v>827</v>
      </c>
      <c r="B291" s="102">
        <v>105.9</v>
      </c>
      <c r="C291" s="112"/>
      <c r="D291" s="286"/>
    </row>
    <row r="292" spans="1:4" s="252" customFormat="1" ht="13.7" customHeight="1">
      <c r="A292" s="93" t="s">
        <v>828</v>
      </c>
      <c r="B292" s="102">
        <v>106.4</v>
      </c>
      <c r="C292" s="112"/>
      <c r="D292" s="286"/>
    </row>
    <row r="293" spans="1:4" s="252" customFormat="1" ht="13.7" customHeight="1">
      <c r="A293" s="93" t="s">
        <v>829</v>
      </c>
      <c r="B293" s="102">
        <v>106.6</v>
      </c>
      <c r="C293" s="112"/>
      <c r="D293" s="286"/>
    </row>
    <row r="294" spans="1:4" s="252" customFormat="1" ht="13.7" customHeight="1">
      <c r="A294" s="93" t="s">
        <v>830</v>
      </c>
      <c r="B294" s="102">
        <v>106.8</v>
      </c>
      <c r="C294" s="112"/>
      <c r="D294" s="286"/>
    </row>
    <row r="295" spans="1:4" s="252" customFormat="1" ht="13.7" customHeight="1">
      <c r="A295" s="93" t="s">
        <v>831</v>
      </c>
      <c r="B295" s="102">
        <v>107.5</v>
      </c>
      <c r="C295" s="112"/>
      <c r="D295" s="286"/>
    </row>
    <row r="296" spans="1:4" s="252" customFormat="1" ht="13.7" customHeight="1">
      <c r="A296" s="93" t="s">
        <v>832</v>
      </c>
      <c r="B296" s="102">
        <v>108</v>
      </c>
      <c r="C296" s="112"/>
      <c r="D296" s="286"/>
    </row>
    <row r="297" spans="1:4" s="252" customFormat="1" ht="13.7" customHeight="1">
      <c r="A297" s="93" t="s">
        <v>833</v>
      </c>
      <c r="B297" s="102">
        <v>108.4</v>
      </c>
      <c r="C297" s="112"/>
      <c r="D297" s="286"/>
    </row>
    <row r="298" spans="1:4" s="252" customFormat="1" ht="13.7" customHeight="1">
      <c r="A298" s="93" t="s">
        <v>834</v>
      </c>
      <c r="B298" s="102">
        <v>108.2</v>
      </c>
      <c r="C298" s="112"/>
      <c r="D298" s="286"/>
    </row>
    <row r="299" spans="1:4" s="252" customFormat="1" ht="13.7" customHeight="1">
      <c r="A299" s="93" t="s">
        <v>835</v>
      </c>
      <c r="B299" s="102">
        <v>108.6</v>
      </c>
      <c r="C299" s="112"/>
      <c r="D299" s="286"/>
    </row>
    <row r="300" spans="1:4" s="252" customFormat="1" ht="13.7" customHeight="1">
      <c r="A300" s="93" t="s">
        <v>836</v>
      </c>
      <c r="B300" s="102">
        <v>109.4</v>
      </c>
      <c r="C300" s="112"/>
      <c r="D300" s="286"/>
    </row>
    <row r="301" spans="1:4" s="252" customFormat="1" ht="13.7" customHeight="1">
      <c r="A301" s="93" t="s">
        <v>837</v>
      </c>
      <c r="B301" s="102">
        <v>110</v>
      </c>
      <c r="C301" s="112"/>
      <c r="D301" s="286"/>
    </row>
    <row r="302" spans="1:4" s="252" customFormat="1" ht="13.7" customHeight="1">
      <c r="A302" s="93" t="s">
        <v>838</v>
      </c>
      <c r="B302" s="102">
        <v>110.5</v>
      </c>
      <c r="C302" s="112"/>
      <c r="D302" s="286"/>
    </row>
    <row r="303" spans="1:4" s="252" customFormat="1" ht="13.7" customHeight="1">
      <c r="A303" s="93" t="s">
        <v>839</v>
      </c>
      <c r="B303" s="102">
        <v>110.7</v>
      </c>
      <c r="C303" s="112"/>
      <c r="D303" s="286"/>
    </row>
    <row r="304" spans="1:4" s="252" customFormat="1" ht="13.7" customHeight="1">
      <c r="A304" s="93" t="s">
        <v>840</v>
      </c>
      <c r="B304" s="102">
        <v>111.4</v>
      </c>
      <c r="C304" s="112"/>
      <c r="D304" s="286"/>
    </row>
    <row r="305" spans="1:5" s="252" customFormat="1" ht="13.7" customHeight="1">
      <c r="A305" s="93" t="s">
        <v>841</v>
      </c>
      <c r="B305" s="102">
        <v>112.1</v>
      </c>
      <c r="C305" s="112"/>
      <c r="D305" s="286"/>
    </row>
    <row r="306" spans="1:5" s="252" customFormat="1" ht="13.7" customHeight="1">
      <c r="A306" s="93" t="s">
        <v>842</v>
      </c>
      <c r="B306" s="102">
        <v>112.6</v>
      </c>
      <c r="C306" s="112"/>
      <c r="D306" s="286"/>
    </row>
    <row r="307" spans="1:5" s="252" customFormat="1" ht="13.7" customHeight="1">
      <c r="A307" s="93" t="s">
        <v>843</v>
      </c>
      <c r="B307" s="102">
        <v>113</v>
      </c>
      <c r="C307" s="112"/>
      <c r="D307" s="286"/>
    </row>
    <row r="308" spans="1:5" s="252" customFormat="1" ht="13.7" customHeight="1">
      <c r="A308" s="93" t="s">
        <v>844</v>
      </c>
      <c r="B308" s="102">
        <v>113.5</v>
      </c>
      <c r="C308" s="112"/>
      <c r="D308" s="286"/>
    </row>
    <row r="309" spans="1:5" s="252" customFormat="1" ht="13.7" customHeight="1">
      <c r="A309" s="93" t="s">
        <v>845</v>
      </c>
      <c r="B309" s="102">
        <v>114.1</v>
      </c>
      <c r="C309" s="112"/>
      <c r="D309" s="286"/>
    </row>
    <row r="310" spans="1:5" s="252" customFormat="1" ht="13.7" customHeight="1">
      <c r="A310" s="93" t="s">
        <v>846</v>
      </c>
      <c r="B310" s="102">
        <v>114.1</v>
      </c>
      <c r="C310" s="112"/>
      <c r="D310" s="286"/>
    </row>
    <row r="311" spans="1:5" s="252" customFormat="1" ht="13.7" customHeight="1">
      <c r="A311" s="93" t="s">
        <v>847</v>
      </c>
      <c r="B311" s="102">
        <v>114.8</v>
      </c>
      <c r="C311" s="112"/>
      <c r="D311" s="286"/>
    </row>
    <row r="312" spans="1:5" s="252" customFormat="1" ht="13.7" customHeight="1">
      <c r="A312" s="93" t="s">
        <v>848</v>
      </c>
      <c r="B312" s="102">
        <v>115.4</v>
      </c>
      <c r="C312" s="112"/>
      <c r="D312" s="286"/>
    </row>
    <row r="313" spans="1:5" s="252" customFormat="1" ht="13.7" customHeight="1">
      <c r="A313" s="93" t="s">
        <v>849</v>
      </c>
      <c r="B313" s="102">
        <v>116.2</v>
      </c>
      <c r="C313" s="112"/>
      <c r="D313" s="286"/>
    </row>
    <row r="314" spans="1:5" s="252" customFormat="1" ht="13.7" customHeight="1">
      <c r="A314" s="93" t="s">
        <v>850</v>
      </c>
      <c r="B314" s="102">
        <v>116.6</v>
      </c>
      <c r="C314" s="112"/>
      <c r="D314" s="286"/>
    </row>
    <row r="315" spans="1:5" s="252" customFormat="1" ht="13.7" customHeight="1">
      <c r="A315" s="93" t="s">
        <v>851</v>
      </c>
      <c r="B315" s="102">
        <v>114.4</v>
      </c>
      <c r="C315" s="112"/>
      <c r="D315" s="286"/>
    </row>
    <row r="316" spans="1:5" s="252" customFormat="1" ht="13.7" customHeight="1">
      <c r="A316" s="93" t="s">
        <v>852</v>
      </c>
      <c r="B316" s="102">
        <v>116.2</v>
      </c>
      <c r="C316" s="112"/>
      <c r="D316" s="286"/>
    </row>
    <row r="317" spans="1:5" s="252" customFormat="1" ht="13.7" customHeight="1">
      <c r="A317" s="93" t="s">
        <v>853</v>
      </c>
      <c r="B317" s="102">
        <v>117.2</v>
      </c>
      <c r="C317" s="112"/>
      <c r="D317" s="286"/>
    </row>
    <row r="318" spans="1:5" s="252" customFormat="1" ht="13.7" customHeight="1">
      <c r="A318" s="93" t="s">
        <v>854</v>
      </c>
      <c r="B318" s="102">
        <v>117.9</v>
      </c>
      <c r="C318" s="112"/>
      <c r="D318" s="286"/>
    </row>
    <row r="319" spans="1:5" s="252" customFormat="1" ht="13.7" customHeight="1">
      <c r="A319" s="93" t="s">
        <v>855</v>
      </c>
      <c r="B319" s="102">
        <v>118.8</v>
      </c>
      <c r="C319" s="112"/>
      <c r="D319" s="286"/>
      <c r="E319" s="261"/>
    </row>
    <row r="320" spans="1:5" s="252" customFormat="1" ht="13.7" customHeight="1">
      <c r="A320" s="93" t="s">
        <v>856</v>
      </c>
      <c r="B320" s="102">
        <v>119.7</v>
      </c>
      <c r="C320" s="112"/>
      <c r="D320" s="286"/>
    </row>
    <row r="321" spans="1:4" s="254" customFormat="1" ht="13.7" customHeight="1">
      <c r="A321" s="93" t="s">
        <v>857</v>
      </c>
      <c r="B321" s="102">
        <v>121.3</v>
      </c>
      <c r="C321" s="112"/>
      <c r="D321" s="286"/>
    </row>
    <row r="322" spans="1:4" s="254" customFormat="1" ht="13.7" customHeight="1">
      <c r="A322" s="93" t="s">
        <v>858</v>
      </c>
      <c r="B322" s="102">
        <v>123.9</v>
      </c>
      <c r="C322" s="112"/>
      <c r="D322" s="286"/>
    </row>
    <row r="323" spans="1:4" s="254" customFormat="1" ht="13.7" customHeight="1">
      <c r="A323" s="93" t="s">
        <v>859</v>
      </c>
      <c r="B323" s="102">
        <v>126.1</v>
      </c>
      <c r="C323" s="112"/>
      <c r="D323" s="286"/>
    </row>
    <row r="324" spans="1:4" s="254" customFormat="1" ht="13.7" customHeight="1">
      <c r="A324" s="93" t="s">
        <v>561</v>
      </c>
      <c r="B324" s="102">
        <v>128.4</v>
      </c>
      <c r="C324" s="112"/>
      <c r="D324" s="286"/>
    </row>
    <row r="325" spans="1:4" s="254" customFormat="1" ht="13.7" customHeight="1">
      <c r="A325" s="93" t="s">
        <v>860</v>
      </c>
      <c r="B325" s="102">
        <v>130.80000000000001</v>
      </c>
      <c r="C325" s="112"/>
      <c r="D325" s="286"/>
    </row>
    <row r="326" spans="1:4" s="254" customFormat="1" ht="13.7" customHeight="1">
      <c r="A326" s="93" t="s">
        <v>861</v>
      </c>
      <c r="B326" s="102">
        <v>132.6</v>
      </c>
      <c r="C326" s="112"/>
      <c r="D326" s="286"/>
    </row>
    <row r="327" spans="1:4" s="254" customFormat="1" ht="13.7" customHeight="1">
      <c r="A327" s="93" t="s">
        <v>862</v>
      </c>
      <c r="B327" s="102">
        <v>133.69999999999999</v>
      </c>
      <c r="C327" s="112"/>
      <c r="D327" s="286"/>
    </row>
    <row r="328" spans="1:4" s="254" customFormat="1" ht="13.7" customHeight="1">
      <c r="A328" s="93" t="s">
        <v>863</v>
      </c>
      <c r="B328" s="102">
        <v>135.30000000000001</v>
      </c>
      <c r="C328" s="112"/>
      <c r="D328" s="286"/>
    </row>
    <row r="329" spans="1:4" s="254" customFormat="1" ht="13.7" customHeight="1">
      <c r="A329" s="93" t="s">
        <v>864</v>
      </c>
      <c r="B329" s="102">
        <v>136.1</v>
      </c>
      <c r="C329" s="112"/>
      <c r="D329" s="286"/>
    </row>
    <row r="330" spans="1:4" s="254" customFormat="1" ht="13.7" customHeight="1">
      <c r="A330" s="93" t="s">
        <v>865</v>
      </c>
      <c r="B330" s="102">
        <v>137.4</v>
      </c>
      <c r="C330" s="112"/>
      <c r="D330" s="285"/>
    </row>
    <row r="331" spans="1:4" s="254" customFormat="1" ht="13.7" customHeight="1">
      <c r="A331" s="93" t="s">
        <v>866</v>
      </c>
      <c r="B331" s="102">
        <v>138.80000000000001</v>
      </c>
      <c r="C331" s="112"/>
      <c r="D331" s="287"/>
    </row>
    <row r="332" spans="1:4" s="254" customFormat="1" ht="13.7" customHeight="1">
      <c r="A332" s="95" t="s">
        <v>867</v>
      </c>
      <c r="B332" s="219">
        <v>139.1</v>
      </c>
      <c r="C332" s="205"/>
      <c r="D332" s="285"/>
    </row>
    <row r="333" spans="1:4" s="254" customFormat="1" ht="13.7" customHeight="1">
      <c r="A333" s="95" t="s">
        <v>868</v>
      </c>
      <c r="B333" s="219">
        <v>139.4</v>
      </c>
      <c r="C333" s="333">
        <f>B333/B329-1</f>
        <v>2.4246877296105973E-2</v>
      </c>
      <c r="D333" s="314"/>
    </row>
    <row r="334" spans="1:4" s="254" customFormat="1" ht="13.7" customHeight="1">
      <c r="A334" s="95" t="s">
        <v>869</v>
      </c>
      <c r="B334" s="219">
        <v>140.69999999999999</v>
      </c>
      <c r="C334" s="334"/>
      <c r="D334" s="285"/>
    </row>
    <row r="335" spans="1:4" s="254" customFormat="1" ht="13.7" customHeight="1">
      <c r="A335" s="95" t="s">
        <v>870</v>
      </c>
      <c r="B335" s="219">
        <v>141.69999999999999</v>
      </c>
      <c r="C335" s="333">
        <f>B335/B331-1</f>
        <v>2.0893371757924939E-2</v>
      </c>
      <c r="D335" s="314"/>
    </row>
    <row r="336" spans="1:4" s="254" customFormat="1" ht="13.7" customHeight="1">
      <c r="A336" s="95" t="s">
        <v>871</v>
      </c>
      <c r="B336" s="219">
        <v>143.6</v>
      </c>
      <c r="C336" s="334"/>
      <c r="D336" s="285"/>
    </row>
    <row r="337" spans="1:4" s="254" customFormat="1" ht="13.7" customHeight="1">
      <c r="A337" s="95" t="s">
        <v>872</v>
      </c>
      <c r="B337" s="219">
        <f>B333*(1+C337)</f>
        <v>144.00020000000001</v>
      </c>
      <c r="C337" s="333">
        <f>0.033</f>
        <v>3.3000000000000002E-2</v>
      </c>
      <c r="D337" s="314" t="s">
        <v>1070</v>
      </c>
    </row>
    <row r="338" spans="1:4" s="254" customFormat="1" ht="13.7" customHeight="1">
      <c r="A338" s="95" t="s">
        <v>873</v>
      </c>
      <c r="B338" s="219">
        <f>AVERAGE(B337,B339)</f>
        <v>145.04644999999999</v>
      </c>
      <c r="C338" s="334"/>
      <c r="D338" s="285"/>
    </row>
    <row r="339" spans="1:4" s="254" customFormat="1" ht="13.7" customHeight="1">
      <c r="A339" s="95" t="s">
        <v>874</v>
      </c>
      <c r="B339" s="219">
        <f>B335*(1+C339)</f>
        <v>146.09269999999998</v>
      </c>
      <c r="C339" s="333">
        <v>3.1E-2</v>
      </c>
      <c r="D339" s="314" t="s">
        <v>1070</v>
      </c>
    </row>
    <row r="340" spans="1:4" s="254" customFormat="1" ht="13.7" customHeight="1">
      <c r="A340" s="95" t="s">
        <v>875</v>
      </c>
      <c r="B340" s="219">
        <f>AVERAGE(B339,B341)</f>
        <v>147.3504532</v>
      </c>
      <c r="C340" s="334"/>
      <c r="D340" s="285"/>
    </row>
    <row r="341" spans="1:4" s="254" customFormat="1" ht="13.7" customHeight="1">
      <c r="A341" s="95" t="s">
        <v>876</v>
      </c>
      <c r="B341" s="219">
        <f>B337*(1+C341)</f>
        <v>148.6082064</v>
      </c>
      <c r="C341" s="333">
        <v>3.2000000000000001E-2</v>
      </c>
      <c r="D341" s="314" t="s">
        <v>1070</v>
      </c>
    </row>
    <row r="342" spans="1:4" s="254" customFormat="1" ht="13.7" customHeight="1">
      <c r="A342" s="288"/>
      <c r="B342" s="289"/>
      <c r="C342" s="290"/>
      <c r="D342" s="285"/>
    </row>
    <row r="343" spans="1:4" s="254" customFormat="1" ht="13.7" customHeight="1">
      <c r="A343" s="288"/>
      <c r="B343" s="289"/>
      <c r="C343" s="290"/>
      <c r="D343" s="285"/>
    </row>
    <row r="344" spans="1:4" s="254" customFormat="1" ht="13.7" customHeight="1">
      <c r="A344" s="288"/>
      <c r="B344" s="289"/>
      <c r="C344" s="290"/>
      <c r="D344" s="285"/>
    </row>
    <row r="345" spans="1:4" s="254" customFormat="1" ht="13.7" customHeight="1">
      <c r="A345" s="288"/>
      <c r="B345" s="289"/>
      <c r="C345" s="290"/>
      <c r="D345" s="285"/>
    </row>
    <row r="346" spans="1:4" s="254" customFormat="1" ht="13.7" customHeight="1">
      <c r="A346" s="288"/>
      <c r="B346" s="289"/>
      <c r="C346" s="290"/>
      <c r="D346" s="285"/>
    </row>
    <row r="347" spans="1:4" s="254" customFormat="1" ht="13.7" customHeight="1">
      <c r="A347" s="288"/>
      <c r="B347" s="289"/>
      <c r="C347" s="290"/>
      <c r="D347" s="285"/>
    </row>
    <row r="348" spans="1:4" s="254" customFormat="1" ht="13.7" customHeight="1">
      <c r="A348" s="288"/>
      <c r="B348" s="289"/>
      <c r="C348" s="290"/>
      <c r="D348" s="285"/>
    </row>
    <row r="349" spans="1:4" s="254" customFormat="1" ht="13.7" customHeight="1">
      <c r="A349" s="288"/>
      <c r="B349" s="289"/>
      <c r="C349" s="290"/>
      <c r="D349" s="285"/>
    </row>
    <row r="350" spans="1:4" s="254" customFormat="1" ht="13.7" customHeight="1">
      <c r="A350" s="288"/>
      <c r="B350" s="289"/>
      <c r="C350" s="290"/>
      <c r="D350" s="285"/>
    </row>
    <row r="351" spans="1:4" s="254" customFormat="1" ht="13.7" customHeight="1">
      <c r="A351" s="288"/>
      <c r="B351" s="289"/>
      <c r="C351" s="290"/>
      <c r="D351" s="285"/>
    </row>
    <row r="352" spans="1:4" s="254" customFormat="1" ht="13.7" customHeight="1">
      <c r="A352" s="288"/>
      <c r="B352" s="289"/>
      <c r="C352" s="290"/>
      <c r="D352" s="285"/>
    </row>
    <row r="353" spans="1:4" s="254" customFormat="1" ht="13.7" customHeight="1">
      <c r="A353" s="288"/>
      <c r="B353" s="289"/>
      <c r="C353" s="290"/>
      <c r="D353" s="285"/>
    </row>
    <row r="354" spans="1:4" s="254" customFormat="1" ht="13.7" customHeight="1">
      <c r="A354" s="288"/>
      <c r="B354" s="289"/>
      <c r="C354" s="290"/>
      <c r="D354" s="285"/>
    </row>
    <row r="355" spans="1:4" s="254" customFormat="1" ht="13.7" customHeight="1">
      <c r="A355" s="288"/>
      <c r="B355" s="289"/>
      <c r="C355" s="290"/>
      <c r="D355" s="285"/>
    </row>
    <row r="356" spans="1:4" s="254" customFormat="1" ht="13.7" customHeight="1">
      <c r="A356" s="288"/>
      <c r="B356" s="289"/>
      <c r="C356" s="290"/>
      <c r="D356" s="285"/>
    </row>
    <row r="357" spans="1:4" s="254" customFormat="1" ht="13.7" customHeight="1">
      <c r="A357" s="288"/>
      <c r="B357" s="289"/>
      <c r="C357" s="290"/>
      <c r="D357" s="285"/>
    </row>
    <row r="358" spans="1:4" s="254" customFormat="1" ht="13.7" customHeight="1">
      <c r="A358" s="288"/>
      <c r="B358" s="289"/>
      <c r="C358" s="290"/>
      <c r="D358" s="285"/>
    </row>
    <row r="359" spans="1:4" s="254" customFormat="1" ht="13.7" customHeight="1">
      <c r="A359" s="288"/>
      <c r="B359" s="289"/>
      <c r="C359" s="290"/>
      <c r="D359" s="285"/>
    </row>
    <row r="360" spans="1:4" s="254" customFormat="1" ht="13.7" customHeight="1">
      <c r="A360" s="288"/>
      <c r="B360" s="289"/>
      <c r="C360" s="290"/>
      <c r="D360" s="285"/>
    </row>
    <row r="361" spans="1:4" s="254" customFormat="1" ht="13.7" customHeight="1">
      <c r="A361" s="288"/>
      <c r="B361" s="289"/>
      <c r="C361" s="290"/>
      <c r="D361" s="285"/>
    </row>
    <row r="362" spans="1:4" s="254" customFormat="1" ht="13.7" customHeight="1">
      <c r="A362" s="288"/>
      <c r="B362" s="289"/>
      <c r="C362" s="290"/>
      <c r="D362" s="285"/>
    </row>
    <row r="363" spans="1:4" s="254" customFormat="1" ht="13.7" customHeight="1">
      <c r="A363" s="288"/>
      <c r="B363" s="289"/>
      <c r="C363" s="290"/>
      <c r="D363" s="285"/>
    </row>
    <row r="364" spans="1:4" s="254" customFormat="1" ht="13.7" customHeight="1">
      <c r="A364" s="288"/>
      <c r="B364" s="289"/>
      <c r="C364" s="290"/>
      <c r="D364" s="285"/>
    </row>
    <row r="365" spans="1:4" s="254" customFormat="1" ht="13.7" customHeight="1">
      <c r="A365" s="288"/>
      <c r="B365" s="289"/>
      <c r="C365" s="290"/>
      <c r="D365" s="285"/>
    </row>
    <row r="366" spans="1:4" s="254" customFormat="1" ht="13.7" customHeight="1">
      <c r="A366" s="288"/>
      <c r="B366" s="289"/>
      <c r="C366" s="290"/>
      <c r="D366" s="285"/>
    </row>
    <row r="367" spans="1:4" s="254" customFormat="1" ht="13.7" customHeight="1">
      <c r="A367" s="288"/>
      <c r="B367" s="289"/>
      <c r="C367" s="290"/>
      <c r="D367" s="285"/>
    </row>
    <row r="368" spans="1:4" s="254" customFormat="1" ht="13.7" customHeight="1">
      <c r="A368" s="288"/>
      <c r="B368" s="289"/>
      <c r="C368" s="290"/>
      <c r="D368" s="285"/>
    </row>
    <row r="369" spans="1:4" s="254" customFormat="1" ht="13.7" customHeight="1">
      <c r="A369" s="288"/>
      <c r="B369" s="289"/>
      <c r="C369" s="290"/>
      <c r="D369" s="285"/>
    </row>
    <row r="370" spans="1:4" s="254" customFormat="1" ht="13.7" customHeight="1">
      <c r="A370" s="288"/>
      <c r="B370" s="289"/>
      <c r="C370" s="290"/>
      <c r="D370" s="285"/>
    </row>
    <row r="371" spans="1:4" s="254" customFormat="1" ht="13.7" customHeight="1">
      <c r="A371" s="288"/>
      <c r="B371" s="289"/>
      <c r="C371" s="290"/>
      <c r="D371" s="285"/>
    </row>
    <row r="372" spans="1:4" s="254" customFormat="1" ht="13.7" customHeight="1">
      <c r="A372" s="288"/>
      <c r="B372" s="289"/>
      <c r="C372" s="290"/>
      <c r="D372" s="285"/>
    </row>
    <row r="373" spans="1:4" s="254" customFormat="1" ht="13.7" customHeight="1">
      <c r="A373" s="288"/>
      <c r="B373" s="289"/>
      <c r="C373" s="290"/>
      <c r="D373" s="285"/>
    </row>
    <row r="374" spans="1:4" s="254" customFormat="1" ht="13.7" customHeight="1">
      <c r="A374" s="288"/>
      <c r="B374" s="289"/>
      <c r="C374" s="290"/>
      <c r="D374" s="285"/>
    </row>
    <row r="375" spans="1:4" s="254" customFormat="1" ht="13.7" customHeight="1">
      <c r="A375" s="288"/>
      <c r="B375" s="289"/>
      <c r="C375" s="290"/>
      <c r="D375" s="285"/>
    </row>
    <row r="376" spans="1:4" s="254" customFormat="1" ht="13.7" customHeight="1">
      <c r="A376" s="288"/>
      <c r="B376" s="289"/>
      <c r="C376" s="290"/>
      <c r="D376" s="285"/>
    </row>
    <row r="377" spans="1:4" s="254" customFormat="1" ht="13.7" customHeight="1">
      <c r="A377" s="288"/>
      <c r="B377" s="289"/>
      <c r="C377" s="290"/>
      <c r="D377" s="285"/>
    </row>
    <row r="378" spans="1:4" s="254" customFormat="1" ht="13.7" customHeight="1">
      <c r="A378" s="288"/>
      <c r="B378" s="289"/>
      <c r="C378" s="290"/>
      <c r="D378" s="285"/>
    </row>
    <row r="379" spans="1:4" s="254" customFormat="1" ht="13.7" customHeight="1">
      <c r="A379" s="288"/>
      <c r="B379" s="289"/>
      <c r="C379" s="290"/>
      <c r="D379" s="285"/>
    </row>
    <row r="380" spans="1:4" s="254" customFormat="1" ht="13.7" customHeight="1">
      <c r="A380" s="288"/>
      <c r="B380" s="289"/>
      <c r="C380" s="290"/>
      <c r="D380" s="285"/>
    </row>
    <row r="381" spans="1:4" s="254" customFormat="1" ht="13.7" customHeight="1">
      <c r="A381" s="288"/>
      <c r="B381" s="289"/>
      <c r="C381" s="290"/>
      <c r="D381" s="285"/>
    </row>
    <row r="382" spans="1:4" s="254" customFormat="1" ht="13.7" customHeight="1">
      <c r="A382" s="288"/>
      <c r="B382" s="289"/>
      <c r="C382" s="290"/>
      <c r="D382" s="285"/>
    </row>
    <row r="383" spans="1:4" s="254" customFormat="1" ht="13.7" customHeight="1">
      <c r="A383" s="288"/>
      <c r="B383" s="289"/>
      <c r="C383" s="290"/>
      <c r="D383" s="285"/>
    </row>
    <row r="384" spans="1:4" s="254" customFormat="1" ht="13.7" customHeight="1">
      <c r="A384" s="288"/>
      <c r="B384" s="289"/>
      <c r="C384" s="290"/>
      <c r="D384" s="285"/>
    </row>
    <row r="385" spans="1:4" s="254" customFormat="1" ht="13.7" customHeight="1">
      <c r="A385" s="288"/>
      <c r="B385" s="289"/>
      <c r="C385" s="290"/>
      <c r="D385" s="285"/>
    </row>
    <row r="386" spans="1:4" s="254" customFormat="1" ht="13.7" customHeight="1">
      <c r="A386" s="288"/>
      <c r="B386" s="289"/>
      <c r="C386" s="290"/>
      <c r="D386" s="285"/>
    </row>
    <row r="387" spans="1:4" s="254" customFormat="1" ht="13.7" customHeight="1">
      <c r="A387" s="288"/>
      <c r="B387" s="289"/>
      <c r="C387" s="290"/>
      <c r="D387" s="285"/>
    </row>
    <row r="388" spans="1:4" s="254" customFormat="1" ht="13.7" customHeight="1">
      <c r="A388" s="288"/>
      <c r="B388" s="289"/>
      <c r="C388" s="290"/>
      <c r="D388" s="285"/>
    </row>
    <row r="389" spans="1:4" s="254" customFormat="1" ht="13.7" customHeight="1">
      <c r="A389" s="288"/>
      <c r="B389" s="289"/>
      <c r="C389" s="290"/>
      <c r="D389" s="285"/>
    </row>
    <row r="390" spans="1:4" s="254" customFormat="1" ht="13.7" customHeight="1">
      <c r="A390" s="288"/>
      <c r="B390" s="289"/>
      <c r="C390" s="290"/>
      <c r="D390" s="285"/>
    </row>
    <row r="391" spans="1:4" s="254" customFormat="1" ht="13.7" customHeight="1">
      <c r="A391" s="288"/>
      <c r="B391" s="289"/>
      <c r="C391" s="290"/>
      <c r="D391" s="285"/>
    </row>
    <row r="392" spans="1:4" s="254" customFormat="1" ht="13.7" customHeight="1">
      <c r="A392" s="288"/>
      <c r="B392" s="289"/>
      <c r="C392" s="290"/>
      <c r="D392" s="285"/>
    </row>
    <row r="393" spans="1:4" s="254" customFormat="1" ht="13.7" customHeight="1">
      <c r="A393" s="288"/>
      <c r="B393" s="289"/>
      <c r="C393" s="290"/>
      <c r="D393" s="285"/>
    </row>
    <row r="394" spans="1:4" s="254" customFormat="1" ht="13.7" customHeight="1">
      <c r="A394" s="288"/>
      <c r="B394" s="289"/>
      <c r="C394" s="290"/>
      <c r="D394" s="285"/>
    </row>
    <row r="395" spans="1:4" s="254" customFormat="1" ht="13.7" customHeight="1">
      <c r="A395" s="288"/>
      <c r="B395" s="289"/>
      <c r="C395" s="290"/>
      <c r="D395" s="285"/>
    </row>
    <row r="396" spans="1:4" s="254" customFormat="1" ht="13.7" customHeight="1">
      <c r="A396" s="288"/>
      <c r="B396" s="289"/>
      <c r="C396" s="290"/>
      <c r="D396" s="285"/>
    </row>
    <row r="397" spans="1:4" s="254" customFormat="1" ht="13.7" customHeight="1">
      <c r="A397" s="288"/>
      <c r="B397" s="289"/>
      <c r="C397" s="290"/>
      <c r="D397" s="285"/>
    </row>
    <row r="398" spans="1:4" s="254" customFormat="1" ht="13.7" customHeight="1">
      <c r="A398" s="288"/>
      <c r="B398" s="289"/>
      <c r="C398" s="290"/>
      <c r="D398" s="285"/>
    </row>
    <row r="399" spans="1:4" s="254" customFormat="1" ht="13.7" customHeight="1">
      <c r="A399" s="288"/>
      <c r="B399" s="289"/>
      <c r="C399" s="290"/>
      <c r="D399" s="285"/>
    </row>
    <row r="400" spans="1:4" s="254" customFormat="1" ht="13.7" customHeight="1">
      <c r="A400" s="288"/>
      <c r="B400" s="289"/>
      <c r="C400" s="290"/>
      <c r="D400" s="285"/>
    </row>
    <row r="401" spans="1:4" s="254" customFormat="1" ht="13.7" customHeight="1">
      <c r="A401" s="288"/>
      <c r="B401" s="289"/>
      <c r="C401" s="290"/>
      <c r="D401" s="285"/>
    </row>
    <row r="402" spans="1:4" s="254" customFormat="1" ht="13.7" customHeight="1">
      <c r="A402" s="288"/>
      <c r="B402" s="289"/>
      <c r="C402" s="290"/>
      <c r="D402" s="285"/>
    </row>
    <row r="403" spans="1:4" s="254" customFormat="1" ht="13.7" customHeight="1">
      <c r="A403" s="288"/>
      <c r="B403" s="289"/>
      <c r="C403" s="290"/>
      <c r="D403" s="285"/>
    </row>
    <row r="404" spans="1:4" s="254" customFormat="1" ht="13.7" customHeight="1">
      <c r="A404" s="288"/>
      <c r="B404" s="289"/>
      <c r="C404" s="290"/>
      <c r="D404" s="285"/>
    </row>
    <row r="405" spans="1:4" s="254" customFormat="1" ht="13.7" customHeight="1">
      <c r="A405" s="288"/>
      <c r="B405" s="289"/>
      <c r="C405" s="290"/>
      <c r="D405" s="285"/>
    </row>
    <row r="406" spans="1:4" s="254" customFormat="1" ht="13.7" customHeight="1">
      <c r="A406" s="288"/>
      <c r="B406" s="289"/>
      <c r="C406" s="290"/>
      <c r="D406" s="285"/>
    </row>
    <row r="407" spans="1:4" s="254" customFormat="1" ht="13.7" customHeight="1">
      <c r="A407" s="288"/>
      <c r="B407" s="289"/>
      <c r="C407" s="290"/>
      <c r="D407" s="285"/>
    </row>
    <row r="408" spans="1:4" s="254" customFormat="1" ht="13.7" customHeight="1">
      <c r="A408" s="288"/>
      <c r="B408" s="289"/>
      <c r="C408" s="290"/>
      <c r="D408" s="285"/>
    </row>
    <row r="409" spans="1:4" s="254" customFormat="1" ht="13.7" customHeight="1">
      <c r="A409" s="288"/>
      <c r="B409" s="289"/>
      <c r="C409" s="290"/>
      <c r="D409" s="285"/>
    </row>
    <row r="410" spans="1:4" s="254" customFormat="1" ht="13.7" customHeight="1">
      <c r="A410" s="288"/>
      <c r="B410" s="289"/>
      <c r="C410" s="290"/>
      <c r="D410" s="285"/>
    </row>
    <row r="411" spans="1:4" s="254" customFormat="1" ht="13.7" customHeight="1">
      <c r="A411" s="288"/>
      <c r="B411" s="289"/>
      <c r="C411" s="290"/>
      <c r="D411" s="285"/>
    </row>
    <row r="412" spans="1:4" s="254" customFormat="1" ht="13.7" customHeight="1">
      <c r="A412" s="288"/>
      <c r="B412" s="289"/>
      <c r="C412" s="290"/>
      <c r="D412" s="285"/>
    </row>
    <row r="413" spans="1:4" s="254" customFormat="1" ht="13.7" customHeight="1">
      <c r="A413" s="288"/>
      <c r="B413" s="289"/>
      <c r="C413" s="290"/>
      <c r="D413" s="285"/>
    </row>
    <row r="414" spans="1:4" s="254" customFormat="1" ht="13.7" customHeight="1">
      <c r="A414" s="288"/>
      <c r="B414" s="289"/>
      <c r="C414" s="290"/>
      <c r="D414" s="285"/>
    </row>
    <row r="415" spans="1:4" s="254" customFormat="1" ht="13.7" customHeight="1">
      <c r="A415" s="288"/>
      <c r="B415" s="289"/>
      <c r="C415" s="290"/>
      <c r="D415" s="285"/>
    </row>
    <row r="416" spans="1:4" s="254" customFormat="1" ht="13.7" customHeight="1">
      <c r="A416" s="288"/>
      <c r="B416" s="289"/>
      <c r="C416" s="290"/>
      <c r="D416" s="285"/>
    </row>
    <row r="417" spans="1:4" s="254" customFormat="1" ht="13.7" customHeight="1">
      <c r="A417" s="288"/>
      <c r="B417" s="289"/>
      <c r="C417" s="290"/>
      <c r="D417" s="285"/>
    </row>
    <row r="418" spans="1:4" s="254" customFormat="1" ht="13.7" customHeight="1">
      <c r="A418" s="288"/>
      <c r="B418" s="289"/>
      <c r="C418" s="290"/>
      <c r="D418" s="285"/>
    </row>
    <row r="419" spans="1:4" s="254" customFormat="1" ht="13.7" customHeight="1">
      <c r="A419" s="288"/>
      <c r="B419" s="289"/>
      <c r="C419" s="290"/>
      <c r="D419" s="285"/>
    </row>
    <row r="420" spans="1:4" s="254" customFormat="1" ht="13.7" customHeight="1">
      <c r="A420" s="288"/>
      <c r="B420" s="289"/>
      <c r="C420" s="290"/>
      <c r="D420" s="285"/>
    </row>
    <row r="421" spans="1:4" s="254" customFormat="1" ht="13.7" customHeight="1">
      <c r="A421" s="288"/>
      <c r="B421" s="289"/>
      <c r="C421" s="290"/>
      <c r="D421" s="285"/>
    </row>
    <row r="422" spans="1:4" s="254" customFormat="1" ht="13.7" customHeight="1">
      <c r="A422" s="288"/>
      <c r="B422" s="289"/>
      <c r="C422" s="290"/>
      <c r="D422" s="285"/>
    </row>
    <row r="423" spans="1:4" s="254" customFormat="1" ht="13.7" customHeight="1">
      <c r="A423" s="288"/>
      <c r="B423" s="289"/>
      <c r="C423" s="290"/>
      <c r="D423" s="285"/>
    </row>
    <row r="424" spans="1:4" s="254" customFormat="1" ht="13.7" customHeight="1">
      <c r="A424" s="288"/>
      <c r="B424" s="289"/>
      <c r="C424" s="290"/>
      <c r="D424" s="285"/>
    </row>
    <row r="425" spans="1:4" s="254" customFormat="1" ht="13.7" customHeight="1">
      <c r="A425" s="288"/>
      <c r="B425" s="289"/>
      <c r="C425" s="290"/>
      <c r="D425" s="285"/>
    </row>
    <row r="426" spans="1:4" s="254" customFormat="1" ht="13.7" customHeight="1">
      <c r="A426" s="288"/>
      <c r="B426" s="289"/>
      <c r="C426" s="290"/>
      <c r="D426" s="285"/>
    </row>
    <row r="427" spans="1:4" s="254" customFormat="1" ht="13.7" customHeight="1">
      <c r="A427" s="288"/>
      <c r="B427" s="289"/>
      <c r="C427" s="290"/>
      <c r="D427" s="285"/>
    </row>
    <row r="428" spans="1:4" s="254" customFormat="1" ht="13.7" customHeight="1">
      <c r="A428" s="288"/>
      <c r="B428" s="289"/>
      <c r="C428" s="290"/>
      <c r="D428" s="285"/>
    </row>
    <row r="429" spans="1:4" s="254" customFormat="1" ht="13.7" customHeight="1">
      <c r="A429" s="288"/>
      <c r="B429" s="289"/>
      <c r="C429" s="290"/>
      <c r="D429" s="285"/>
    </row>
    <row r="430" spans="1:4" s="254" customFormat="1" ht="13.7" customHeight="1">
      <c r="A430" s="288"/>
      <c r="B430" s="289"/>
      <c r="C430" s="290"/>
      <c r="D430" s="285"/>
    </row>
    <row r="431" spans="1:4" s="254" customFormat="1" ht="13.7" customHeight="1">
      <c r="A431" s="288"/>
      <c r="B431" s="289"/>
      <c r="C431" s="290"/>
      <c r="D431" s="285"/>
    </row>
    <row r="432" spans="1:4" s="254" customFormat="1" ht="13.7" customHeight="1">
      <c r="A432" s="288"/>
      <c r="B432" s="289"/>
      <c r="C432" s="290"/>
      <c r="D432" s="285"/>
    </row>
    <row r="433" spans="1:4" s="254" customFormat="1" ht="13.7" customHeight="1">
      <c r="A433" s="288"/>
      <c r="B433" s="289"/>
      <c r="C433" s="290"/>
      <c r="D433" s="285"/>
    </row>
    <row r="434" spans="1:4" s="254" customFormat="1" ht="13.7" customHeight="1">
      <c r="A434" s="288"/>
      <c r="B434" s="289"/>
      <c r="C434" s="290"/>
      <c r="D434" s="285"/>
    </row>
    <row r="435" spans="1:4" s="254" customFormat="1" ht="13.7" customHeight="1">
      <c r="A435" s="288"/>
      <c r="B435" s="289"/>
      <c r="C435" s="290"/>
      <c r="D435" s="285"/>
    </row>
    <row r="436" spans="1:4" s="254" customFormat="1" ht="13.7" customHeight="1">
      <c r="A436" s="288"/>
      <c r="B436" s="289"/>
      <c r="C436" s="290"/>
      <c r="D436" s="285"/>
    </row>
    <row r="437" spans="1:4" s="254" customFormat="1" ht="13.7" customHeight="1">
      <c r="A437" s="288"/>
      <c r="B437" s="289"/>
      <c r="C437" s="290"/>
      <c r="D437" s="285"/>
    </row>
    <row r="438" spans="1:4" s="254" customFormat="1" ht="13.7" customHeight="1">
      <c r="A438" s="288"/>
      <c r="B438" s="289"/>
      <c r="C438" s="290"/>
      <c r="D438" s="285"/>
    </row>
    <row r="439" spans="1:4" s="254" customFormat="1" ht="13.7" customHeight="1">
      <c r="A439" s="288"/>
      <c r="B439" s="289"/>
      <c r="C439" s="290"/>
      <c r="D439" s="285"/>
    </row>
    <row r="440" spans="1:4" s="254" customFormat="1" ht="13.7" customHeight="1">
      <c r="A440" s="288"/>
      <c r="B440" s="289"/>
      <c r="C440" s="290"/>
      <c r="D440" s="285"/>
    </row>
    <row r="441" spans="1:4" s="254" customFormat="1" ht="13.7" customHeight="1">
      <c r="A441" s="288"/>
      <c r="B441" s="289"/>
      <c r="C441" s="290"/>
      <c r="D441" s="285"/>
    </row>
    <row r="442" spans="1:4" s="254" customFormat="1" ht="13.7" customHeight="1">
      <c r="A442" s="288"/>
      <c r="B442" s="289"/>
      <c r="C442" s="290"/>
      <c r="D442" s="285"/>
    </row>
    <row r="443" spans="1:4" s="254" customFormat="1" ht="13.7" customHeight="1">
      <c r="A443" s="288"/>
      <c r="B443" s="289"/>
      <c r="C443" s="290"/>
      <c r="D443" s="285"/>
    </row>
    <row r="444" spans="1:4" s="254" customFormat="1" ht="13.7" customHeight="1">
      <c r="A444" s="288"/>
      <c r="B444" s="289"/>
      <c r="C444" s="290"/>
      <c r="D444" s="285"/>
    </row>
    <row r="445" spans="1:4" s="254" customFormat="1" ht="13.7" customHeight="1">
      <c r="A445" s="288"/>
      <c r="B445" s="289"/>
      <c r="C445" s="290"/>
      <c r="D445" s="285"/>
    </row>
    <row r="446" spans="1:4" s="254" customFormat="1" ht="13.7" customHeight="1">
      <c r="A446" s="288"/>
      <c r="B446" s="289"/>
      <c r="C446" s="290"/>
      <c r="D446" s="285"/>
    </row>
    <row r="447" spans="1:4" s="254" customFormat="1" ht="13.7" customHeight="1">
      <c r="A447" s="288"/>
      <c r="B447" s="289"/>
      <c r="C447" s="290"/>
      <c r="D447" s="285"/>
    </row>
    <row r="448" spans="1:4" s="254" customFormat="1" ht="13.7" customHeight="1">
      <c r="A448" s="288"/>
      <c r="B448" s="289"/>
      <c r="C448" s="290"/>
      <c r="D448" s="285"/>
    </row>
    <row r="449" spans="1:4" s="254" customFormat="1" ht="13.7" customHeight="1">
      <c r="A449" s="288"/>
      <c r="B449" s="289"/>
      <c r="C449" s="290"/>
      <c r="D449" s="285"/>
    </row>
    <row r="450" spans="1:4" s="254" customFormat="1" ht="13.7" customHeight="1">
      <c r="A450" s="288"/>
      <c r="B450" s="289"/>
      <c r="C450" s="290"/>
      <c r="D450" s="285"/>
    </row>
    <row r="451" spans="1:4" s="254" customFormat="1" ht="13.7" customHeight="1">
      <c r="A451" s="288"/>
      <c r="B451" s="289"/>
      <c r="C451" s="290"/>
      <c r="D451" s="285"/>
    </row>
    <row r="452" spans="1:4" s="254" customFormat="1" ht="13.7" customHeight="1">
      <c r="A452" s="288"/>
      <c r="B452" s="289"/>
      <c r="C452" s="290"/>
      <c r="D452" s="285"/>
    </row>
    <row r="453" spans="1:4" s="254" customFormat="1" ht="13.7" customHeight="1">
      <c r="A453" s="288"/>
      <c r="B453" s="289"/>
      <c r="C453" s="290"/>
      <c r="D453" s="285"/>
    </row>
    <row r="454" spans="1:4" s="254" customFormat="1" ht="13.7" customHeight="1">
      <c r="A454" s="288"/>
      <c r="B454" s="289"/>
      <c r="C454" s="290"/>
      <c r="D454" s="285"/>
    </row>
    <row r="455" spans="1:4" s="254" customFormat="1" ht="13.7" customHeight="1">
      <c r="A455" s="288"/>
      <c r="B455" s="289"/>
      <c r="C455" s="290"/>
      <c r="D455" s="285"/>
    </row>
    <row r="456" spans="1:4" s="254" customFormat="1" ht="13.7" customHeight="1">
      <c r="A456" s="288"/>
      <c r="B456" s="289"/>
      <c r="C456" s="290"/>
      <c r="D456" s="285"/>
    </row>
    <row r="457" spans="1:4" s="254" customFormat="1" ht="13.7" customHeight="1">
      <c r="A457" s="288"/>
      <c r="B457" s="289"/>
      <c r="C457" s="290"/>
      <c r="D457" s="285"/>
    </row>
    <row r="458" spans="1:4" s="254" customFormat="1" ht="13.7" customHeight="1">
      <c r="A458" s="288"/>
      <c r="B458" s="289"/>
      <c r="C458" s="290"/>
      <c r="D458" s="285"/>
    </row>
    <row r="459" spans="1:4" s="254" customFormat="1" ht="13.7" customHeight="1">
      <c r="A459" s="288"/>
      <c r="B459" s="289"/>
      <c r="C459" s="290"/>
      <c r="D459" s="285"/>
    </row>
    <row r="460" spans="1:4" s="254" customFormat="1" ht="13.7" customHeight="1">
      <c r="A460" s="288"/>
      <c r="B460" s="289"/>
      <c r="C460" s="290"/>
      <c r="D460" s="285"/>
    </row>
    <row r="461" spans="1:4" s="254" customFormat="1" ht="13.7" customHeight="1">
      <c r="A461" s="288"/>
      <c r="B461" s="289"/>
      <c r="C461" s="290"/>
      <c r="D461" s="285"/>
    </row>
    <row r="462" spans="1:4" s="254" customFormat="1" ht="13.7" customHeight="1">
      <c r="A462" s="288"/>
      <c r="B462" s="289"/>
      <c r="C462" s="290"/>
      <c r="D462" s="285"/>
    </row>
    <row r="463" spans="1:4" s="254" customFormat="1" ht="13.7" customHeight="1">
      <c r="A463" s="288"/>
      <c r="B463" s="289"/>
      <c r="C463" s="290"/>
      <c r="D463" s="285"/>
    </row>
    <row r="464" spans="1:4" s="254" customFormat="1" ht="13.7" customHeight="1">
      <c r="A464" s="288"/>
      <c r="B464" s="289"/>
      <c r="C464" s="290"/>
      <c r="D464" s="285"/>
    </row>
    <row r="465" spans="1:4" s="254" customFormat="1" ht="13.7" customHeight="1">
      <c r="A465" s="288"/>
      <c r="B465" s="289"/>
      <c r="C465" s="290"/>
      <c r="D465" s="285"/>
    </row>
    <row r="466" spans="1:4" s="254" customFormat="1" ht="13.7" customHeight="1">
      <c r="A466" s="288"/>
      <c r="B466" s="289"/>
      <c r="C466" s="290"/>
      <c r="D466" s="285"/>
    </row>
    <row r="467" spans="1:4" s="254" customFormat="1" ht="13.7" customHeight="1">
      <c r="A467" s="288"/>
      <c r="B467" s="289"/>
      <c r="C467" s="290"/>
      <c r="D467" s="285"/>
    </row>
    <row r="468" spans="1:4" s="254" customFormat="1" ht="13.7" customHeight="1">
      <c r="A468" s="288"/>
      <c r="B468" s="289"/>
      <c r="C468" s="290"/>
      <c r="D468" s="285"/>
    </row>
    <row r="469" spans="1:4" s="254" customFormat="1" ht="13.7" customHeight="1">
      <c r="A469" s="288"/>
      <c r="B469" s="289"/>
      <c r="C469" s="290"/>
      <c r="D469" s="285"/>
    </row>
    <row r="470" spans="1:4" s="254" customFormat="1" ht="13.7" customHeight="1">
      <c r="A470" s="288"/>
      <c r="B470" s="289"/>
      <c r="C470" s="290"/>
      <c r="D470" s="285"/>
    </row>
    <row r="471" spans="1:4" s="254" customFormat="1" ht="13.7" customHeight="1">
      <c r="A471" s="288"/>
      <c r="B471" s="289"/>
      <c r="C471" s="290"/>
      <c r="D471" s="285"/>
    </row>
    <row r="472" spans="1:4" s="254" customFormat="1" ht="13.7" customHeight="1">
      <c r="A472" s="288"/>
      <c r="B472" s="289"/>
      <c r="C472" s="290"/>
      <c r="D472" s="285"/>
    </row>
    <row r="473" spans="1:4" s="254" customFormat="1" ht="13.7" customHeight="1">
      <c r="A473" s="288"/>
      <c r="B473" s="289"/>
      <c r="C473" s="290"/>
      <c r="D473" s="285"/>
    </row>
    <row r="474" spans="1:4" s="254" customFormat="1" ht="13.7" customHeight="1">
      <c r="A474" s="288"/>
      <c r="B474" s="289"/>
      <c r="C474" s="290"/>
      <c r="D474" s="285"/>
    </row>
    <row r="475" spans="1:4" s="254" customFormat="1" ht="13.7" customHeight="1">
      <c r="A475" s="288"/>
      <c r="B475" s="289"/>
      <c r="C475" s="290"/>
      <c r="D475" s="285"/>
    </row>
    <row r="476" spans="1:4" s="254" customFormat="1" ht="13.7" customHeight="1">
      <c r="A476" s="288"/>
      <c r="B476" s="289"/>
      <c r="C476" s="290"/>
      <c r="D476" s="285"/>
    </row>
    <row r="477" spans="1:4" s="254" customFormat="1" ht="13.7" customHeight="1">
      <c r="A477" s="288"/>
      <c r="B477" s="289"/>
      <c r="C477" s="290"/>
      <c r="D477" s="285"/>
    </row>
    <row r="478" spans="1:4" s="254" customFormat="1" ht="13.7" customHeight="1">
      <c r="A478" s="288"/>
      <c r="B478" s="289"/>
      <c r="C478" s="290"/>
      <c r="D478" s="285"/>
    </row>
    <row r="479" spans="1:4" s="254" customFormat="1" ht="13.7" customHeight="1">
      <c r="A479" s="288"/>
      <c r="B479" s="289"/>
      <c r="C479" s="290"/>
      <c r="D479" s="285"/>
    </row>
    <row r="480" spans="1:4" s="254" customFormat="1" ht="13.7" customHeight="1">
      <c r="A480" s="288"/>
      <c r="B480" s="289"/>
      <c r="C480" s="290"/>
      <c r="D480" s="285"/>
    </row>
    <row r="481" spans="1:4" s="254" customFormat="1" ht="13.7" customHeight="1">
      <c r="A481" s="288"/>
      <c r="B481" s="289"/>
      <c r="C481" s="290"/>
      <c r="D481" s="285"/>
    </row>
    <row r="482" spans="1:4" s="254" customFormat="1" ht="13.7" customHeight="1">
      <c r="A482" s="288"/>
      <c r="B482" s="289"/>
      <c r="C482" s="290"/>
      <c r="D482" s="285"/>
    </row>
    <row r="483" spans="1:4" s="254" customFormat="1" ht="13.7" customHeight="1">
      <c r="A483" s="288"/>
      <c r="B483" s="289"/>
      <c r="C483" s="290"/>
      <c r="D483" s="285"/>
    </row>
    <row r="484" spans="1:4" s="254" customFormat="1" ht="13.7" customHeight="1">
      <c r="A484" s="288"/>
      <c r="B484" s="289"/>
      <c r="C484" s="290"/>
      <c r="D484" s="285"/>
    </row>
    <row r="485" spans="1:4" s="254" customFormat="1" ht="13.7" customHeight="1">
      <c r="A485" s="288"/>
      <c r="B485" s="289"/>
      <c r="C485" s="290"/>
      <c r="D485" s="285"/>
    </row>
    <row r="486" spans="1:4" s="254" customFormat="1" ht="13.7" customHeight="1">
      <c r="A486" s="288"/>
      <c r="B486" s="289"/>
      <c r="C486" s="290"/>
      <c r="D486" s="285"/>
    </row>
    <row r="487" spans="1:4" s="254" customFormat="1" ht="13.7" customHeight="1">
      <c r="A487" s="288"/>
      <c r="B487" s="289"/>
      <c r="C487" s="290"/>
      <c r="D487" s="285"/>
    </row>
    <row r="488" spans="1:4" s="254" customFormat="1" ht="13.7" customHeight="1">
      <c r="A488" s="288"/>
      <c r="B488" s="289"/>
      <c r="C488" s="290"/>
      <c r="D488" s="285"/>
    </row>
    <row r="489" spans="1:4" s="254" customFormat="1" ht="13.7" customHeight="1">
      <c r="A489" s="288"/>
      <c r="B489" s="289"/>
      <c r="C489" s="290"/>
      <c r="D489" s="285"/>
    </row>
    <row r="490" spans="1:4" s="254" customFormat="1" ht="13.7" customHeight="1">
      <c r="A490" s="288"/>
      <c r="B490" s="289"/>
      <c r="C490" s="290"/>
      <c r="D490" s="285"/>
    </row>
    <row r="491" spans="1:4" s="254" customFormat="1" ht="13.7" customHeight="1">
      <c r="A491" s="288"/>
      <c r="B491" s="289"/>
      <c r="C491" s="290"/>
      <c r="D491" s="285"/>
    </row>
    <row r="492" spans="1:4" s="254" customFormat="1" ht="13.7" customHeight="1">
      <c r="A492" s="288"/>
      <c r="B492" s="289"/>
      <c r="C492" s="290"/>
      <c r="D492" s="285"/>
    </row>
    <row r="493" spans="1:4" s="254" customFormat="1" ht="13.7" customHeight="1">
      <c r="A493" s="288"/>
      <c r="B493" s="289"/>
      <c r="C493" s="290"/>
      <c r="D493" s="285"/>
    </row>
    <row r="494" spans="1:4" s="254" customFormat="1" ht="13.7" customHeight="1">
      <c r="A494" s="288"/>
      <c r="B494" s="289"/>
      <c r="C494" s="290"/>
      <c r="D494" s="285"/>
    </row>
    <row r="495" spans="1:4" s="254" customFormat="1" ht="13.7" customHeight="1">
      <c r="A495" s="288"/>
      <c r="B495" s="289"/>
      <c r="C495" s="290"/>
      <c r="D495" s="285"/>
    </row>
    <row r="496" spans="1:4" s="254" customFormat="1" ht="13.7" customHeight="1">
      <c r="A496" s="288"/>
      <c r="B496" s="289"/>
      <c r="C496" s="290"/>
      <c r="D496" s="285"/>
    </row>
    <row r="497" spans="1:4" s="254" customFormat="1" ht="13.7" customHeight="1">
      <c r="A497" s="288"/>
      <c r="B497" s="289"/>
      <c r="C497" s="290"/>
      <c r="D497" s="285"/>
    </row>
    <row r="498" spans="1:4" s="254" customFormat="1" ht="13.7" customHeight="1">
      <c r="A498" s="288"/>
      <c r="B498" s="289"/>
      <c r="C498" s="290"/>
      <c r="D498" s="285"/>
    </row>
    <row r="499" spans="1:4" s="254" customFormat="1" ht="13.7" customHeight="1">
      <c r="A499" s="288"/>
      <c r="B499" s="289"/>
      <c r="C499" s="290"/>
      <c r="D499" s="285"/>
    </row>
    <row r="500" spans="1:4" s="254" customFormat="1" ht="13.7" customHeight="1">
      <c r="A500" s="288"/>
      <c r="B500" s="289"/>
      <c r="C500" s="290"/>
      <c r="D500" s="285"/>
    </row>
    <row r="501" spans="1:4" s="254" customFormat="1" ht="13.7" customHeight="1">
      <c r="A501" s="288"/>
      <c r="B501" s="289"/>
      <c r="C501" s="290"/>
      <c r="D501" s="285"/>
    </row>
    <row r="502" spans="1:4" s="254" customFormat="1" ht="13.7" customHeight="1">
      <c r="A502" s="288"/>
      <c r="B502" s="289"/>
      <c r="C502" s="290"/>
      <c r="D502" s="285"/>
    </row>
    <row r="503" spans="1:4" s="254" customFormat="1" ht="13.7" customHeight="1">
      <c r="A503" s="288"/>
      <c r="B503" s="289"/>
      <c r="C503" s="290"/>
      <c r="D503" s="285"/>
    </row>
    <row r="504" spans="1:4" s="254" customFormat="1" ht="13.7" customHeight="1">
      <c r="A504" s="288"/>
      <c r="B504" s="289"/>
      <c r="C504" s="290"/>
      <c r="D504" s="285"/>
    </row>
    <row r="505" spans="1:4" s="254" customFormat="1" ht="13.7" customHeight="1">
      <c r="A505" s="288"/>
      <c r="B505" s="289"/>
      <c r="C505" s="290"/>
      <c r="D505" s="285"/>
    </row>
    <row r="506" spans="1:4" s="254" customFormat="1" ht="13.7" customHeight="1">
      <c r="A506" s="288"/>
      <c r="B506" s="289"/>
      <c r="C506" s="290"/>
      <c r="D506" s="285"/>
    </row>
    <row r="507" spans="1:4" s="254" customFormat="1" ht="13.7" customHeight="1">
      <c r="A507" s="288"/>
      <c r="B507" s="289"/>
      <c r="C507" s="290"/>
      <c r="D507" s="285"/>
    </row>
    <row r="508" spans="1:4" s="254" customFormat="1" ht="13.7" customHeight="1">
      <c r="A508" s="288"/>
      <c r="B508" s="289"/>
      <c r="C508" s="290"/>
      <c r="D508" s="285"/>
    </row>
    <row r="509" spans="1:4" s="254" customFormat="1" ht="13.7" customHeight="1">
      <c r="A509" s="288"/>
      <c r="B509" s="289"/>
      <c r="C509" s="290"/>
      <c r="D509" s="285"/>
    </row>
    <row r="510" spans="1:4" s="254" customFormat="1" ht="13.7" customHeight="1">
      <c r="A510" s="288"/>
      <c r="B510" s="289"/>
      <c r="C510" s="290"/>
      <c r="D510" s="285"/>
    </row>
    <row r="511" spans="1:4" s="254" customFormat="1" ht="13.7" customHeight="1">
      <c r="A511" s="288"/>
      <c r="B511" s="289"/>
      <c r="C511" s="290"/>
      <c r="D511" s="285"/>
    </row>
    <row r="512" spans="1:4" s="254" customFormat="1" ht="13.7" customHeight="1">
      <c r="A512" s="288"/>
      <c r="B512" s="289"/>
      <c r="C512" s="290"/>
      <c r="D512" s="285"/>
    </row>
    <row r="513" spans="1:4" s="254" customFormat="1" ht="13.7" customHeight="1">
      <c r="A513" s="288"/>
      <c r="B513" s="289"/>
      <c r="C513" s="290"/>
      <c r="D513" s="285"/>
    </row>
    <row r="514" spans="1:4" s="254" customFormat="1" ht="13.7" customHeight="1">
      <c r="A514" s="288"/>
      <c r="B514" s="289"/>
      <c r="C514" s="290"/>
      <c r="D514" s="285"/>
    </row>
    <row r="515" spans="1:4" s="254" customFormat="1" ht="13.7" customHeight="1">
      <c r="A515" s="288"/>
      <c r="B515" s="289"/>
      <c r="C515" s="290"/>
      <c r="D515" s="285"/>
    </row>
    <row r="516" spans="1:4" s="254" customFormat="1" ht="13.7" customHeight="1">
      <c r="A516" s="288"/>
      <c r="B516" s="289"/>
      <c r="C516" s="290"/>
      <c r="D516" s="285"/>
    </row>
    <row r="517" spans="1:4" s="254" customFormat="1" ht="13.7" customHeight="1">
      <c r="A517" s="288"/>
      <c r="B517" s="289"/>
      <c r="C517" s="290"/>
      <c r="D517" s="285"/>
    </row>
    <row r="518" spans="1:4" s="254" customFormat="1" ht="13.7" customHeight="1">
      <c r="A518" s="288"/>
      <c r="B518" s="289"/>
      <c r="C518" s="290"/>
      <c r="D518" s="285"/>
    </row>
    <row r="519" spans="1:4" s="254" customFormat="1" ht="13.7" customHeight="1">
      <c r="A519" s="288"/>
      <c r="B519" s="289"/>
      <c r="C519" s="290"/>
      <c r="D519" s="285"/>
    </row>
    <row r="520" spans="1:4" s="254" customFormat="1" ht="13.7" customHeight="1">
      <c r="A520" s="288"/>
      <c r="B520" s="289"/>
      <c r="C520" s="290"/>
      <c r="D520" s="285"/>
    </row>
    <row r="521" spans="1:4" s="254" customFormat="1" ht="13.7" customHeight="1">
      <c r="A521" s="288"/>
      <c r="B521" s="289"/>
      <c r="C521" s="290"/>
      <c r="D521" s="285"/>
    </row>
    <row r="522" spans="1:4" s="254" customFormat="1" ht="13.7" customHeight="1">
      <c r="A522" s="288"/>
      <c r="B522" s="289"/>
      <c r="C522" s="290"/>
      <c r="D522" s="285"/>
    </row>
    <row r="523" spans="1:4" s="254" customFormat="1" ht="13.7" customHeight="1">
      <c r="A523" s="288"/>
      <c r="B523" s="289"/>
      <c r="C523" s="290"/>
      <c r="D523" s="285"/>
    </row>
    <row r="524" spans="1:4" s="254" customFormat="1" ht="13.7" customHeight="1">
      <c r="A524" s="288"/>
      <c r="B524" s="289"/>
      <c r="C524" s="290"/>
      <c r="D524" s="285"/>
    </row>
    <row r="525" spans="1:4" s="254" customFormat="1" ht="13.7" customHeight="1">
      <c r="A525" s="288"/>
      <c r="B525" s="289"/>
      <c r="C525" s="290"/>
      <c r="D525" s="285"/>
    </row>
    <row r="526" spans="1:4" s="254" customFormat="1" ht="13.7" customHeight="1">
      <c r="A526" s="288"/>
      <c r="B526" s="289"/>
      <c r="C526" s="290"/>
      <c r="D526" s="285"/>
    </row>
    <row r="527" spans="1:4" s="254" customFormat="1" ht="13.7" customHeight="1">
      <c r="A527" s="288"/>
      <c r="B527" s="289"/>
      <c r="C527" s="290"/>
      <c r="D527" s="285"/>
    </row>
    <row r="528" spans="1:4" s="254" customFormat="1" ht="13.7" customHeight="1">
      <c r="A528" s="288"/>
      <c r="B528" s="289"/>
      <c r="C528" s="290"/>
      <c r="D528" s="285"/>
    </row>
    <row r="529" spans="1:4" s="254" customFormat="1" ht="13.7" customHeight="1">
      <c r="A529" s="288"/>
      <c r="B529" s="289"/>
      <c r="C529" s="290"/>
      <c r="D529" s="285"/>
    </row>
    <row r="530" spans="1:4" s="254" customFormat="1" ht="13.7" customHeight="1">
      <c r="A530" s="288"/>
      <c r="B530" s="289"/>
      <c r="C530" s="290"/>
      <c r="D530" s="285"/>
    </row>
    <row r="531" spans="1:4" s="254" customFormat="1" ht="13.7" customHeight="1">
      <c r="A531" s="288"/>
      <c r="B531" s="289"/>
      <c r="C531" s="290"/>
      <c r="D531" s="285"/>
    </row>
    <row r="532" spans="1:4" s="254" customFormat="1" ht="13.7" customHeight="1">
      <c r="A532" s="288"/>
      <c r="B532" s="289"/>
      <c r="C532" s="290"/>
      <c r="D532" s="285"/>
    </row>
    <row r="533" spans="1:4" s="254" customFormat="1" ht="13.7" customHeight="1">
      <c r="A533" s="288"/>
      <c r="B533" s="289"/>
      <c r="C533" s="290"/>
      <c r="D533" s="285"/>
    </row>
    <row r="534" spans="1:4" s="254" customFormat="1" ht="13.7" customHeight="1">
      <c r="A534" s="288"/>
      <c r="B534" s="289"/>
      <c r="C534" s="290"/>
      <c r="D534" s="285"/>
    </row>
    <row r="535" spans="1:4" s="254" customFormat="1" ht="13.7" customHeight="1">
      <c r="A535" s="288"/>
      <c r="B535" s="289"/>
      <c r="C535" s="290"/>
      <c r="D535" s="285"/>
    </row>
    <row r="536" spans="1:4" s="254" customFormat="1" ht="13.7" customHeight="1">
      <c r="A536" s="288"/>
      <c r="B536" s="289"/>
      <c r="C536" s="290"/>
      <c r="D536" s="285"/>
    </row>
    <row r="537" spans="1:4" s="254" customFormat="1" ht="13.7" customHeight="1">
      <c r="A537" s="288"/>
      <c r="B537" s="289"/>
      <c r="C537" s="290"/>
      <c r="D537" s="285"/>
    </row>
    <row r="538" spans="1:4" s="254" customFormat="1" ht="13.7" customHeight="1">
      <c r="A538" s="288"/>
      <c r="B538" s="289"/>
      <c r="C538" s="290"/>
      <c r="D538" s="285"/>
    </row>
    <row r="539" spans="1:4" s="254" customFormat="1" ht="13.7" customHeight="1">
      <c r="A539" s="288"/>
      <c r="B539" s="289"/>
      <c r="C539" s="290"/>
      <c r="D539" s="285"/>
    </row>
    <row r="540" spans="1:4" s="254" customFormat="1" ht="13.7" customHeight="1">
      <c r="A540" s="288"/>
      <c r="B540" s="289"/>
      <c r="C540" s="290"/>
      <c r="D540" s="285"/>
    </row>
    <row r="541" spans="1:4" s="254" customFormat="1" ht="13.7" customHeight="1">
      <c r="A541" s="288"/>
      <c r="B541" s="289"/>
      <c r="C541" s="290"/>
      <c r="D541" s="285"/>
    </row>
    <row r="542" spans="1:4" s="254" customFormat="1" ht="13.7" customHeight="1">
      <c r="A542" s="288"/>
      <c r="B542" s="289"/>
      <c r="C542" s="290"/>
      <c r="D542" s="285"/>
    </row>
    <row r="543" spans="1:4" s="254" customFormat="1" ht="13.7" customHeight="1">
      <c r="A543" s="288"/>
      <c r="B543" s="289"/>
      <c r="C543" s="290"/>
      <c r="D543" s="285"/>
    </row>
    <row r="544" spans="1:4" s="254" customFormat="1" ht="13.7" customHeight="1">
      <c r="A544" s="288"/>
      <c r="B544" s="289"/>
      <c r="C544" s="290"/>
      <c r="D544" s="285"/>
    </row>
    <row r="545" spans="1:4" s="254" customFormat="1" ht="13.7" customHeight="1">
      <c r="A545" s="288"/>
      <c r="B545" s="289"/>
      <c r="C545" s="290"/>
      <c r="D545" s="285"/>
    </row>
    <row r="546" spans="1:4" s="254" customFormat="1" ht="13.7" customHeight="1">
      <c r="A546" s="288"/>
      <c r="B546" s="289"/>
      <c r="C546" s="290"/>
      <c r="D546" s="285"/>
    </row>
    <row r="547" spans="1:4" s="254" customFormat="1" ht="13.7" customHeight="1">
      <c r="A547" s="288"/>
      <c r="B547" s="289"/>
      <c r="C547" s="290"/>
      <c r="D547" s="285"/>
    </row>
    <row r="548" spans="1:4" s="254" customFormat="1" ht="13.7" customHeight="1">
      <c r="A548" s="288"/>
      <c r="B548" s="289"/>
      <c r="C548" s="290"/>
      <c r="D548" s="285"/>
    </row>
    <row r="549" spans="1:4" s="254" customFormat="1" ht="13.7" customHeight="1">
      <c r="A549" s="288"/>
      <c r="B549" s="289"/>
      <c r="C549" s="290"/>
      <c r="D549" s="285"/>
    </row>
    <row r="550" spans="1:4" s="254" customFormat="1" ht="13.7" customHeight="1">
      <c r="A550" s="288"/>
      <c r="B550" s="289"/>
      <c r="C550" s="290"/>
      <c r="D550" s="285"/>
    </row>
    <row r="551" spans="1:4" s="254" customFormat="1" ht="13.7" customHeight="1">
      <c r="A551" s="288"/>
      <c r="B551" s="289"/>
      <c r="C551" s="290"/>
      <c r="D551" s="285"/>
    </row>
    <row r="552" spans="1:4" s="254" customFormat="1" ht="13.7" customHeight="1">
      <c r="A552" s="288"/>
      <c r="B552" s="289"/>
      <c r="C552" s="290"/>
      <c r="D552" s="285"/>
    </row>
    <row r="553" spans="1:4" s="254" customFormat="1" ht="13.7" customHeight="1">
      <c r="A553" s="288"/>
      <c r="B553" s="289"/>
      <c r="C553" s="290"/>
      <c r="D553" s="285"/>
    </row>
    <row r="554" spans="1:4" s="254" customFormat="1" ht="13.7" customHeight="1">
      <c r="A554" s="288"/>
      <c r="B554" s="289"/>
      <c r="C554" s="290"/>
      <c r="D554" s="285"/>
    </row>
    <row r="555" spans="1:4" s="254" customFormat="1" ht="13.7" customHeight="1">
      <c r="A555" s="288"/>
      <c r="B555" s="289"/>
      <c r="C555" s="290"/>
      <c r="D555" s="285"/>
    </row>
    <row r="556" spans="1:4" s="254" customFormat="1" ht="13.7" customHeight="1">
      <c r="A556" s="288"/>
      <c r="B556" s="289"/>
      <c r="C556" s="290"/>
      <c r="D556" s="285"/>
    </row>
    <row r="557" spans="1:4" s="254" customFormat="1" ht="13.7" customHeight="1">
      <c r="A557" s="288"/>
      <c r="B557" s="289"/>
      <c r="C557" s="290"/>
      <c r="D557" s="285"/>
    </row>
    <row r="558" spans="1:4" s="254" customFormat="1" ht="13.7" customHeight="1">
      <c r="A558" s="288"/>
      <c r="B558" s="289"/>
      <c r="C558" s="290"/>
      <c r="D558" s="285"/>
    </row>
    <row r="559" spans="1:4" s="254" customFormat="1" ht="13.7" customHeight="1">
      <c r="A559" s="288"/>
      <c r="B559" s="289"/>
      <c r="C559" s="290"/>
      <c r="D559" s="285"/>
    </row>
    <row r="560" spans="1:4" s="254" customFormat="1" ht="13.7" customHeight="1">
      <c r="A560" s="288"/>
      <c r="B560" s="289"/>
      <c r="C560" s="290"/>
      <c r="D560" s="285"/>
    </row>
    <row r="561" spans="1:4" s="254" customFormat="1" ht="13.7" customHeight="1">
      <c r="A561" s="288"/>
      <c r="B561" s="289"/>
      <c r="C561" s="290"/>
      <c r="D561" s="285"/>
    </row>
    <row r="562" spans="1:4" s="254" customFormat="1" ht="13.7" customHeight="1">
      <c r="A562" s="288"/>
      <c r="B562" s="289"/>
      <c r="C562" s="290"/>
      <c r="D562" s="285"/>
    </row>
    <row r="563" spans="1:4" s="254" customFormat="1" ht="13.7" customHeight="1">
      <c r="A563" s="288"/>
      <c r="B563" s="289"/>
      <c r="C563" s="290"/>
      <c r="D563" s="285"/>
    </row>
    <row r="564" spans="1:4" s="254" customFormat="1" ht="13.7" customHeight="1">
      <c r="A564" s="288"/>
      <c r="B564" s="289"/>
      <c r="C564" s="290"/>
      <c r="D564" s="285"/>
    </row>
    <row r="565" spans="1:4" s="254" customFormat="1" ht="13.7" customHeight="1">
      <c r="A565" s="288"/>
      <c r="B565" s="289"/>
      <c r="C565" s="290"/>
      <c r="D565" s="285"/>
    </row>
    <row r="566" spans="1:4" s="254" customFormat="1" ht="13.7" customHeight="1">
      <c r="A566" s="288"/>
      <c r="B566" s="289"/>
      <c r="C566" s="290"/>
      <c r="D566" s="285"/>
    </row>
    <row r="567" spans="1:4" s="254" customFormat="1" ht="13.7" customHeight="1">
      <c r="A567" s="288"/>
      <c r="B567" s="289"/>
      <c r="C567" s="290"/>
      <c r="D567" s="285"/>
    </row>
    <row r="568" spans="1:4" s="254" customFormat="1" ht="13.7" customHeight="1">
      <c r="A568" s="288"/>
      <c r="B568" s="289"/>
      <c r="C568" s="290"/>
      <c r="D568" s="285"/>
    </row>
    <row r="569" spans="1:4" s="254" customFormat="1" ht="13.7" customHeight="1">
      <c r="A569" s="288"/>
      <c r="B569" s="289"/>
      <c r="C569" s="290"/>
      <c r="D569" s="285"/>
    </row>
    <row r="570" spans="1:4" s="254" customFormat="1" ht="13.7" customHeight="1">
      <c r="A570" s="288"/>
      <c r="B570" s="289"/>
      <c r="C570" s="290"/>
      <c r="D570" s="285"/>
    </row>
    <row r="571" spans="1:4" s="254" customFormat="1" ht="13.7" customHeight="1">
      <c r="A571" s="288"/>
      <c r="B571" s="289"/>
      <c r="C571" s="290"/>
      <c r="D571" s="285"/>
    </row>
    <row r="572" spans="1:4" s="254" customFormat="1" ht="13.7" customHeight="1">
      <c r="A572" s="288"/>
      <c r="B572" s="289"/>
      <c r="C572" s="290"/>
      <c r="D572" s="285"/>
    </row>
    <row r="573" spans="1:4" s="254" customFormat="1" ht="13.7" customHeight="1">
      <c r="A573" s="288"/>
      <c r="B573" s="289"/>
      <c r="C573" s="290"/>
      <c r="D573" s="285"/>
    </row>
    <row r="574" spans="1:4" s="254" customFormat="1" ht="13.7" customHeight="1">
      <c r="A574" s="288"/>
      <c r="B574" s="289"/>
      <c r="C574" s="290"/>
      <c r="D574" s="285"/>
    </row>
    <row r="575" spans="1:4" s="254" customFormat="1" ht="13.7" customHeight="1">
      <c r="A575" s="288"/>
      <c r="B575" s="289"/>
      <c r="C575" s="290"/>
      <c r="D575" s="285"/>
    </row>
    <row r="576" spans="1:4" s="254" customFormat="1" ht="13.7" customHeight="1">
      <c r="A576" s="288"/>
      <c r="B576" s="289"/>
      <c r="C576" s="290"/>
      <c r="D576" s="285"/>
    </row>
    <row r="577" spans="1:4" s="254" customFormat="1" ht="13.7" customHeight="1">
      <c r="A577" s="288"/>
      <c r="B577" s="289"/>
      <c r="C577" s="290"/>
      <c r="D577" s="285"/>
    </row>
    <row r="578" spans="1:4" s="254" customFormat="1" ht="13.7" customHeight="1">
      <c r="A578" s="288"/>
      <c r="B578" s="289"/>
      <c r="C578" s="290"/>
      <c r="D578" s="285"/>
    </row>
    <row r="579" spans="1:4" s="254" customFormat="1" ht="13.7" customHeight="1">
      <c r="A579" s="288"/>
      <c r="B579" s="289"/>
      <c r="C579" s="290"/>
      <c r="D579" s="285"/>
    </row>
    <row r="580" spans="1:4" s="254" customFormat="1" ht="13.7" customHeight="1">
      <c r="A580" s="288"/>
      <c r="B580" s="289"/>
      <c r="C580" s="290"/>
      <c r="D580" s="285"/>
    </row>
    <row r="581" spans="1:4" s="254" customFormat="1" ht="13.7" customHeight="1">
      <c r="A581" s="288"/>
      <c r="B581" s="289"/>
      <c r="C581" s="290"/>
      <c r="D581" s="285"/>
    </row>
    <row r="582" spans="1:4" s="254" customFormat="1" ht="13.7" customHeight="1">
      <c r="A582" s="288"/>
      <c r="B582" s="289"/>
      <c r="C582" s="290"/>
      <c r="D582" s="285"/>
    </row>
    <row r="583" spans="1:4" s="254" customFormat="1" ht="13.7" customHeight="1">
      <c r="A583" s="288"/>
      <c r="B583" s="289"/>
      <c r="C583" s="290"/>
      <c r="D583" s="285"/>
    </row>
    <row r="584" spans="1:4" s="254" customFormat="1" ht="13.7" customHeight="1">
      <c r="A584" s="288"/>
      <c r="B584" s="289"/>
      <c r="C584" s="290"/>
      <c r="D584" s="285"/>
    </row>
    <row r="585" spans="1:4" s="254" customFormat="1" ht="13.7" customHeight="1">
      <c r="A585" s="288"/>
      <c r="B585" s="289"/>
      <c r="C585" s="290"/>
      <c r="D585" s="285"/>
    </row>
    <row r="586" spans="1:4" s="254" customFormat="1" ht="13.7" customHeight="1">
      <c r="A586" s="288"/>
      <c r="B586" s="289"/>
      <c r="C586" s="290"/>
      <c r="D586" s="285"/>
    </row>
    <row r="587" spans="1:4" s="254" customFormat="1" ht="13.7" customHeight="1">
      <c r="A587" s="288"/>
      <c r="B587" s="289"/>
      <c r="C587" s="290"/>
      <c r="D587" s="285"/>
    </row>
    <row r="588" spans="1:4" s="254" customFormat="1" ht="13.7" customHeight="1">
      <c r="A588" s="288"/>
      <c r="B588" s="289"/>
      <c r="C588" s="290"/>
      <c r="D588" s="285"/>
    </row>
    <row r="589" spans="1:4" s="254" customFormat="1" ht="13.7" customHeight="1">
      <c r="A589" s="288"/>
      <c r="B589" s="289"/>
      <c r="C589" s="290"/>
      <c r="D589" s="285"/>
    </row>
    <row r="590" spans="1:4" s="254" customFormat="1" ht="13.7" customHeight="1">
      <c r="A590" s="288"/>
      <c r="B590" s="289"/>
      <c r="C590" s="290"/>
      <c r="D590" s="285"/>
    </row>
    <row r="591" spans="1:4" s="254" customFormat="1" ht="13.7" customHeight="1">
      <c r="A591" s="288"/>
      <c r="B591" s="289"/>
      <c r="C591" s="290"/>
      <c r="D591" s="285"/>
    </row>
    <row r="592" spans="1:4" s="254" customFormat="1" ht="13.7" customHeight="1">
      <c r="A592" s="288"/>
      <c r="B592" s="289"/>
      <c r="C592" s="290"/>
      <c r="D592" s="285"/>
    </row>
    <row r="593" spans="1:4" s="254" customFormat="1" ht="13.7" customHeight="1">
      <c r="A593" s="288"/>
      <c r="B593" s="289"/>
      <c r="C593" s="290"/>
      <c r="D593" s="285"/>
    </row>
    <row r="594" spans="1:4" s="254" customFormat="1" ht="13.7" customHeight="1">
      <c r="A594" s="288"/>
      <c r="B594" s="289"/>
      <c r="C594" s="290"/>
      <c r="D594" s="285"/>
    </row>
    <row r="595" spans="1:4" s="254" customFormat="1" ht="13.7" customHeight="1">
      <c r="A595" s="288"/>
      <c r="B595" s="289"/>
      <c r="C595" s="290"/>
      <c r="D595" s="285"/>
    </row>
    <row r="596" spans="1:4" s="254" customFormat="1" ht="13.7" customHeight="1">
      <c r="A596" s="288"/>
      <c r="B596" s="289"/>
      <c r="C596" s="290"/>
      <c r="D596" s="285"/>
    </row>
    <row r="597" spans="1:4" s="254" customFormat="1" ht="13.7" customHeight="1">
      <c r="A597" s="288"/>
      <c r="B597" s="289"/>
      <c r="C597" s="290"/>
      <c r="D597" s="285"/>
    </row>
    <row r="598" spans="1:4" s="254" customFormat="1" ht="13.7" customHeight="1">
      <c r="A598" s="288"/>
      <c r="B598" s="289"/>
      <c r="C598" s="290"/>
      <c r="D598" s="285"/>
    </row>
    <row r="599" spans="1:4" s="254" customFormat="1" ht="13.7" customHeight="1">
      <c r="A599" s="288"/>
      <c r="B599" s="289"/>
      <c r="C599" s="290"/>
      <c r="D599" s="285"/>
    </row>
    <row r="600" spans="1:4" s="254" customFormat="1" ht="13.7" customHeight="1">
      <c r="A600" s="288"/>
      <c r="B600" s="289"/>
      <c r="C600" s="290"/>
      <c r="D600" s="285"/>
    </row>
    <row r="601" spans="1:4" s="254" customFormat="1" ht="13.7" customHeight="1">
      <c r="A601" s="288"/>
      <c r="B601" s="289"/>
      <c r="C601" s="290"/>
      <c r="D601" s="285"/>
    </row>
    <row r="602" spans="1:4" s="254" customFormat="1" ht="13.7" customHeight="1">
      <c r="A602" s="288"/>
      <c r="B602" s="289"/>
      <c r="C602" s="290"/>
      <c r="D602" s="285"/>
    </row>
    <row r="603" spans="1:4" s="254" customFormat="1" ht="13.7" customHeight="1">
      <c r="A603" s="288"/>
      <c r="B603" s="289"/>
      <c r="C603" s="290"/>
      <c r="D603" s="285"/>
    </row>
    <row r="604" spans="1:4" s="254" customFormat="1" ht="13.7" customHeight="1">
      <c r="A604" s="288"/>
      <c r="B604" s="289"/>
      <c r="C604" s="290"/>
      <c r="D604" s="285"/>
    </row>
    <row r="605" spans="1:4" s="254" customFormat="1" ht="13.7" customHeight="1">
      <c r="A605" s="288"/>
      <c r="B605" s="289"/>
      <c r="C605" s="290"/>
      <c r="D605" s="285"/>
    </row>
    <row r="606" spans="1:4" s="254" customFormat="1" ht="13.7" customHeight="1">
      <c r="A606" s="288"/>
      <c r="B606" s="289"/>
      <c r="C606" s="290"/>
      <c r="D606" s="285"/>
    </row>
    <row r="607" spans="1:4" s="254" customFormat="1" ht="13.7" customHeight="1">
      <c r="A607" s="288"/>
      <c r="B607" s="289"/>
      <c r="C607" s="290"/>
      <c r="D607" s="285"/>
    </row>
    <row r="608" spans="1:4" s="254" customFormat="1" ht="13.7" customHeight="1">
      <c r="A608" s="288"/>
      <c r="B608" s="289"/>
      <c r="C608" s="290"/>
      <c r="D608" s="285"/>
    </row>
    <row r="609" spans="1:4" s="254" customFormat="1" ht="13.7" customHeight="1">
      <c r="A609" s="288"/>
      <c r="B609" s="289"/>
      <c r="C609" s="290"/>
      <c r="D609" s="285"/>
    </row>
    <row r="610" spans="1:4" s="254" customFormat="1" ht="13.7" customHeight="1">
      <c r="A610" s="288"/>
      <c r="B610" s="289"/>
      <c r="C610" s="290"/>
      <c r="D610" s="285"/>
    </row>
    <row r="611" spans="1:4" s="254" customFormat="1" ht="13.7" customHeight="1">
      <c r="A611" s="288"/>
      <c r="B611" s="289"/>
      <c r="C611" s="290"/>
      <c r="D611" s="285"/>
    </row>
    <row r="612" spans="1:4" s="254" customFormat="1" ht="13.7" customHeight="1">
      <c r="A612" s="288"/>
      <c r="B612" s="289"/>
      <c r="C612" s="290"/>
      <c r="D612" s="285"/>
    </row>
    <row r="613" spans="1:4" s="254" customFormat="1" ht="13.7" customHeight="1">
      <c r="A613" s="288"/>
      <c r="B613" s="289"/>
      <c r="C613" s="290"/>
      <c r="D613" s="285"/>
    </row>
    <row r="614" spans="1:4" s="254" customFormat="1" ht="13.7" customHeight="1">
      <c r="A614" s="288"/>
      <c r="B614" s="289"/>
      <c r="C614" s="290"/>
      <c r="D614" s="285"/>
    </row>
    <row r="615" spans="1:4" s="254" customFormat="1" ht="13.7" customHeight="1">
      <c r="A615" s="288"/>
      <c r="B615" s="289"/>
      <c r="C615" s="290"/>
      <c r="D615" s="285"/>
    </row>
    <row r="616" spans="1:4" s="254" customFormat="1" ht="13.7" customHeight="1">
      <c r="A616" s="288"/>
      <c r="B616" s="289"/>
      <c r="C616" s="290"/>
      <c r="D616" s="285"/>
    </row>
    <row r="617" spans="1:4" s="254" customFormat="1" ht="13.7" customHeight="1">
      <c r="A617" s="288"/>
      <c r="B617" s="289"/>
      <c r="C617" s="290"/>
      <c r="D617" s="285"/>
    </row>
    <row r="618" spans="1:4" s="254" customFormat="1" ht="13.7" customHeight="1">
      <c r="A618" s="288"/>
      <c r="B618" s="289"/>
      <c r="C618" s="290"/>
      <c r="D618" s="285"/>
    </row>
    <row r="619" spans="1:4" s="254" customFormat="1" ht="13.7" customHeight="1">
      <c r="A619" s="288"/>
      <c r="B619" s="289"/>
      <c r="C619" s="290"/>
      <c r="D619" s="285"/>
    </row>
    <row r="620" spans="1:4" s="254" customFormat="1" ht="13.7" customHeight="1">
      <c r="A620" s="288"/>
      <c r="B620" s="289"/>
      <c r="C620" s="290"/>
      <c r="D620" s="285"/>
    </row>
    <row r="621" spans="1:4" s="254" customFormat="1" ht="13.7" customHeight="1">
      <c r="A621" s="288"/>
      <c r="B621" s="289"/>
      <c r="C621" s="290"/>
      <c r="D621" s="285"/>
    </row>
    <row r="622" spans="1:4" s="254" customFormat="1" ht="13.7" customHeight="1">
      <c r="A622" s="288"/>
      <c r="B622" s="289"/>
      <c r="C622" s="290"/>
      <c r="D622" s="285"/>
    </row>
    <row r="623" spans="1:4" s="254" customFormat="1" ht="13.7" customHeight="1">
      <c r="A623" s="288"/>
      <c r="B623" s="289"/>
      <c r="C623" s="290"/>
      <c r="D623" s="285"/>
    </row>
    <row r="624" spans="1:4" s="254" customFormat="1" ht="13.7" customHeight="1">
      <c r="A624" s="288"/>
      <c r="B624" s="289"/>
      <c r="C624" s="290"/>
      <c r="D624" s="285"/>
    </row>
    <row r="625" spans="1:4" s="254" customFormat="1" ht="13.7" customHeight="1">
      <c r="A625" s="288"/>
      <c r="B625" s="289"/>
      <c r="C625" s="290"/>
      <c r="D625" s="285"/>
    </row>
    <row r="626" spans="1:4" s="254" customFormat="1" ht="13.7" customHeight="1">
      <c r="A626" s="288"/>
      <c r="B626" s="289"/>
      <c r="C626" s="290"/>
      <c r="D626" s="285"/>
    </row>
    <row r="627" spans="1:4" s="254" customFormat="1" ht="13.7" customHeight="1">
      <c r="A627" s="288"/>
      <c r="B627" s="289"/>
      <c r="C627" s="290"/>
      <c r="D627" s="285"/>
    </row>
    <row r="628" spans="1:4" s="254" customFormat="1" ht="13.7" customHeight="1">
      <c r="A628" s="288"/>
      <c r="B628" s="289"/>
      <c r="C628" s="290"/>
      <c r="D628" s="285"/>
    </row>
    <row r="629" spans="1:4" s="254" customFormat="1" ht="13.7" customHeight="1">
      <c r="A629" s="288"/>
      <c r="B629" s="289"/>
      <c r="C629" s="290"/>
      <c r="D629" s="285"/>
    </row>
    <row r="630" spans="1:4" s="254" customFormat="1" ht="13.7" customHeight="1">
      <c r="A630" s="288"/>
      <c r="B630" s="289"/>
      <c r="C630" s="290"/>
      <c r="D630" s="285"/>
    </row>
    <row r="631" spans="1:4" s="254" customFormat="1" ht="13.7" customHeight="1">
      <c r="A631" s="288"/>
      <c r="B631" s="289"/>
      <c r="C631" s="290"/>
      <c r="D631" s="285"/>
    </row>
    <row r="632" spans="1:4" s="254" customFormat="1" ht="13.7" customHeight="1">
      <c r="A632" s="288"/>
      <c r="B632" s="289"/>
      <c r="C632" s="290"/>
      <c r="D632" s="285"/>
    </row>
    <row r="633" spans="1:4" s="254" customFormat="1" ht="13.7" customHeight="1">
      <c r="A633" s="288"/>
      <c r="B633" s="289"/>
      <c r="C633" s="290"/>
      <c r="D633" s="285"/>
    </row>
    <row r="634" spans="1:4" s="254" customFormat="1" ht="13.7" customHeight="1">
      <c r="A634" s="288"/>
      <c r="B634" s="289"/>
      <c r="C634" s="290"/>
      <c r="D634" s="285"/>
    </row>
    <row r="635" spans="1:4" s="254" customFormat="1" ht="13.7" customHeight="1">
      <c r="A635" s="288"/>
      <c r="B635" s="289"/>
      <c r="C635" s="290"/>
      <c r="D635" s="285"/>
    </row>
    <row r="636" spans="1:4" s="254" customFormat="1" ht="13.7" customHeight="1">
      <c r="A636" s="288"/>
      <c r="B636" s="289"/>
      <c r="C636" s="290"/>
      <c r="D636" s="285"/>
    </row>
    <row r="637" spans="1:4" s="254" customFormat="1" ht="13.7" customHeight="1">
      <c r="A637" s="288"/>
      <c r="B637" s="289"/>
      <c r="C637" s="290"/>
      <c r="D637" s="285"/>
    </row>
    <row r="638" spans="1:4" s="254" customFormat="1" ht="13.7" customHeight="1">
      <c r="A638" s="288"/>
      <c r="B638" s="289"/>
      <c r="C638" s="290"/>
      <c r="D638" s="285"/>
    </row>
    <row r="639" spans="1:4" s="254" customFormat="1" ht="13.7" customHeight="1">
      <c r="A639" s="288"/>
      <c r="B639" s="289"/>
      <c r="C639" s="290"/>
      <c r="D639" s="285"/>
    </row>
    <row r="640" spans="1:4" s="254" customFormat="1" ht="13.7" customHeight="1">
      <c r="A640" s="288"/>
      <c r="B640" s="289"/>
      <c r="C640" s="290"/>
      <c r="D640" s="285"/>
    </row>
    <row r="641" spans="1:4" s="254" customFormat="1" ht="13.7" customHeight="1">
      <c r="A641" s="288"/>
      <c r="B641" s="289"/>
      <c r="C641" s="290"/>
      <c r="D641" s="285"/>
    </row>
    <row r="642" spans="1:4" s="254" customFormat="1" ht="13.7" customHeight="1">
      <c r="A642" s="288"/>
      <c r="B642" s="289"/>
      <c r="C642" s="290"/>
      <c r="D642" s="285"/>
    </row>
    <row r="643" spans="1:4" s="254" customFormat="1" ht="13.7" customHeight="1">
      <c r="A643" s="288"/>
      <c r="B643" s="289"/>
      <c r="C643" s="290"/>
      <c r="D643" s="285"/>
    </row>
    <row r="644" spans="1:4" s="254" customFormat="1" ht="13.7" customHeight="1">
      <c r="A644" s="288"/>
      <c r="B644" s="289"/>
      <c r="C644" s="290"/>
      <c r="D644" s="285"/>
    </row>
    <row r="645" spans="1:4" s="254" customFormat="1" ht="13.7" customHeight="1">
      <c r="A645" s="288"/>
      <c r="B645" s="289"/>
      <c r="C645" s="290"/>
      <c r="D645" s="285"/>
    </row>
    <row r="646" spans="1:4" s="254" customFormat="1" ht="13.7" customHeight="1">
      <c r="A646" s="288"/>
      <c r="B646" s="289"/>
      <c r="C646" s="290"/>
      <c r="D646" s="285"/>
    </row>
    <row r="647" spans="1:4" s="254" customFormat="1" ht="13.7" customHeight="1">
      <c r="A647" s="288"/>
      <c r="B647" s="289"/>
      <c r="C647" s="290"/>
      <c r="D647" s="285"/>
    </row>
    <row r="648" spans="1:4" s="254" customFormat="1" ht="13.7" customHeight="1">
      <c r="A648" s="288"/>
      <c r="B648" s="289"/>
      <c r="C648" s="290"/>
      <c r="D648" s="285"/>
    </row>
    <row r="649" spans="1:4" s="254" customFormat="1" ht="13.7" customHeight="1">
      <c r="A649" s="288"/>
      <c r="B649" s="289"/>
      <c r="C649" s="290"/>
      <c r="D649" s="285"/>
    </row>
    <row r="650" spans="1:4" s="254" customFormat="1" ht="13.7" customHeight="1">
      <c r="A650" s="288"/>
      <c r="B650" s="289"/>
      <c r="C650" s="290"/>
      <c r="D650" s="285"/>
    </row>
    <row r="651" spans="1:4" s="254" customFormat="1" ht="13.7" customHeight="1">
      <c r="A651" s="288"/>
      <c r="B651" s="289"/>
      <c r="C651" s="290"/>
      <c r="D651" s="285"/>
    </row>
    <row r="652" spans="1:4" s="254" customFormat="1" ht="13.7" customHeight="1">
      <c r="A652" s="288"/>
      <c r="B652" s="289"/>
      <c r="C652" s="290"/>
      <c r="D652" s="285"/>
    </row>
    <row r="653" spans="1:4" s="254" customFormat="1" ht="13.7" customHeight="1">
      <c r="A653" s="288"/>
      <c r="B653" s="289"/>
      <c r="C653" s="290"/>
      <c r="D653" s="285"/>
    </row>
    <row r="654" spans="1:4" s="254" customFormat="1" ht="13.7" customHeight="1">
      <c r="A654" s="288"/>
      <c r="B654" s="289"/>
      <c r="C654" s="290"/>
      <c r="D654" s="285"/>
    </row>
    <row r="655" spans="1:4" s="254" customFormat="1" ht="13.7" customHeight="1">
      <c r="A655" s="288"/>
      <c r="B655" s="289"/>
      <c r="C655" s="290"/>
      <c r="D655" s="285"/>
    </row>
    <row r="656" spans="1:4" s="254" customFormat="1" ht="13.7" customHeight="1">
      <c r="A656" s="288"/>
      <c r="B656" s="289"/>
      <c r="C656" s="290"/>
      <c r="D656" s="285"/>
    </row>
    <row r="657" spans="1:4" s="254" customFormat="1" ht="13.7" customHeight="1">
      <c r="A657" s="288"/>
      <c r="B657" s="289"/>
      <c r="C657" s="290"/>
      <c r="D657" s="285"/>
    </row>
    <row r="658" spans="1:4" s="254" customFormat="1" ht="13.7" customHeight="1">
      <c r="A658" s="288"/>
      <c r="B658" s="289"/>
      <c r="C658" s="290"/>
      <c r="D658" s="285"/>
    </row>
    <row r="659" spans="1:4" s="254" customFormat="1" ht="13.7" customHeight="1">
      <c r="A659" s="288"/>
      <c r="B659" s="289"/>
      <c r="C659" s="290"/>
      <c r="D659" s="285"/>
    </row>
    <row r="660" spans="1:4" s="254" customFormat="1" ht="13.7" customHeight="1">
      <c r="A660" s="288"/>
      <c r="B660" s="289"/>
      <c r="C660" s="290"/>
      <c r="D660" s="285"/>
    </row>
    <row r="661" spans="1:4" s="254" customFormat="1" ht="13.7" customHeight="1">
      <c r="A661" s="288"/>
      <c r="B661" s="289"/>
      <c r="C661" s="290"/>
      <c r="D661" s="285"/>
    </row>
    <row r="662" spans="1:4" s="254" customFormat="1" ht="13.7" customHeight="1">
      <c r="A662" s="288"/>
      <c r="B662" s="289"/>
      <c r="C662" s="290"/>
      <c r="D662" s="285"/>
    </row>
    <row r="663" spans="1:4" s="254" customFormat="1" ht="13.7" customHeight="1">
      <c r="A663" s="288"/>
      <c r="B663" s="289"/>
      <c r="C663" s="290"/>
      <c r="D663" s="285"/>
    </row>
    <row r="664" spans="1:4" s="254" customFormat="1" ht="13.7" customHeight="1">
      <c r="A664" s="288"/>
      <c r="B664" s="289"/>
      <c r="C664" s="290"/>
      <c r="D664" s="285"/>
    </row>
    <row r="665" spans="1:4" s="254" customFormat="1" ht="13.7" customHeight="1">
      <c r="A665" s="288"/>
      <c r="B665" s="289"/>
      <c r="C665" s="290"/>
      <c r="D665" s="285"/>
    </row>
    <row r="666" spans="1:4" s="254" customFormat="1" ht="13.7" customHeight="1">
      <c r="A666" s="288"/>
      <c r="B666" s="289"/>
      <c r="C666" s="290"/>
      <c r="D666" s="285"/>
    </row>
    <row r="667" spans="1:4" s="254" customFormat="1" ht="13.7" customHeight="1">
      <c r="A667" s="288"/>
      <c r="B667" s="289"/>
      <c r="C667" s="290"/>
      <c r="D667" s="285"/>
    </row>
    <row r="668" spans="1:4" s="254" customFormat="1" ht="13.7" customHeight="1">
      <c r="A668" s="288"/>
      <c r="B668" s="289"/>
      <c r="C668" s="290"/>
      <c r="D668" s="285"/>
    </row>
    <row r="669" spans="1:4" s="254" customFormat="1" ht="13.7" customHeight="1">
      <c r="A669" s="288"/>
      <c r="B669" s="289"/>
      <c r="C669" s="290"/>
      <c r="D669" s="285"/>
    </row>
    <row r="670" spans="1:4" s="254" customFormat="1" ht="13.7" customHeight="1">
      <c r="A670" s="288"/>
      <c r="B670" s="289"/>
      <c r="C670" s="290"/>
      <c r="D670" s="285"/>
    </row>
    <row r="671" spans="1:4" s="254" customFormat="1" ht="13.7" customHeight="1">
      <c r="A671" s="288"/>
      <c r="B671" s="289"/>
      <c r="C671" s="290"/>
      <c r="D671" s="285"/>
    </row>
    <row r="672" spans="1:4" s="254" customFormat="1" ht="13.7" customHeight="1">
      <c r="A672" s="288"/>
      <c r="B672" s="289"/>
      <c r="C672" s="290"/>
      <c r="D672" s="285"/>
    </row>
    <row r="673" spans="1:4" s="254" customFormat="1" ht="13.7" customHeight="1">
      <c r="A673" s="288"/>
      <c r="B673" s="289"/>
      <c r="C673" s="290"/>
      <c r="D673" s="285"/>
    </row>
    <row r="674" spans="1:4" s="254" customFormat="1" ht="13.7" customHeight="1">
      <c r="A674" s="288"/>
      <c r="B674" s="289"/>
      <c r="C674" s="290"/>
      <c r="D674" s="285"/>
    </row>
    <row r="675" spans="1:4" s="254" customFormat="1" ht="13.7" customHeight="1">
      <c r="A675" s="288"/>
      <c r="B675" s="289"/>
      <c r="C675" s="290"/>
      <c r="D675" s="285"/>
    </row>
    <row r="676" spans="1:4" s="254" customFormat="1" ht="13.7" customHeight="1">
      <c r="A676" s="288"/>
      <c r="B676" s="289"/>
      <c r="C676" s="290"/>
      <c r="D676" s="285"/>
    </row>
    <row r="677" spans="1:4" s="254" customFormat="1" ht="13.7" customHeight="1">
      <c r="A677" s="288"/>
      <c r="B677" s="289"/>
      <c r="C677" s="290"/>
      <c r="D677" s="285"/>
    </row>
    <row r="678" spans="1:4" s="254" customFormat="1" ht="13.7" customHeight="1">
      <c r="A678" s="288"/>
      <c r="B678" s="289"/>
      <c r="C678" s="290"/>
      <c r="D678" s="285"/>
    </row>
    <row r="679" spans="1:4" s="254" customFormat="1" ht="13.7" customHeight="1">
      <c r="A679" s="288"/>
      <c r="B679" s="289"/>
      <c r="C679" s="290"/>
      <c r="D679" s="285"/>
    </row>
    <row r="680" spans="1:4" s="254" customFormat="1" ht="13.7" customHeight="1">
      <c r="A680" s="288"/>
      <c r="B680" s="289"/>
      <c r="C680" s="290"/>
      <c r="D680" s="285"/>
    </row>
    <row r="681" spans="1:4" s="254" customFormat="1" ht="13.7" customHeight="1">
      <c r="A681" s="288"/>
      <c r="B681" s="289"/>
      <c r="C681" s="290"/>
      <c r="D681" s="285"/>
    </row>
    <row r="682" spans="1:4" s="254" customFormat="1" ht="13.7" customHeight="1">
      <c r="A682" s="288"/>
      <c r="B682" s="289"/>
      <c r="C682" s="290"/>
      <c r="D682" s="285"/>
    </row>
    <row r="683" spans="1:4" s="254" customFormat="1" ht="13.7" customHeight="1">
      <c r="A683" s="288"/>
      <c r="B683" s="289"/>
      <c r="C683" s="290"/>
      <c r="D683" s="285"/>
    </row>
    <row r="684" spans="1:4" s="254" customFormat="1" ht="13.7" customHeight="1">
      <c r="A684" s="288"/>
      <c r="B684" s="289"/>
      <c r="C684" s="290"/>
      <c r="D684" s="285"/>
    </row>
    <row r="685" spans="1:4" s="254" customFormat="1" ht="13.7" customHeight="1">
      <c r="A685" s="288"/>
      <c r="B685" s="289"/>
      <c r="C685" s="290"/>
      <c r="D685" s="285"/>
    </row>
    <row r="686" spans="1:4" s="254" customFormat="1" ht="13.7" customHeight="1">
      <c r="A686" s="288"/>
      <c r="B686" s="289"/>
      <c r="C686" s="290"/>
      <c r="D686" s="285"/>
    </row>
    <row r="687" spans="1:4" s="254" customFormat="1" ht="13.7" customHeight="1">
      <c r="A687" s="288"/>
      <c r="B687" s="289"/>
      <c r="C687" s="290"/>
      <c r="D687" s="285"/>
    </row>
    <row r="688" spans="1:4" s="254" customFormat="1" ht="13.7" customHeight="1">
      <c r="A688" s="288"/>
      <c r="B688" s="289"/>
      <c r="C688" s="290"/>
      <c r="D688" s="285"/>
    </row>
    <row r="689" spans="1:4" s="254" customFormat="1" ht="13.7" customHeight="1">
      <c r="A689" s="288"/>
      <c r="B689" s="289"/>
      <c r="C689" s="290"/>
      <c r="D689" s="285"/>
    </row>
    <row r="690" spans="1:4" s="254" customFormat="1" ht="13.7" customHeight="1">
      <c r="A690" s="288"/>
      <c r="B690" s="289"/>
      <c r="C690" s="290"/>
      <c r="D690" s="285"/>
    </row>
    <row r="691" spans="1:4" s="254" customFormat="1" ht="13.7" customHeight="1">
      <c r="A691" s="288"/>
      <c r="B691" s="289"/>
      <c r="C691" s="290"/>
      <c r="D691" s="285"/>
    </row>
    <row r="692" spans="1:4" s="254" customFormat="1" ht="13.7" customHeight="1">
      <c r="A692" s="288"/>
      <c r="B692" s="289"/>
      <c r="C692" s="290"/>
      <c r="D692" s="285"/>
    </row>
    <row r="693" spans="1:4" s="254" customFormat="1" ht="13.7" customHeight="1">
      <c r="A693" s="288"/>
      <c r="B693" s="289"/>
      <c r="C693" s="290"/>
      <c r="D693" s="285"/>
    </row>
    <row r="694" spans="1:4" s="254" customFormat="1" ht="13.7" customHeight="1">
      <c r="A694" s="288"/>
      <c r="B694" s="289"/>
      <c r="C694" s="290"/>
      <c r="D694" s="285"/>
    </row>
    <row r="695" spans="1:4" s="254" customFormat="1" ht="13.7" customHeight="1">
      <c r="A695" s="288"/>
      <c r="B695" s="289"/>
      <c r="C695" s="290"/>
      <c r="D695" s="285"/>
    </row>
    <row r="696" spans="1:4" s="254" customFormat="1" ht="13.7" customHeight="1">
      <c r="A696" s="288"/>
      <c r="B696" s="289"/>
      <c r="C696" s="290"/>
      <c r="D696" s="285"/>
    </row>
    <row r="697" spans="1:4" s="254" customFormat="1" ht="13.7" customHeight="1">
      <c r="A697" s="288"/>
      <c r="B697" s="289"/>
      <c r="C697" s="290"/>
      <c r="D697" s="285"/>
    </row>
    <row r="698" spans="1:4" s="254" customFormat="1" ht="13.7" customHeight="1">
      <c r="A698" s="288"/>
      <c r="B698" s="289"/>
      <c r="C698" s="290"/>
      <c r="D698" s="285"/>
    </row>
    <row r="699" spans="1:4" s="254" customFormat="1" ht="13.7" customHeight="1">
      <c r="A699" s="288"/>
      <c r="B699" s="289"/>
      <c r="C699" s="290"/>
      <c r="D699" s="285"/>
    </row>
    <row r="700" spans="1:4" s="254" customFormat="1" ht="13.7" customHeight="1">
      <c r="A700" s="288"/>
      <c r="B700" s="289"/>
      <c r="C700" s="290"/>
      <c r="D700" s="285"/>
    </row>
    <row r="701" spans="1:4" s="254" customFormat="1" ht="13.7" customHeight="1">
      <c r="A701" s="288"/>
      <c r="B701" s="289"/>
      <c r="C701" s="290"/>
      <c r="D701" s="285"/>
    </row>
    <row r="702" spans="1:4" s="254" customFormat="1" ht="13.7" customHeight="1">
      <c r="A702" s="288"/>
      <c r="B702" s="289"/>
      <c r="C702" s="290"/>
      <c r="D702" s="285"/>
    </row>
    <row r="703" spans="1:4" s="254" customFormat="1" ht="13.7" customHeight="1">
      <c r="A703" s="288"/>
      <c r="B703" s="289"/>
      <c r="C703" s="290"/>
      <c r="D703" s="285"/>
    </row>
    <row r="704" spans="1:4" s="254" customFormat="1" ht="13.7" customHeight="1">
      <c r="A704" s="288"/>
      <c r="B704" s="289"/>
      <c r="C704" s="290"/>
      <c r="D704" s="285"/>
    </row>
    <row r="705" spans="1:4" s="254" customFormat="1" ht="13.7" customHeight="1">
      <c r="A705" s="288"/>
      <c r="B705" s="289"/>
      <c r="C705" s="290"/>
      <c r="D705" s="285"/>
    </row>
    <row r="706" spans="1:4" s="254" customFormat="1" ht="13.7" customHeight="1">
      <c r="A706" s="288"/>
      <c r="B706" s="289"/>
      <c r="C706" s="290"/>
      <c r="D706" s="285"/>
    </row>
    <row r="707" spans="1:4" s="254" customFormat="1" ht="13.7" customHeight="1">
      <c r="A707" s="288"/>
      <c r="B707" s="289"/>
      <c r="C707" s="290"/>
      <c r="D707" s="285"/>
    </row>
    <row r="708" spans="1:4" s="254" customFormat="1" ht="13.7" customHeight="1">
      <c r="A708" s="288"/>
      <c r="B708" s="289"/>
      <c r="C708" s="290"/>
      <c r="D708" s="285"/>
    </row>
    <row r="709" spans="1:4" s="254" customFormat="1" ht="13.7" customHeight="1">
      <c r="A709" s="288"/>
      <c r="B709" s="289"/>
      <c r="C709" s="290"/>
      <c r="D709" s="285"/>
    </row>
    <row r="710" spans="1:4" s="254" customFormat="1" ht="13.7" customHeight="1">
      <c r="A710" s="288"/>
      <c r="B710" s="289"/>
      <c r="C710" s="290"/>
      <c r="D710" s="285"/>
    </row>
    <row r="711" spans="1:4" s="254" customFormat="1" ht="13.7" customHeight="1">
      <c r="A711" s="288"/>
      <c r="B711" s="289"/>
      <c r="C711" s="290"/>
      <c r="D711" s="285"/>
    </row>
    <row r="712" spans="1:4" s="254" customFormat="1" ht="13.7" customHeight="1">
      <c r="A712" s="288"/>
      <c r="B712" s="289"/>
      <c r="C712" s="290"/>
      <c r="D712" s="285"/>
    </row>
    <row r="713" spans="1:4" s="254" customFormat="1" ht="13.7" customHeight="1">
      <c r="A713" s="288"/>
      <c r="B713" s="289"/>
      <c r="C713" s="290"/>
      <c r="D713" s="285"/>
    </row>
    <row r="714" spans="1:4" s="254" customFormat="1" ht="13.7" customHeight="1">
      <c r="A714" s="288"/>
      <c r="B714" s="289"/>
      <c r="C714" s="290"/>
      <c r="D714" s="285"/>
    </row>
    <row r="715" spans="1:4" s="254" customFormat="1" ht="13.7" customHeight="1">
      <c r="A715" s="288"/>
      <c r="B715" s="289"/>
      <c r="C715" s="290"/>
      <c r="D715" s="285"/>
    </row>
    <row r="716" spans="1:4" s="254" customFormat="1" ht="13.7" customHeight="1">
      <c r="A716" s="288"/>
      <c r="B716" s="289"/>
      <c r="C716" s="290"/>
      <c r="D716" s="285"/>
    </row>
    <row r="717" spans="1:4" s="254" customFormat="1" ht="13.7" customHeight="1">
      <c r="A717" s="288"/>
      <c r="B717" s="289"/>
      <c r="C717" s="290"/>
      <c r="D717" s="285"/>
    </row>
    <row r="718" spans="1:4" s="254" customFormat="1" ht="13.7" customHeight="1">
      <c r="A718" s="288"/>
      <c r="B718" s="289"/>
      <c r="C718" s="290"/>
      <c r="D718" s="285"/>
    </row>
    <row r="719" spans="1:4" s="254" customFormat="1" ht="13.7" customHeight="1">
      <c r="A719" s="288"/>
      <c r="B719" s="289"/>
      <c r="C719" s="290"/>
      <c r="D719" s="285"/>
    </row>
    <row r="720" spans="1:4" s="254" customFormat="1" ht="13.7" customHeight="1">
      <c r="A720" s="288"/>
      <c r="B720" s="289"/>
      <c r="C720" s="290"/>
      <c r="D720" s="285"/>
    </row>
    <row r="721" spans="1:4" s="254" customFormat="1" ht="13.7" customHeight="1">
      <c r="A721" s="288"/>
      <c r="B721" s="289"/>
      <c r="C721" s="290"/>
      <c r="D721" s="285"/>
    </row>
    <row r="722" spans="1:4" s="254" customFormat="1" ht="13.7" customHeight="1">
      <c r="A722" s="288"/>
      <c r="B722" s="289"/>
      <c r="C722" s="290"/>
      <c r="D722" s="285"/>
    </row>
    <row r="723" spans="1:4" s="254" customFormat="1" ht="13.7" customHeight="1">
      <c r="A723" s="288"/>
      <c r="B723" s="289"/>
      <c r="C723" s="290"/>
      <c r="D723" s="285"/>
    </row>
    <row r="724" spans="1:4" s="254" customFormat="1" ht="13.7" customHeight="1">
      <c r="A724" s="288"/>
      <c r="B724" s="289"/>
      <c r="C724" s="290"/>
      <c r="D724" s="285"/>
    </row>
    <row r="725" spans="1:4" s="254" customFormat="1" ht="13.7" customHeight="1">
      <c r="A725" s="288"/>
      <c r="B725" s="289"/>
      <c r="C725" s="290"/>
      <c r="D725" s="285"/>
    </row>
    <row r="726" spans="1:4" s="254" customFormat="1" ht="13.7" customHeight="1">
      <c r="A726" s="288"/>
      <c r="B726" s="289"/>
      <c r="C726" s="290"/>
      <c r="D726" s="285"/>
    </row>
    <row r="727" spans="1:4" s="254" customFormat="1" ht="13.7" customHeight="1">
      <c r="A727" s="288"/>
      <c r="B727" s="289"/>
      <c r="C727" s="290"/>
      <c r="D727" s="285"/>
    </row>
    <row r="728" spans="1:4" s="254" customFormat="1" ht="13.7" customHeight="1">
      <c r="A728" s="288"/>
      <c r="B728" s="289"/>
      <c r="C728" s="290"/>
      <c r="D728" s="285"/>
    </row>
    <row r="729" spans="1:4" s="254" customFormat="1" ht="13.7" customHeight="1">
      <c r="A729" s="288"/>
      <c r="B729" s="289"/>
      <c r="C729" s="290"/>
      <c r="D729" s="285"/>
    </row>
    <row r="730" spans="1:4" s="254" customFormat="1" ht="13.7" customHeight="1">
      <c r="A730" s="288"/>
      <c r="B730" s="289"/>
      <c r="C730" s="290"/>
      <c r="D730" s="285"/>
    </row>
    <row r="731" spans="1:4" s="254" customFormat="1" ht="13.7" customHeight="1">
      <c r="A731" s="288"/>
      <c r="B731" s="289"/>
      <c r="C731" s="290"/>
      <c r="D731" s="285"/>
    </row>
    <row r="732" spans="1:4" s="254" customFormat="1" ht="13.7" customHeight="1">
      <c r="A732" s="288"/>
      <c r="B732" s="289"/>
      <c r="C732" s="290"/>
      <c r="D732" s="285"/>
    </row>
    <row r="733" spans="1:4" s="254" customFormat="1" ht="13.7" customHeight="1">
      <c r="A733" s="288"/>
      <c r="B733" s="289"/>
      <c r="C733" s="290"/>
      <c r="D733" s="285"/>
    </row>
    <row r="734" spans="1:4" s="254" customFormat="1" ht="13.7" customHeight="1">
      <c r="A734" s="288"/>
      <c r="B734" s="289"/>
      <c r="C734" s="290"/>
      <c r="D734" s="285"/>
    </row>
    <row r="735" spans="1:4" s="254" customFormat="1" ht="13.7" customHeight="1">
      <c r="A735" s="288"/>
      <c r="B735" s="289"/>
      <c r="C735" s="290"/>
      <c r="D735" s="285"/>
    </row>
    <row r="736" spans="1:4" s="254" customFormat="1" ht="13.7" customHeight="1">
      <c r="A736" s="288"/>
      <c r="B736" s="289"/>
      <c r="C736" s="290"/>
      <c r="D736" s="285"/>
    </row>
    <row r="737" spans="1:4" s="254" customFormat="1" ht="13.7" customHeight="1">
      <c r="A737" s="288"/>
      <c r="B737" s="289"/>
      <c r="C737" s="290"/>
      <c r="D737" s="285"/>
    </row>
    <row r="738" spans="1:4" s="254" customFormat="1" ht="13.7" customHeight="1">
      <c r="A738" s="288"/>
      <c r="B738" s="289"/>
      <c r="C738" s="290"/>
      <c r="D738" s="285"/>
    </row>
    <row r="739" spans="1:4" s="254" customFormat="1" ht="13.7" customHeight="1">
      <c r="A739" s="288"/>
      <c r="B739" s="289"/>
      <c r="C739" s="290"/>
      <c r="D739" s="285"/>
    </row>
    <row r="740" spans="1:4" s="254" customFormat="1" ht="13.7" customHeight="1">
      <c r="A740" s="288"/>
      <c r="B740" s="289"/>
      <c r="C740" s="290"/>
      <c r="D740" s="285"/>
    </row>
    <row r="741" spans="1:4" s="254" customFormat="1" ht="13.7" customHeight="1">
      <c r="A741" s="288"/>
      <c r="B741" s="289"/>
      <c r="C741" s="290"/>
      <c r="D741" s="285"/>
    </row>
    <row r="742" spans="1:4" s="254" customFormat="1" ht="13.7" customHeight="1">
      <c r="A742" s="288"/>
      <c r="B742" s="289"/>
      <c r="C742" s="290"/>
      <c r="D742" s="285"/>
    </row>
    <row r="743" spans="1:4" s="254" customFormat="1" ht="13.7" customHeight="1">
      <c r="A743" s="288"/>
      <c r="B743" s="289"/>
      <c r="C743" s="290"/>
      <c r="D743" s="285"/>
    </row>
    <row r="744" spans="1:4" s="254" customFormat="1" ht="13.7" customHeight="1">
      <c r="A744" s="288"/>
      <c r="B744" s="289"/>
      <c r="C744" s="290"/>
      <c r="D744" s="285"/>
    </row>
    <row r="745" spans="1:4" s="254" customFormat="1" ht="13.7" customHeight="1">
      <c r="A745" s="288"/>
      <c r="B745" s="289"/>
      <c r="C745" s="290"/>
      <c r="D745" s="285"/>
    </row>
    <row r="746" spans="1:4" s="254" customFormat="1" ht="13.7" customHeight="1">
      <c r="A746" s="288"/>
      <c r="B746" s="289"/>
      <c r="C746" s="290"/>
      <c r="D746" s="285"/>
    </row>
    <row r="747" spans="1:4" s="254" customFormat="1" ht="13.7" customHeight="1">
      <c r="A747" s="288"/>
      <c r="B747" s="289"/>
      <c r="C747" s="290"/>
      <c r="D747" s="285"/>
    </row>
    <row r="748" spans="1:4" s="254" customFormat="1" ht="13.7" customHeight="1">
      <c r="A748" s="288"/>
      <c r="B748" s="289"/>
      <c r="C748" s="290"/>
      <c r="D748" s="285"/>
    </row>
    <row r="749" spans="1:4" s="254" customFormat="1" ht="13.7" customHeight="1">
      <c r="A749" s="288"/>
      <c r="B749" s="289"/>
      <c r="C749" s="290"/>
      <c r="D749" s="285"/>
    </row>
    <row r="750" spans="1:4" s="254" customFormat="1" ht="13.7" customHeight="1">
      <c r="A750" s="288"/>
      <c r="B750" s="289"/>
      <c r="C750" s="290"/>
      <c r="D750" s="285"/>
    </row>
    <row r="751" spans="1:4" s="254" customFormat="1" ht="13.7" customHeight="1">
      <c r="A751" s="288"/>
      <c r="B751" s="289"/>
      <c r="C751" s="290"/>
      <c r="D751" s="285"/>
    </row>
    <row r="752" spans="1:4" s="254" customFormat="1" ht="13.7" customHeight="1">
      <c r="A752" s="288"/>
      <c r="B752" s="289"/>
      <c r="C752" s="290"/>
      <c r="D752" s="285"/>
    </row>
    <row r="753" spans="1:4" s="254" customFormat="1" ht="13.7" customHeight="1">
      <c r="A753" s="288"/>
      <c r="B753" s="289"/>
      <c r="C753" s="290"/>
      <c r="D753" s="285"/>
    </row>
    <row r="754" spans="1:4" s="254" customFormat="1" ht="13.7" customHeight="1">
      <c r="A754" s="288"/>
      <c r="B754" s="289"/>
      <c r="C754" s="290"/>
      <c r="D754" s="285"/>
    </row>
    <row r="755" spans="1:4" s="254" customFormat="1" ht="13.7" customHeight="1">
      <c r="A755" s="288"/>
      <c r="B755" s="289"/>
      <c r="C755" s="290"/>
      <c r="D755" s="285"/>
    </row>
    <row r="756" spans="1:4" s="254" customFormat="1" ht="13.7" customHeight="1">
      <c r="A756" s="288"/>
      <c r="B756" s="289"/>
      <c r="C756" s="290"/>
      <c r="D756" s="285"/>
    </row>
    <row r="757" spans="1:4" s="254" customFormat="1" ht="13.7" customHeight="1">
      <c r="A757" s="288"/>
      <c r="B757" s="289"/>
      <c r="C757" s="290"/>
      <c r="D757" s="285"/>
    </row>
    <row r="758" spans="1:4" s="254" customFormat="1" ht="13.7" customHeight="1">
      <c r="A758" s="288"/>
      <c r="B758" s="289"/>
      <c r="C758" s="290"/>
      <c r="D758" s="285"/>
    </row>
    <row r="759" spans="1:4" s="254" customFormat="1" ht="13.7" customHeight="1">
      <c r="A759" s="288"/>
      <c r="B759" s="289"/>
      <c r="C759" s="290"/>
      <c r="D759" s="285"/>
    </row>
    <row r="760" spans="1:4" s="254" customFormat="1" ht="13.7" customHeight="1">
      <c r="A760" s="288"/>
      <c r="B760" s="289"/>
      <c r="C760" s="290"/>
      <c r="D760" s="285"/>
    </row>
    <row r="761" spans="1:4" s="254" customFormat="1" ht="13.7" customHeight="1">
      <c r="A761" s="288"/>
      <c r="B761" s="289"/>
      <c r="C761" s="290"/>
      <c r="D761" s="285"/>
    </row>
    <row r="762" spans="1:4" s="254" customFormat="1" ht="13.7" customHeight="1">
      <c r="A762" s="288"/>
      <c r="B762" s="289"/>
      <c r="C762" s="290"/>
      <c r="D762" s="285"/>
    </row>
    <row r="763" spans="1:4" s="254" customFormat="1" ht="13.7" customHeight="1">
      <c r="A763" s="288"/>
      <c r="B763" s="289"/>
      <c r="C763" s="290"/>
      <c r="D763" s="285"/>
    </row>
    <row r="764" spans="1:4" s="254" customFormat="1" ht="13.7" customHeight="1">
      <c r="A764" s="288"/>
      <c r="B764" s="289"/>
      <c r="C764" s="290"/>
      <c r="D764" s="285"/>
    </row>
    <row r="765" spans="1:4" s="254" customFormat="1" ht="13.7" customHeight="1">
      <c r="A765" s="288"/>
      <c r="B765" s="289"/>
      <c r="C765" s="290"/>
      <c r="D765" s="285"/>
    </row>
    <row r="766" spans="1:4" s="254" customFormat="1" ht="13.7" customHeight="1">
      <c r="A766" s="288"/>
      <c r="B766" s="289"/>
      <c r="C766" s="290"/>
      <c r="D766" s="285"/>
    </row>
    <row r="767" spans="1:4" s="254" customFormat="1" ht="13.7" customHeight="1">
      <c r="A767" s="288"/>
      <c r="B767" s="289"/>
      <c r="C767" s="290"/>
      <c r="D767" s="285"/>
    </row>
    <row r="768" spans="1:4" s="254" customFormat="1" ht="13.7" customHeight="1">
      <c r="A768" s="288"/>
      <c r="B768" s="289"/>
      <c r="C768" s="290"/>
      <c r="D768" s="285"/>
    </row>
    <row r="769" spans="1:4" s="254" customFormat="1" ht="13.7" customHeight="1">
      <c r="A769" s="288"/>
      <c r="B769" s="289"/>
      <c r="C769" s="290"/>
      <c r="D769" s="285"/>
    </row>
    <row r="770" spans="1:4" s="254" customFormat="1" ht="13.7" customHeight="1">
      <c r="A770" s="288"/>
      <c r="B770" s="289"/>
      <c r="C770" s="290"/>
      <c r="D770" s="285"/>
    </row>
    <row r="771" spans="1:4" s="254" customFormat="1" ht="13.7" customHeight="1">
      <c r="A771" s="288"/>
      <c r="B771" s="289"/>
      <c r="C771" s="290"/>
      <c r="D771" s="285"/>
    </row>
    <row r="772" spans="1:4" s="254" customFormat="1" ht="13.7" customHeight="1">
      <c r="A772" s="288"/>
      <c r="B772" s="289"/>
      <c r="C772" s="290"/>
      <c r="D772" s="285"/>
    </row>
    <row r="773" spans="1:4" s="254" customFormat="1" ht="13.7" customHeight="1">
      <c r="A773" s="288"/>
      <c r="B773" s="289"/>
      <c r="C773" s="290"/>
      <c r="D773" s="285"/>
    </row>
    <row r="774" spans="1:4" s="254" customFormat="1" ht="13.7" customHeight="1">
      <c r="A774" s="288"/>
      <c r="B774" s="289"/>
      <c r="C774" s="290"/>
      <c r="D774" s="285"/>
    </row>
    <row r="775" spans="1:4" s="254" customFormat="1" ht="13.7" customHeight="1">
      <c r="A775" s="288"/>
      <c r="B775" s="289"/>
      <c r="C775" s="290"/>
      <c r="D775" s="285"/>
    </row>
    <row r="776" spans="1:4" s="254" customFormat="1" ht="13.7" customHeight="1">
      <c r="A776" s="288"/>
      <c r="B776" s="289"/>
      <c r="C776" s="290"/>
      <c r="D776" s="285"/>
    </row>
    <row r="777" spans="1:4" s="254" customFormat="1" ht="13.7" customHeight="1">
      <c r="A777" s="288"/>
      <c r="B777" s="289"/>
      <c r="C777" s="290"/>
      <c r="D777" s="285"/>
    </row>
    <row r="778" spans="1:4" s="254" customFormat="1" ht="13.7" customHeight="1">
      <c r="A778" s="288"/>
      <c r="B778" s="289"/>
      <c r="C778" s="290"/>
      <c r="D778" s="285"/>
    </row>
    <row r="779" spans="1:4" s="254" customFormat="1" ht="13.7" customHeight="1">
      <c r="A779" s="288"/>
      <c r="B779" s="289"/>
      <c r="C779" s="290"/>
      <c r="D779" s="285"/>
    </row>
    <row r="780" spans="1:4" s="254" customFormat="1" ht="13.7" customHeight="1">
      <c r="A780" s="288"/>
      <c r="B780" s="289"/>
      <c r="C780" s="290"/>
      <c r="D780" s="285"/>
    </row>
    <row r="781" spans="1:4" s="254" customFormat="1" ht="13.7" customHeight="1">
      <c r="A781" s="288"/>
      <c r="B781" s="289"/>
      <c r="C781" s="290"/>
      <c r="D781" s="285"/>
    </row>
    <row r="782" spans="1:4" s="254" customFormat="1" ht="13.7" customHeight="1">
      <c r="A782" s="288"/>
      <c r="B782" s="289"/>
      <c r="C782" s="290"/>
      <c r="D782" s="285"/>
    </row>
    <row r="783" spans="1:4" s="254" customFormat="1" ht="13.7" customHeight="1">
      <c r="A783" s="288"/>
      <c r="B783" s="289"/>
      <c r="C783" s="290"/>
      <c r="D783" s="285"/>
    </row>
    <row r="784" spans="1:4" s="254" customFormat="1" ht="13.7" customHeight="1">
      <c r="A784" s="288"/>
      <c r="B784" s="289"/>
      <c r="C784" s="290"/>
      <c r="D784" s="285"/>
    </row>
    <row r="785" spans="1:4" s="254" customFormat="1" ht="13.7" customHeight="1">
      <c r="A785" s="288"/>
      <c r="B785" s="289"/>
      <c r="C785" s="290"/>
      <c r="D785" s="285"/>
    </row>
    <row r="786" spans="1:4" s="254" customFormat="1" ht="13.7" customHeight="1">
      <c r="A786" s="288"/>
      <c r="B786" s="289"/>
      <c r="C786" s="290"/>
      <c r="D786" s="285"/>
    </row>
    <row r="787" spans="1:4" s="254" customFormat="1" ht="13.7" customHeight="1">
      <c r="A787" s="288"/>
      <c r="B787" s="289"/>
      <c r="C787" s="290"/>
      <c r="D787" s="285"/>
    </row>
    <row r="788" spans="1:4" s="254" customFormat="1" ht="13.7" customHeight="1">
      <c r="A788" s="288"/>
      <c r="B788" s="289"/>
      <c r="C788" s="290"/>
      <c r="D788" s="285"/>
    </row>
    <row r="789" spans="1:4" s="254" customFormat="1" ht="13.7" customHeight="1">
      <c r="A789" s="288"/>
      <c r="B789" s="289"/>
      <c r="C789" s="290"/>
      <c r="D789" s="285"/>
    </row>
    <row r="790" spans="1:4" s="254" customFormat="1" ht="13.7" customHeight="1">
      <c r="A790" s="288"/>
      <c r="B790" s="289"/>
      <c r="C790" s="290"/>
      <c r="D790" s="285"/>
    </row>
    <row r="791" spans="1:4" s="254" customFormat="1" ht="13.7" customHeight="1">
      <c r="A791" s="288"/>
      <c r="B791" s="289"/>
      <c r="C791" s="290"/>
      <c r="D791" s="285"/>
    </row>
    <row r="792" spans="1:4" s="254" customFormat="1" ht="13.7" customHeight="1">
      <c r="A792" s="288"/>
      <c r="B792" s="289"/>
      <c r="C792" s="290"/>
      <c r="D792" s="285"/>
    </row>
    <row r="793" spans="1:4" s="254" customFormat="1" ht="13.7" customHeight="1">
      <c r="A793" s="288"/>
      <c r="B793" s="289"/>
      <c r="C793" s="290"/>
      <c r="D793" s="285"/>
    </row>
    <row r="794" spans="1:4" s="254" customFormat="1" ht="13.7" customHeight="1">
      <c r="A794" s="288"/>
      <c r="B794" s="289"/>
      <c r="C794" s="290"/>
      <c r="D794" s="285"/>
    </row>
    <row r="795" spans="1:4" s="254" customFormat="1" ht="13.7" customHeight="1">
      <c r="A795" s="288"/>
      <c r="B795" s="289"/>
      <c r="C795" s="290"/>
      <c r="D795" s="285"/>
    </row>
    <row r="796" spans="1:4" s="254" customFormat="1" ht="13.7" customHeight="1">
      <c r="A796" s="288"/>
      <c r="B796" s="289"/>
      <c r="C796" s="290"/>
      <c r="D796" s="285"/>
    </row>
    <row r="797" spans="1:4" s="254" customFormat="1" ht="13.7" customHeight="1">
      <c r="A797" s="288"/>
      <c r="B797" s="289"/>
      <c r="C797" s="290"/>
      <c r="D797" s="285"/>
    </row>
    <row r="798" spans="1:4" s="254" customFormat="1" ht="13.7" customHeight="1">
      <c r="A798" s="288"/>
      <c r="B798" s="289"/>
      <c r="C798" s="290"/>
      <c r="D798" s="285"/>
    </row>
    <row r="799" spans="1:4" s="254" customFormat="1" ht="13.7" customHeight="1">
      <c r="A799" s="288"/>
      <c r="B799" s="289"/>
      <c r="C799" s="290"/>
      <c r="D799" s="285"/>
    </row>
    <row r="800" spans="1:4" s="254" customFormat="1" ht="13.7" customHeight="1">
      <c r="A800" s="288"/>
      <c r="B800" s="289"/>
      <c r="C800" s="290"/>
      <c r="D800" s="285"/>
    </row>
    <row r="801" spans="1:4" s="254" customFormat="1" ht="13.7" customHeight="1">
      <c r="A801" s="288"/>
      <c r="B801" s="289"/>
      <c r="C801" s="290"/>
      <c r="D801" s="285"/>
    </row>
    <row r="802" spans="1:4" s="254" customFormat="1" ht="13.7" customHeight="1">
      <c r="A802" s="288"/>
      <c r="B802" s="289"/>
      <c r="C802" s="290"/>
      <c r="D802" s="285"/>
    </row>
    <row r="803" spans="1:4" s="254" customFormat="1" ht="13.7" customHeight="1">
      <c r="A803" s="288"/>
      <c r="B803" s="289"/>
      <c r="C803" s="290"/>
      <c r="D803" s="285"/>
    </row>
    <row r="804" spans="1:4" s="254" customFormat="1" ht="13.7" customHeight="1">
      <c r="A804" s="288"/>
      <c r="B804" s="289"/>
      <c r="C804" s="290"/>
      <c r="D804" s="285"/>
    </row>
    <row r="805" spans="1:4" s="254" customFormat="1" ht="13.7" customHeight="1">
      <c r="A805" s="288"/>
      <c r="B805" s="289"/>
      <c r="C805" s="290"/>
      <c r="D805" s="285"/>
    </row>
    <row r="806" spans="1:4" s="254" customFormat="1" ht="13.7" customHeight="1">
      <c r="A806" s="288"/>
      <c r="B806" s="289"/>
      <c r="C806" s="290"/>
      <c r="D806" s="285"/>
    </row>
    <row r="807" spans="1:4" s="254" customFormat="1" ht="13.7" customHeight="1">
      <c r="A807" s="288"/>
      <c r="B807" s="289"/>
      <c r="C807" s="290"/>
      <c r="D807" s="285"/>
    </row>
    <row r="808" spans="1:4" s="254" customFormat="1" ht="13.7" customHeight="1">
      <c r="A808" s="288"/>
      <c r="B808" s="289"/>
      <c r="C808" s="290"/>
      <c r="D808" s="285"/>
    </row>
    <row r="809" spans="1:4" s="254" customFormat="1" ht="13.7" customHeight="1">
      <c r="A809" s="288"/>
      <c r="B809" s="289"/>
      <c r="C809" s="290"/>
      <c r="D809" s="285"/>
    </row>
    <row r="810" spans="1:4" s="254" customFormat="1" ht="13.7" customHeight="1">
      <c r="A810" s="288"/>
      <c r="B810" s="289"/>
      <c r="C810" s="290"/>
      <c r="D810" s="285"/>
    </row>
    <row r="811" spans="1:4" s="254" customFormat="1" ht="13.7" customHeight="1">
      <c r="A811" s="288"/>
      <c r="B811" s="289"/>
      <c r="C811" s="290"/>
      <c r="D811" s="285"/>
    </row>
    <row r="812" spans="1:4" s="254" customFormat="1" ht="13.7" customHeight="1">
      <c r="A812" s="288"/>
      <c r="B812" s="289"/>
      <c r="C812" s="290"/>
      <c r="D812" s="285"/>
    </row>
    <row r="813" spans="1:4" s="254" customFormat="1" ht="13.7" customHeight="1">
      <c r="A813" s="288"/>
      <c r="B813" s="289"/>
      <c r="C813" s="290"/>
      <c r="D813" s="285"/>
    </row>
    <row r="814" spans="1:4" s="254" customFormat="1" ht="13.7" customHeight="1">
      <c r="A814" s="288"/>
      <c r="B814" s="289"/>
      <c r="C814" s="290"/>
      <c r="D814" s="285"/>
    </row>
    <row r="815" spans="1:4" s="254" customFormat="1" ht="13.7" customHeight="1">
      <c r="A815" s="288"/>
      <c r="B815" s="289"/>
      <c r="C815" s="290"/>
      <c r="D815" s="285"/>
    </row>
    <row r="816" spans="1:4" s="254" customFormat="1" ht="13.7" customHeight="1">
      <c r="A816" s="288"/>
      <c r="B816" s="289"/>
      <c r="C816" s="290"/>
      <c r="D816" s="285"/>
    </row>
    <row r="817" spans="1:4" s="254" customFormat="1" ht="13.7" customHeight="1">
      <c r="A817" s="288"/>
      <c r="B817" s="289"/>
      <c r="C817" s="290"/>
      <c r="D817" s="285"/>
    </row>
    <row r="818" spans="1:4" s="254" customFormat="1" ht="13.7" customHeight="1">
      <c r="A818" s="288"/>
      <c r="B818" s="289"/>
      <c r="C818" s="290"/>
      <c r="D818" s="285"/>
    </row>
    <row r="819" spans="1:4" s="254" customFormat="1" ht="13.7" customHeight="1">
      <c r="A819" s="288"/>
      <c r="B819" s="289"/>
      <c r="C819" s="290"/>
      <c r="D819" s="285"/>
    </row>
    <row r="820" spans="1:4" s="254" customFormat="1" ht="13.7" customHeight="1">
      <c r="A820" s="288"/>
      <c r="B820" s="289"/>
      <c r="C820" s="290"/>
      <c r="D820" s="285"/>
    </row>
    <row r="821" spans="1:4" s="254" customFormat="1" ht="13.7" customHeight="1">
      <c r="A821" s="288"/>
      <c r="B821" s="289"/>
      <c r="C821" s="290"/>
      <c r="D821" s="285"/>
    </row>
    <row r="822" spans="1:4" s="254" customFormat="1" ht="13.7" customHeight="1">
      <c r="A822" s="288"/>
      <c r="B822" s="289"/>
      <c r="C822" s="290"/>
      <c r="D822" s="285"/>
    </row>
    <row r="823" spans="1:4" s="254" customFormat="1" ht="13.7" customHeight="1">
      <c r="A823" s="288"/>
      <c r="B823" s="289"/>
      <c r="C823" s="290"/>
      <c r="D823" s="285"/>
    </row>
    <row r="824" spans="1:4" s="254" customFormat="1" ht="13.7" customHeight="1">
      <c r="A824" s="288"/>
      <c r="B824" s="289"/>
      <c r="C824" s="290"/>
      <c r="D824" s="285"/>
    </row>
    <row r="825" spans="1:4" s="254" customFormat="1" ht="13.7" customHeight="1">
      <c r="A825" s="288"/>
      <c r="B825" s="289"/>
      <c r="C825" s="290"/>
      <c r="D825" s="285"/>
    </row>
    <row r="826" spans="1:4" s="254" customFormat="1" ht="13.7" customHeight="1">
      <c r="A826" s="288"/>
      <c r="B826" s="289"/>
      <c r="C826" s="290"/>
      <c r="D826" s="285"/>
    </row>
    <row r="827" spans="1:4" s="254" customFormat="1" ht="13.7" customHeight="1">
      <c r="A827" s="288"/>
      <c r="B827" s="289"/>
      <c r="C827" s="290"/>
      <c r="D827" s="285"/>
    </row>
    <row r="828" spans="1:4" s="254" customFormat="1" ht="13.7" customHeight="1">
      <c r="A828" s="288"/>
      <c r="B828" s="289"/>
      <c r="C828" s="290"/>
      <c r="D828" s="285"/>
    </row>
    <row r="829" spans="1:4" s="254" customFormat="1" ht="13.7" customHeight="1">
      <c r="A829" s="288"/>
      <c r="B829" s="289"/>
      <c r="C829" s="290"/>
      <c r="D829" s="285"/>
    </row>
    <row r="830" spans="1:4" s="254" customFormat="1" ht="13.7" customHeight="1">
      <c r="A830" s="288"/>
      <c r="B830" s="289"/>
      <c r="C830" s="290"/>
      <c r="D830" s="285"/>
    </row>
    <row r="831" spans="1:4" s="254" customFormat="1" ht="13.7" customHeight="1">
      <c r="A831" s="288"/>
      <c r="B831" s="289"/>
      <c r="C831" s="290"/>
      <c r="D831" s="285"/>
    </row>
    <row r="832" spans="1:4" s="254" customFormat="1" ht="13.7" customHeight="1">
      <c r="A832" s="288"/>
      <c r="B832" s="289"/>
      <c r="C832" s="290"/>
      <c r="D832" s="285"/>
    </row>
    <row r="833" spans="1:4" s="254" customFormat="1" ht="13.7" customHeight="1">
      <c r="A833" s="288"/>
      <c r="B833" s="289"/>
      <c r="C833" s="290"/>
      <c r="D833" s="285"/>
    </row>
    <row r="834" spans="1:4" s="254" customFormat="1" ht="13.7" customHeight="1">
      <c r="A834" s="288"/>
      <c r="B834" s="289"/>
      <c r="C834" s="290"/>
      <c r="D834" s="285"/>
    </row>
    <row r="835" spans="1:4" s="254" customFormat="1" ht="13.7" customHeight="1">
      <c r="A835" s="288"/>
      <c r="B835" s="289"/>
      <c r="C835" s="290"/>
      <c r="D835" s="285"/>
    </row>
    <row r="836" spans="1:4" s="254" customFormat="1" ht="13.7" customHeight="1">
      <c r="A836" s="288"/>
      <c r="B836" s="289"/>
      <c r="C836" s="290"/>
      <c r="D836" s="285"/>
    </row>
    <row r="837" spans="1:4" s="254" customFormat="1" ht="13.7" customHeight="1">
      <c r="A837" s="288"/>
      <c r="B837" s="289"/>
      <c r="C837" s="290"/>
      <c r="D837" s="285"/>
    </row>
    <row r="838" spans="1:4" s="254" customFormat="1" ht="13.7" customHeight="1">
      <c r="A838" s="288"/>
      <c r="B838" s="289"/>
      <c r="C838" s="290"/>
      <c r="D838" s="285"/>
    </row>
    <row r="839" spans="1:4" s="254" customFormat="1" ht="13.7" customHeight="1">
      <c r="A839" s="288"/>
      <c r="B839" s="289"/>
      <c r="C839" s="290"/>
      <c r="D839" s="285"/>
    </row>
    <row r="840" spans="1:4" s="254" customFormat="1" ht="13.7" customHeight="1">
      <c r="A840" s="288"/>
      <c r="B840" s="289"/>
      <c r="C840" s="290"/>
      <c r="D840" s="285"/>
    </row>
    <row r="841" spans="1:4" s="254" customFormat="1" ht="13.7" customHeight="1">
      <c r="A841" s="288"/>
      <c r="B841" s="289"/>
      <c r="C841" s="290"/>
      <c r="D841" s="285"/>
    </row>
    <row r="842" spans="1:4" s="254" customFormat="1" ht="13.7" customHeight="1">
      <c r="A842" s="288"/>
      <c r="B842" s="289"/>
      <c r="C842" s="290"/>
      <c r="D842" s="285"/>
    </row>
    <row r="843" spans="1:4" s="254" customFormat="1" ht="13.7" customHeight="1">
      <c r="A843" s="288"/>
      <c r="B843" s="289"/>
      <c r="C843" s="290"/>
      <c r="D843" s="285"/>
    </row>
    <row r="844" spans="1:4" s="254" customFormat="1" ht="13.7" customHeight="1">
      <c r="A844" s="288"/>
      <c r="B844" s="289"/>
      <c r="C844" s="290"/>
      <c r="D844" s="285"/>
    </row>
    <row r="845" spans="1:4" s="254" customFormat="1" ht="13.7" customHeight="1">
      <c r="A845" s="288"/>
      <c r="B845" s="289"/>
      <c r="C845" s="290"/>
      <c r="D845" s="285"/>
    </row>
    <row r="846" spans="1:4" s="254" customFormat="1" ht="13.7" customHeight="1">
      <c r="A846" s="288"/>
      <c r="B846" s="289"/>
      <c r="C846" s="290"/>
      <c r="D846" s="285"/>
    </row>
    <row r="847" spans="1:4" s="254" customFormat="1" ht="13.7" customHeight="1">
      <c r="A847" s="288"/>
      <c r="B847" s="289"/>
      <c r="C847" s="290"/>
      <c r="D847" s="285"/>
    </row>
    <row r="848" spans="1:4" s="254" customFormat="1" ht="13.7" customHeight="1">
      <c r="A848" s="288"/>
      <c r="B848" s="289"/>
      <c r="C848" s="290"/>
      <c r="D848" s="285"/>
    </row>
    <row r="849" spans="1:4" s="254" customFormat="1" ht="13.7" customHeight="1">
      <c r="A849" s="288"/>
      <c r="B849" s="289"/>
      <c r="C849" s="290"/>
      <c r="D849" s="285"/>
    </row>
    <row r="850" spans="1:4" s="254" customFormat="1" ht="13.7" customHeight="1">
      <c r="A850" s="288"/>
      <c r="B850" s="289"/>
      <c r="C850" s="290"/>
      <c r="D850" s="285"/>
    </row>
    <row r="851" spans="1:4" s="254" customFormat="1" ht="13.7" customHeight="1">
      <c r="A851" s="288"/>
      <c r="B851" s="289"/>
      <c r="C851" s="290"/>
      <c r="D851" s="285"/>
    </row>
    <row r="852" spans="1:4" s="254" customFormat="1" ht="13.7" customHeight="1">
      <c r="A852" s="288"/>
      <c r="B852" s="289"/>
      <c r="C852" s="290"/>
      <c r="D852" s="285"/>
    </row>
    <row r="853" spans="1:4" s="254" customFormat="1" ht="13.7" customHeight="1">
      <c r="A853" s="288"/>
      <c r="B853" s="289"/>
      <c r="C853" s="290"/>
      <c r="D853" s="285"/>
    </row>
    <row r="854" spans="1:4" s="254" customFormat="1" ht="13.7" customHeight="1">
      <c r="A854" s="288"/>
      <c r="B854" s="289"/>
      <c r="C854" s="290"/>
      <c r="D854" s="285"/>
    </row>
    <row r="855" spans="1:4" s="254" customFormat="1" ht="13.7" customHeight="1">
      <c r="A855" s="288"/>
      <c r="B855" s="289"/>
      <c r="C855" s="290"/>
      <c r="D855" s="285"/>
    </row>
    <row r="856" spans="1:4" s="254" customFormat="1" ht="13.7" customHeight="1">
      <c r="A856" s="288"/>
      <c r="B856" s="289"/>
      <c r="C856" s="290"/>
      <c r="D856" s="285"/>
    </row>
    <row r="857" spans="1:4" s="254" customFormat="1" ht="13.7" customHeight="1">
      <c r="A857" s="288"/>
      <c r="B857" s="289"/>
      <c r="C857" s="290"/>
      <c r="D857" s="285"/>
    </row>
    <row r="858" spans="1:4" s="254" customFormat="1" ht="13.7" customHeight="1">
      <c r="A858" s="288"/>
      <c r="B858" s="289"/>
      <c r="C858" s="290"/>
      <c r="D858" s="285"/>
    </row>
    <row r="859" spans="1:4" s="254" customFormat="1" ht="13.7" customHeight="1">
      <c r="A859" s="288"/>
      <c r="B859" s="289"/>
      <c r="C859" s="290"/>
      <c r="D859" s="285"/>
    </row>
    <row r="860" spans="1:4" s="254" customFormat="1" ht="13.7" customHeight="1">
      <c r="A860" s="288"/>
      <c r="B860" s="289"/>
      <c r="C860" s="290"/>
      <c r="D860" s="285"/>
    </row>
    <row r="861" spans="1:4" s="254" customFormat="1" ht="13.7" customHeight="1">
      <c r="A861" s="288"/>
      <c r="B861" s="289"/>
      <c r="C861" s="290"/>
      <c r="D861" s="285"/>
    </row>
    <row r="862" spans="1:4" s="254" customFormat="1" ht="13.7" customHeight="1">
      <c r="A862" s="288"/>
      <c r="B862" s="289"/>
      <c r="C862" s="290"/>
      <c r="D862" s="285"/>
    </row>
    <row r="863" spans="1:4" s="254" customFormat="1" ht="13.7" customHeight="1">
      <c r="A863" s="288"/>
      <c r="B863" s="289"/>
      <c r="C863" s="290"/>
      <c r="D863" s="285"/>
    </row>
    <row r="864" spans="1:4" s="254" customFormat="1" ht="13.7" customHeight="1">
      <c r="A864" s="288"/>
      <c r="B864" s="289"/>
      <c r="C864" s="290"/>
      <c r="D864" s="285"/>
    </row>
    <row r="865" spans="1:4" s="254" customFormat="1" ht="13.7" customHeight="1">
      <c r="A865" s="288"/>
      <c r="B865" s="289"/>
      <c r="C865" s="290"/>
      <c r="D865" s="285"/>
    </row>
    <row r="866" spans="1:4" s="254" customFormat="1" ht="13.7" customHeight="1">
      <c r="A866" s="288"/>
      <c r="B866" s="289"/>
      <c r="C866" s="290"/>
      <c r="D866" s="285"/>
    </row>
    <row r="867" spans="1:4" s="254" customFormat="1" ht="13.7" customHeight="1">
      <c r="A867" s="288"/>
      <c r="B867" s="289"/>
      <c r="C867" s="290"/>
      <c r="D867" s="285"/>
    </row>
    <row r="868" spans="1:4" s="254" customFormat="1" ht="13.7" customHeight="1">
      <c r="A868" s="288"/>
      <c r="B868" s="289"/>
      <c r="C868" s="290"/>
      <c r="D868" s="285"/>
    </row>
    <row r="869" spans="1:4" s="254" customFormat="1" ht="13.7" customHeight="1">
      <c r="A869" s="288"/>
      <c r="B869" s="289"/>
      <c r="C869" s="290"/>
      <c r="D869" s="285"/>
    </row>
    <row r="870" spans="1:4" s="254" customFormat="1" ht="13.7" customHeight="1">
      <c r="A870" s="288"/>
      <c r="B870" s="289"/>
      <c r="C870" s="290"/>
      <c r="D870" s="285"/>
    </row>
    <row r="871" spans="1:4" s="254" customFormat="1" ht="13.7" customHeight="1">
      <c r="A871" s="288"/>
      <c r="B871" s="289"/>
      <c r="C871" s="290"/>
      <c r="D871" s="285"/>
    </row>
    <row r="872" spans="1:4" s="254" customFormat="1" ht="13.7" customHeight="1">
      <c r="A872" s="288"/>
      <c r="B872" s="289"/>
      <c r="C872" s="290"/>
      <c r="D872" s="285"/>
    </row>
    <row r="873" spans="1:4" s="254" customFormat="1" ht="13.7" customHeight="1">
      <c r="A873" s="288"/>
      <c r="B873" s="289"/>
      <c r="C873" s="290"/>
      <c r="D873" s="285"/>
    </row>
    <row r="874" spans="1:4" s="254" customFormat="1" ht="13.7" customHeight="1">
      <c r="A874" s="288"/>
      <c r="B874" s="289"/>
      <c r="C874" s="290"/>
      <c r="D874" s="285"/>
    </row>
    <row r="875" spans="1:4" s="254" customFormat="1" ht="13.7" customHeight="1">
      <c r="A875" s="288"/>
      <c r="B875" s="289"/>
      <c r="C875" s="290"/>
      <c r="D875" s="285"/>
    </row>
    <row r="876" spans="1:4" s="254" customFormat="1" ht="13.7" customHeight="1">
      <c r="A876" s="288"/>
      <c r="B876" s="289"/>
      <c r="C876" s="290"/>
      <c r="D876" s="285"/>
    </row>
    <row r="877" spans="1:4" s="254" customFormat="1" ht="13.7" customHeight="1">
      <c r="A877" s="288"/>
      <c r="B877" s="289"/>
      <c r="C877" s="290"/>
      <c r="D877" s="285"/>
    </row>
    <row r="878" spans="1:4" s="254" customFormat="1" ht="13.7" customHeight="1">
      <c r="A878" s="288"/>
      <c r="B878" s="289"/>
      <c r="C878" s="290"/>
      <c r="D878" s="285"/>
    </row>
    <row r="879" spans="1:4" s="254" customFormat="1" ht="13.7" customHeight="1">
      <c r="A879" s="288"/>
      <c r="B879" s="289"/>
      <c r="C879" s="290"/>
      <c r="D879" s="285"/>
    </row>
    <row r="880" spans="1:4" s="254" customFormat="1" ht="13.7" customHeight="1">
      <c r="A880" s="288"/>
      <c r="B880" s="289"/>
      <c r="C880" s="290"/>
      <c r="D880" s="285"/>
    </row>
    <row r="881" spans="1:4" s="254" customFormat="1" ht="13.7" customHeight="1">
      <c r="A881" s="288"/>
      <c r="B881" s="289"/>
      <c r="C881" s="290"/>
      <c r="D881" s="285"/>
    </row>
    <row r="882" spans="1:4" s="254" customFormat="1" ht="13.7" customHeight="1">
      <c r="A882" s="288"/>
      <c r="B882" s="289"/>
      <c r="C882" s="290"/>
      <c r="D882" s="285"/>
    </row>
    <row r="883" spans="1:4" s="254" customFormat="1" ht="13.7" customHeight="1">
      <c r="A883" s="288"/>
      <c r="B883" s="289"/>
      <c r="C883" s="290"/>
      <c r="D883" s="285"/>
    </row>
    <row r="884" spans="1:4" s="254" customFormat="1" ht="13.7" customHeight="1">
      <c r="A884" s="288"/>
      <c r="B884" s="289"/>
      <c r="C884" s="290"/>
      <c r="D884" s="285"/>
    </row>
    <row r="885" spans="1:4" s="254" customFormat="1" ht="13.7" customHeight="1">
      <c r="A885" s="288"/>
      <c r="B885" s="289"/>
      <c r="C885" s="290"/>
      <c r="D885" s="285"/>
    </row>
    <row r="886" spans="1:4" s="254" customFormat="1" ht="13.7" customHeight="1">
      <c r="A886" s="288"/>
      <c r="B886" s="289"/>
      <c r="C886" s="290"/>
      <c r="D886" s="285"/>
    </row>
    <row r="887" spans="1:4" s="254" customFormat="1" ht="13.7" customHeight="1">
      <c r="A887" s="288"/>
      <c r="B887" s="289"/>
      <c r="C887" s="290"/>
      <c r="D887" s="285"/>
    </row>
    <row r="888" spans="1:4" s="254" customFormat="1" ht="13.7" customHeight="1">
      <c r="A888" s="288"/>
      <c r="B888" s="289"/>
      <c r="C888" s="290"/>
      <c r="D888" s="285"/>
    </row>
    <row r="889" spans="1:4" s="254" customFormat="1" ht="13.7" customHeight="1">
      <c r="A889" s="288"/>
      <c r="B889" s="289"/>
      <c r="C889" s="290"/>
      <c r="D889" s="285"/>
    </row>
    <row r="890" spans="1:4" s="254" customFormat="1" ht="13.7" customHeight="1">
      <c r="A890" s="288"/>
      <c r="B890" s="289"/>
      <c r="C890" s="290"/>
      <c r="D890" s="285"/>
    </row>
    <row r="891" spans="1:4" s="254" customFormat="1" ht="13.7" customHeight="1">
      <c r="A891" s="288"/>
      <c r="B891" s="289"/>
      <c r="C891" s="290"/>
      <c r="D891" s="285"/>
    </row>
    <row r="892" spans="1:4" s="254" customFormat="1" ht="13.7" customHeight="1">
      <c r="A892" s="288"/>
      <c r="B892" s="289"/>
      <c r="C892" s="290"/>
      <c r="D892" s="285"/>
    </row>
    <row r="893" spans="1:4" s="254" customFormat="1" ht="13.7" customHeight="1">
      <c r="A893" s="288"/>
      <c r="B893" s="289"/>
      <c r="C893" s="290"/>
      <c r="D893" s="285"/>
    </row>
    <row r="894" spans="1:4" s="254" customFormat="1" ht="13.7" customHeight="1">
      <c r="A894" s="288"/>
      <c r="B894" s="289"/>
      <c r="C894" s="290"/>
      <c r="D894" s="285"/>
    </row>
    <row r="895" spans="1:4" s="254" customFormat="1" ht="13.7" customHeight="1">
      <c r="A895" s="288"/>
      <c r="B895" s="289"/>
      <c r="C895" s="290"/>
      <c r="D895" s="285"/>
    </row>
    <row r="896" spans="1:4" s="254" customFormat="1" ht="13.7" customHeight="1">
      <c r="A896" s="288"/>
      <c r="B896" s="289"/>
      <c r="C896" s="290"/>
      <c r="D896" s="285"/>
    </row>
    <row r="897" spans="1:4" s="254" customFormat="1" ht="13.7" customHeight="1">
      <c r="A897" s="288"/>
      <c r="B897" s="289"/>
      <c r="C897" s="290"/>
      <c r="D897" s="285"/>
    </row>
    <row r="898" spans="1:4" s="254" customFormat="1" ht="13.7" customHeight="1">
      <c r="A898" s="288"/>
      <c r="B898" s="289"/>
      <c r="C898" s="290"/>
      <c r="D898" s="285"/>
    </row>
    <row r="899" spans="1:4" s="254" customFormat="1" ht="13.7" customHeight="1">
      <c r="A899" s="288"/>
      <c r="B899" s="289"/>
      <c r="C899" s="290"/>
      <c r="D899" s="285"/>
    </row>
    <row r="900" spans="1:4" s="254" customFormat="1" ht="13.7" customHeight="1">
      <c r="A900" s="288"/>
      <c r="B900" s="289"/>
      <c r="C900" s="290"/>
      <c r="D900" s="285"/>
    </row>
    <row r="901" spans="1:4" s="254" customFormat="1" ht="13.7" customHeight="1">
      <c r="A901" s="288"/>
      <c r="B901" s="289"/>
      <c r="C901" s="290"/>
      <c r="D901" s="285"/>
    </row>
    <row r="902" spans="1:4" s="254" customFormat="1" ht="13.7" customHeight="1">
      <c r="A902" s="288"/>
      <c r="B902" s="289"/>
      <c r="C902" s="290"/>
      <c r="D902" s="285"/>
    </row>
    <row r="903" spans="1:4" s="254" customFormat="1" ht="13.7" customHeight="1">
      <c r="A903" s="288"/>
      <c r="B903" s="289"/>
      <c r="C903" s="290"/>
      <c r="D903" s="285"/>
    </row>
    <row r="904" spans="1:4" s="254" customFormat="1" ht="13.7" customHeight="1">
      <c r="A904" s="288"/>
      <c r="B904" s="289"/>
      <c r="C904" s="290"/>
      <c r="D904" s="285"/>
    </row>
    <row r="905" spans="1:4" s="254" customFormat="1" ht="13.7" customHeight="1">
      <c r="A905" s="288"/>
      <c r="B905" s="289"/>
      <c r="C905" s="290"/>
      <c r="D905" s="285"/>
    </row>
    <row r="906" spans="1:4" s="254" customFormat="1" ht="13.7" customHeight="1">
      <c r="A906" s="288"/>
      <c r="B906" s="289"/>
      <c r="C906" s="290"/>
      <c r="D906" s="285"/>
    </row>
    <row r="907" spans="1:4" s="254" customFormat="1" ht="13.7" customHeight="1">
      <c r="A907" s="288"/>
      <c r="B907" s="289"/>
      <c r="C907" s="290"/>
      <c r="D907" s="285"/>
    </row>
    <row r="908" spans="1:4" s="254" customFormat="1" ht="13.7" customHeight="1">
      <c r="A908" s="288"/>
      <c r="B908" s="289"/>
      <c r="C908" s="290"/>
      <c r="D908" s="285"/>
    </row>
    <row r="909" spans="1:4" s="254" customFormat="1" ht="13.7" customHeight="1">
      <c r="A909" s="288"/>
      <c r="B909" s="289"/>
      <c r="C909" s="290"/>
      <c r="D909" s="285"/>
    </row>
    <row r="910" spans="1:4" s="254" customFormat="1" ht="13.7" customHeight="1">
      <c r="A910" s="288"/>
      <c r="B910" s="289"/>
      <c r="C910" s="290"/>
      <c r="D910" s="285"/>
    </row>
    <row r="911" spans="1:4" s="254" customFormat="1" ht="13.7" customHeight="1">
      <c r="A911" s="288"/>
      <c r="B911" s="289"/>
      <c r="C911" s="290"/>
      <c r="D911" s="285"/>
    </row>
    <row r="912" spans="1:4" s="254" customFormat="1" ht="13.7" customHeight="1">
      <c r="A912" s="288"/>
      <c r="B912" s="289"/>
      <c r="C912" s="290"/>
      <c r="D912" s="285"/>
    </row>
    <row r="913" spans="1:4" s="254" customFormat="1" ht="13.7" customHeight="1">
      <c r="A913" s="288"/>
      <c r="B913" s="289"/>
      <c r="C913" s="290"/>
      <c r="D913" s="285"/>
    </row>
    <row r="914" spans="1:4" s="254" customFormat="1" ht="13.7" customHeight="1">
      <c r="A914" s="288"/>
      <c r="B914" s="289"/>
      <c r="C914" s="290"/>
      <c r="D914" s="285"/>
    </row>
    <row r="915" spans="1:4" s="254" customFormat="1" ht="13.7" customHeight="1">
      <c r="A915" s="288"/>
      <c r="B915" s="289"/>
      <c r="C915" s="290"/>
      <c r="D915" s="285"/>
    </row>
    <row r="916" spans="1:4" s="254" customFormat="1" ht="13.7" customHeight="1">
      <c r="A916" s="288"/>
      <c r="B916" s="289"/>
      <c r="C916" s="290"/>
      <c r="D916" s="285"/>
    </row>
    <row r="917" spans="1:4" s="254" customFormat="1" ht="13.7" customHeight="1">
      <c r="A917" s="288"/>
      <c r="B917" s="289"/>
      <c r="C917" s="290"/>
      <c r="D917" s="285"/>
    </row>
    <row r="918" spans="1:4" s="254" customFormat="1" ht="13.7" customHeight="1">
      <c r="A918" s="288"/>
      <c r="B918" s="289"/>
      <c r="C918" s="290"/>
      <c r="D918" s="285"/>
    </row>
    <row r="919" spans="1:4" s="254" customFormat="1" ht="13.7" customHeight="1">
      <c r="A919" s="288"/>
      <c r="B919" s="289"/>
      <c r="C919" s="290"/>
      <c r="D919" s="285"/>
    </row>
    <row r="920" spans="1:4" s="254" customFormat="1" ht="13.7" customHeight="1">
      <c r="A920" s="288"/>
      <c r="B920" s="289"/>
      <c r="C920" s="290"/>
      <c r="D920" s="285"/>
    </row>
    <row r="921" spans="1:4" s="254" customFormat="1" ht="13.7" customHeight="1">
      <c r="A921" s="288"/>
      <c r="B921" s="289"/>
      <c r="C921" s="290"/>
      <c r="D921" s="285"/>
    </row>
    <row r="922" spans="1:4" s="254" customFormat="1" ht="13.7" customHeight="1">
      <c r="A922" s="288"/>
      <c r="B922" s="289"/>
      <c r="C922" s="290"/>
      <c r="D922" s="285"/>
    </row>
    <row r="923" spans="1:4" s="254" customFormat="1" ht="13.7" customHeight="1">
      <c r="A923" s="288"/>
      <c r="B923" s="289"/>
      <c r="C923" s="290"/>
      <c r="D923" s="285"/>
    </row>
    <row r="924" spans="1:4" s="254" customFormat="1" ht="13.7" customHeight="1">
      <c r="A924" s="288"/>
      <c r="B924" s="289"/>
      <c r="C924" s="290"/>
      <c r="D924" s="285"/>
    </row>
    <row r="925" spans="1:4" s="254" customFormat="1" ht="13.7" customHeight="1">
      <c r="A925" s="288"/>
      <c r="B925" s="289"/>
      <c r="C925" s="290"/>
      <c r="D925" s="285"/>
    </row>
    <row r="926" spans="1:4" s="254" customFormat="1" ht="13.7" customHeight="1">
      <c r="A926" s="288"/>
      <c r="B926" s="289"/>
      <c r="C926" s="290"/>
      <c r="D926" s="285"/>
    </row>
    <row r="927" spans="1:4" s="254" customFormat="1" ht="13.7" customHeight="1">
      <c r="A927" s="288"/>
      <c r="B927" s="289"/>
      <c r="C927" s="290"/>
      <c r="D927" s="285"/>
    </row>
    <row r="928" spans="1:4" s="254" customFormat="1" ht="13.7" customHeight="1">
      <c r="A928" s="288"/>
      <c r="B928" s="289"/>
      <c r="C928" s="290"/>
      <c r="D928" s="285"/>
    </row>
    <row r="929" spans="1:4" s="254" customFormat="1" ht="13.7" customHeight="1">
      <c r="A929" s="288"/>
      <c r="B929" s="289"/>
      <c r="C929" s="290"/>
      <c r="D929" s="285"/>
    </row>
    <row r="930" spans="1:4" s="254" customFormat="1" ht="13.7" customHeight="1">
      <c r="A930" s="288"/>
      <c r="B930" s="289"/>
      <c r="C930" s="290"/>
      <c r="D930" s="285"/>
    </row>
    <row r="931" spans="1:4" s="254" customFormat="1" ht="13.7" customHeight="1">
      <c r="A931" s="288"/>
      <c r="B931" s="289"/>
      <c r="C931" s="290"/>
      <c r="D931" s="285"/>
    </row>
    <row r="932" spans="1:4" s="254" customFormat="1" ht="13.7" customHeight="1">
      <c r="A932" s="288"/>
      <c r="B932" s="289"/>
      <c r="C932" s="290"/>
      <c r="D932" s="285"/>
    </row>
    <row r="933" spans="1:4" s="254" customFormat="1" ht="13.7" customHeight="1">
      <c r="A933" s="288"/>
      <c r="B933" s="289"/>
      <c r="C933" s="290"/>
      <c r="D933" s="285"/>
    </row>
    <row r="934" spans="1:4" s="254" customFormat="1" ht="13.7" customHeight="1">
      <c r="A934" s="288"/>
      <c r="B934" s="289"/>
      <c r="C934" s="290"/>
      <c r="D934" s="285"/>
    </row>
    <row r="935" spans="1:4" s="254" customFormat="1" ht="13.7" customHeight="1">
      <c r="A935" s="288"/>
      <c r="B935" s="289"/>
      <c r="C935" s="290"/>
      <c r="D935" s="285"/>
    </row>
    <row r="936" spans="1:4" s="254" customFormat="1" ht="13.7" customHeight="1">
      <c r="A936" s="288"/>
      <c r="B936" s="289"/>
      <c r="C936" s="290"/>
      <c r="D936" s="285"/>
    </row>
    <row r="937" spans="1:4" s="254" customFormat="1" ht="13.7" customHeight="1">
      <c r="A937" s="288"/>
      <c r="B937" s="289"/>
      <c r="C937" s="290"/>
      <c r="D937" s="285"/>
    </row>
    <row r="938" spans="1:4" s="254" customFormat="1" ht="13.7" customHeight="1">
      <c r="A938" s="288"/>
      <c r="B938" s="289"/>
      <c r="C938" s="290"/>
      <c r="D938" s="285"/>
    </row>
    <row r="939" spans="1:4" s="254" customFormat="1" ht="13.7" customHeight="1">
      <c r="A939" s="288"/>
      <c r="B939" s="289"/>
      <c r="C939" s="290"/>
      <c r="D939" s="285"/>
    </row>
    <row r="940" spans="1:4" s="254" customFormat="1" ht="13.7" customHeight="1">
      <c r="A940" s="288"/>
      <c r="B940" s="289"/>
      <c r="C940" s="290"/>
      <c r="D940" s="285"/>
    </row>
    <row r="941" spans="1:4" s="254" customFormat="1" ht="13.7" customHeight="1">
      <c r="A941" s="288"/>
      <c r="B941" s="289"/>
      <c r="C941" s="290"/>
      <c r="D941" s="285"/>
    </row>
    <row r="942" spans="1:4" s="254" customFormat="1" ht="13.7" customHeight="1">
      <c r="A942" s="288"/>
      <c r="B942" s="289"/>
      <c r="C942" s="290"/>
      <c r="D942" s="285"/>
    </row>
    <row r="943" spans="1:4" s="254" customFormat="1" ht="13.7" customHeight="1">
      <c r="A943" s="288"/>
      <c r="B943" s="289"/>
      <c r="C943" s="290"/>
      <c r="D943" s="285"/>
    </row>
    <row r="944" spans="1:4" s="254" customFormat="1" ht="13.7" customHeight="1">
      <c r="A944" s="288"/>
      <c r="B944" s="289"/>
      <c r="C944" s="290"/>
      <c r="D944" s="285"/>
    </row>
    <row r="945" spans="1:4" s="254" customFormat="1" ht="13.7" customHeight="1">
      <c r="A945" s="288"/>
      <c r="B945" s="289"/>
      <c r="C945" s="290"/>
      <c r="D945" s="285"/>
    </row>
    <row r="946" spans="1:4" s="254" customFormat="1" ht="13.7" customHeight="1">
      <c r="A946" s="288"/>
      <c r="B946" s="289"/>
      <c r="C946" s="290"/>
      <c r="D946" s="285"/>
    </row>
    <row r="947" spans="1:4" s="254" customFormat="1" ht="13.7" customHeight="1">
      <c r="A947" s="288"/>
      <c r="B947" s="289"/>
      <c r="C947" s="290"/>
      <c r="D947" s="285"/>
    </row>
    <row r="948" spans="1:4" s="254" customFormat="1" ht="13.7" customHeight="1">
      <c r="A948" s="288"/>
      <c r="B948" s="289"/>
      <c r="C948" s="290"/>
      <c r="D948" s="285"/>
    </row>
    <row r="949" spans="1:4" s="254" customFormat="1" ht="13.7" customHeight="1">
      <c r="A949" s="288"/>
      <c r="B949" s="289"/>
      <c r="C949" s="290"/>
      <c r="D949" s="285"/>
    </row>
    <row r="950" spans="1:4" s="254" customFormat="1" ht="13.7" customHeight="1">
      <c r="A950" s="288"/>
      <c r="B950" s="289"/>
      <c r="C950" s="290"/>
      <c r="D950" s="285"/>
    </row>
    <row r="951" spans="1:4" s="254" customFormat="1" ht="13.7" customHeight="1">
      <c r="A951" s="288"/>
      <c r="B951" s="289"/>
      <c r="C951" s="290"/>
      <c r="D951" s="285"/>
    </row>
    <row r="952" spans="1:4" s="254" customFormat="1" ht="13.7" customHeight="1">
      <c r="A952" s="288"/>
      <c r="B952" s="289"/>
      <c r="C952" s="290"/>
      <c r="D952" s="285"/>
    </row>
    <row r="953" spans="1:4" s="254" customFormat="1" ht="13.7" customHeight="1">
      <c r="A953" s="288"/>
      <c r="B953" s="289"/>
      <c r="C953" s="290"/>
      <c r="D953" s="285"/>
    </row>
    <row r="954" spans="1:4" s="254" customFormat="1" ht="13.7" customHeight="1">
      <c r="A954" s="288"/>
      <c r="B954" s="289"/>
      <c r="C954" s="290"/>
      <c r="D954" s="285"/>
    </row>
    <row r="955" spans="1:4" s="254" customFormat="1" ht="13.7" customHeight="1">
      <c r="A955" s="288"/>
      <c r="B955" s="289"/>
      <c r="C955" s="290"/>
      <c r="D955" s="285"/>
    </row>
    <row r="956" spans="1:4" s="254" customFormat="1" ht="13.7" customHeight="1">
      <c r="A956" s="288"/>
      <c r="B956" s="289"/>
      <c r="C956" s="290"/>
      <c r="D956" s="285"/>
    </row>
    <row r="957" spans="1:4" s="254" customFormat="1" ht="13.7" customHeight="1">
      <c r="A957" s="288"/>
      <c r="B957" s="289"/>
      <c r="C957" s="290"/>
      <c r="D957" s="285"/>
    </row>
    <row r="958" spans="1:4" s="254" customFormat="1" ht="13.7" customHeight="1">
      <c r="A958" s="288"/>
      <c r="B958" s="289"/>
      <c r="C958" s="290"/>
      <c r="D958" s="285"/>
    </row>
    <row r="959" spans="1:4" s="254" customFormat="1" ht="13.7" customHeight="1">
      <c r="A959" s="288"/>
      <c r="B959" s="289"/>
      <c r="C959" s="290"/>
      <c r="D959" s="285"/>
    </row>
    <row r="960" spans="1:4" s="254" customFormat="1" ht="13.7" customHeight="1">
      <c r="A960" s="288"/>
      <c r="B960" s="289"/>
      <c r="C960" s="290"/>
      <c r="D960" s="285"/>
    </row>
    <row r="961" spans="1:4" s="254" customFormat="1" ht="13.7" customHeight="1">
      <c r="A961" s="288"/>
      <c r="B961" s="289"/>
      <c r="C961" s="290"/>
      <c r="D961" s="285"/>
    </row>
    <row r="962" spans="1:4" s="254" customFormat="1" ht="13.7" customHeight="1">
      <c r="A962" s="288"/>
      <c r="B962" s="289"/>
      <c r="C962" s="290"/>
      <c r="D962" s="285"/>
    </row>
    <row r="963" spans="1:4" s="254" customFormat="1" ht="13.7" customHeight="1">
      <c r="A963" s="288"/>
      <c r="B963" s="289"/>
      <c r="C963" s="290"/>
      <c r="D963" s="285"/>
    </row>
    <row r="964" spans="1:4" s="254" customFormat="1" ht="13.7" customHeight="1">
      <c r="A964" s="288"/>
      <c r="B964" s="289"/>
      <c r="C964" s="290"/>
      <c r="D964" s="285"/>
    </row>
    <row r="965" spans="1:4" s="254" customFormat="1" ht="13.7" customHeight="1">
      <c r="A965" s="288"/>
      <c r="B965" s="289"/>
      <c r="C965" s="290"/>
      <c r="D965" s="285"/>
    </row>
    <row r="966" spans="1:4" s="254" customFormat="1" ht="13.7" customHeight="1">
      <c r="A966" s="288"/>
      <c r="B966" s="289"/>
      <c r="C966" s="290"/>
      <c r="D966" s="285"/>
    </row>
    <row r="967" spans="1:4" s="254" customFormat="1" ht="13.7" customHeight="1">
      <c r="A967" s="288"/>
      <c r="B967" s="289"/>
      <c r="C967" s="290"/>
      <c r="D967" s="285"/>
    </row>
    <row r="968" spans="1:4" s="254" customFormat="1" ht="13.7" customHeight="1">
      <c r="A968" s="288"/>
      <c r="B968" s="289"/>
      <c r="C968" s="290"/>
      <c r="D968" s="285"/>
    </row>
    <row r="969" spans="1:4" s="254" customFormat="1" ht="13.7" customHeight="1">
      <c r="A969" s="288"/>
      <c r="B969" s="289"/>
      <c r="C969" s="290"/>
      <c r="D969" s="285"/>
    </row>
    <row r="970" spans="1:4" s="254" customFormat="1" ht="13.7" customHeight="1">
      <c r="A970" s="288"/>
      <c r="B970" s="289"/>
      <c r="C970" s="290"/>
      <c r="D970" s="285"/>
    </row>
    <row r="971" spans="1:4" s="254" customFormat="1" ht="13.7" customHeight="1">
      <c r="A971" s="288"/>
      <c r="B971" s="289"/>
      <c r="C971" s="290"/>
      <c r="D971" s="285"/>
    </row>
    <row r="972" spans="1:4" s="254" customFormat="1" ht="13.7" customHeight="1">
      <c r="A972" s="288"/>
      <c r="B972" s="289"/>
      <c r="C972" s="290"/>
      <c r="D972" s="285"/>
    </row>
    <row r="973" spans="1:4" s="254" customFormat="1" ht="13.7" customHeight="1">
      <c r="A973" s="288"/>
      <c r="B973" s="289"/>
      <c r="C973" s="290"/>
      <c r="D973" s="285"/>
    </row>
    <row r="974" spans="1:4" s="254" customFormat="1" ht="13.7" customHeight="1">
      <c r="A974" s="288"/>
      <c r="B974" s="289"/>
      <c r="C974" s="290"/>
      <c r="D974" s="285"/>
    </row>
    <row r="975" spans="1:4" s="254" customFormat="1" ht="13.7" customHeight="1">
      <c r="A975" s="288"/>
      <c r="B975" s="289"/>
      <c r="C975" s="290"/>
      <c r="D975" s="285"/>
    </row>
    <row r="976" spans="1:4" s="254" customFormat="1" ht="13.7" customHeight="1">
      <c r="A976" s="288"/>
      <c r="B976" s="289"/>
      <c r="C976" s="290"/>
      <c r="D976" s="285"/>
    </row>
    <row r="977" spans="1:4" s="254" customFormat="1" ht="13.7" customHeight="1">
      <c r="A977" s="288"/>
      <c r="B977" s="289"/>
      <c r="C977" s="290"/>
      <c r="D977" s="285"/>
    </row>
    <row r="978" spans="1:4" s="254" customFormat="1" ht="13.7" customHeight="1">
      <c r="A978" s="288"/>
      <c r="B978" s="289"/>
      <c r="C978" s="290"/>
      <c r="D978" s="285"/>
    </row>
    <row r="979" spans="1:4" s="254" customFormat="1" ht="13.7" customHeight="1">
      <c r="A979" s="288"/>
      <c r="B979" s="289"/>
      <c r="C979" s="290"/>
      <c r="D979" s="285"/>
    </row>
    <row r="980" spans="1:4" s="254" customFormat="1" ht="13.7" customHeight="1">
      <c r="A980" s="288"/>
      <c r="B980" s="289"/>
      <c r="C980" s="290"/>
      <c r="D980" s="285"/>
    </row>
    <row r="981" spans="1:4" s="254" customFormat="1" ht="13.7" customHeight="1">
      <c r="A981" s="288"/>
      <c r="B981" s="289"/>
      <c r="C981" s="290"/>
      <c r="D981" s="285"/>
    </row>
    <row r="982" spans="1:4" s="254" customFormat="1" ht="13.7" customHeight="1">
      <c r="A982" s="288"/>
      <c r="B982" s="289"/>
      <c r="C982" s="290"/>
      <c r="D982" s="285"/>
    </row>
    <row r="983" spans="1:4" s="254" customFormat="1" ht="13.7" customHeight="1">
      <c r="A983" s="288"/>
      <c r="B983" s="289"/>
      <c r="C983" s="290"/>
      <c r="D983" s="285"/>
    </row>
    <row r="984" spans="1:4" s="254" customFormat="1" ht="13.7" customHeight="1">
      <c r="A984" s="288"/>
      <c r="B984" s="289"/>
      <c r="C984" s="290"/>
      <c r="D984" s="285"/>
    </row>
    <row r="985" spans="1:4" s="254" customFormat="1" ht="13.7" customHeight="1">
      <c r="A985" s="288"/>
      <c r="B985" s="289"/>
      <c r="C985" s="290"/>
      <c r="D985" s="285"/>
    </row>
    <row r="986" spans="1:4" s="254" customFormat="1" ht="13.7" customHeight="1">
      <c r="A986" s="288"/>
      <c r="B986" s="289"/>
      <c r="C986" s="290"/>
      <c r="D986" s="285"/>
    </row>
    <row r="987" spans="1:4" s="254" customFormat="1" ht="13.7" customHeight="1">
      <c r="A987" s="288"/>
      <c r="B987" s="289"/>
      <c r="C987" s="290"/>
      <c r="D987" s="285"/>
    </row>
    <row r="988" spans="1:4" s="254" customFormat="1" ht="13.7" customHeight="1">
      <c r="A988" s="288"/>
      <c r="B988" s="289"/>
      <c r="C988" s="290"/>
      <c r="D988" s="285"/>
    </row>
    <row r="989" spans="1:4" s="254" customFormat="1" ht="13.7" customHeight="1">
      <c r="A989" s="288"/>
      <c r="B989" s="289"/>
      <c r="C989" s="290"/>
      <c r="D989" s="285"/>
    </row>
    <row r="990" spans="1:4" s="254" customFormat="1" ht="13.7" customHeight="1">
      <c r="A990" s="288"/>
      <c r="B990" s="289"/>
      <c r="C990" s="290"/>
      <c r="D990" s="285"/>
    </row>
    <row r="991" spans="1:4" s="254" customFormat="1" ht="13.7" customHeight="1">
      <c r="A991" s="288"/>
      <c r="B991" s="289"/>
      <c r="C991" s="290"/>
      <c r="D991" s="285"/>
    </row>
    <row r="992" spans="1:4" s="254" customFormat="1" ht="13.7" customHeight="1">
      <c r="A992" s="288"/>
      <c r="B992" s="289"/>
      <c r="C992" s="290"/>
      <c r="D992" s="285"/>
    </row>
    <row r="993" spans="1:4" s="254" customFormat="1" ht="13.7" customHeight="1">
      <c r="A993" s="288"/>
      <c r="B993" s="289"/>
      <c r="C993" s="290"/>
      <c r="D993" s="285"/>
    </row>
    <row r="994" spans="1:4" s="254" customFormat="1" ht="13.7" customHeight="1">
      <c r="A994" s="288"/>
      <c r="B994" s="289"/>
      <c r="C994" s="290"/>
      <c r="D994" s="285"/>
    </row>
    <row r="995" spans="1:4" s="254" customFormat="1" ht="13.7" customHeight="1">
      <c r="A995" s="288"/>
      <c r="B995" s="289"/>
      <c r="C995" s="290"/>
      <c r="D995" s="285"/>
    </row>
    <row r="996" spans="1:4" s="254" customFormat="1" ht="13.7" customHeight="1">
      <c r="A996" s="288"/>
      <c r="B996" s="289"/>
      <c r="C996" s="290"/>
      <c r="D996" s="285"/>
    </row>
    <row r="997" spans="1:4" s="254" customFormat="1" ht="13.7" customHeight="1">
      <c r="A997" s="288"/>
      <c r="B997" s="289"/>
      <c r="C997" s="290"/>
      <c r="D997" s="285"/>
    </row>
    <row r="998" spans="1:4" s="254" customFormat="1" ht="13.7" customHeight="1">
      <c r="A998" s="288"/>
      <c r="B998" s="289"/>
      <c r="C998" s="290"/>
      <c r="D998" s="285"/>
    </row>
    <row r="999" spans="1:4" s="254" customFormat="1" ht="13.7" customHeight="1">
      <c r="A999" s="288"/>
      <c r="B999" s="289"/>
      <c r="C999" s="290"/>
      <c r="D999" s="285"/>
    </row>
    <row r="1000" spans="1:4" s="254" customFormat="1" ht="13.7" customHeight="1">
      <c r="A1000" s="288"/>
      <c r="B1000" s="289"/>
      <c r="C1000" s="290"/>
      <c r="D1000" s="285"/>
    </row>
    <row r="1001" spans="1:4" s="254" customFormat="1" ht="13.7" customHeight="1">
      <c r="A1001" s="288"/>
      <c r="B1001" s="289"/>
      <c r="C1001" s="290"/>
      <c r="D1001" s="285"/>
    </row>
    <row r="1002" spans="1:4" s="254" customFormat="1" ht="13.7" customHeight="1">
      <c r="A1002" s="288"/>
      <c r="B1002" s="289"/>
      <c r="C1002" s="290"/>
      <c r="D1002" s="285"/>
    </row>
    <row r="1003" spans="1:4" s="254" customFormat="1" ht="13.7" customHeight="1">
      <c r="A1003" s="288"/>
      <c r="B1003" s="289"/>
      <c r="C1003" s="290"/>
      <c r="D1003" s="285"/>
    </row>
    <row r="1004" spans="1:4" s="254" customFormat="1" ht="13.7" customHeight="1">
      <c r="A1004" s="288"/>
      <c r="B1004" s="289"/>
      <c r="C1004" s="290"/>
      <c r="D1004" s="285"/>
    </row>
    <row r="1005" spans="1:4" s="254" customFormat="1" ht="13.7" customHeight="1">
      <c r="A1005" s="288"/>
      <c r="B1005" s="289"/>
      <c r="C1005" s="290"/>
      <c r="D1005" s="285"/>
    </row>
    <row r="1006" spans="1:4" s="254" customFormat="1" ht="13.7" customHeight="1">
      <c r="A1006" s="288"/>
      <c r="B1006" s="289"/>
      <c r="C1006" s="290"/>
      <c r="D1006" s="285"/>
    </row>
    <row r="1008" spans="1:4" s="22" customFormat="1" ht="13.7" customHeight="1">
      <c r="A1008" s="2" t="s">
        <v>227</v>
      </c>
      <c r="B1008" s="4"/>
      <c r="C1008" s="119"/>
      <c r="D1008" s="211"/>
    </row>
  </sheetData>
  <phoneticPr fontId="102" type="noConversion"/>
  <conditionalFormatting sqref="C332:C341">
    <cfRule type="expression" dxfId="0" priority="1">
      <formula>ISBLANK(B332)</formula>
    </cfRule>
  </conditionalFormatting>
  <hyperlinks>
    <hyperlink ref="A2" location="Index!A1" display="Index" xr:uid="{00000000-0004-0000-0500-000000000000}"/>
    <hyperlink ref="B8" r:id="rId1" location="data-download" display="Australian Bureau of Statistics, Index Numbers, All groups CPI, Australia, Series ID: A2325846C" xr:uid="{00000000-0004-0000-0500-000001000000}"/>
    <hyperlink ref="B13" r:id="rId2" xr:uid="{00000000-0004-0000-0500-000002000000}"/>
  </hyperlinks>
  <pageMargins left="0.7" right="0.7" top="0.75" bottom="0.75" header="0.3" footer="0.3"/>
  <pageSetup paperSize="9" orientation="portrait" r:id="rId3"/>
  <ignoredErrors>
    <ignoredError sqref="B338:B340" formula="1"/>
    <ignoredError sqref="C333 C335:C33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sheetPr>
  <dimension ref="A1:IE75"/>
  <sheetViews>
    <sheetView zoomScaleNormal="100" workbookViewId="0">
      <pane xSplit="2" topLeftCell="DH1" activePane="topRight" state="frozen"/>
      <selection pane="topRight"/>
    </sheetView>
  </sheetViews>
  <sheetFormatPr defaultColWidth="8.85546875" defaultRowHeight="13.7" customHeight="1" outlineLevelRow="1" outlineLevelCol="1"/>
  <cols>
    <col min="1" max="1" width="83.140625" style="23" bestFit="1" customWidth="1"/>
    <col min="2" max="2" width="10.85546875" style="23" bestFit="1" customWidth="1"/>
    <col min="3" max="23" width="8.85546875" style="23" hidden="1" customWidth="1" outlineLevel="1"/>
    <col min="24" max="24" width="10.42578125" style="23" hidden="1" customWidth="1" outlineLevel="1"/>
    <col min="25" max="128" width="8.85546875" style="23" hidden="1" customWidth="1" outlineLevel="1"/>
    <col min="129" max="129" width="8.85546875" style="23" customWidth="1" collapsed="1"/>
    <col min="130" max="148" width="8.85546875" style="23" customWidth="1"/>
    <col min="149" max="238" width="8.85546875" style="23" hidden="1" customWidth="1" outlineLevel="1"/>
    <col min="239" max="239" width="8.85546875" style="23" customWidth="1" collapsed="1"/>
    <col min="240" max="254" width="8.85546875" style="23" customWidth="1"/>
    <col min="255" max="16384" width="8.85546875" style="23"/>
  </cols>
  <sheetData>
    <row r="1" spans="1:238" s="7" customFormat="1" ht="15.6" customHeight="1">
      <c r="A1" s="1" t="s">
        <v>0</v>
      </c>
    </row>
    <row r="2" spans="1:238" s="16" customFormat="1" ht="13.7" customHeight="1">
      <c r="A2" s="85" t="s">
        <v>5</v>
      </c>
      <c r="C2" s="15"/>
      <c r="E2" s="84"/>
    </row>
    <row r="3" spans="1:238" s="9" customFormat="1" ht="13.7" customHeight="1" thickBot="1">
      <c r="A3" s="8" t="s">
        <v>24</v>
      </c>
    </row>
    <row r="4" spans="1:238" s="9" customFormat="1" ht="13.7" customHeight="1"/>
    <row r="5" spans="1:238" s="4" customFormat="1" ht="13.7" customHeight="1">
      <c r="A5" s="2" t="s">
        <v>877</v>
      </c>
      <c r="C5" s="3"/>
      <c r="D5" s="3"/>
      <c r="E5" s="3"/>
      <c r="F5" s="3"/>
      <c r="G5" s="5"/>
      <c r="H5" s="6"/>
      <c r="I5" s="5"/>
      <c r="J5" s="6"/>
      <c r="K5" s="5"/>
      <c r="L5" s="5"/>
      <c r="M5" s="5"/>
      <c r="N5" s="5"/>
      <c r="O5" s="5"/>
      <c r="P5" s="5"/>
      <c r="Q5" s="5"/>
      <c r="U5" s="6"/>
      <c r="V5" s="6"/>
      <c r="W5" s="5"/>
      <c r="X5" s="5"/>
      <c r="Y5" s="5"/>
      <c r="Z5" s="5"/>
      <c r="AA5" s="5"/>
    </row>
    <row r="6" spans="1:238" s="158" customFormat="1" ht="13.7" customHeight="1">
      <c r="A6" s="92"/>
      <c r="C6" s="163"/>
      <c r="D6" s="163"/>
      <c r="E6" s="163"/>
      <c r="F6" s="163"/>
      <c r="G6" s="164"/>
      <c r="H6" s="165"/>
      <c r="I6" s="164"/>
      <c r="J6" s="165"/>
      <c r="K6" s="164"/>
      <c r="L6" s="164"/>
      <c r="M6" s="164"/>
      <c r="N6" s="164"/>
      <c r="O6" s="164"/>
      <c r="P6" s="164"/>
      <c r="Q6" s="164"/>
      <c r="U6" s="165"/>
      <c r="V6" s="165"/>
      <c r="W6" s="164"/>
      <c r="X6" s="164"/>
      <c r="Y6" s="164"/>
      <c r="Z6" s="164"/>
      <c r="AA6" s="164"/>
    </row>
    <row r="7" spans="1:238" ht="13.7" customHeight="1">
      <c r="A7" s="92" t="s">
        <v>878</v>
      </c>
      <c r="C7" s="117"/>
      <c r="D7" s="21"/>
    </row>
    <row r="8" spans="1:238" ht="13.7" customHeight="1">
      <c r="A8" s="168"/>
      <c r="B8" s="159"/>
      <c r="C8" s="117"/>
      <c r="D8" s="21"/>
    </row>
    <row r="9" spans="1:238" ht="13.7" customHeight="1">
      <c r="A9" s="168"/>
      <c r="B9" s="159"/>
      <c r="C9" s="117"/>
      <c r="D9" s="21"/>
    </row>
    <row r="10" spans="1:238" ht="13.7" customHeight="1">
      <c r="A10" s="169"/>
    </row>
    <row r="11" spans="1:238" ht="13.7" customHeight="1">
      <c r="A11" s="170"/>
      <c r="Q11" s="177" t="s">
        <v>879</v>
      </c>
      <c r="R11" s="177"/>
      <c r="S11" s="177"/>
      <c r="T11" s="178">
        <v>1.1728976604532973E-2</v>
      </c>
      <c r="U11" s="177"/>
      <c r="V11" s="177"/>
      <c r="W11" s="177"/>
      <c r="X11" s="177"/>
      <c r="Y11" s="177"/>
      <c r="Z11" s="177"/>
      <c r="AA11" s="177"/>
      <c r="AB11" s="177"/>
      <c r="AC11" s="177"/>
      <c r="AD11" s="177"/>
      <c r="AE11" s="177"/>
      <c r="AF11" s="177"/>
      <c r="AG11" s="177"/>
      <c r="AH11" s="177"/>
      <c r="AI11" s="177" t="s">
        <v>880</v>
      </c>
      <c r="AJ11" s="177"/>
      <c r="AK11" s="177"/>
      <c r="AL11" s="178">
        <v>5.32861074344351E-3</v>
      </c>
      <c r="AM11" s="177"/>
      <c r="AN11" s="177"/>
      <c r="AO11" s="177"/>
      <c r="AP11" s="177"/>
      <c r="AQ11" s="177"/>
      <c r="AR11" s="177"/>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t="s">
        <v>880</v>
      </c>
      <c r="BT11" s="177"/>
      <c r="BU11" s="177"/>
      <c r="BV11" s="178">
        <v>2.7019392886476423E-2</v>
      </c>
      <c r="BW11" s="177"/>
      <c r="BX11" s="177"/>
      <c r="BY11" s="177"/>
      <c r="BZ11" s="177"/>
      <c r="CA11" s="177"/>
      <c r="CB11" s="177"/>
      <c r="CC11" s="177"/>
      <c r="CD11" s="177"/>
      <c r="CE11" s="177"/>
      <c r="CF11" s="177"/>
      <c r="CG11" s="177"/>
      <c r="CH11" s="177"/>
      <c r="CI11" s="177"/>
      <c r="CJ11" s="177"/>
      <c r="CK11" s="177"/>
      <c r="CL11" s="177"/>
      <c r="CM11" s="177"/>
      <c r="CN11" s="177"/>
      <c r="CO11" s="177"/>
      <c r="CP11" s="177"/>
      <c r="CQ11" s="177"/>
      <c r="CR11" s="177"/>
      <c r="CS11" s="177"/>
      <c r="CT11" s="177"/>
      <c r="CU11" s="177"/>
      <c r="CV11" s="177"/>
      <c r="CW11" s="177"/>
      <c r="CX11" s="177"/>
      <c r="CY11" s="177"/>
      <c r="CZ11" s="177"/>
      <c r="DA11" s="177"/>
      <c r="DB11" s="177"/>
      <c r="DC11" s="177"/>
      <c r="DD11" s="177"/>
      <c r="DE11" s="177"/>
      <c r="DF11" s="177"/>
      <c r="DG11" s="177"/>
      <c r="DH11" s="177"/>
      <c r="DI11" s="177"/>
      <c r="DJ11" s="177"/>
      <c r="DK11" s="177"/>
      <c r="DL11" s="177"/>
      <c r="DM11" s="177"/>
      <c r="DN11" s="177"/>
      <c r="DO11" s="177"/>
      <c r="DP11" s="177"/>
      <c r="DQ11" s="177"/>
      <c r="DR11" s="177"/>
      <c r="DS11" s="177"/>
      <c r="DT11" s="177"/>
      <c r="DU11" s="177" t="s">
        <v>880</v>
      </c>
      <c r="DV11" s="177"/>
      <c r="DW11" s="177"/>
      <c r="DX11" s="178">
        <v>1.790931001350797E-3</v>
      </c>
      <c r="DY11" s="177"/>
      <c r="DZ11" s="177"/>
      <c r="EA11" s="177"/>
      <c r="EB11" s="177"/>
      <c r="EC11" s="177"/>
      <c r="ED11" s="177"/>
      <c r="EE11" s="177"/>
      <c r="EF11" s="177"/>
      <c r="EG11" s="177"/>
      <c r="EH11" s="177"/>
      <c r="EI11" s="177"/>
      <c r="EJ11" s="177"/>
      <c r="EK11" s="177"/>
      <c r="EL11" s="177"/>
      <c r="EM11" s="177"/>
      <c r="ET11" s="177"/>
      <c r="EU11" s="177"/>
      <c r="EV11" s="177"/>
      <c r="EW11" s="177"/>
      <c r="EX11" s="177"/>
      <c r="EY11" s="177"/>
      <c r="EZ11" s="177"/>
      <c r="FA11" s="177"/>
      <c r="FB11" s="177"/>
      <c r="FC11" s="177"/>
      <c r="FD11" s="177"/>
      <c r="FE11" s="177"/>
      <c r="FF11" s="177"/>
      <c r="FG11" s="177"/>
      <c r="FH11" s="177"/>
      <c r="FI11" s="177"/>
      <c r="FJ11" s="177"/>
      <c r="FK11" s="177"/>
      <c r="FL11" s="177"/>
      <c r="FM11" s="177"/>
      <c r="FN11" s="177"/>
      <c r="FO11" s="177"/>
      <c r="FP11" s="177"/>
      <c r="FQ11" s="177"/>
      <c r="FR11" s="177"/>
      <c r="FS11" s="177"/>
      <c r="FT11" s="177"/>
      <c r="FU11" s="177"/>
      <c r="FV11" s="177"/>
      <c r="FW11" s="177"/>
      <c r="FX11" s="177"/>
      <c r="FY11" s="177"/>
      <c r="FZ11" s="177"/>
      <c r="GA11" s="177"/>
      <c r="GB11" s="177"/>
      <c r="GC11" s="177"/>
      <c r="GD11" s="177"/>
      <c r="GE11" s="177"/>
      <c r="GF11" s="177"/>
      <c r="GG11" s="177"/>
      <c r="GH11" s="177"/>
      <c r="GI11" s="177"/>
      <c r="GJ11" s="177"/>
      <c r="GK11" s="177"/>
      <c r="GL11" s="177"/>
      <c r="GM11" s="177"/>
      <c r="GN11" s="177"/>
      <c r="GO11" s="177"/>
      <c r="GP11" s="177"/>
      <c r="GQ11" s="177"/>
      <c r="GR11" s="177"/>
      <c r="GS11" s="177"/>
      <c r="GT11" s="177"/>
      <c r="GU11" s="177"/>
      <c r="GV11" s="177"/>
      <c r="GW11" s="177"/>
      <c r="GX11" s="177"/>
      <c r="GY11" s="177"/>
      <c r="GZ11" s="177"/>
      <c r="HA11" s="177"/>
      <c r="HB11" s="177"/>
      <c r="HC11" s="177"/>
      <c r="HD11" s="177"/>
      <c r="HE11" s="177"/>
      <c r="HF11" s="177"/>
      <c r="HG11" s="177"/>
      <c r="HH11" s="177"/>
      <c r="HI11" s="177" t="s">
        <v>881</v>
      </c>
      <c r="HJ11" s="177"/>
      <c r="HK11" s="177"/>
      <c r="HL11" s="178">
        <v>1.0360401138638261E-2</v>
      </c>
      <c r="HM11" s="177"/>
      <c r="HN11" s="177"/>
      <c r="HO11" s="177"/>
      <c r="HP11" s="177"/>
      <c r="HQ11" s="177"/>
      <c r="HR11" s="177"/>
      <c r="HS11" s="177"/>
      <c r="HT11" s="177"/>
      <c r="HU11" s="177"/>
      <c r="HV11" s="177"/>
      <c r="HW11" s="177"/>
      <c r="HX11" s="177"/>
      <c r="HY11" s="177"/>
      <c r="HZ11" s="177"/>
      <c r="IA11" s="177"/>
      <c r="IB11" s="177"/>
      <c r="IC11" s="177"/>
      <c r="ID11" s="177"/>
    </row>
    <row r="12" spans="1:238" ht="13.7" customHeight="1">
      <c r="A12" s="62"/>
    </row>
    <row r="13" spans="1:238" ht="13.7" customHeight="1">
      <c r="A13" s="62"/>
    </row>
    <row r="14" spans="1:238" ht="13.7" customHeight="1">
      <c r="A14" s="11" t="s">
        <v>882</v>
      </c>
      <c r="B14" s="181">
        <v>0</v>
      </c>
    </row>
    <row r="15" spans="1:238" ht="13.7" customHeight="1">
      <c r="A15" s="62"/>
    </row>
    <row r="16" spans="1:238" s="252" customFormat="1" ht="13.7" customHeight="1">
      <c r="A16" s="249" t="s">
        <v>286</v>
      </c>
      <c r="B16" s="249" t="s">
        <v>287</v>
      </c>
      <c r="C16" s="250" t="s">
        <v>288</v>
      </c>
      <c r="D16" s="250" t="s">
        <v>289</v>
      </c>
      <c r="E16" s="250" t="s">
        <v>290</v>
      </c>
      <c r="F16" s="250" t="s">
        <v>291</v>
      </c>
      <c r="G16" s="250" t="s">
        <v>292</v>
      </c>
      <c r="H16" s="250" t="s">
        <v>293</v>
      </c>
      <c r="I16" s="250" t="s">
        <v>294</v>
      </c>
      <c r="J16" s="250" t="s">
        <v>295</v>
      </c>
      <c r="K16" s="250" t="s">
        <v>296</v>
      </c>
      <c r="L16" s="250" t="s">
        <v>297</v>
      </c>
      <c r="M16" s="250" t="s">
        <v>298</v>
      </c>
      <c r="N16" s="250" t="s">
        <v>299</v>
      </c>
      <c r="O16" s="250" t="s">
        <v>300</v>
      </c>
      <c r="P16" s="250" t="s">
        <v>301</v>
      </c>
      <c r="Q16" s="250" t="s">
        <v>302</v>
      </c>
      <c r="R16" s="250" t="s">
        <v>303</v>
      </c>
      <c r="S16" s="250" t="s">
        <v>304</v>
      </c>
      <c r="T16" s="328" t="s">
        <v>883</v>
      </c>
      <c r="U16" s="250" t="s">
        <v>305</v>
      </c>
      <c r="V16" s="250" t="s">
        <v>306</v>
      </c>
      <c r="W16" s="250" t="s">
        <v>307</v>
      </c>
      <c r="X16" s="250" t="s">
        <v>308</v>
      </c>
      <c r="Y16" s="250" t="s">
        <v>309</v>
      </c>
      <c r="Z16" s="250" t="s">
        <v>310</v>
      </c>
      <c r="AA16" s="250" t="s">
        <v>311</v>
      </c>
      <c r="AB16" s="250" t="s">
        <v>312</v>
      </c>
      <c r="AC16" s="250" t="s">
        <v>313</v>
      </c>
      <c r="AD16" s="250" t="s">
        <v>314</v>
      </c>
      <c r="AE16" s="250" t="s">
        <v>315</v>
      </c>
      <c r="AF16" s="250" t="s">
        <v>316</v>
      </c>
      <c r="AG16" s="250" t="s">
        <v>317</v>
      </c>
      <c r="AH16" s="250" t="s">
        <v>318</v>
      </c>
      <c r="AI16" s="250" t="s">
        <v>319</v>
      </c>
      <c r="AJ16" s="250" t="s">
        <v>320</v>
      </c>
      <c r="AK16" s="250" t="s">
        <v>321</v>
      </c>
      <c r="AL16" s="250" t="s">
        <v>884</v>
      </c>
      <c r="AM16" s="250" t="s">
        <v>322</v>
      </c>
      <c r="AN16" s="250" t="s">
        <v>323</v>
      </c>
      <c r="AO16" s="250" t="s">
        <v>324</v>
      </c>
      <c r="AP16" s="250" t="s">
        <v>325</v>
      </c>
      <c r="AQ16" s="250" t="s">
        <v>326</v>
      </c>
      <c r="AR16" s="250" t="s">
        <v>327</v>
      </c>
      <c r="AS16" s="250" t="s">
        <v>328</v>
      </c>
      <c r="AT16" s="250" t="s">
        <v>329</v>
      </c>
      <c r="AU16" s="250" t="s">
        <v>330</v>
      </c>
      <c r="AV16" s="250" t="s">
        <v>331</v>
      </c>
      <c r="AW16" s="250" t="s">
        <v>332</v>
      </c>
      <c r="AX16" s="250" t="s">
        <v>333</v>
      </c>
      <c r="AY16" s="250" t="s">
        <v>334</v>
      </c>
      <c r="AZ16" s="250" t="s">
        <v>335</v>
      </c>
      <c r="BA16" s="250" t="s">
        <v>336</v>
      </c>
      <c r="BB16" s="250" t="s">
        <v>337</v>
      </c>
      <c r="BC16" s="250" t="s">
        <v>338</v>
      </c>
      <c r="BD16" s="250" t="s">
        <v>885</v>
      </c>
      <c r="BE16" s="250" t="s">
        <v>339</v>
      </c>
      <c r="BF16" s="250" t="s">
        <v>340</v>
      </c>
      <c r="BG16" s="250" t="s">
        <v>341</v>
      </c>
      <c r="BH16" s="250" t="s">
        <v>342</v>
      </c>
      <c r="BI16" s="250" t="s">
        <v>343</v>
      </c>
      <c r="BJ16" s="250" t="s">
        <v>344</v>
      </c>
      <c r="BK16" s="250" t="s">
        <v>345</v>
      </c>
      <c r="BL16" s="250" t="s">
        <v>346</v>
      </c>
      <c r="BM16" s="250" t="s">
        <v>347</v>
      </c>
      <c r="BN16" s="250" t="s">
        <v>348</v>
      </c>
      <c r="BO16" s="250" t="s">
        <v>349</v>
      </c>
      <c r="BP16" s="250" t="s">
        <v>350</v>
      </c>
      <c r="BQ16" s="250" t="s">
        <v>351</v>
      </c>
      <c r="BR16" s="250" t="s">
        <v>352</v>
      </c>
      <c r="BS16" s="250" t="s">
        <v>353</v>
      </c>
      <c r="BT16" s="250" t="s">
        <v>354</v>
      </c>
      <c r="BU16" s="250" t="s">
        <v>355</v>
      </c>
      <c r="BV16" s="250" t="s">
        <v>886</v>
      </c>
      <c r="BW16" s="250" t="s">
        <v>356</v>
      </c>
      <c r="BX16" s="250" t="s">
        <v>357</v>
      </c>
      <c r="BY16" s="250" t="s">
        <v>358</v>
      </c>
      <c r="BZ16" s="250" t="s">
        <v>359</v>
      </c>
      <c r="CA16" s="250" t="s">
        <v>360</v>
      </c>
      <c r="CB16" s="250" t="s">
        <v>361</v>
      </c>
      <c r="CC16" s="250" t="s">
        <v>362</v>
      </c>
      <c r="CD16" s="250" t="s">
        <v>363</v>
      </c>
      <c r="CE16" s="250" t="s">
        <v>364</v>
      </c>
      <c r="CF16" s="250" t="s">
        <v>365</v>
      </c>
      <c r="CG16" s="250" t="s">
        <v>366</v>
      </c>
      <c r="CH16" s="250" t="s">
        <v>367</v>
      </c>
      <c r="CI16" s="250" t="s">
        <v>368</v>
      </c>
      <c r="CJ16" s="250" t="s">
        <v>369</v>
      </c>
      <c r="CK16" s="250" t="s">
        <v>370</v>
      </c>
      <c r="CL16" s="250" t="s">
        <v>371</v>
      </c>
      <c r="CM16" s="250" t="s">
        <v>372</v>
      </c>
      <c r="CN16" s="250" t="s">
        <v>887</v>
      </c>
      <c r="CO16" s="250" t="s">
        <v>373</v>
      </c>
      <c r="CP16" s="250" t="s">
        <v>374</v>
      </c>
      <c r="CQ16" s="250" t="s">
        <v>375</v>
      </c>
      <c r="CR16" s="250" t="s">
        <v>376</v>
      </c>
      <c r="CS16" s="250" t="s">
        <v>377</v>
      </c>
      <c r="CT16" s="250" t="s">
        <v>378</v>
      </c>
      <c r="CU16" s="250" t="s">
        <v>379</v>
      </c>
      <c r="CV16" s="250" t="s">
        <v>380</v>
      </c>
      <c r="CW16" s="250" t="s">
        <v>381</v>
      </c>
      <c r="CX16" s="250" t="s">
        <v>382</v>
      </c>
      <c r="CY16" s="250" t="s">
        <v>383</v>
      </c>
      <c r="CZ16" s="250" t="s">
        <v>384</v>
      </c>
      <c r="DA16" s="250" t="s">
        <v>385</v>
      </c>
      <c r="DB16" s="250" t="s">
        <v>386</v>
      </c>
      <c r="DC16" s="250" t="s">
        <v>387</v>
      </c>
      <c r="DD16" s="250" t="s">
        <v>388</v>
      </c>
      <c r="DE16" s="250" t="s">
        <v>389</v>
      </c>
      <c r="DF16" s="250" t="s">
        <v>888</v>
      </c>
      <c r="DG16" s="250" t="s">
        <v>390</v>
      </c>
      <c r="DH16" s="250" t="s">
        <v>391</v>
      </c>
      <c r="DI16" s="250" t="s">
        <v>392</v>
      </c>
      <c r="DJ16" s="250" t="s">
        <v>393</v>
      </c>
      <c r="DK16" s="250" t="s">
        <v>394</v>
      </c>
      <c r="DL16" s="250" t="s">
        <v>395</v>
      </c>
      <c r="DM16" s="250" t="s">
        <v>396</v>
      </c>
      <c r="DN16" s="250" t="s">
        <v>397</v>
      </c>
      <c r="DO16" s="250" t="s">
        <v>398</v>
      </c>
      <c r="DP16" s="250" t="s">
        <v>399</v>
      </c>
      <c r="DQ16" s="250" t="s">
        <v>400</v>
      </c>
      <c r="DR16" s="250" t="s">
        <v>401</v>
      </c>
      <c r="DS16" s="250" t="s">
        <v>402</v>
      </c>
      <c r="DT16" s="250" t="s">
        <v>403</v>
      </c>
      <c r="DU16" s="250" t="s">
        <v>404</v>
      </c>
      <c r="DV16" s="250" t="s">
        <v>405</v>
      </c>
      <c r="DW16" s="250" t="s">
        <v>406</v>
      </c>
      <c r="DX16" s="250" t="s">
        <v>889</v>
      </c>
      <c r="DY16" s="250" t="s">
        <v>407</v>
      </c>
      <c r="DZ16" s="250" t="s">
        <v>408</v>
      </c>
      <c r="EA16" s="250" t="s">
        <v>409</v>
      </c>
      <c r="EB16" s="250" t="s">
        <v>410</v>
      </c>
      <c r="EC16" s="250" t="s">
        <v>411</v>
      </c>
      <c r="ED16" s="250" t="s">
        <v>412</v>
      </c>
      <c r="EE16" s="250" t="s">
        <v>413</v>
      </c>
      <c r="EF16" s="250" t="s">
        <v>414</v>
      </c>
      <c r="EG16" s="250" t="s">
        <v>415</v>
      </c>
      <c r="EH16" s="250" t="s">
        <v>416</v>
      </c>
      <c r="EI16" s="250" t="s">
        <v>417</v>
      </c>
      <c r="EJ16" s="250" t="s">
        <v>418</v>
      </c>
      <c r="EK16" s="250" t="s">
        <v>419</v>
      </c>
      <c r="EL16" s="250" t="s">
        <v>420</v>
      </c>
      <c r="EM16" s="250" t="s">
        <v>421</v>
      </c>
      <c r="EN16" s="250" t="s">
        <v>422</v>
      </c>
      <c r="EO16" s="250" t="s">
        <v>423</v>
      </c>
      <c r="EP16" s="250" t="s">
        <v>424</v>
      </c>
      <c r="EQ16" s="250" t="s">
        <v>425</v>
      </c>
      <c r="ER16" s="250" t="s">
        <v>890</v>
      </c>
      <c r="ES16" s="250" t="s">
        <v>426</v>
      </c>
      <c r="ET16" s="250" t="s">
        <v>427</v>
      </c>
      <c r="EU16" s="250" t="s">
        <v>428</v>
      </c>
      <c r="EV16" s="250" t="s">
        <v>429</v>
      </c>
      <c r="EW16" s="250" t="s">
        <v>430</v>
      </c>
      <c r="EX16" s="250" t="s">
        <v>431</v>
      </c>
      <c r="EY16" s="250" t="s">
        <v>432</v>
      </c>
      <c r="EZ16" s="250" t="s">
        <v>433</v>
      </c>
      <c r="FA16" s="250" t="s">
        <v>434</v>
      </c>
      <c r="FB16" s="250" t="s">
        <v>435</v>
      </c>
      <c r="FC16" s="250" t="s">
        <v>436</v>
      </c>
      <c r="FD16" s="250" t="s">
        <v>437</v>
      </c>
      <c r="FE16" s="250" t="s">
        <v>438</v>
      </c>
      <c r="FF16" s="250" t="s">
        <v>439</v>
      </c>
      <c r="FG16" s="250" t="s">
        <v>440</v>
      </c>
      <c r="FH16" s="250" t="s">
        <v>441</v>
      </c>
      <c r="FI16" s="250" t="s">
        <v>442</v>
      </c>
      <c r="FJ16" s="250" t="s">
        <v>891</v>
      </c>
      <c r="FK16" s="250" t="s">
        <v>443</v>
      </c>
      <c r="FL16" s="250" t="s">
        <v>444</v>
      </c>
      <c r="FM16" s="250" t="s">
        <v>445</v>
      </c>
      <c r="FN16" s="250" t="s">
        <v>446</v>
      </c>
      <c r="FO16" s="250" t="s">
        <v>447</v>
      </c>
      <c r="FP16" s="250" t="s">
        <v>448</v>
      </c>
      <c r="FQ16" s="250" t="s">
        <v>449</v>
      </c>
      <c r="FR16" s="250" t="s">
        <v>450</v>
      </c>
      <c r="FS16" s="250" t="s">
        <v>451</v>
      </c>
      <c r="FT16" s="250" t="s">
        <v>452</v>
      </c>
      <c r="FU16" s="250" t="s">
        <v>453</v>
      </c>
      <c r="FV16" s="250" t="s">
        <v>454</v>
      </c>
      <c r="FW16" s="250" t="s">
        <v>455</v>
      </c>
      <c r="FX16" s="250" t="s">
        <v>456</v>
      </c>
      <c r="FY16" s="250" t="s">
        <v>457</v>
      </c>
      <c r="FZ16" s="250" t="s">
        <v>458</v>
      </c>
      <c r="GA16" s="250" t="s">
        <v>459</v>
      </c>
      <c r="GB16" s="250" t="s">
        <v>892</v>
      </c>
      <c r="GC16" s="250" t="s">
        <v>460</v>
      </c>
      <c r="GD16" s="250" t="s">
        <v>461</v>
      </c>
      <c r="GE16" s="250" t="s">
        <v>462</v>
      </c>
      <c r="GF16" s="250" t="s">
        <v>463</v>
      </c>
      <c r="GG16" s="250" t="s">
        <v>464</v>
      </c>
      <c r="GH16" s="250" t="s">
        <v>465</v>
      </c>
      <c r="GI16" s="250" t="s">
        <v>466</v>
      </c>
      <c r="GJ16" s="250" t="s">
        <v>467</v>
      </c>
      <c r="GK16" s="250" t="s">
        <v>468</v>
      </c>
      <c r="GL16" s="250" t="s">
        <v>469</v>
      </c>
      <c r="GM16" s="250" t="s">
        <v>470</v>
      </c>
      <c r="GN16" s="250" t="s">
        <v>471</v>
      </c>
      <c r="GO16" s="250" t="s">
        <v>472</v>
      </c>
      <c r="GP16" s="250" t="s">
        <v>473</v>
      </c>
      <c r="GQ16" s="250" t="s">
        <v>474</v>
      </c>
      <c r="GR16" s="250" t="s">
        <v>475</v>
      </c>
      <c r="GS16" s="250" t="s">
        <v>476</v>
      </c>
      <c r="GT16" s="250" t="s">
        <v>893</v>
      </c>
      <c r="GU16" s="250" t="s">
        <v>477</v>
      </c>
      <c r="GV16" s="250" t="s">
        <v>478</v>
      </c>
      <c r="GW16" s="250" t="s">
        <v>479</v>
      </c>
      <c r="GX16" s="250" t="s">
        <v>480</v>
      </c>
      <c r="GY16" s="250" t="s">
        <v>481</v>
      </c>
      <c r="GZ16" s="250" t="s">
        <v>482</v>
      </c>
      <c r="HA16" s="250" t="s">
        <v>483</v>
      </c>
      <c r="HB16" s="250" t="s">
        <v>484</v>
      </c>
      <c r="HC16" s="250" t="s">
        <v>485</v>
      </c>
      <c r="HD16" s="250" t="s">
        <v>486</v>
      </c>
      <c r="HE16" s="250" t="s">
        <v>487</v>
      </c>
      <c r="HF16" s="250" t="s">
        <v>488</v>
      </c>
      <c r="HG16" s="250" t="s">
        <v>489</v>
      </c>
      <c r="HH16" s="250" t="s">
        <v>490</v>
      </c>
      <c r="HI16" s="250" t="s">
        <v>491</v>
      </c>
      <c r="HJ16" s="250" t="s">
        <v>492</v>
      </c>
      <c r="HK16" s="250" t="s">
        <v>493</v>
      </c>
      <c r="HL16" s="250" t="s">
        <v>894</v>
      </c>
      <c r="HM16" s="250" t="s">
        <v>494</v>
      </c>
      <c r="HN16" s="250" t="s">
        <v>495</v>
      </c>
      <c r="HO16" s="250" t="s">
        <v>496</v>
      </c>
      <c r="HP16" s="250" t="s">
        <v>497</v>
      </c>
      <c r="HQ16" s="250" t="s">
        <v>498</v>
      </c>
      <c r="HR16" s="250" t="s">
        <v>499</v>
      </c>
      <c r="HS16" s="250" t="s">
        <v>500</v>
      </c>
      <c r="HT16" s="250" t="s">
        <v>501</v>
      </c>
      <c r="HU16" s="250" t="s">
        <v>502</v>
      </c>
      <c r="HV16" s="250" t="s">
        <v>503</v>
      </c>
      <c r="HW16" s="250" t="s">
        <v>504</v>
      </c>
      <c r="HX16" s="250" t="s">
        <v>505</v>
      </c>
      <c r="HY16" s="250" t="s">
        <v>506</v>
      </c>
      <c r="HZ16" s="250" t="s">
        <v>507</v>
      </c>
      <c r="IA16" s="250" t="s">
        <v>508</v>
      </c>
      <c r="IB16" s="250" t="s">
        <v>509</v>
      </c>
      <c r="IC16" s="250" t="s">
        <v>510</v>
      </c>
      <c r="ID16" s="250" t="s">
        <v>895</v>
      </c>
    </row>
    <row r="17" spans="1:239" s="146" customFormat="1" ht="13.7" customHeight="1">
      <c r="A17" s="143" t="s">
        <v>515</v>
      </c>
      <c r="B17" s="143" t="s">
        <v>516</v>
      </c>
      <c r="C17" s="144">
        <f t="shared" ref="C17:S20" si="0">VLOOKUP($A17, Table_Data_EBRIN, MATCH(C$16, Header_Table_Data_EBRIN, 0), FALSE)</f>
        <v>154510</v>
      </c>
      <c r="D17" s="144">
        <f t="shared" si="0"/>
        <v>156360</v>
      </c>
      <c r="E17" s="144">
        <f t="shared" si="0"/>
        <v>158455</v>
      </c>
      <c r="F17" s="144">
        <f t="shared" si="0"/>
        <v>161092</v>
      </c>
      <c r="G17" s="144">
        <f t="shared" si="0"/>
        <v>164900</v>
      </c>
      <c r="H17" s="144">
        <f t="shared" si="0"/>
        <v>168937</v>
      </c>
      <c r="I17" s="144">
        <f t="shared" si="0"/>
        <v>173186</v>
      </c>
      <c r="J17" s="144">
        <f t="shared" si="0"/>
        <v>177255</v>
      </c>
      <c r="K17" s="144">
        <f t="shared" si="0"/>
        <v>178710</v>
      </c>
      <c r="L17" s="144">
        <f t="shared" si="0"/>
        <v>181851</v>
      </c>
      <c r="M17" s="144">
        <f t="shared" si="0"/>
        <v>184961.5</v>
      </c>
      <c r="N17" s="144">
        <f t="shared" si="0"/>
        <v>191482</v>
      </c>
      <c r="O17" s="144">
        <f t="shared" si="0"/>
        <v>197537</v>
      </c>
      <c r="P17" s="144">
        <f t="shared" si="0"/>
        <v>203157</v>
      </c>
      <c r="Q17" s="144">
        <f t="shared" si="0"/>
        <v>207237.00000000399</v>
      </c>
      <c r="R17" s="144">
        <f t="shared" si="0"/>
        <v>212505</v>
      </c>
      <c r="S17" s="144">
        <f t="shared" si="0"/>
        <v>216948</v>
      </c>
      <c r="T17" s="167">
        <v>221429</v>
      </c>
      <c r="U17" s="144">
        <f t="shared" ref="U17:AK20" si="1">VLOOKUP($A17, Table_Data_EBRIN, MATCH(U$16, Header_Table_Data_EBRIN, 0), FALSE)</f>
        <v>1546194.5</v>
      </c>
      <c r="V17" s="144">
        <f t="shared" si="1"/>
        <v>1561613.99999999</v>
      </c>
      <c r="W17" s="144">
        <f t="shared" si="1"/>
        <v>1574317.99999999</v>
      </c>
      <c r="X17" s="144">
        <f t="shared" si="1"/>
        <v>1586138</v>
      </c>
      <c r="Y17" s="144">
        <f t="shared" si="1"/>
        <v>1596897.5</v>
      </c>
      <c r="Z17" s="144">
        <f t="shared" si="1"/>
        <v>1608734.5</v>
      </c>
      <c r="AA17" s="144">
        <f t="shared" si="1"/>
        <v>1621658.49999999</v>
      </c>
      <c r="AB17" s="144">
        <f t="shared" si="1"/>
        <v>1635052.5</v>
      </c>
      <c r="AC17" s="144">
        <f t="shared" si="1"/>
        <v>1651159.5</v>
      </c>
      <c r="AD17" s="144">
        <f t="shared" si="1"/>
        <v>1669558.5</v>
      </c>
      <c r="AE17" s="144">
        <f t="shared" si="1"/>
        <v>1688281.7206584599</v>
      </c>
      <c r="AF17" s="144">
        <f t="shared" si="1"/>
        <v>1706913.49999999</v>
      </c>
      <c r="AG17" s="144">
        <f t="shared" si="1"/>
        <v>1727294</v>
      </c>
      <c r="AH17" s="144">
        <f t="shared" si="1"/>
        <v>1746274</v>
      </c>
      <c r="AI17" s="144">
        <f t="shared" si="1"/>
        <v>1762079</v>
      </c>
      <c r="AJ17" s="144">
        <f t="shared" si="1"/>
        <v>1774204</v>
      </c>
      <c r="AK17" s="144">
        <f t="shared" si="1"/>
        <v>1783052</v>
      </c>
      <c r="AL17" s="167">
        <v>1792704</v>
      </c>
      <c r="AM17" s="144">
        <f t="shared" ref="AM17:BB20" si="2">VLOOKUP($A17, Table_Data_EBRIN, MATCH(AM$16, Header_Table_Data_EBRIN, 0), FALSE)</f>
        <v>294971.65817282</v>
      </c>
      <c r="AN17" s="144">
        <f t="shared" si="2"/>
        <v>299951.29418557999</v>
      </c>
      <c r="AO17" s="144">
        <f t="shared" si="2"/>
        <v>303151.80398685997</v>
      </c>
      <c r="AP17" s="144">
        <f t="shared" si="2"/>
        <v>305984.98426971998</v>
      </c>
      <c r="AQ17" s="144">
        <f t="shared" si="2"/>
        <v>310174.96273257001</v>
      </c>
      <c r="AR17" s="144">
        <f t="shared" si="2"/>
        <v>314439.61807552999</v>
      </c>
      <c r="AS17" s="144">
        <f t="shared" si="2"/>
        <v>318643.22002328001</v>
      </c>
      <c r="AT17" s="144">
        <f t="shared" si="2"/>
        <v>322735.81579785002</v>
      </c>
      <c r="AU17" s="144">
        <f t="shared" si="2"/>
        <v>325917.15180559002</v>
      </c>
      <c r="AV17" s="144">
        <f t="shared" si="2"/>
        <v>327907.17472150002</v>
      </c>
      <c r="AW17" s="144">
        <f t="shared" si="2"/>
        <v>336070</v>
      </c>
      <c r="AX17" s="144">
        <f t="shared" si="2"/>
        <v>339400</v>
      </c>
      <c r="AY17" s="144">
        <f t="shared" si="2"/>
        <v>342668.99999999994</v>
      </c>
      <c r="AZ17" s="144">
        <f t="shared" si="2"/>
        <v>345009</v>
      </c>
      <c r="BA17" s="144">
        <f t="shared" si="2"/>
        <v>346468</v>
      </c>
      <c r="BB17" s="144">
        <f t="shared" si="2"/>
        <v>346855</v>
      </c>
      <c r="BC17" s="167">
        <v>348303</v>
      </c>
      <c r="BD17" s="144">
        <f>BC17*(POWER($BC17/$AY17,1/4))</f>
        <v>349725.91460937145</v>
      </c>
      <c r="BE17" s="144">
        <f t="shared" ref="BE17:BT20" si="3">VLOOKUP($A17, Table_Data_EBRIN, MATCH(BE$16, Header_Table_Data_EBRIN, 0), FALSE)</f>
        <v>849548.29330194998</v>
      </c>
      <c r="BF17" s="144">
        <f t="shared" si="3"/>
        <v>859722.30529924994</v>
      </c>
      <c r="BG17" s="144">
        <f t="shared" si="3"/>
        <v>869654.53679640999</v>
      </c>
      <c r="BH17" s="144">
        <f t="shared" si="3"/>
        <v>878612.20779661997</v>
      </c>
      <c r="BI17" s="144">
        <f t="shared" si="3"/>
        <v>886064.29272154998</v>
      </c>
      <c r="BJ17" s="144">
        <f t="shared" si="3"/>
        <v>895088.26980019</v>
      </c>
      <c r="BK17" s="144">
        <f t="shared" si="3"/>
        <v>903746.68839344999</v>
      </c>
      <c r="BL17" s="144">
        <f t="shared" si="3"/>
        <v>919384.82389899995</v>
      </c>
      <c r="BM17" s="144">
        <f t="shared" si="3"/>
        <v>940028.5</v>
      </c>
      <c r="BN17" s="144">
        <f t="shared" si="3"/>
        <v>955832.5</v>
      </c>
      <c r="BO17" s="144">
        <f t="shared" si="3"/>
        <v>968354.5</v>
      </c>
      <c r="BP17" s="144">
        <f t="shared" si="3"/>
        <v>984229.5</v>
      </c>
      <c r="BQ17" s="144">
        <f t="shared" si="3"/>
        <v>1005561.9999999999</v>
      </c>
      <c r="BR17" s="144">
        <f t="shared" si="3"/>
        <v>1027585.5</v>
      </c>
      <c r="BS17" s="144">
        <f t="shared" si="3"/>
        <v>1049164.5</v>
      </c>
      <c r="BT17" s="144">
        <f t="shared" si="3"/>
        <v>1067349</v>
      </c>
      <c r="BU17" s="167">
        <v>1082918.5</v>
      </c>
      <c r="BV17" s="167">
        <v>1099873.0799767042</v>
      </c>
      <c r="BW17" s="144">
        <f t="shared" ref="BW17:CM20" si="4">VLOOKUP($A17, Table_Data_EBRIN, MATCH(BW$16, Header_Table_Data_EBRIN, 0), FALSE)</f>
        <v>1212063.56238094</v>
      </c>
      <c r="BX17" s="144">
        <f t="shared" si="4"/>
        <v>1236100.97666665</v>
      </c>
      <c r="BY17" s="144">
        <f t="shared" si="4"/>
        <v>1263762.9433333301</v>
      </c>
      <c r="BZ17" s="144">
        <f t="shared" si="4"/>
        <v>1287435.6833333101</v>
      </c>
      <c r="CA17" s="144">
        <f t="shared" si="4"/>
        <v>1307554.33333332</v>
      </c>
      <c r="CB17" s="144">
        <f t="shared" si="4"/>
        <v>1326563.49999999</v>
      </c>
      <c r="CC17" s="144">
        <f t="shared" si="4"/>
        <v>1343864.49999999</v>
      </c>
      <c r="CD17" s="144">
        <f t="shared" si="4"/>
        <v>1359711.49999999</v>
      </c>
      <c r="CE17" s="144">
        <f t="shared" si="4"/>
        <v>1376483</v>
      </c>
      <c r="CF17" s="144">
        <f t="shared" si="4"/>
        <v>1397191</v>
      </c>
      <c r="CG17" s="144">
        <f t="shared" si="4"/>
        <v>1421522</v>
      </c>
      <c r="CH17" s="144">
        <f t="shared" si="4"/>
        <v>1448247</v>
      </c>
      <c r="CI17" s="144">
        <f t="shared" si="4"/>
        <v>1473805</v>
      </c>
      <c r="CJ17" s="144">
        <f t="shared" si="4"/>
        <v>1496317</v>
      </c>
      <c r="CK17" s="144">
        <f t="shared" si="4"/>
        <v>1516198</v>
      </c>
      <c r="CL17" s="144">
        <f t="shared" si="4"/>
        <v>1535400</v>
      </c>
      <c r="CM17" s="144">
        <f t="shared" si="4"/>
        <v>1569750</v>
      </c>
      <c r="CN17" s="167">
        <v>1602119</v>
      </c>
      <c r="CO17" s="144">
        <f t="shared" ref="CO17:DE20" si="5">VLOOKUP($A17, Table_Data_EBRIN, MATCH(CO$16, Header_Table_Data_EBRIN, 0), FALSE)</f>
        <v>624130</v>
      </c>
      <c r="CP17" s="144">
        <f t="shared" si="5"/>
        <v>635123</v>
      </c>
      <c r="CQ17" s="144">
        <f t="shared" si="5"/>
        <v>647729</v>
      </c>
      <c r="CR17" s="144">
        <f t="shared" si="5"/>
        <v>663216</v>
      </c>
      <c r="CS17" s="144">
        <f t="shared" si="5"/>
        <v>676960</v>
      </c>
      <c r="CT17" s="144">
        <f t="shared" si="5"/>
        <v>688959</v>
      </c>
      <c r="CU17" s="144">
        <f t="shared" si="5"/>
        <v>699264</v>
      </c>
      <c r="CV17" s="144">
        <f t="shared" si="5"/>
        <v>710431</v>
      </c>
      <c r="CW17" s="144">
        <f t="shared" si="5"/>
        <v>721930</v>
      </c>
      <c r="CX17" s="144">
        <f t="shared" si="5"/>
        <v>728290.5</v>
      </c>
      <c r="CY17" s="144">
        <f t="shared" si="5"/>
        <v>739353.5</v>
      </c>
      <c r="CZ17" s="144">
        <f t="shared" si="5"/>
        <v>745501</v>
      </c>
      <c r="DA17" s="144">
        <f t="shared" si="5"/>
        <v>752141</v>
      </c>
      <c r="DB17" s="144">
        <f t="shared" si="5"/>
        <v>757726</v>
      </c>
      <c r="DC17" s="144">
        <f t="shared" si="5"/>
        <v>762303</v>
      </c>
      <c r="DD17" s="144">
        <f t="shared" si="5"/>
        <v>767583</v>
      </c>
      <c r="DE17" s="144">
        <f t="shared" si="5"/>
        <v>776533</v>
      </c>
      <c r="DF17" s="167">
        <v>786523</v>
      </c>
      <c r="DG17" s="144">
        <f t="shared" ref="DG17:DW20" si="6">VLOOKUP($A17, Table_Data_EBRIN, MATCH(DG$16, Header_Table_Data_EBRIN, 0), FALSE)</f>
        <v>799028</v>
      </c>
      <c r="DH17" s="144">
        <f t="shared" si="6"/>
        <v>805190</v>
      </c>
      <c r="DI17" s="144">
        <f t="shared" si="6"/>
        <v>814865</v>
      </c>
      <c r="DJ17" s="144">
        <f t="shared" si="6"/>
        <v>821578</v>
      </c>
      <c r="DK17" s="144">
        <f t="shared" si="6"/>
        <v>825215</v>
      </c>
      <c r="DL17" s="144">
        <f t="shared" si="6"/>
        <v>834417</v>
      </c>
      <c r="DM17" s="144">
        <f t="shared" si="6"/>
        <v>838385</v>
      </c>
      <c r="DN17" s="144">
        <f t="shared" si="6"/>
        <v>844244</v>
      </c>
      <c r="DO17" s="144">
        <f t="shared" si="6"/>
        <v>854231</v>
      </c>
      <c r="DP17" s="144">
        <f t="shared" si="6"/>
        <v>867001</v>
      </c>
      <c r="DQ17" s="144">
        <f t="shared" si="6"/>
        <v>879064.5</v>
      </c>
      <c r="DR17" s="144">
        <f t="shared" si="6"/>
        <v>891934.5</v>
      </c>
      <c r="DS17" s="144">
        <f t="shared" si="6"/>
        <v>905969.99999999988</v>
      </c>
      <c r="DT17" s="144">
        <f t="shared" si="6"/>
        <v>916470.5</v>
      </c>
      <c r="DU17" s="144">
        <f t="shared" si="6"/>
        <v>925966.00000000012</v>
      </c>
      <c r="DV17" s="144">
        <f t="shared" si="6"/>
        <v>935178.5</v>
      </c>
      <c r="DW17" s="144">
        <f t="shared" si="6"/>
        <v>945392.5</v>
      </c>
      <c r="DX17" s="167">
        <v>948224.5</v>
      </c>
      <c r="DY17" s="144">
        <f t="shared" ref="DY17:EO20" si="7">VLOOKUP($A17, Table_Data_EBRIN, MATCH(DY$16, Header_Table_Data_EBRIN, 0), FALSE)</f>
        <v>293175.49999997998</v>
      </c>
      <c r="DZ17" s="144">
        <f t="shared" si="7"/>
        <v>299118.49999998999</v>
      </c>
      <c r="EA17" s="144">
        <f t="shared" si="7"/>
        <v>302627.49999998999</v>
      </c>
      <c r="EB17" s="144">
        <f t="shared" si="7"/>
        <v>305242.99999997998</v>
      </c>
      <c r="EC17" s="144">
        <f t="shared" si="7"/>
        <v>309597.99999998999</v>
      </c>
      <c r="ED17" s="144">
        <f t="shared" si="7"/>
        <v>307191</v>
      </c>
      <c r="EE17" s="144">
        <f t="shared" si="7"/>
        <v>312839</v>
      </c>
      <c r="EF17" s="144">
        <f t="shared" si="7"/>
        <v>319591</v>
      </c>
      <c r="EG17" s="144">
        <f t="shared" si="7"/>
        <v>325927.00000000006</v>
      </c>
      <c r="EH17" s="144">
        <f t="shared" si="7"/>
        <v>332267</v>
      </c>
      <c r="EI17" s="144">
        <f t="shared" si="7"/>
        <v>339467</v>
      </c>
      <c r="EJ17" s="144">
        <f t="shared" si="7"/>
        <v>346887</v>
      </c>
      <c r="EK17" s="144">
        <f t="shared" si="7"/>
        <v>353729</v>
      </c>
      <c r="EL17" s="144">
        <f t="shared" si="7"/>
        <v>360430.99999999994</v>
      </c>
      <c r="EM17" s="144">
        <f t="shared" si="7"/>
        <v>366841.00000000012</v>
      </c>
      <c r="EN17" s="144">
        <f t="shared" si="7"/>
        <v>369331.49999999994</v>
      </c>
      <c r="EO17" s="144">
        <f t="shared" si="7"/>
        <v>374388</v>
      </c>
      <c r="EP17" s="144">
        <f t="shared" ref="EO17:EQ20" si="8">VLOOKUP($A17, Table_Data_EBRIN, MATCH(EP$16, Header_Table_Data_EBRIN, 0), FALSE)</f>
        <v>378889</v>
      </c>
      <c r="EQ17" s="144">
        <f t="shared" si="8"/>
        <v>383818</v>
      </c>
      <c r="ER17" s="175">
        <v>391908</v>
      </c>
      <c r="ES17" s="144">
        <f t="shared" ref="ES17:FH20" si="9">VLOOKUP($A17, Table_Data_EBRIN, MATCH(ES$16, Header_Table_Data_EBRIN, 0), FALSE)</f>
        <v>663966.35730240005</v>
      </c>
      <c r="ET17" s="144">
        <f t="shared" si="9"/>
        <v>675821.59009509999</v>
      </c>
      <c r="EU17" s="144">
        <f t="shared" si="9"/>
        <v>688356.43188220996</v>
      </c>
      <c r="EV17" s="144">
        <f t="shared" si="9"/>
        <v>701004.54183501995</v>
      </c>
      <c r="EW17" s="144">
        <f t="shared" si="9"/>
        <v>715219.69663429004</v>
      </c>
      <c r="EX17" s="144">
        <f t="shared" si="9"/>
        <v>731281.52706412005</v>
      </c>
      <c r="EY17" s="144">
        <f t="shared" si="9"/>
        <v>743561.51547831995</v>
      </c>
      <c r="EZ17" s="144">
        <f t="shared" si="9"/>
        <v>753913.41676781001</v>
      </c>
      <c r="FA17" s="144">
        <f t="shared" si="9"/>
        <v>765240.73900238005</v>
      </c>
      <c r="FB17" s="144">
        <f t="shared" si="9"/>
        <v>777161.00874875998</v>
      </c>
      <c r="FC17" s="144">
        <f t="shared" si="9"/>
        <v>799540</v>
      </c>
      <c r="FD17" s="144">
        <f t="shared" si="9"/>
        <v>816349</v>
      </c>
      <c r="FE17" s="144">
        <f t="shared" si="9"/>
        <v>835781</v>
      </c>
      <c r="FF17" s="144">
        <f t="shared" si="9"/>
        <v>853771</v>
      </c>
      <c r="FG17" s="144">
        <f t="shared" si="9"/>
        <v>863408</v>
      </c>
      <c r="FH17" s="144">
        <f t="shared" si="9"/>
        <v>877935</v>
      </c>
      <c r="FI17" s="167">
        <v>902215</v>
      </c>
      <c r="FJ17" s="144">
        <f>FI17*(POWER($FI17/$FE17,1/4))</f>
        <v>919632.75344918459</v>
      </c>
      <c r="FK17" s="144">
        <f t="shared" ref="FK17:FZ20" si="10">VLOOKUP($A17, Table_Data_EBRIN, MATCH(FK$16, Header_Table_Data_EBRIN, 0), FALSE)</f>
        <v>778839</v>
      </c>
      <c r="FL17" s="144">
        <f t="shared" si="10"/>
        <v>779426</v>
      </c>
      <c r="FM17" s="144">
        <f t="shared" si="10"/>
        <v>781110</v>
      </c>
      <c r="FN17" s="144">
        <f t="shared" si="10"/>
        <v>814467</v>
      </c>
      <c r="FO17" s="144">
        <f t="shared" si="10"/>
        <v>826964</v>
      </c>
      <c r="FP17" s="144">
        <f t="shared" si="10"/>
        <v>836055</v>
      </c>
      <c r="FQ17" s="144">
        <f t="shared" si="10"/>
        <v>844153</v>
      </c>
      <c r="FR17" s="144">
        <f t="shared" si="10"/>
        <v>847766</v>
      </c>
      <c r="FS17" s="144">
        <f t="shared" si="10"/>
        <v>851766.5</v>
      </c>
      <c r="FT17" s="144">
        <f t="shared" si="10"/>
        <v>853939</v>
      </c>
      <c r="FU17" s="144">
        <f t="shared" si="10"/>
        <v>858646.5</v>
      </c>
      <c r="FV17" s="144">
        <f t="shared" si="10"/>
        <v>878299.5</v>
      </c>
      <c r="FW17" s="144">
        <f t="shared" si="10"/>
        <v>894397</v>
      </c>
      <c r="FX17" s="144">
        <f t="shared" si="10"/>
        <v>906197.49999999977</v>
      </c>
      <c r="FY17" s="144">
        <f t="shared" si="10"/>
        <v>914602.99999999965</v>
      </c>
      <c r="FZ17" s="144">
        <f t="shared" si="10"/>
        <v>920841</v>
      </c>
      <c r="GA17" s="167">
        <v>928729</v>
      </c>
      <c r="GB17" s="144">
        <f>GA17*(POWER($GA17/$FW17,1/4))</f>
        <v>937515.97141661739</v>
      </c>
      <c r="GC17" s="144">
        <f t="shared" ref="GC17:GR20" si="11">VLOOKUP($A17, Table_Data_EBRIN, MATCH(GC$16, Header_Table_Data_EBRIN, 0), FALSE)</f>
        <v>605407.99999997998</v>
      </c>
      <c r="GD17" s="144">
        <f t="shared" si="11"/>
        <v>616585.49999997998</v>
      </c>
      <c r="GE17" s="144">
        <f t="shared" si="11"/>
        <v>627552.49999997998</v>
      </c>
      <c r="GF17" s="144">
        <f t="shared" si="11"/>
        <v>638613.49999996996</v>
      </c>
      <c r="GG17" s="144">
        <f t="shared" si="11"/>
        <v>645694.49999998999</v>
      </c>
      <c r="GH17" s="144">
        <f t="shared" si="11"/>
        <v>654640.99999997998</v>
      </c>
      <c r="GI17" s="144">
        <f t="shared" si="11"/>
        <v>668702.99999996996</v>
      </c>
      <c r="GJ17" s="144">
        <f t="shared" si="11"/>
        <v>681298.99999996996</v>
      </c>
      <c r="GK17" s="144">
        <f t="shared" si="11"/>
        <v>685193.99999998999</v>
      </c>
      <c r="GL17" s="144">
        <f t="shared" si="11"/>
        <v>706424</v>
      </c>
      <c r="GM17" s="144">
        <f t="shared" si="11"/>
        <v>712767</v>
      </c>
      <c r="GN17" s="144">
        <f t="shared" si="11"/>
        <v>734644</v>
      </c>
      <c r="GO17" s="144">
        <f t="shared" si="11"/>
        <v>741836</v>
      </c>
      <c r="GP17" s="144">
        <f t="shared" si="11"/>
        <v>762382</v>
      </c>
      <c r="GQ17" s="144">
        <f t="shared" si="11"/>
        <v>776854.00000000012</v>
      </c>
      <c r="GR17" s="144">
        <f t="shared" si="11"/>
        <v>784245.5</v>
      </c>
      <c r="GS17" s="167">
        <v>796623.5</v>
      </c>
      <c r="GT17" s="144">
        <f>GS17*(POWER($GS17/$GO17,1/4))</f>
        <v>810941.29434260004</v>
      </c>
      <c r="GU17" s="144">
        <f t="shared" ref="GU17:HJ20" si="12">VLOOKUP($A17, Table_Data_EBRIN, MATCH(GU$16, Header_Table_Data_EBRIN, 0), FALSE)</f>
        <v>250642.5242013</v>
      </c>
      <c r="GV17" s="144">
        <f t="shared" si="12"/>
        <v>255484.38545674999</v>
      </c>
      <c r="GW17" s="144">
        <f t="shared" si="12"/>
        <v>260424.25945124001</v>
      </c>
      <c r="GX17" s="144">
        <f t="shared" si="12"/>
        <v>265464.13023523003</v>
      </c>
      <c r="GY17" s="144">
        <f t="shared" si="12"/>
        <v>270606.02202186</v>
      </c>
      <c r="GZ17" s="144">
        <f t="shared" si="12"/>
        <v>275851.99999998999</v>
      </c>
      <c r="HA17" s="144">
        <f t="shared" si="12"/>
        <v>278391.99999998999</v>
      </c>
      <c r="HB17" s="144">
        <f t="shared" si="12"/>
        <v>279867.99999998999</v>
      </c>
      <c r="HC17" s="144">
        <f t="shared" si="12"/>
        <v>280750</v>
      </c>
      <c r="HD17" s="144">
        <f t="shared" si="12"/>
        <v>283059</v>
      </c>
      <c r="HE17" s="144">
        <f t="shared" si="12"/>
        <v>285325</v>
      </c>
      <c r="HF17" s="144">
        <f t="shared" si="12"/>
        <v>287651.5001</v>
      </c>
      <c r="HG17" s="144">
        <f t="shared" si="12"/>
        <v>287936</v>
      </c>
      <c r="HH17" s="144">
        <f t="shared" si="12"/>
        <v>290446</v>
      </c>
      <c r="HI17" s="144">
        <f t="shared" si="12"/>
        <v>293949</v>
      </c>
      <c r="HJ17" s="144">
        <f t="shared" si="12"/>
        <v>297656</v>
      </c>
      <c r="HK17" s="167">
        <v>301063.49999999983</v>
      </c>
      <c r="HL17" s="167">
        <v>304339.99999999994</v>
      </c>
      <c r="HM17" s="144">
        <f t="shared" ref="HM17:IB20" si="13">VLOOKUP($A17, Table_Data_EBRIN, MATCH(HM$16, Header_Table_Data_EBRIN, 0), FALSE)</f>
        <v>612728</v>
      </c>
      <c r="HN17" s="144">
        <f t="shared" si="13"/>
        <v>618250</v>
      </c>
      <c r="HO17" s="144">
        <f t="shared" si="13"/>
        <v>624094</v>
      </c>
      <c r="HP17" s="144">
        <f t="shared" si="13"/>
        <v>628120</v>
      </c>
      <c r="HQ17" s="144">
        <f t="shared" si="13"/>
        <v>633823</v>
      </c>
      <c r="HR17" s="144">
        <f t="shared" si="13"/>
        <v>641129.77419353998</v>
      </c>
      <c r="HS17" s="144">
        <f t="shared" si="13"/>
        <v>647892</v>
      </c>
      <c r="HT17" s="144">
        <f t="shared" si="13"/>
        <v>656516</v>
      </c>
      <c r="HU17" s="144">
        <f t="shared" si="13"/>
        <v>658453</v>
      </c>
      <c r="HV17" s="144">
        <f t="shared" si="13"/>
        <v>664549</v>
      </c>
      <c r="HW17" s="144">
        <f t="shared" si="13"/>
        <v>669826</v>
      </c>
      <c r="HX17" s="144">
        <f t="shared" si="13"/>
        <v>676807</v>
      </c>
      <c r="HY17" s="144">
        <f t="shared" si="13"/>
        <v>685025</v>
      </c>
      <c r="HZ17" s="144">
        <f t="shared" si="13"/>
        <v>697594</v>
      </c>
      <c r="IA17" s="144">
        <f t="shared" si="13"/>
        <v>703119</v>
      </c>
      <c r="IB17" s="144">
        <f t="shared" si="13"/>
        <v>705367</v>
      </c>
      <c r="IC17" s="167">
        <v>710296</v>
      </c>
      <c r="ID17" s="144">
        <f t="shared" ref="ID17:ID18" si="14">IC17*(POWER($IC17/$HY17,1/4))</f>
        <v>716758.09391323256</v>
      </c>
      <c r="IE17" s="252"/>
    </row>
    <row r="18" spans="1:239" s="146" customFormat="1" ht="13.7" customHeight="1">
      <c r="A18" s="143" t="s">
        <v>513</v>
      </c>
      <c r="B18" s="143" t="s">
        <v>512</v>
      </c>
      <c r="C18" s="144">
        <f t="shared" si="0"/>
        <v>1736.84582472181</v>
      </c>
      <c r="D18" s="144">
        <f t="shared" si="0"/>
        <v>1786.3845746249256</v>
      </c>
      <c r="E18" s="144">
        <f t="shared" si="0"/>
        <v>1837.3769311302806</v>
      </c>
      <c r="F18" s="144">
        <f t="shared" si="0"/>
        <v>1889.8668654623268</v>
      </c>
      <c r="G18" s="144">
        <f t="shared" si="0"/>
        <v>1943.8997274433566</v>
      </c>
      <c r="H18" s="144">
        <f t="shared" si="0"/>
        <v>1999.5222908777287</v>
      </c>
      <c r="I18" s="144">
        <f t="shared" si="0"/>
        <v>2056.7828005463839</v>
      </c>
      <c r="J18" s="144">
        <f t="shared" si="0"/>
        <v>2115.7310208757394</v>
      </c>
      <c r="K18" s="144">
        <f t="shared" si="0"/>
        <v>2176.4182863479991</v>
      </c>
      <c r="L18" s="144">
        <f t="shared" si="0"/>
        <v>2238.9975537230653</v>
      </c>
      <c r="M18" s="144">
        <f t="shared" si="0"/>
        <v>2303.2234561455298</v>
      </c>
      <c r="N18" s="144">
        <f t="shared" si="0"/>
        <v>2331.5310246297154</v>
      </c>
      <c r="O18" s="144">
        <f t="shared" si="0"/>
        <v>2379.3211406998435</v>
      </c>
      <c r="P18" s="144">
        <f t="shared" si="0"/>
        <v>2417.6835221160723</v>
      </c>
      <c r="Q18" s="144">
        <f t="shared" si="0"/>
        <v>2471.2599999999998</v>
      </c>
      <c r="R18" s="144">
        <f t="shared" si="0"/>
        <v>2508.67</v>
      </c>
      <c r="S18" s="144">
        <f t="shared" si="0"/>
        <v>2526.86</v>
      </c>
      <c r="T18" s="144">
        <f>IF(OR(Parameter_Scenario_number=18,Parameter_Scenario_number=20),T73,T72)</f>
        <v>2541.02</v>
      </c>
      <c r="U18" s="144">
        <f t="shared" si="1"/>
        <v>12633.594999999999</v>
      </c>
      <c r="V18" s="144">
        <f t="shared" si="1"/>
        <v>12990.440199999999</v>
      </c>
      <c r="W18" s="144">
        <f t="shared" si="1"/>
        <v>13237.806200000001</v>
      </c>
      <c r="X18" s="144">
        <f t="shared" si="1"/>
        <v>13528.306200000001</v>
      </c>
      <c r="Y18" s="144">
        <f t="shared" si="1"/>
        <v>13778.575500000001</v>
      </c>
      <c r="Z18" s="144">
        <f t="shared" si="1"/>
        <v>14133.723</v>
      </c>
      <c r="AA18" s="144">
        <f t="shared" si="1"/>
        <v>14541.593000000001</v>
      </c>
      <c r="AB18" s="144">
        <f t="shared" si="1"/>
        <v>14891.606</v>
      </c>
      <c r="AC18" s="144">
        <f t="shared" si="1"/>
        <v>15227.388000000001</v>
      </c>
      <c r="AD18" s="144">
        <f t="shared" si="1"/>
        <v>15317.811933929999</v>
      </c>
      <c r="AE18" s="144">
        <f t="shared" si="1"/>
        <v>15519.247282660001</v>
      </c>
      <c r="AF18" s="144">
        <f t="shared" si="1"/>
        <v>15752.11791787</v>
      </c>
      <c r="AG18" s="144">
        <f t="shared" si="1"/>
        <v>15955</v>
      </c>
      <c r="AH18" s="144">
        <f t="shared" si="1"/>
        <v>16139</v>
      </c>
      <c r="AI18" s="144">
        <f t="shared" si="1"/>
        <v>16397.48</v>
      </c>
      <c r="AJ18" s="144">
        <f t="shared" si="1"/>
        <v>16569.5</v>
      </c>
      <c r="AK18" s="144">
        <f t="shared" si="1"/>
        <v>16781.169999999998</v>
      </c>
      <c r="AL18" s="167">
        <v>16944.48</v>
      </c>
      <c r="AM18" s="144">
        <f t="shared" si="2"/>
        <v>1690.75167663</v>
      </c>
      <c r="AN18" s="144">
        <f t="shared" si="2"/>
        <v>1783.5898276099999</v>
      </c>
      <c r="AO18" s="144">
        <f t="shared" si="2"/>
        <v>1843.3371883</v>
      </c>
      <c r="AP18" s="144">
        <f t="shared" si="2"/>
        <v>1877.7536800600001</v>
      </c>
      <c r="AQ18" s="144">
        <f t="shared" si="2"/>
        <v>1914.11747464</v>
      </c>
      <c r="AR18" s="144">
        <f t="shared" si="2"/>
        <v>2061</v>
      </c>
      <c r="AS18" s="144">
        <f t="shared" si="2"/>
        <v>2073</v>
      </c>
      <c r="AT18" s="144">
        <f t="shared" si="2"/>
        <v>2114</v>
      </c>
      <c r="AU18" s="144">
        <f t="shared" si="2"/>
        <v>2211.136571</v>
      </c>
      <c r="AV18" s="144">
        <f t="shared" si="2"/>
        <v>2233.2444599999999</v>
      </c>
      <c r="AW18" s="144">
        <f t="shared" si="2"/>
        <v>2266.8000000000002</v>
      </c>
      <c r="AX18" s="144">
        <f t="shared" si="2"/>
        <v>2274.46</v>
      </c>
      <c r="AY18" s="144">
        <f t="shared" si="2"/>
        <v>2268.151539</v>
      </c>
      <c r="AZ18" s="144">
        <f t="shared" si="2"/>
        <v>2289.9399999999996</v>
      </c>
      <c r="BA18" s="144">
        <f t="shared" si="2"/>
        <v>2310.1410000000001</v>
      </c>
      <c r="BB18" s="144">
        <f t="shared" si="2"/>
        <v>2324</v>
      </c>
      <c r="BC18" s="167">
        <v>2317</v>
      </c>
      <c r="BD18" s="144">
        <f>BC18*(POWER($BC18/$AY18,1/4))</f>
        <v>2329.3756187255717</v>
      </c>
      <c r="BE18" s="144">
        <f t="shared" si="3"/>
        <v>9045</v>
      </c>
      <c r="BF18" s="144">
        <f t="shared" si="3"/>
        <v>9423</v>
      </c>
      <c r="BG18" s="144">
        <f t="shared" si="3"/>
        <v>9859</v>
      </c>
      <c r="BH18" s="144">
        <f t="shared" si="3"/>
        <v>10136</v>
      </c>
      <c r="BI18" s="144">
        <f t="shared" si="3"/>
        <v>10386</v>
      </c>
      <c r="BJ18" s="144">
        <f t="shared" si="3"/>
        <v>10761</v>
      </c>
      <c r="BK18" s="144">
        <f t="shared" si="3"/>
        <v>11151</v>
      </c>
      <c r="BL18" s="144">
        <f t="shared" si="3"/>
        <v>11617</v>
      </c>
      <c r="BM18" s="144">
        <f t="shared" si="3"/>
        <v>12104.67</v>
      </c>
      <c r="BN18" s="144">
        <f t="shared" si="3"/>
        <v>12635.856619</v>
      </c>
      <c r="BO18" s="144">
        <f t="shared" si="3"/>
        <v>13173.102000000001</v>
      </c>
      <c r="BP18" s="144">
        <f t="shared" si="3"/>
        <v>13766.485129999999</v>
      </c>
      <c r="BQ18" s="144">
        <f t="shared" si="3"/>
        <v>14377.942891999999</v>
      </c>
      <c r="BR18" s="144">
        <f t="shared" si="3"/>
        <v>15235.793936</v>
      </c>
      <c r="BS18" s="144">
        <f t="shared" si="3"/>
        <v>15789.728300373552</v>
      </c>
      <c r="BT18" s="144">
        <f t="shared" si="3"/>
        <v>16276.799716602198</v>
      </c>
      <c r="BU18" s="167">
        <v>16796.914000000001</v>
      </c>
      <c r="BV18" s="167">
        <v>17225.979000000003</v>
      </c>
      <c r="BW18" s="144">
        <f t="shared" si="4"/>
        <v>12201</v>
      </c>
      <c r="BX18" s="144">
        <f t="shared" si="4"/>
        <v>13022</v>
      </c>
      <c r="BY18" s="144">
        <f t="shared" si="4"/>
        <v>13827</v>
      </c>
      <c r="BZ18" s="144">
        <f t="shared" si="4"/>
        <v>14696</v>
      </c>
      <c r="CA18" s="144">
        <f t="shared" si="4"/>
        <v>15337</v>
      </c>
      <c r="CB18" s="144">
        <f t="shared" si="4"/>
        <v>15871</v>
      </c>
      <c r="CC18" s="144">
        <f t="shared" si="4"/>
        <v>16350</v>
      </c>
      <c r="CD18" s="144">
        <f t="shared" si="4"/>
        <v>16748</v>
      </c>
      <c r="CE18" s="144">
        <f t="shared" si="4"/>
        <v>16994.710999999999</v>
      </c>
      <c r="CF18" s="144">
        <f t="shared" si="4"/>
        <v>17442.34</v>
      </c>
      <c r="CG18" s="144">
        <f t="shared" si="4"/>
        <v>18072.560000000001</v>
      </c>
      <c r="CH18" s="144">
        <f t="shared" si="4"/>
        <v>18638</v>
      </c>
      <c r="CI18" s="144">
        <f t="shared" si="4"/>
        <v>19176</v>
      </c>
      <c r="CJ18" s="144">
        <f t="shared" si="4"/>
        <v>19702</v>
      </c>
      <c r="CK18" s="144">
        <f t="shared" si="4"/>
        <v>20117</v>
      </c>
      <c r="CL18" s="144">
        <f t="shared" si="4"/>
        <v>20466</v>
      </c>
      <c r="CM18" s="144">
        <f t="shared" si="4"/>
        <v>20791</v>
      </c>
      <c r="CN18" s="167">
        <v>21178</v>
      </c>
      <c r="CO18" s="144">
        <f t="shared" si="5"/>
        <v>3957.51</v>
      </c>
      <c r="CP18" s="144">
        <f t="shared" si="5"/>
        <v>4482.4459999999999</v>
      </c>
      <c r="CQ18" s="144">
        <f t="shared" si="5"/>
        <v>5292.8770000000004</v>
      </c>
      <c r="CR18" s="144">
        <f t="shared" si="5"/>
        <v>6346.0159999999996</v>
      </c>
      <c r="CS18" s="144">
        <f t="shared" si="5"/>
        <v>6894.8040000000001</v>
      </c>
      <c r="CT18" s="144">
        <f t="shared" si="5"/>
        <v>7339.335</v>
      </c>
      <c r="CU18" s="144">
        <f t="shared" si="5"/>
        <v>7724.8860000000004</v>
      </c>
      <c r="CV18" s="144">
        <f t="shared" si="5"/>
        <v>8179.3249999999998</v>
      </c>
      <c r="CW18" s="144">
        <f t="shared" si="5"/>
        <v>8503.5529999999999</v>
      </c>
      <c r="CX18" s="144">
        <f t="shared" si="5"/>
        <v>8913.2440000000006</v>
      </c>
      <c r="CY18" s="144">
        <f t="shared" si="5"/>
        <v>9140.7352653100006</v>
      </c>
      <c r="CZ18" s="144">
        <f t="shared" si="5"/>
        <v>9315.2168051000008</v>
      </c>
      <c r="DA18" s="144">
        <f t="shared" si="5"/>
        <v>8810.0411045853289</v>
      </c>
      <c r="DB18" s="144">
        <f t="shared" si="5"/>
        <v>8979.17</v>
      </c>
      <c r="DC18" s="144">
        <f t="shared" si="5"/>
        <v>9090.2199999999993</v>
      </c>
      <c r="DD18" s="144">
        <f t="shared" si="5"/>
        <v>9237.9500000000007</v>
      </c>
      <c r="DE18" s="144">
        <f t="shared" si="5"/>
        <v>9424.6500000000015</v>
      </c>
      <c r="DF18" s="167">
        <v>9620.9000000000015</v>
      </c>
      <c r="DG18" s="144">
        <f t="shared" si="6"/>
        <v>5166</v>
      </c>
      <c r="DH18" s="144">
        <f t="shared" si="6"/>
        <v>6039</v>
      </c>
      <c r="DI18" s="144">
        <f t="shared" si="6"/>
        <v>5954</v>
      </c>
      <c r="DJ18" s="144">
        <f t="shared" si="6"/>
        <v>5989</v>
      </c>
      <c r="DK18" s="144">
        <f t="shared" si="6"/>
        <v>6203</v>
      </c>
      <c r="DL18" s="144">
        <f t="shared" si="6"/>
        <v>7066</v>
      </c>
      <c r="DM18" s="144">
        <f t="shared" si="6"/>
        <v>7365</v>
      </c>
      <c r="DN18" s="144">
        <f t="shared" si="6"/>
        <v>7607</v>
      </c>
      <c r="DO18" s="144">
        <f t="shared" si="6"/>
        <v>7665.9</v>
      </c>
      <c r="DP18" s="144">
        <f t="shared" si="6"/>
        <v>7945.5014970700004</v>
      </c>
      <c r="DQ18" s="144">
        <f t="shared" si="6"/>
        <v>8333.4244197299995</v>
      </c>
      <c r="DR18" s="144">
        <f t="shared" si="6"/>
        <v>8717.4465928099999</v>
      </c>
      <c r="DS18" s="144">
        <f t="shared" si="6"/>
        <v>8956.75</v>
      </c>
      <c r="DT18" s="144">
        <f t="shared" si="6"/>
        <v>9214.0861430000004</v>
      </c>
      <c r="DU18" s="144">
        <f t="shared" si="6"/>
        <v>9485.01</v>
      </c>
      <c r="DV18" s="144">
        <f t="shared" si="6"/>
        <v>9784.08</v>
      </c>
      <c r="DW18" s="144">
        <f t="shared" si="6"/>
        <v>10066.470000000001</v>
      </c>
      <c r="DX18" s="167">
        <v>10437.16</v>
      </c>
      <c r="DY18" s="144">
        <f t="shared" si="7"/>
        <v>1300.89040548</v>
      </c>
      <c r="DZ18" s="144">
        <f t="shared" si="7"/>
        <v>1344.330316</v>
      </c>
      <c r="EA18" s="144">
        <f t="shared" si="7"/>
        <v>1415.67628883</v>
      </c>
      <c r="EB18" s="144">
        <f t="shared" si="7"/>
        <v>1463.26622</v>
      </c>
      <c r="EC18" s="144">
        <f t="shared" si="7"/>
        <v>1507.1591800000001</v>
      </c>
      <c r="ED18" s="144">
        <f t="shared" si="7"/>
        <v>1565.6344853400001</v>
      </c>
      <c r="EE18" s="144">
        <f t="shared" si="7"/>
        <v>1630.01</v>
      </c>
      <c r="EF18" s="144">
        <f t="shared" si="7"/>
        <v>1679.2797602400001</v>
      </c>
      <c r="EG18" s="144">
        <f t="shared" si="7"/>
        <v>1725.0657418599999</v>
      </c>
      <c r="EH18" s="144">
        <f t="shared" si="7"/>
        <v>1795.4201599999999</v>
      </c>
      <c r="EI18" s="144">
        <f t="shared" si="7"/>
        <v>1851.3087937099999</v>
      </c>
      <c r="EJ18" s="144">
        <f t="shared" si="7"/>
        <v>1956.1763526899999</v>
      </c>
      <c r="EK18" s="144">
        <f t="shared" si="7"/>
        <v>2078.1</v>
      </c>
      <c r="EL18" s="144">
        <f t="shared" si="7"/>
        <v>2150.291635</v>
      </c>
      <c r="EM18" s="144">
        <f t="shared" si="7"/>
        <v>2225.6166149999999</v>
      </c>
      <c r="EN18" s="144">
        <f t="shared" si="7"/>
        <v>2249.2909690000001</v>
      </c>
      <c r="EO18" s="144">
        <f t="shared" si="8"/>
        <v>2321.6999999999998</v>
      </c>
      <c r="EP18" s="144">
        <f t="shared" si="8"/>
        <v>2408.9</v>
      </c>
      <c r="EQ18" s="144">
        <f t="shared" si="8"/>
        <v>2525.259125</v>
      </c>
      <c r="ER18" s="175">
        <v>2607.08259</v>
      </c>
      <c r="ES18" s="144">
        <f t="shared" si="9"/>
        <v>3323.7991023</v>
      </c>
      <c r="ET18" s="144">
        <f t="shared" si="9"/>
        <v>3512.4999999699999</v>
      </c>
      <c r="EU18" s="144">
        <f t="shared" si="9"/>
        <v>3541.49999996</v>
      </c>
      <c r="EV18" s="144">
        <f t="shared" si="9"/>
        <v>4584.7061214100004</v>
      </c>
      <c r="EW18" s="144">
        <f t="shared" si="9"/>
        <v>5128.6620489899997</v>
      </c>
      <c r="EX18" s="144">
        <f t="shared" si="9"/>
        <v>4688</v>
      </c>
      <c r="EY18" s="144">
        <f t="shared" si="9"/>
        <v>4830</v>
      </c>
      <c r="EZ18" s="144">
        <f t="shared" si="9"/>
        <v>5065</v>
      </c>
      <c r="FA18" s="144">
        <f t="shared" si="9"/>
        <v>5248.4063489999999</v>
      </c>
      <c r="FB18" s="144">
        <f t="shared" si="9"/>
        <v>5576.7225399999998</v>
      </c>
      <c r="FC18" s="144">
        <f t="shared" si="9"/>
        <v>5860.8</v>
      </c>
      <c r="FD18" s="144">
        <f t="shared" si="9"/>
        <v>6325.54</v>
      </c>
      <c r="FE18" s="144">
        <f t="shared" si="9"/>
        <v>6683.3673369999997</v>
      </c>
      <c r="FF18" s="144">
        <f t="shared" si="9"/>
        <v>7132.61</v>
      </c>
      <c r="FG18" s="144">
        <f t="shared" si="9"/>
        <v>7673.47</v>
      </c>
      <c r="FH18" s="144">
        <f t="shared" si="9"/>
        <v>7923</v>
      </c>
      <c r="FI18" s="167">
        <v>8234</v>
      </c>
      <c r="FJ18" s="144">
        <f t="shared" ref="FJ18:FJ19" si="15">FI18*(POWER($FI18/$FE18,1/4))</f>
        <v>8674.9053573613237</v>
      </c>
      <c r="FK18" s="144">
        <f t="shared" si="10"/>
        <v>13761.84765616</v>
      </c>
      <c r="FL18" s="144">
        <f t="shared" si="10"/>
        <v>14300.85742265</v>
      </c>
      <c r="FM18" s="144">
        <f t="shared" si="10"/>
        <v>14839.86718913</v>
      </c>
      <c r="FN18" s="144">
        <f t="shared" si="10"/>
        <v>15488.94356643</v>
      </c>
      <c r="FO18" s="144">
        <f t="shared" si="10"/>
        <v>15885.212371170001</v>
      </c>
      <c r="FP18" s="144">
        <f t="shared" si="10"/>
        <v>16127.9908681</v>
      </c>
      <c r="FQ18" s="144">
        <f t="shared" si="10"/>
        <v>16499.884838459999</v>
      </c>
      <c r="FR18" s="144">
        <f t="shared" si="10"/>
        <v>16729.45</v>
      </c>
      <c r="FS18" s="144">
        <f t="shared" si="10"/>
        <v>16922.971000000001</v>
      </c>
      <c r="FT18" s="144">
        <f t="shared" si="10"/>
        <v>16971</v>
      </c>
      <c r="FU18" s="144">
        <f t="shared" si="10"/>
        <v>17486</v>
      </c>
      <c r="FV18" s="144">
        <f t="shared" si="10"/>
        <v>17754</v>
      </c>
      <c r="FW18" s="144">
        <f t="shared" si="10"/>
        <v>18064</v>
      </c>
      <c r="FX18" s="144">
        <f t="shared" si="10"/>
        <v>18065</v>
      </c>
      <c r="FY18" s="144">
        <f t="shared" si="10"/>
        <v>18288</v>
      </c>
      <c r="FZ18" s="144">
        <f t="shared" si="10"/>
        <v>18624</v>
      </c>
      <c r="GA18" s="167">
        <v>19065</v>
      </c>
      <c r="GB18" s="144">
        <f t="shared" ref="GB18:GB19" si="16">GA18*(POWER($GA18/$FW18,1/4))</f>
        <v>19323.799864164019</v>
      </c>
      <c r="GC18" s="144">
        <f t="shared" si="11"/>
        <v>3864.759</v>
      </c>
      <c r="GD18" s="144">
        <f t="shared" si="11"/>
        <v>4111.4009999999998</v>
      </c>
      <c r="GE18" s="144">
        <f t="shared" si="11"/>
        <v>4290.7219999999998</v>
      </c>
      <c r="GF18" s="144">
        <f t="shared" si="11"/>
        <v>4612.5159999999996</v>
      </c>
      <c r="GG18" s="144">
        <f t="shared" si="11"/>
        <v>4792.9139999999998</v>
      </c>
      <c r="GH18" s="144">
        <f t="shared" si="11"/>
        <v>5069.076</v>
      </c>
      <c r="GI18" s="144">
        <f t="shared" si="11"/>
        <v>5322.3950000000004</v>
      </c>
      <c r="GJ18" s="144">
        <f t="shared" si="11"/>
        <v>5502.2719999999999</v>
      </c>
      <c r="GK18" s="144">
        <f t="shared" si="11"/>
        <v>5728.1507942199996</v>
      </c>
      <c r="GL18" s="144">
        <f t="shared" si="11"/>
        <v>5965.9348250000003</v>
      </c>
      <c r="GM18" s="144">
        <f t="shared" si="11"/>
        <v>6267.0513379800004</v>
      </c>
      <c r="GN18" s="144">
        <f t="shared" si="11"/>
        <v>6574.8889099799999</v>
      </c>
      <c r="GO18" s="144">
        <f t="shared" si="11"/>
        <v>6908.59</v>
      </c>
      <c r="GP18" s="144">
        <f t="shared" si="11"/>
        <v>7305.5300000000007</v>
      </c>
      <c r="GQ18" s="144">
        <f t="shared" si="11"/>
        <v>7584.46</v>
      </c>
      <c r="GR18" s="144">
        <f t="shared" si="11"/>
        <v>7732.0847200000608</v>
      </c>
      <c r="GS18" s="167">
        <v>7957.2116599999099</v>
      </c>
      <c r="GT18" s="144">
        <f t="shared" ref="GT18:GT19" si="17">GS18*(POWER($GS18/$GO18,1/4))</f>
        <v>8243.3508221508273</v>
      </c>
      <c r="GU18" s="144">
        <f t="shared" si="12"/>
        <v>1902.3</v>
      </c>
      <c r="GV18" s="144">
        <f t="shared" si="12"/>
        <v>1902.5</v>
      </c>
      <c r="GW18" s="144">
        <f t="shared" si="12"/>
        <v>1902.5</v>
      </c>
      <c r="GX18" s="144">
        <f t="shared" si="12"/>
        <v>1930.6</v>
      </c>
      <c r="GY18" s="144">
        <f t="shared" si="12"/>
        <v>2095.1999999999998</v>
      </c>
      <c r="GZ18" s="144">
        <f t="shared" si="12"/>
        <v>2274.9</v>
      </c>
      <c r="HA18" s="144">
        <f t="shared" si="12"/>
        <v>2339.3000000000002</v>
      </c>
      <c r="HB18" s="144">
        <f t="shared" si="12"/>
        <v>2373.6999999999998</v>
      </c>
      <c r="HC18" s="144">
        <f t="shared" si="12"/>
        <v>2432.8000000000002</v>
      </c>
      <c r="HD18" s="144">
        <f t="shared" si="12"/>
        <v>2465.2890000000002</v>
      </c>
      <c r="HE18" s="144">
        <f t="shared" si="12"/>
        <v>2502.2689999999998</v>
      </c>
      <c r="HF18" s="144">
        <f t="shared" si="12"/>
        <v>2524.422</v>
      </c>
      <c r="HG18" s="144">
        <f t="shared" si="12"/>
        <v>2560.431</v>
      </c>
      <c r="HH18" s="144">
        <f t="shared" si="12"/>
        <v>2607.6256999999832</v>
      </c>
      <c r="HI18" s="144">
        <f t="shared" si="12"/>
        <v>2648.2089999999998</v>
      </c>
      <c r="HJ18" s="144">
        <f t="shared" si="12"/>
        <v>2680.0572750000092</v>
      </c>
      <c r="HK18" s="167">
        <v>2674.7302965550002</v>
      </c>
      <c r="HL18" s="167">
        <v>2905.3253425599978</v>
      </c>
      <c r="HM18" s="144">
        <f t="shared" si="13"/>
        <v>2276</v>
      </c>
      <c r="HN18" s="144">
        <f t="shared" si="13"/>
        <v>2318.4</v>
      </c>
      <c r="HO18" s="144">
        <f t="shared" si="13"/>
        <v>2386.1</v>
      </c>
      <c r="HP18" s="144">
        <f t="shared" si="13"/>
        <v>2424.3000000000002</v>
      </c>
      <c r="HQ18" s="144">
        <f t="shared" si="13"/>
        <v>2496.8000000000002</v>
      </c>
      <c r="HR18" s="144">
        <f t="shared" si="13"/>
        <v>2595.4</v>
      </c>
      <c r="HS18" s="144">
        <f t="shared" si="13"/>
        <v>2631.9</v>
      </c>
      <c r="HT18" s="144">
        <f t="shared" si="13"/>
        <v>2690.8</v>
      </c>
      <c r="HU18" s="144">
        <f t="shared" si="13"/>
        <v>2738.098</v>
      </c>
      <c r="HV18" s="144">
        <f t="shared" si="13"/>
        <v>2793.1475427</v>
      </c>
      <c r="HW18" s="144">
        <f t="shared" si="13"/>
        <v>2834.3576012600001</v>
      </c>
      <c r="HX18" s="144">
        <f t="shared" si="13"/>
        <v>3296.67</v>
      </c>
      <c r="HY18" s="144">
        <f t="shared" si="13"/>
        <v>3339.4</v>
      </c>
      <c r="HZ18" s="144">
        <f t="shared" si="13"/>
        <v>3373.6400000000003</v>
      </c>
      <c r="IA18" s="144">
        <f t="shared" si="13"/>
        <v>3404.02</v>
      </c>
      <c r="IB18" s="144">
        <f t="shared" si="13"/>
        <v>3428.34</v>
      </c>
      <c r="IC18" s="167">
        <v>3455.3</v>
      </c>
      <c r="ID18" s="144">
        <f t="shared" si="14"/>
        <v>3484.8981468471325</v>
      </c>
    </row>
    <row r="19" spans="1:239" s="146" customFormat="1" ht="13.7" customHeight="1">
      <c r="A19" s="143" t="s">
        <v>514</v>
      </c>
      <c r="B19" s="143" t="s">
        <v>512</v>
      </c>
      <c r="C19" s="144">
        <f t="shared" si="0"/>
        <v>4084.5321847789955</v>
      </c>
      <c r="D19" s="144">
        <f t="shared" si="0"/>
        <v>4127.9554778666507</v>
      </c>
      <c r="E19" s="144">
        <f t="shared" si="0"/>
        <v>4172.9126246894848</v>
      </c>
      <c r="F19" s="144">
        <f t="shared" si="0"/>
        <v>4219.4482475302621</v>
      </c>
      <c r="G19" s="144">
        <f t="shared" si="0"/>
        <v>4267.608361922521</v>
      </c>
      <c r="H19" s="144">
        <f t="shared" si="0"/>
        <v>4317.4404222804797</v>
      </c>
      <c r="I19" s="144">
        <f t="shared" si="0"/>
        <v>4368.9933691436127</v>
      </c>
      <c r="J19" s="144">
        <f t="shared" si="0"/>
        <v>4422.3176781000857</v>
      </c>
      <c r="K19" s="144">
        <f t="shared" si="0"/>
        <v>4477.4654104561523</v>
      </c>
      <c r="L19" s="144">
        <f t="shared" si="0"/>
        <v>4534.5902657217903</v>
      </c>
      <c r="M19" s="144">
        <f t="shared" si="0"/>
        <v>4593.4476359861201</v>
      </c>
      <c r="N19" s="144">
        <f t="shared" si="0"/>
        <v>4619.0951432816964</v>
      </c>
      <c r="O19" s="144">
        <f t="shared" si="0"/>
        <v>4664.475195998175</v>
      </c>
      <c r="P19" s="144">
        <f t="shared" si="0"/>
        <v>4698.647447101609</v>
      </c>
      <c r="Q19" s="144">
        <f t="shared" si="0"/>
        <v>4774.07</v>
      </c>
      <c r="R19" s="144">
        <f t="shared" si="0"/>
        <v>4812.54</v>
      </c>
      <c r="S19" s="144">
        <f t="shared" si="0"/>
        <v>4828.1400000000003</v>
      </c>
      <c r="T19" s="144">
        <f>IF(OR(Parameter_Scenario_number=18,Parameter_Scenario_number=20),T75,T74)</f>
        <v>4838.03</v>
      </c>
      <c r="U19" s="144">
        <f t="shared" si="1"/>
        <v>38742.394999999997</v>
      </c>
      <c r="V19" s="144">
        <f t="shared" si="1"/>
        <v>38874.940199999997</v>
      </c>
      <c r="W19" s="144">
        <f t="shared" si="1"/>
        <v>39223.906199999998</v>
      </c>
      <c r="X19" s="144">
        <f t="shared" si="1"/>
        <v>39462.306199999999</v>
      </c>
      <c r="Y19" s="144">
        <f t="shared" si="1"/>
        <v>39745.275500000003</v>
      </c>
      <c r="Z19" s="144">
        <f t="shared" si="1"/>
        <v>40272.423000000003</v>
      </c>
      <c r="AA19" s="144">
        <f t="shared" si="1"/>
        <v>40626.293000000005</v>
      </c>
      <c r="AB19" s="144">
        <f t="shared" si="1"/>
        <v>40963.506000000001</v>
      </c>
      <c r="AC19" s="144">
        <f t="shared" si="1"/>
        <v>41271.487999999998</v>
      </c>
      <c r="AD19" s="144">
        <f t="shared" si="1"/>
        <v>41323.58393845</v>
      </c>
      <c r="AE19" s="144">
        <f t="shared" si="1"/>
        <v>41453.2107359</v>
      </c>
      <c r="AF19" s="144">
        <f t="shared" si="1"/>
        <v>41642.275513569999</v>
      </c>
      <c r="AG19" s="144">
        <f t="shared" si="1"/>
        <v>41847</v>
      </c>
      <c r="AH19" s="144">
        <f t="shared" si="1"/>
        <v>42007</v>
      </c>
      <c r="AI19" s="144">
        <f t="shared" si="1"/>
        <v>42294.520000000004</v>
      </c>
      <c r="AJ19" s="144">
        <f t="shared" si="1"/>
        <v>42484.79</v>
      </c>
      <c r="AK19" s="144">
        <f t="shared" si="1"/>
        <v>42714.15</v>
      </c>
      <c r="AL19" s="167">
        <v>42927.19</v>
      </c>
      <c r="AM19" s="144">
        <f t="shared" si="2"/>
        <v>3951.6253540100001</v>
      </c>
      <c r="AN19" s="144">
        <f t="shared" si="2"/>
        <v>4075.7738424899999</v>
      </c>
      <c r="AO19" s="144">
        <f t="shared" si="2"/>
        <v>4036.36450483</v>
      </c>
      <c r="AP19" s="144">
        <f t="shared" si="2"/>
        <v>4069.7536800400003</v>
      </c>
      <c r="AQ19" s="144">
        <f t="shared" si="2"/>
        <v>4099.4109698000002</v>
      </c>
      <c r="AR19" s="144">
        <f t="shared" si="2"/>
        <v>4284</v>
      </c>
      <c r="AS19" s="144">
        <f t="shared" si="2"/>
        <v>4303</v>
      </c>
      <c r="AT19" s="144">
        <f t="shared" si="2"/>
        <v>4347</v>
      </c>
      <c r="AU19" s="144">
        <f t="shared" si="2"/>
        <v>4481.4749609999999</v>
      </c>
      <c r="AV19" s="144">
        <f t="shared" si="2"/>
        <v>4505.4781199999998</v>
      </c>
      <c r="AW19" s="144">
        <f t="shared" si="2"/>
        <v>4541.2000000000007</v>
      </c>
      <c r="AX19" s="144">
        <f t="shared" si="2"/>
        <v>4549.55</v>
      </c>
      <c r="AY19" s="144">
        <f t="shared" si="2"/>
        <v>4535.9908390000001</v>
      </c>
      <c r="AZ19" s="144">
        <f t="shared" si="2"/>
        <v>4557.5199999999995</v>
      </c>
      <c r="BA19" s="144">
        <f t="shared" si="2"/>
        <v>4569.1409999999996</v>
      </c>
      <c r="BB19" s="144">
        <f t="shared" si="2"/>
        <v>4582.7268300000005</v>
      </c>
      <c r="BC19" s="167">
        <v>4578</v>
      </c>
      <c r="BD19" s="144">
        <f>BC19*(POWER($BC19/$AY19,1/4))</f>
        <v>4588.5629405897025</v>
      </c>
      <c r="BE19" s="144">
        <f t="shared" si="3"/>
        <v>32432</v>
      </c>
      <c r="BF19" s="144">
        <f t="shared" si="3"/>
        <v>32832</v>
      </c>
      <c r="BG19" s="144">
        <f t="shared" si="3"/>
        <v>33299</v>
      </c>
      <c r="BH19" s="144">
        <f t="shared" si="3"/>
        <v>33579</v>
      </c>
      <c r="BI19" s="144">
        <f t="shared" si="3"/>
        <v>33817</v>
      </c>
      <c r="BJ19" s="144">
        <f t="shared" si="3"/>
        <v>34172</v>
      </c>
      <c r="BK19" s="144">
        <f t="shared" si="3"/>
        <v>34568</v>
      </c>
      <c r="BL19" s="144">
        <f t="shared" si="3"/>
        <v>35029</v>
      </c>
      <c r="BM19" s="144">
        <f t="shared" si="3"/>
        <v>35491.989000000001</v>
      </c>
      <c r="BN19" s="144">
        <f t="shared" si="3"/>
        <v>36005.181619000003</v>
      </c>
      <c r="BO19" s="144">
        <f t="shared" si="3"/>
        <v>36467.860999999997</v>
      </c>
      <c r="BP19" s="144">
        <f t="shared" si="3"/>
        <v>36993.039377000001</v>
      </c>
      <c r="BQ19" s="144">
        <f t="shared" si="3"/>
        <v>37543.074810000006</v>
      </c>
      <c r="BR19" s="144">
        <f t="shared" si="3"/>
        <v>38284.300771000002</v>
      </c>
      <c r="BS19" s="144">
        <f t="shared" si="3"/>
        <v>38725.005837251832</v>
      </c>
      <c r="BT19" s="144">
        <f t="shared" si="3"/>
        <v>39146.327922462529</v>
      </c>
      <c r="BU19" s="167">
        <v>39622.208000000006</v>
      </c>
      <c r="BV19" s="167">
        <v>40011.366999999998</v>
      </c>
      <c r="BW19" s="144">
        <f t="shared" si="4"/>
        <v>46658</v>
      </c>
      <c r="BX19" s="144">
        <f t="shared" si="4"/>
        <v>47645</v>
      </c>
      <c r="BY19" s="144">
        <f t="shared" si="4"/>
        <v>48486</v>
      </c>
      <c r="BZ19" s="144">
        <f t="shared" si="4"/>
        <v>49427</v>
      </c>
      <c r="CA19" s="144">
        <f t="shared" si="4"/>
        <v>50117</v>
      </c>
      <c r="CB19" s="144">
        <f t="shared" si="4"/>
        <v>50771</v>
      </c>
      <c r="CC19" s="144">
        <f t="shared" si="4"/>
        <v>51342</v>
      </c>
      <c r="CD19" s="144">
        <f t="shared" si="4"/>
        <v>51781</v>
      </c>
      <c r="CE19" s="144">
        <f t="shared" si="4"/>
        <v>52097.040999999997</v>
      </c>
      <c r="CF19" s="144">
        <f t="shared" si="4"/>
        <v>52564.710000000006</v>
      </c>
      <c r="CG19" s="144">
        <f t="shared" si="4"/>
        <v>53201.880000000005</v>
      </c>
      <c r="CH19" s="144">
        <f t="shared" si="4"/>
        <v>53757</v>
      </c>
      <c r="CI19" s="144">
        <f t="shared" si="4"/>
        <v>54266</v>
      </c>
      <c r="CJ19" s="144">
        <f t="shared" si="4"/>
        <v>54777</v>
      </c>
      <c r="CK19" s="144">
        <f t="shared" si="4"/>
        <v>55190</v>
      </c>
      <c r="CL19" s="144">
        <f t="shared" si="4"/>
        <v>55530</v>
      </c>
      <c r="CM19" s="144">
        <f t="shared" si="4"/>
        <v>55887</v>
      </c>
      <c r="CN19" s="167">
        <v>56276</v>
      </c>
      <c r="CO19" s="144">
        <f t="shared" si="5"/>
        <v>148353.43893726001</v>
      </c>
      <c r="CP19" s="144">
        <f t="shared" si="5"/>
        <v>150136.49844103999</v>
      </c>
      <c r="CQ19" s="144">
        <f t="shared" si="5"/>
        <v>150660.03925174</v>
      </c>
      <c r="CR19" s="144">
        <f t="shared" si="5"/>
        <v>151770.05533772</v>
      </c>
      <c r="CS19" s="144">
        <f t="shared" si="5"/>
        <v>152579.65545786</v>
      </c>
      <c r="CT19" s="144">
        <f t="shared" si="5"/>
        <v>152729.53246679998</v>
      </c>
      <c r="CU19" s="144">
        <f t="shared" si="5"/>
        <v>153747.85140546001</v>
      </c>
      <c r="CV19" s="144">
        <f t="shared" si="5"/>
        <v>150472.37732775</v>
      </c>
      <c r="CW19" s="144">
        <f t="shared" si="5"/>
        <v>151121.81199999998</v>
      </c>
      <c r="CX19" s="144">
        <f t="shared" si="5"/>
        <v>152459.5</v>
      </c>
      <c r="CY19" s="144">
        <f t="shared" si="5"/>
        <v>152254.63888908</v>
      </c>
      <c r="CZ19" s="144">
        <f t="shared" si="5"/>
        <v>152491.37408914001</v>
      </c>
      <c r="DA19" s="144">
        <f t="shared" si="5"/>
        <v>151975.9735270222</v>
      </c>
      <c r="DB19" s="144">
        <f t="shared" si="5"/>
        <v>152279.1829897149</v>
      </c>
      <c r="DC19" s="144">
        <f t="shared" si="5"/>
        <v>152896.21000000002</v>
      </c>
      <c r="DD19" s="144">
        <f t="shared" si="5"/>
        <v>153798.52000000002</v>
      </c>
      <c r="DE19" s="144">
        <f t="shared" si="5"/>
        <v>154176.4</v>
      </c>
      <c r="DF19" s="167">
        <v>154437.43000000002</v>
      </c>
      <c r="DG19" s="144">
        <f t="shared" si="6"/>
        <v>199551</v>
      </c>
      <c r="DH19" s="144">
        <f t="shared" si="6"/>
        <v>189452</v>
      </c>
      <c r="DI19" s="144">
        <f t="shared" si="6"/>
        <v>185829</v>
      </c>
      <c r="DJ19" s="144">
        <f t="shared" si="6"/>
        <v>187750</v>
      </c>
      <c r="DK19" s="144">
        <f t="shared" si="6"/>
        <v>188634</v>
      </c>
      <c r="DL19" s="144">
        <f t="shared" si="6"/>
        <v>190592</v>
      </c>
      <c r="DM19" s="144">
        <f t="shared" si="6"/>
        <v>190819</v>
      </c>
      <c r="DN19" s="144">
        <f t="shared" si="6"/>
        <v>191107</v>
      </c>
      <c r="DO19" s="144">
        <f t="shared" si="6"/>
        <v>191156.07199999999</v>
      </c>
      <c r="DP19" s="144">
        <f t="shared" si="6"/>
        <v>191475.29249707001</v>
      </c>
      <c r="DQ19" s="144">
        <f t="shared" si="6"/>
        <v>191945.32419555</v>
      </c>
      <c r="DR19" s="144">
        <f t="shared" si="6"/>
        <v>192103.12437839</v>
      </c>
      <c r="DS19" s="144">
        <f t="shared" si="6"/>
        <v>192203.6</v>
      </c>
      <c r="DT19" s="144">
        <f t="shared" si="6"/>
        <v>192537.939828</v>
      </c>
      <c r="DU19" s="144">
        <f t="shared" si="6"/>
        <v>192685.01</v>
      </c>
      <c r="DV19" s="144">
        <f t="shared" si="6"/>
        <v>192882.72</v>
      </c>
      <c r="DW19" s="144">
        <f t="shared" si="6"/>
        <v>193123.5</v>
      </c>
      <c r="DX19" s="167">
        <v>193373.00000000003</v>
      </c>
      <c r="DY19" s="144">
        <f t="shared" si="7"/>
        <v>5718.7325857100004</v>
      </c>
      <c r="DZ19" s="144">
        <f t="shared" si="7"/>
        <v>5769.8560802100001</v>
      </c>
      <c r="EA19" s="144">
        <f t="shared" si="7"/>
        <v>5868.0882146499998</v>
      </c>
      <c r="EB19" s="144">
        <f t="shared" si="7"/>
        <v>5926.7301499999994</v>
      </c>
      <c r="EC19" s="144">
        <f t="shared" si="7"/>
        <v>5970.9719999999998</v>
      </c>
      <c r="ED19" s="144">
        <f t="shared" si="7"/>
        <v>6041.5939481299993</v>
      </c>
      <c r="EE19" s="144">
        <f t="shared" si="7"/>
        <v>6102.4391066500002</v>
      </c>
      <c r="EF19" s="144">
        <f t="shared" si="7"/>
        <v>6134.8447602399992</v>
      </c>
      <c r="EG19" s="144">
        <f t="shared" si="7"/>
        <v>6160.5729461899991</v>
      </c>
      <c r="EH19" s="144">
        <f t="shared" si="7"/>
        <v>6246.3146799999995</v>
      </c>
      <c r="EI19" s="144">
        <f t="shared" si="7"/>
        <v>6300.9202911100001</v>
      </c>
      <c r="EJ19" s="144">
        <f t="shared" si="7"/>
        <v>6408.9907576099995</v>
      </c>
      <c r="EK19" s="144">
        <f t="shared" si="7"/>
        <v>6567.6</v>
      </c>
      <c r="EL19" s="144">
        <f t="shared" si="7"/>
        <v>6627.926915</v>
      </c>
      <c r="EM19" s="144">
        <f t="shared" si="7"/>
        <v>6698.6166149999999</v>
      </c>
      <c r="EN19" s="144">
        <f t="shared" si="7"/>
        <v>6755.8414250000005</v>
      </c>
      <c r="EO19" s="144">
        <f t="shared" si="8"/>
        <v>6817.7999999999993</v>
      </c>
      <c r="EP19" s="144">
        <f t="shared" si="8"/>
        <v>6898.5</v>
      </c>
      <c r="EQ19" s="144">
        <f t="shared" si="8"/>
        <v>7013.8026750000008</v>
      </c>
      <c r="ER19" s="175">
        <v>7101.0933080000004</v>
      </c>
      <c r="ES19" s="144">
        <f t="shared" si="9"/>
        <v>71676.861903020006</v>
      </c>
      <c r="ET19" s="144">
        <f t="shared" si="9"/>
        <v>71930.499999939988</v>
      </c>
      <c r="EU19" s="144">
        <f t="shared" si="9"/>
        <v>72120.499999919994</v>
      </c>
      <c r="EV19" s="144">
        <f t="shared" si="9"/>
        <v>72939.230183259991</v>
      </c>
      <c r="EW19" s="144">
        <f t="shared" si="9"/>
        <v>73498.507812569995</v>
      </c>
      <c r="EX19" s="144">
        <f t="shared" si="9"/>
        <v>73133</v>
      </c>
      <c r="EY19" s="144">
        <f t="shared" si="9"/>
        <v>73597</v>
      </c>
      <c r="EZ19" s="144">
        <f t="shared" si="9"/>
        <v>73889</v>
      </c>
      <c r="FA19" s="144">
        <f t="shared" si="9"/>
        <v>74181.439138999995</v>
      </c>
      <c r="FB19" s="144">
        <f t="shared" si="9"/>
        <v>74451.769539970002</v>
      </c>
      <c r="FC19" s="144">
        <f t="shared" si="9"/>
        <v>74675.100000000006</v>
      </c>
      <c r="FD19" s="144">
        <f t="shared" si="9"/>
        <v>75120.61</v>
      </c>
      <c r="FE19" s="144">
        <f t="shared" si="9"/>
        <v>75412.168957000002</v>
      </c>
      <c r="FF19" s="144">
        <f t="shared" si="9"/>
        <v>75815.150000000009</v>
      </c>
      <c r="FG19" s="144">
        <f t="shared" si="9"/>
        <v>76306.47</v>
      </c>
      <c r="FH19" s="144">
        <f t="shared" si="9"/>
        <v>76544.926630000016</v>
      </c>
      <c r="FI19" s="167">
        <v>76999</v>
      </c>
      <c r="FJ19" s="144">
        <f t="shared" si="15"/>
        <v>77400.897794990247</v>
      </c>
      <c r="FK19" s="144">
        <f t="shared" si="10"/>
        <v>84830.405693389999</v>
      </c>
      <c r="FL19" s="144">
        <f t="shared" si="10"/>
        <v>85326.12062151001</v>
      </c>
      <c r="FM19" s="144">
        <f t="shared" si="10"/>
        <v>85821.835549620009</v>
      </c>
      <c r="FN19" s="144">
        <f t="shared" si="10"/>
        <v>86624.718034969992</v>
      </c>
      <c r="FO19" s="144">
        <f t="shared" si="10"/>
        <v>87208.550876540001</v>
      </c>
      <c r="FP19" s="144">
        <f t="shared" si="10"/>
        <v>87193.681405939991</v>
      </c>
      <c r="FQ19" s="144">
        <f t="shared" si="10"/>
        <v>87647.69703553</v>
      </c>
      <c r="FR19" s="144">
        <f t="shared" si="10"/>
        <v>87882.27</v>
      </c>
      <c r="FS19" s="144">
        <f t="shared" si="10"/>
        <v>88082.643000000011</v>
      </c>
      <c r="FT19" s="144">
        <f t="shared" si="10"/>
        <v>88201</v>
      </c>
      <c r="FU19" s="144">
        <f t="shared" si="10"/>
        <v>88808</v>
      </c>
      <c r="FV19" s="144">
        <f t="shared" si="10"/>
        <v>88971</v>
      </c>
      <c r="FW19" s="144">
        <f t="shared" si="10"/>
        <v>89311</v>
      </c>
      <c r="FX19" s="144">
        <f t="shared" si="10"/>
        <v>89298</v>
      </c>
      <c r="FY19" s="144">
        <f t="shared" si="10"/>
        <v>89416</v>
      </c>
      <c r="FZ19" s="144">
        <f t="shared" si="10"/>
        <v>89608</v>
      </c>
      <c r="GA19" s="167">
        <v>90006</v>
      </c>
      <c r="GB19" s="144">
        <f t="shared" si="16"/>
        <v>90180.593415993499</v>
      </c>
      <c r="GC19" s="144">
        <f t="shared" si="11"/>
        <v>41507.07</v>
      </c>
      <c r="GD19" s="144">
        <f t="shared" si="11"/>
        <v>41835.892999999996</v>
      </c>
      <c r="GE19" s="144">
        <f t="shared" si="11"/>
        <v>42110.843000000001</v>
      </c>
      <c r="GF19" s="144">
        <f t="shared" si="11"/>
        <v>42711.531000000003</v>
      </c>
      <c r="GG19" s="144">
        <f t="shared" si="11"/>
        <v>42968.714999999997</v>
      </c>
      <c r="GH19" s="144">
        <f t="shared" si="11"/>
        <v>43213.931000000004</v>
      </c>
      <c r="GI19" s="144">
        <f t="shared" si="11"/>
        <v>43702.130999999994</v>
      </c>
      <c r="GJ19" s="144">
        <f t="shared" si="11"/>
        <v>43799.926999999996</v>
      </c>
      <c r="GK19" s="144">
        <f t="shared" si="11"/>
        <v>44233.045791259996</v>
      </c>
      <c r="GL19" s="144">
        <f t="shared" si="11"/>
        <v>44327.203980980004</v>
      </c>
      <c r="GM19" s="144">
        <f t="shared" si="11"/>
        <v>44681.30605698</v>
      </c>
      <c r="GN19" s="144">
        <f t="shared" si="11"/>
        <v>44885.44428797</v>
      </c>
      <c r="GO19" s="144">
        <f t="shared" si="11"/>
        <v>45092.59</v>
      </c>
      <c r="GP19" s="144">
        <f t="shared" si="11"/>
        <v>45472.429999999993</v>
      </c>
      <c r="GQ19" s="144">
        <f t="shared" si="11"/>
        <v>45712.09</v>
      </c>
      <c r="GR19" s="144">
        <f t="shared" si="11"/>
        <v>45856.719778999759</v>
      </c>
      <c r="GS19" s="167">
        <v>46042.753504999404</v>
      </c>
      <c r="GT19" s="144">
        <f t="shared" si="17"/>
        <v>46283.40637453564</v>
      </c>
      <c r="GU19" s="144">
        <f t="shared" si="12"/>
        <v>21209.899999999998</v>
      </c>
      <c r="GV19" s="144">
        <f t="shared" si="12"/>
        <v>21210.1</v>
      </c>
      <c r="GW19" s="144">
        <f t="shared" si="12"/>
        <v>21210.1</v>
      </c>
      <c r="GX19" s="144">
        <f t="shared" si="12"/>
        <v>21267.8</v>
      </c>
      <c r="GY19" s="144">
        <f t="shared" si="12"/>
        <v>21631.7</v>
      </c>
      <c r="GZ19" s="144">
        <f t="shared" si="12"/>
        <v>22027.100000000002</v>
      </c>
      <c r="HA19" s="144">
        <f t="shared" si="12"/>
        <v>22222.1</v>
      </c>
      <c r="HB19" s="144">
        <f t="shared" si="12"/>
        <v>22335.9</v>
      </c>
      <c r="HC19" s="144">
        <f t="shared" si="12"/>
        <v>22495.899999999998</v>
      </c>
      <c r="HD19" s="144">
        <f t="shared" si="12"/>
        <v>22629.244999999999</v>
      </c>
      <c r="HE19" s="144">
        <f t="shared" si="12"/>
        <v>22681.082999999999</v>
      </c>
      <c r="HF19" s="144">
        <f t="shared" si="12"/>
        <v>22725.012999999999</v>
      </c>
      <c r="HG19" s="144">
        <f t="shared" si="12"/>
        <v>22767.252</v>
      </c>
      <c r="HH19" s="144">
        <f t="shared" si="12"/>
        <v>22862.294399999984</v>
      </c>
      <c r="HI19" s="144">
        <f t="shared" si="12"/>
        <v>22911.734</v>
      </c>
      <c r="HJ19" s="144">
        <f t="shared" si="12"/>
        <v>22657.282275000009</v>
      </c>
      <c r="HK19" s="167">
        <v>22545.114685664965</v>
      </c>
      <c r="HL19" s="167">
        <v>22861.504915560003</v>
      </c>
      <c r="HM19" s="144">
        <f t="shared" si="13"/>
        <v>12384</v>
      </c>
      <c r="HN19" s="144">
        <f t="shared" si="13"/>
        <v>12476.3</v>
      </c>
      <c r="HO19" s="144">
        <f t="shared" si="13"/>
        <v>12582.7</v>
      </c>
      <c r="HP19" s="144">
        <f t="shared" si="13"/>
        <v>12537.5</v>
      </c>
      <c r="HQ19" s="144">
        <f t="shared" si="13"/>
        <v>12644.400000000001</v>
      </c>
      <c r="HR19" s="144">
        <f t="shared" si="13"/>
        <v>12725.4</v>
      </c>
      <c r="HS19" s="144">
        <f t="shared" si="13"/>
        <v>12817.6</v>
      </c>
      <c r="HT19" s="144">
        <f t="shared" si="13"/>
        <v>12834.7</v>
      </c>
      <c r="HU19" s="144">
        <f t="shared" si="13"/>
        <v>12823.414999999999</v>
      </c>
      <c r="HV19" s="144">
        <f t="shared" si="13"/>
        <v>12873.2217655</v>
      </c>
      <c r="HW19" s="144">
        <f t="shared" si="13"/>
        <v>12875.46695939</v>
      </c>
      <c r="HX19" s="144">
        <f t="shared" si="13"/>
        <v>13342.25</v>
      </c>
      <c r="HY19" s="144">
        <f t="shared" si="13"/>
        <v>13381.789999999999</v>
      </c>
      <c r="HZ19" s="144">
        <f t="shared" si="13"/>
        <v>13407.810000000001</v>
      </c>
      <c r="IA19" s="144">
        <f t="shared" si="13"/>
        <v>13426.19</v>
      </c>
      <c r="IB19" s="144">
        <f t="shared" si="13"/>
        <v>13452.5</v>
      </c>
      <c r="IC19" s="167">
        <v>13474.86</v>
      </c>
      <c r="ID19" s="144">
        <f>IC19*(POWER($IC19/$HY19,1/4))</f>
        <v>13498.228465209928</v>
      </c>
    </row>
    <row r="20" spans="1:239" s="146" customFormat="1" ht="13.7" customHeight="1">
      <c r="A20" s="143" t="s">
        <v>517</v>
      </c>
      <c r="B20" s="143" t="s">
        <v>518</v>
      </c>
      <c r="C20" s="144">
        <f t="shared" si="0"/>
        <v>630.12</v>
      </c>
      <c r="D20" s="144">
        <f t="shared" si="0"/>
        <v>610.67999999999995</v>
      </c>
      <c r="E20" s="144">
        <f t="shared" si="0"/>
        <v>625.12800000000004</v>
      </c>
      <c r="F20" s="144">
        <f t="shared" si="0"/>
        <v>615.16800000000001</v>
      </c>
      <c r="G20" s="144">
        <f t="shared" si="0"/>
        <v>617.76</v>
      </c>
      <c r="H20" s="144">
        <f t="shared" si="0"/>
        <v>620.80999999999995</v>
      </c>
      <c r="I20" s="144">
        <f t="shared" si="0"/>
        <v>701.69200000000001</v>
      </c>
      <c r="J20" s="144">
        <f t="shared" si="0"/>
        <v>697.803</v>
      </c>
      <c r="K20" s="144">
        <f t="shared" si="0"/>
        <v>669.9</v>
      </c>
      <c r="L20" s="144">
        <f t="shared" si="0"/>
        <v>732.70697600000005</v>
      </c>
      <c r="M20" s="144">
        <f t="shared" si="0"/>
        <v>669.24163599999997</v>
      </c>
      <c r="N20" s="144">
        <f t="shared" si="0"/>
        <v>688.47449600000004</v>
      </c>
      <c r="O20" s="144">
        <f t="shared" si="0"/>
        <v>811.79406800000004</v>
      </c>
      <c r="P20" s="144">
        <f t="shared" si="0"/>
        <v>690.50609599999996</v>
      </c>
      <c r="Q20" s="144">
        <f t="shared" si="0"/>
        <v>778.779312</v>
      </c>
      <c r="R20" s="144">
        <f t="shared" si="0"/>
        <v>844.33233329999996</v>
      </c>
      <c r="S20" s="144">
        <f t="shared" si="0"/>
        <v>871</v>
      </c>
      <c r="T20" s="175">
        <v>1029.5</v>
      </c>
      <c r="U20" s="144">
        <f t="shared" si="1"/>
        <v>6109.7635600000003</v>
      </c>
      <c r="V20" s="144">
        <f t="shared" si="1"/>
        <v>6019.4088400000001</v>
      </c>
      <c r="W20" s="144">
        <f t="shared" si="1"/>
        <v>6280.2569100000001</v>
      </c>
      <c r="X20" s="144">
        <f t="shared" si="1"/>
        <v>6372.643</v>
      </c>
      <c r="Y20" s="144">
        <f t="shared" si="1"/>
        <v>6305.1046800000004</v>
      </c>
      <c r="Z20" s="144">
        <f t="shared" si="1"/>
        <v>6555.2656999999999</v>
      </c>
      <c r="AA20" s="144">
        <f t="shared" si="1"/>
        <v>5958.1553700000004</v>
      </c>
      <c r="AB20" s="144">
        <f t="shared" si="1"/>
        <v>6004.79190406</v>
      </c>
      <c r="AC20" s="144">
        <f t="shared" si="1"/>
        <v>5165.4497899999997</v>
      </c>
      <c r="AD20" s="144">
        <f t="shared" si="1"/>
        <v>5367.3402900000001</v>
      </c>
      <c r="AE20" s="144">
        <f t="shared" si="1"/>
        <v>5798.3421600000001</v>
      </c>
      <c r="AF20" s="144">
        <f t="shared" si="1"/>
        <v>6226.4351800000004</v>
      </c>
      <c r="AG20" s="144">
        <f t="shared" si="1"/>
        <v>5767</v>
      </c>
      <c r="AH20" s="144">
        <f t="shared" si="1"/>
        <v>5931</v>
      </c>
      <c r="AI20" s="144">
        <f t="shared" si="1"/>
        <v>6011</v>
      </c>
      <c r="AJ20" s="144">
        <f t="shared" si="1"/>
        <v>5664</v>
      </c>
      <c r="AK20" s="144">
        <f t="shared" si="1"/>
        <v>5578</v>
      </c>
      <c r="AL20" s="175">
        <v>5304</v>
      </c>
      <c r="AM20" s="144">
        <f t="shared" si="2"/>
        <v>1311.96</v>
      </c>
      <c r="AN20" s="144">
        <f t="shared" si="2"/>
        <v>1348.64</v>
      </c>
      <c r="AO20" s="144">
        <f t="shared" si="2"/>
        <v>1410.96</v>
      </c>
      <c r="AP20" s="144">
        <f t="shared" si="2"/>
        <v>1448.8</v>
      </c>
      <c r="AQ20" s="144">
        <f t="shared" si="2"/>
        <v>1389.2</v>
      </c>
      <c r="AR20" s="144">
        <f t="shared" si="2"/>
        <v>1432.5</v>
      </c>
      <c r="AS20" s="144">
        <f t="shared" si="2"/>
        <v>1358.8</v>
      </c>
      <c r="AT20" s="144">
        <f t="shared" si="2"/>
        <v>1447.9</v>
      </c>
      <c r="AU20" s="144">
        <f t="shared" si="2"/>
        <v>1439.32</v>
      </c>
      <c r="AV20" s="144">
        <f t="shared" si="2"/>
        <v>1244.1674392</v>
      </c>
      <c r="AW20" s="144">
        <f t="shared" si="2"/>
        <v>1373</v>
      </c>
      <c r="AX20" s="144">
        <f t="shared" si="2"/>
        <v>1478</v>
      </c>
      <c r="AY20" s="144">
        <f t="shared" si="2"/>
        <v>1527.7799520000001</v>
      </c>
      <c r="AZ20" s="144">
        <f t="shared" si="2"/>
        <v>1484</v>
      </c>
      <c r="BA20" s="144">
        <f t="shared" si="2"/>
        <v>1542</v>
      </c>
      <c r="BB20" s="144">
        <f t="shared" si="2"/>
        <v>1276</v>
      </c>
      <c r="BC20" s="167">
        <v>1337.27</v>
      </c>
      <c r="BD20" s="145"/>
      <c r="BE20" s="144">
        <f t="shared" si="3"/>
        <v>3779.0286552100001</v>
      </c>
      <c r="BF20" s="144">
        <f t="shared" si="3"/>
        <v>3704.4117377299999</v>
      </c>
      <c r="BG20" s="144">
        <f t="shared" si="3"/>
        <v>3690.1265355</v>
      </c>
      <c r="BH20" s="144">
        <f t="shared" si="3"/>
        <v>4004.2594068600001</v>
      </c>
      <c r="BI20" s="144">
        <f t="shared" si="3"/>
        <v>3928.5643727000001</v>
      </c>
      <c r="BJ20" s="144">
        <f t="shared" si="3"/>
        <v>4162.0593220700002</v>
      </c>
      <c r="BK20" s="144">
        <f t="shared" si="3"/>
        <v>3377.31322821</v>
      </c>
      <c r="BL20" s="144">
        <f t="shared" si="3"/>
        <v>3825.0089998899998</v>
      </c>
      <c r="BM20" s="144">
        <f t="shared" si="3"/>
        <v>3361.1572785799999</v>
      </c>
      <c r="BN20" s="144">
        <f t="shared" si="3"/>
        <v>3592.95984146</v>
      </c>
      <c r="BO20" s="144">
        <f t="shared" si="3"/>
        <v>4096.74707253</v>
      </c>
      <c r="BP20" s="144">
        <f t="shared" si="3"/>
        <v>4344.0417028000002</v>
      </c>
      <c r="BQ20" s="144">
        <f t="shared" si="3"/>
        <v>4007.2025363243602</v>
      </c>
      <c r="BR20" s="144">
        <f t="shared" si="3"/>
        <v>4159.4866072986497</v>
      </c>
      <c r="BS20" s="144">
        <f t="shared" si="3"/>
        <v>4260.7803490849383</v>
      </c>
      <c r="BT20" s="144">
        <f t="shared" si="3"/>
        <v>3830.1281528971499</v>
      </c>
      <c r="BU20" s="167">
        <v>3691.4720000000002</v>
      </c>
      <c r="BV20" s="176">
        <v>4041.542187</v>
      </c>
      <c r="BW20" s="144">
        <f t="shared" si="4"/>
        <v>4225.3853993399998</v>
      </c>
      <c r="BX20" s="144">
        <f t="shared" si="4"/>
        <v>4618</v>
      </c>
      <c r="BY20" s="144">
        <f t="shared" si="4"/>
        <v>4796.7614080399999</v>
      </c>
      <c r="BZ20" s="144">
        <f t="shared" si="4"/>
        <v>5027.5095144200004</v>
      </c>
      <c r="CA20" s="144">
        <f t="shared" si="4"/>
        <v>5297.7098321900003</v>
      </c>
      <c r="CB20" s="144">
        <f t="shared" si="4"/>
        <v>5048.7678794800004</v>
      </c>
      <c r="CC20" s="144">
        <f t="shared" si="4"/>
        <v>4633.7388400999998</v>
      </c>
      <c r="CD20" s="144">
        <f t="shared" si="4"/>
        <v>4685.88684844</v>
      </c>
      <c r="CE20" s="144">
        <f t="shared" si="4"/>
        <v>4518.2367792100003</v>
      </c>
      <c r="CF20" s="144">
        <f t="shared" si="4"/>
        <v>4744.3609999999999</v>
      </c>
      <c r="CG20" s="144">
        <f t="shared" si="4"/>
        <v>4807.4521409600002</v>
      </c>
      <c r="CH20" s="144">
        <f t="shared" si="4"/>
        <v>5047.2200098000003</v>
      </c>
      <c r="CI20" s="144">
        <f t="shared" si="4"/>
        <v>5083.9193487167395</v>
      </c>
      <c r="CJ20" s="144">
        <f t="shared" si="4"/>
        <v>5216.25</v>
      </c>
      <c r="CK20" s="144">
        <f t="shared" si="4"/>
        <v>5336</v>
      </c>
      <c r="CL20" s="144">
        <f t="shared" si="4"/>
        <v>4838</v>
      </c>
      <c r="CM20" s="144">
        <f t="shared" si="4"/>
        <v>5576</v>
      </c>
      <c r="CN20" s="167">
        <v>5490</v>
      </c>
      <c r="CO20" s="144">
        <f t="shared" si="5"/>
        <v>2804.212</v>
      </c>
      <c r="CP20" s="144">
        <f t="shared" si="5"/>
        <v>2851.5990000000002</v>
      </c>
      <c r="CQ20" s="144">
        <f t="shared" si="5"/>
        <v>3078.596</v>
      </c>
      <c r="CR20" s="144">
        <f t="shared" si="5"/>
        <v>3040.864</v>
      </c>
      <c r="CS20" s="144">
        <f t="shared" si="5"/>
        <v>3238.0459999999998</v>
      </c>
      <c r="CT20" s="144">
        <f t="shared" si="5"/>
        <v>3057.3649999999998</v>
      </c>
      <c r="CU20" s="144">
        <f t="shared" si="5"/>
        <v>3212.5889999999999</v>
      </c>
      <c r="CV20" s="144">
        <f t="shared" si="5"/>
        <v>3149.4879999999998</v>
      </c>
      <c r="CW20" s="144">
        <f t="shared" si="5"/>
        <v>3083.3670000000002</v>
      </c>
      <c r="CX20" s="144">
        <f t="shared" si="5"/>
        <v>3113.0050005899998</v>
      </c>
      <c r="CY20" s="144">
        <f t="shared" si="5"/>
        <v>3060.09299087</v>
      </c>
      <c r="CZ20" s="144">
        <f t="shared" si="5"/>
        <v>3152.9</v>
      </c>
      <c r="DA20" s="144">
        <f t="shared" si="5"/>
        <v>3091.36</v>
      </c>
      <c r="DB20" s="144">
        <f t="shared" si="5"/>
        <v>3108.277</v>
      </c>
      <c r="DC20" s="144">
        <f t="shared" si="5"/>
        <v>2976</v>
      </c>
      <c r="DD20" s="144">
        <f t="shared" si="5"/>
        <v>2962</v>
      </c>
      <c r="DE20" s="144">
        <f t="shared" si="5"/>
        <v>3046</v>
      </c>
      <c r="DF20" s="167">
        <v>2937</v>
      </c>
      <c r="DG20" s="144">
        <f t="shared" si="6"/>
        <v>2473.79407167</v>
      </c>
      <c r="DH20" s="144">
        <f t="shared" si="6"/>
        <v>2586.2495781600001</v>
      </c>
      <c r="DI20" s="144">
        <f t="shared" si="6"/>
        <v>2558.21198774</v>
      </c>
      <c r="DJ20" s="144">
        <f t="shared" si="6"/>
        <v>2589.0927531799998</v>
      </c>
      <c r="DK20" s="144">
        <f t="shared" si="6"/>
        <v>2589.9727824299998</v>
      </c>
      <c r="DL20" s="144">
        <f t="shared" si="6"/>
        <v>2541.78606124</v>
      </c>
      <c r="DM20" s="144">
        <f t="shared" si="6"/>
        <v>2462.9661823699998</v>
      </c>
      <c r="DN20" s="144">
        <f t="shared" si="6"/>
        <v>2562.8678676899999</v>
      </c>
      <c r="DO20" s="144">
        <f t="shared" si="6"/>
        <v>2967.8844979999999</v>
      </c>
      <c r="DP20" s="144">
        <f t="shared" si="6"/>
        <v>2724.0675080000001</v>
      </c>
      <c r="DQ20" s="144">
        <f t="shared" si="6"/>
        <v>2847.7780039999998</v>
      </c>
      <c r="DR20" s="144">
        <f t="shared" si="6"/>
        <v>2964.6780480000002</v>
      </c>
      <c r="DS20" s="144">
        <f t="shared" si="6"/>
        <v>2965</v>
      </c>
      <c r="DT20" s="144">
        <f t="shared" si="6"/>
        <v>3031</v>
      </c>
      <c r="DU20" s="144">
        <f t="shared" si="6"/>
        <v>2994</v>
      </c>
      <c r="DV20" s="144">
        <f t="shared" si="6"/>
        <v>3011</v>
      </c>
      <c r="DW20" s="144">
        <f t="shared" si="6"/>
        <v>3080</v>
      </c>
      <c r="DX20" s="176">
        <v>3037</v>
      </c>
      <c r="DY20" s="144">
        <f t="shared" si="7"/>
        <v>836.98500799999999</v>
      </c>
      <c r="DZ20" s="144">
        <f t="shared" si="7"/>
        <v>901.72535600000003</v>
      </c>
      <c r="EA20" s="144">
        <f t="shared" si="7"/>
        <v>958.34431600000005</v>
      </c>
      <c r="EB20" s="144">
        <f t="shared" si="7"/>
        <v>1019.66512</v>
      </c>
      <c r="EC20" s="144">
        <f t="shared" si="7"/>
        <v>993.45596399999999</v>
      </c>
      <c r="ED20" s="144">
        <f t="shared" si="7"/>
        <v>1017.041108</v>
      </c>
      <c r="EE20" s="144">
        <f t="shared" si="7"/>
        <v>892.449252</v>
      </c>
      <c r="EF20" s="144">
        <f t="shared" si="7"/>
        <v>977</v>
      </c>
      <c r="EG20" s="144">
        <f t="shared" si="7"/>
        <v>1013.2929901</v>
      </c>
      <c r="EH20" s="144">
        <f t="shared" si="7"/>
        <v>876.42929976000005</v>
      </c>
      <c r="EI20" s="144">
        <f t="shared" si="7"/>
        <v>987.00584000000003</v>
      </c>
      <c r="EJ20" s="144">
        <f t="shared" si="7"/>
        <v>956.53558655999996</v>
      </c>
      <c r="EK20" s="144">
        <f t="shared" si="7"/>
        <v>982.80725600000005</v>
      </c>
      <c r="EL20" s="144">
        <f t="shared" si="7"/>
        <v>1026.0431919615999</v>
      </c>
      <c r="EM20" s="144">
        <f t="shared" si="7"/>
        <v>1050.4283640000001</v>
      </c>
      <c r="EN20" s="144">
        <f t="shared" si="7"/>
        <v>947.88464399999998</v>
      </c>
      <c r="EO20" s="144">
        <f t="shared" si="8"/>
        <v>993.43737799999997</v>
      </c>
      <c r="EP20" s="144">
        <f t="shared" si="8"/>
        <v>1024.4343183891101</v>
      </c>
      <c r="EQ20" s="144">
        <f t="shared" si="8"/>
        <v>1101.0564443999999</v>
      </c>
      <c r="ER20" s="175">
        <v>1138.9999704000002</v>
      </c>
      <c r="ES20" s="144">
        <f t="shared" si="9"/>
        <v>2069.6999999999998</v>
      </c>
      <c r="ET20" s="144">
        <f t="shared" si="9"/>
        <v>2183.549</v>
      </c>
      <c r="EU20" s="144">
        <f t="shared" si="9"/>
        <v>2313.63</v>
      </c>
      <c r="EV20" s="144">
        <f t="shared" si="9"/>
        <v>2516.69</v>
      </c>
      <c r="EW20" s="144">
        <f t="shared" si="9"/>
        <v>2446.64</v>
      </c>
      <c r="EX20" s="144">
        <f t="shared" si="9"/>
        <v>2383.48</v>
      </c>
      <c r="EY20" s="144">
        <f t="shared" si="9"/>
        <v>2267.0300000000002</v>
      </c>
      <c r="EZ20" s="144">
        <f t="shared" si="9"/>
        <v>2413.48</v>
      </c>
      <c r="FA20" s="144">
        <f t="shared" si="9"/>
        <v>2571.31</v>
      </c>
      <c r="FB20" s="144">
        <f t="shared" si="9"/>
        <v>2301.43869</v>
      </c>
      <c r="FC20" s="144">
        <f t="shared" si="9"/>
        <v>2524</v>
      </c>
      <c r="FD20" s="144">
        <f t="shared" si="9"/>
        <v>2505</v>
      </c>
      <c r="FE20" s="144">
        <f t="shared" si="9"/>
        <v>2614.17022</v>
      </c>
      <c r="FF20" s="144">
        <f t="shared" si="9"/>
        <v>2626</v>
      </c>
      <c r="FG20" s="144">
        <f t="shared" si="9"/>
        <v>2679</v>
      </c>
      <c r="FH20" s="144">
        <f t="shared" si="9"/>
        <v>2349</v>
      </c>
      <c r="FI20" s="167">
        <v>2540.89</v>
      </c>
      <c r="FJ20" s="145"/>
      <c r="FK20" s="144">
        <f t="shared" si="10"/>
        <v>2765.2886760000001</v>
      </c>
      <c r="FL20" s="144">
        <f t="shared" si="10"/>
        <v>2746.0278239999998</v>
      </c>
      <c r="FM20" s="144">
        <f t="shared" si="10"/>
        <v>2959.9079360000001</v>
      </c>
      <c r="FN20" s="144">
        <f t="shared" si="10"/>
        <v>3192.7919959999999</v>
      </c>
      <c r="FO20" s="144">
        <f t="shared" si="10"/>
        <v>3096.2725460000001</v>
      </c>
      <c r="FP20" s="144">
        <f t="shared" si="10"/>
        <v>3096.3392140000001</v>
      </c>
      <c r="FQ20" s="144">
        <f t="shared" si="10"/>
        <v>2768.2162320000002</v>
      </c>
      <c r="FR20" s="144">
        <f t="shared" si="10"/>
        <v>2902.2357059999999</v>
      </c>
      <c r="FS20" s="144">
        <f t="shared" si="10"/>
        <v>3048.9762519999999</v>
      </c>
      <c r="FT20" s="144">
        <f t="shared" si="10"/>
        <v>2746.4357559999999</v>
      </c>
      <c r="FU20" s="144">
        <f t="shared" si="10"/>
        <v>2775.961812</v>
      </c>
      <c r="FV20" s="144">
        <f t="shared" si="10"/>
        <v>2939.338526</v>
      </c>
      <c r="FW20" s="144">
        <f t="shared" si="10"/>
        <v>2787.5683640000002</v>
      </c>
      <c r="FX20" s="144">
        <f t="shared" si="10"/>
        <v>3118</v>
      </c>
      <c r="FY20" s="144">
        <f t="shared" si="10"/>
        <v>2947.15663</v>
      </c>
      <c r="FZ20" s="144">
        <f t="shared" si="10"/>
        <v>2673</v>
      </c>
      <c r="GA20" s="167">
        <v>2530.2125999999998</v>
      </c>
      <c r="GB20" s="145"/>
      <c r="GC20" s="144">
        <f t="shared" si="11"/>
        <v>1616.768</v>
      </c>
      <c r="GD20" s="144">
        <f t="shared" si="11"/>
        <v>1689.1969999999999</v>
      </c>
      <c r="GE20" s="144">
        <f t="shared" si="11"/>
        <v>1801.394</v>
      </c>
      <c r="GF20" s="144">
        <f t="shared" si="11"/>
        <v>1930.99232807</v>
      </c>
      <c r="GG20" s="144">
        <f t="shared" si="11"/>
        <v>1937.704264</v>
      </c>
      <c r="GH20" s="144">
        <f t="shared" si="11"/>
        <v>1838.472352</v>
      </c>
      <c r="GI20" s="144">
        <f t="shared" si="11"/>
        <v>1793.255484</v>
      </c>
      <c r="GJ20" s="144">
        <f t="shared" si="11"/>
        <v>1881.4148680000001</v>
      </c>
      <c r="GK20" s="144">
        <f t="shared" si="11"/>
        <v>1942.955156</v>
      </c>
      <c r="GL20" s="144">
        <f t="shared" si="11"/>
        <v>1816.759</v>
      </c>
      <c r="GM20" s="144">
        <f t="shared" si="11"/>
        <v>1951.7954540000001</v>
      </c>
      <c r="GN20" s="144">
        <f t="shared" si="11"/>
        <v>1942.0717212</v>
      </c>
      <c r="GO20" s="144">
        <f t="shared" si="11"/>
        <v>1942.1035879999999</v>
      </c>
      <c r="GP20" s="144">
        <f t="shared" si="11"/>
        <v>2026.9370560000002</v>
      </c>
      <c r="GQ20" s="144">
        <f t="shared" si="11"/>
        <v>2114.9357599999998</v>
      </c>
      <c r="GR20" s="144">
        <f t="shared" si="11"/>
        <v>1876.6215480000001</v>
      </c>
      <c r="GS20" s="167">
        <v>1988.4895481999999</v>
      </c>
      <c r="GT20" s="145"/>
      <c r="GU20" s="144">
        <f t="shared" si="12"/>
        <v>1063</v>
      </c>
      <c r="GV20" s="144">
        <f t="shared" si="12"/>
        <v>1148</v>
      </c>
      <c r="GW20" s="144">
        <f t="shared" si="12"/>
        <v>1154</v>
      </c>
      <c r="GX20" s="144">
        <f t="shared" si="12"/>
        <v>1134</v>
      </c>
      <c r="GY20" s="144">
        <f t="shared" si="12"/>
        <v>1111</v>
      </c>
      <c r="GZ20" s="144">
        <f t="shared" si="12"/>
        <v>1082</v>
      </c>
      <c r="HA20" s="144">
        <f t="shared" si="12"/>
        <v>1042</v>
      </c>
      <c r="HB20" s="144">
        <f t="shared" si="12"/>
        <v>1022</v>
      </c>
      <c r="HC20" s="144">
        <f t="shared" si="12"/>
        <v>1052.3589992</v>
      </c>
      <c r="HD20" s="144">
        <f t="shared" si="12"/>
        <v>1044.250546</v>
      </c>
      <c r="HE20" s="144">
        <f t="shared" si="12"/>
        <v>1075.038816</v>
      </c>
      <c r="HF20" s="144">
        <f t="shared" si="12"/>
        <v>1064.268376</v>
      </c>
      <c r="HG20" s="144">
        <f t="shared" si="12"/>
        <v>1064.7223899999999</v>
      </c>
      <c r="HH20" s="144">
        <f t="shared" si="12"/>
        <v>1026.4160747088699</v>
      </c>
      <c r="HI20" s="144">
        <f t="shared" si="12"/>
        <v>1079.383921874</v>
      </c>
      <c r="HJ20" s="144">
        <f t="shared" si="12"/>
        <v>1096.5808899040001</v>
      </c>
      <c r="HK20" s="167">
        <v>1073.6078374000001</v>
      </c>
      <c r="HL20" s="176">
        <v>1113.2865787589997</v>
      </c>
      <c r="HM20" s="144">
        <f t="shared" si="13"/>
        <v>1724.0199811800001</v>
      </c>
      <c r="HN20" s="144">
        <f t="shared" si="13"/>
        <v>1819.64476949</v>
      </c>
      <c r="HO20" s="144">
        <f t="shared" si="13"/>
        <v>1949.3399704399999</v>
      </c>
      <c r="HP20" s="144">
        <f t="shared" si="13"/>
        <v>2136.74219451</v>
      </c>
      <c r="HQ20" s="144">
        <f t="shared" si="13"/>
        <v>2038.7711396</v>
      </c>
      <c r="HR20" s="144">
        <f t="shared" si="13"/>
        <v>1975.2444353599999</v>
      </c>
      <c r="HS20" s="144">
        <f t="shared" si="13"/>
        <v>1814.848504</v>
      </c>
      <c r="HT20" s="144">
        <f t="shared" si="13"/>
        <v>2037.0437320000001</v>
      </c>
      <c r="HU20" s="144">
        <f t="shared" si="13"/>
        <v>2142.611222</v>
      </c>
      <c r="HV20" s="144">
        <f t="shared" si="13"/>
        <v>1823.9849107800001</v>
      </c>
      <c r="HW20" s="144">
        <f t="shared" si="13"/>
        <v>2008.7</v>
      </c>
      <c r="HX20" s="144">
        <f t="shared" si="13"/>
        <v>1989.64</v>
      </c>
      <c r="HY20" s="144">
        <f t="shared" si="13"/>
        <v>2060.1515262197099</v>
      </c>
      <c r="HZ20" s="144">
        <f t="shared" si="13"/>
        <v>2103.748</v>
      </c>
      <c r="IA20" s="144">
        <f t="shared" si="13"/>
        <v>2102.9459999999999</v>
      </c>
      <c r="IB20" s="144">
        <f t="shared" si="13"/>
        <v>1797.973</v>
      </c>
      <c r="IC20" s="167">
        <v>1888.2280000000001</v>
      </c>
      <c r="ID20" s="145"/>
    </row>
    <row r="21" spans="1:239" s="146" customFormat="1" ht="13.7" customHeight="1">
      <c r="A21" s="143" t="s">
        <v>896</v>
      </c>
      <c r="B21" s="143" t="s">
        <v>518</v>
      </c>
      <c r="C21" s="144">
        <f>C20</f>
        <v>630.12</v>
      </c>
      <c r="D21" s="144">
        <f t="shared" ref="D21:T21" si="18">MAX(D20, C21)</f>
        <v>630.12</v>
      </c>
      <c r="E21" s="144">
        <f t="shared" si="18"/>
        <v>630.12</v>
      </c>
      <c r="F21" s="144">
        <f t="shared" si="18"/>
        <v>630.12</v>
      </c>
      <c r="G21" s="144">
        <f t="shared" si="18"/>
        <v>630.12</v>
      </c>
      <c r="H21" s="144">
        <f t="shared" si="18"/>
        <v>630.12</v>
      </c>
      <c r="I21" s="144">
        <f t="shared" si="18"/>
        <v>701.69200000000001</v>
      </c>
      <c r="J21" s="144">
        <f t="shared" si="18"/>
        <v>701.69200000000001</v>
      </c>
      <c r="K21" s="144">
        <f t="shared" si="18"/>
        <v>701.69200000000001</v>
      </c>
      <c r="L21" s="144">
        <f t="shared" si="18"/>
        <v>732.70697600000005</v>
      </c>
      <c r="M21" s="144">
        <f t="shared" si="18"/>
        <v>732.70697600000005</v>
      </c>
      <c r="N21" s="144">
        <f t="shared" si="18"/>
        <v>732.70697600000005</v>
      </c>
      <c r="O21" s="144">
        <f t="shared" si="18"/>
        <v>811.79406800000004</v>
      </c>
      <c r="P21" s="144">
        <f t="shared" si="18"/>
        <v>811.79406800000004</v>
      </c>
      <c r="Q21" s="144">
        <f t="shared" si="18"/>
        <v>811.79406800000004</v>
      </c>
      <c r="R21" s="144">
        <f t="shared" si="18"/>
        <v>844.33233329999996</v>
      </c>
      <c r="S21" s="144">
        <f t="shared" si="18"/>
        <v>871</v>
      </c>
      <c r="T21" s="144">
        <f t="shared" si="18"/>
        <v>1029.5</v>
      </c>
      <c r="U21" s="144">
        <f>U20</f>
        <v>6109.7635600000003</v>
      </c>
      <c r="V21" s="144">
        <f>MAX(V20, U21)</f>
        <v>6109.7635600000003</v>
      </c>
      <c r="W21" s="144">
        <f t="shared" ref="W21:AK21" si="19">MAX(W20, V21)</f>
        <v>6280.2569100000001</v>
      </c>
      <c r="X21" s="144">
        <f t="shared" si="19"/>
        <v>6372.643</v>
      </c>
      <c r="Y21" s="144">
        <f t="shared" si="19"/>
        <v>6372.643</v>
      </c>
      <c r="Z21" s="144">
        <f t="shared" si="19"/>
        <v>6555.2656999999999</v>
      </c>
      <c r="AA21" s="144">
        <f t="shared" si="19"/>
        <v>6555.2656999999999</v>
      </c>
      <c r="AB21" s="144">
        <f t="shared" si="19"/>
        <v>6555.2656999999999</v>
      </c>
      <c r="AC21" s="144">
        <f t="shared" si="19"/>
        <v>6555.2656999999999</v>
      </c>
      <c r="AD21" s="144">
        <f t="shared" si="19"/>
        <v>6555.2656999999999</v>
      </c>
      <c r="AE21" s="144">
        <f t="shared" si="19"/>
        <v>6555.2656999999999</v>
      </c>
      <c r="AF21" s="144">
        <f t="shared" si="19"/>
        <v>6555.2656999999999</v>
      </c>
      <c r="AG21" s="144">
        <f t="shared" si="19"/>
        <v>6555.2656999999999</v>
      </c>
      <c r="AH21" s="144">
        <f t="shared" si="19"/>
        <v>6555.2656999999999</v>
      </c>
      <c r="AI21" s="144">
        <f t="shared" si="19"/>
        <v>6555.2656999999999</v>
      </c>
      <c r="AJ21" s="144">
        <f t="shared" si="19"/>
        <v>6555.2656999999999</v>
      </c>
      <c r="AK21" s="144">
        <f t="shared" si="19"/>
        <v>6555.2656999999999</v>
      </c>
      <c r="AL21" s="144">
        <f>MAX(AK21,AL20)</f>
        <v>6555.2656999999999</v>
      </c>
      <c r="AM21" s="144">
        <f>AM20</f>
        <v>1311.96</v>
      </c>
      <c r="AN21" s="144">
        <f>MAX(AN20, AM21)</f>
        <v>1348.64</v>
      </c>
      <c r="AO21" s="144">
        <f t="shared" ref="AO21:BB21" si="20">MAX(AO20, AN21)</f>
        <v>1410.96</v>
      </c>
      <c r="AP21" s="144">
        <f t="shared" si="20"/>
        <v>1448.8</v>
      </c>
      <c r="AQ21" s="144">
        <f t="shared" si="20"/>
        <v>1448.8</v>
      </c>
      <c r="AR21" s="144">
        <f t="shared" si="20"/>
        <v>1448.8</v>
      </c>
      <c r="AS21" s="144">
        <f t="shared" si="20"/>
        <v>1448.8</v>
      </c>
      <c r="AT21" s="144">
        <f t="shared" si="20"/>
        <v>1448.8</v>
      </c>
      <c r="AU21" s="144">
        <f t="shared" si="20"/>
        <v>1448.8</v>
      </c>
      <c r="AV21" s="144">
        <f t="shared" si="20"/>
        <v>1448.8</v>
      </c>
      <c r="AW21" s="144">
        <f t="shared" si="20"/>
        <v>1448.8</v>
      </c>
      <c r="AX21" s="144">
        <f t="shared" si="20"/>
        <v>1478</v>
      </c>
      <c r="AY21" s="144">
        <f t="shared" si="20"/>
        <v>1527.7799520000001</v>
      </c>
      <c r="AZ21" s="144">
        <f t="shared" si="20"/>
        <v>1527.7799520000001</v>
      </c>
      <c r="BA21" s="144">
        <f t="shared" si="20"/>
        <v>1542</v>
      </c>
      <c r="BB21" s="144">
        <f t="shared" si="20"/>
        <v>1542</v>
      </c>
      <c r="BC21" s="144">
        <f t="shared" ref="BC21" si="21">MAX(BC20, BB21)</f>
        <v>1542</v>
      </c>
      <c r="BD21" s="144">
        <f>MAX(BC21,BD20)</f>
        <v>1542</v>
      </c>
      <c r="BE21" s="144">
        <f>BE20</f>
        <v>3779.0286552100001</v>
      </c>
      <c r="BF21" s="144">
        <f>MAX(BF20, BE21)</f>
        <v>3779.0286552100001</v>
      </c>
      <c r="BG21" s="144">
        <f t="shared" ref="BG21:BU21" si="22">MAX(BG20, BF21)</f>
        <v>3779.0286552100001</v>
      </c>
      <c r="BH21" s="144">
        <f t="shared" si="22"/>
        <v>4004.2594068600001</v>
      </c>
      <c r="BI21" s="144">
        <f t="shared" si="22"/>
        <v>4004.2594068600001</v>
      </c>
      <c r="BJ21" s="144">
        <f t="shared" si="22"/>
        <v>4162.0593220700002</v>
      </c>
      <c r="BK21" s="144">
        <f t="shared" si="22"/>
        <v>4162.0593220700002</v>
      </c>
      <c r="BL21" s="144">
        <f t="shared" si="22"/>
        <v>4162.0593220700002</v>
      </c>
      <c r="BM21" s="144">
        <f t="shared" si="22"/>
        <v>4162.0593220700002</v>
      </c>
      <c r="BN21" s="144">
        <f t="shared" si="22"/>
        <v>4162.0593220700002</v>
      </c>
      <c r="BO21" s="144">
        <f t="shared" si="22"/>
        <v>4162.0593220700002</v>
      </c>
      <c r="BP21" s="144">
        <f t="shared" si="22"/>
        <v>4344.0417028000002</v>
      </c>
      <c r="BQ21" s="144">
        <f t="shared" si="22"/>
        <v>4344.0417028000002</v>
      </c>
      <c r="BR21" s="144">
        <f t="shared" si="22"/>
        <v>4344.0417028000002</v>
      </c>
      <c r="BS21" s="144">
        <f t="shared" si="22"/>
        <v>4344.0417028000002</v>
      </c>
      <c r="BT21" s="144">
        <f t="shared" si="22"/>
        <v>4344.0417028000002</v>
      </c>
      <c r="BU21" s="144">
        <f t="shared" si="22"/>
        <v>4344.0417028000002</v>
      </c>
      <c r="BV21" s="144">
        <f>MAX(BU21,BV20)</f>
        <v>4344.0417028000002</v>
      </c>
      <c r="BW21" s="144">
        <f>BW20</f>
        <v>4225.3853993399998</v>
      </c>
      <c r="BX21" s="144">
        <f>MAX(BX20, BW21)</f>
        <v>4618</v>
      </c>
      <c r="BY21" s="144">
        <f t="shared" ref="BY21:CL21" si="23">MAX(BY20, BX21)</f>
        <v>4796.7614080399999</v>
      </c>
      <c r="BZ21" s="144">
        <f t="shared" si="23"/>
        <v>5027.5095144200004</v>
      </c>
      <c r="CA21" s="144">
        <f t="shared" si="23"/>
        <v>5297.7098321900003</v>
      </c>
      <c r="CB21" s="144">
        <f t="shared" si="23"/>
        <v>5297.7098321900003</v>
      </c>
      <c r="CC21" s="144">
        <f t="shared" si="23"/>
        <v>5297.7098321900003</v>
      </c>
      <c r="CD21" s="144">
        <f t="shared" si="23"/>
        <v>5297.7098321900003</v>
      </c>
      <c r="CE21" s="144">
        <f t="shared" si="23"/>
        <v>5297.7098321900003</v>
      </c>
      <c r="CF21" s="144">
        <f t="shared" si="23"/>
        <v>5297.7098321900003</v>
      </c>
      <c r="CG21" s="144">
        <f t="shared" si="23"/>
        <v>5297.7098321900003</v>
      </c>
      <c r="CH21" s="144">
        <f t="shared" si="23"/>
        <v>5297.7098321900003</v>
      </c>
      <c r="CI21" s="144">
        <f t="shared" si="23"/>
        <v>5297.7098321900003</v>
      </c>
      <c r="CJ21" s="144">
        <f t="shared" si="23"/>
        <v>5297.7098321900003</v>
      </c>
      <c r="CK21" s="144">
        <f t="shared" si="23"/>
        <v>5336</v>
      </c>
      <c r="CL21" s="144">
        <f t="shared" si="23"/>
        <v>5336</v>
      </c>
      <c r="CM21" s="144">
        <f t="shared" ref="CM21" si="24">MAX(CM20, CL21)</f>
        <v>5576</v>
      </c>
      <c r="CN21" s="144">
        <f t="shared" ref="CN21" si="25">MAX(CN20, CM21)</f>
        <v>5576</v>
      </c>
      <c r="CO21" s="144">
        <f>CO20</f>
        <v>2804.212</v>
      </c>
      <c r="CP21" s="144">
        <f>MAX(CP20, CO21)</f>
        <v>2851.5990000000002</v>
      </c>
      <c r="CQ21" s="144">
        <f t="shared" ref="CQ21:DD21" si="26">MAX(CQ20, CP21)</f>
        <v>3078.596</v>
      </c>
      <c r="CR21" s="144">
        <f t="shared" si="26"/>
        <v>3078.596</v>
      </c>
      <c r="CS21" s="144">
        <f t="shared" si="26"/>
        <v>3238.0459999999998</v>
      </c>
      <c r="CT21" s="144">
        <f t="shared" si="26"/>
        <v>3238.0459999999998</v>
      </c>
      <c r="CU21" s="144">
        <f t="shared" si="26"/>
        <v>3238.0459999999998</v>
      </c>
      <c r="CV21" s="144">
        <f t="shared" si="26"/>
        <v>3238.0459999999998</v>
      </c>
      <c r="CW21" s="144">
        <f t="shared" si="26"/>
        <v>3238.0459999999998</v>
      </c>
      <c r="CX21" s="144">
        <f t="shared" si="26"/>
        <v>3238.0459999999998</v>
      </c>
      <c r="CY21" s="144">
        <f t="shared" si="26"/>
        <v>3238.0459999999998</v>
      </c>
      <c r="CZ21" s="144">
        <f t="shared" si="26"/>
        <v>3238.0459999999998</v>
      </c>
      <c r="DA21" s="144">
        <f t="shared" si="26"/>
        <v>3238.0459999999998</v>
      </c>
      <c r="DB21" s="144">
        <f t="shared" si="26"/>
        <v>3238.0459999999998</v>
      </c>
      <c r="DC21" s="144">
        <f t="shared" si="26"/>
        <v>3238.0459999999998</v>
      </c>
      <c r="DD21" s="144">
        <f t="shared" si="26"/>
        <v>3238.0459999999998</v>
      </c>
      <c r="DE21" s="144">
        <f t="shared" ref="DE21" si="27">MAX(DE20, DD21)</f>
        <v>3238.0459999999998</v>
      </c>
      <c r="DF21" s="144">
        <f>MAX(DE21,DF20)</f>
        <v>3238.0459999999998</v>
      </c>
      <c r="DG21" s="144">
        <f>DG20</f>
        <v>2473.79407167</v>
      </c>
      <c r="DH21" s="144">
        <f>MAX(DH20, DG21)</f>
        <v>2586.2495781600001</v>
      </c>
      <c r="DI21" s="144">
        <f t="shared" ref="DI21:DV21" si="28">MAX(DI20, DH21)</f>
        <v>2586.2495781600001</v>
      </c>
      <c r="DJ21" s="144">
        <f t="shared" si="28"/>
        <v>2589.0927531799998</v>
      </c>
      <c r="DK21" s="144">
        <f t="shared" si="28"/>
        <v>2589.9727824299998</v>
      </c>
      <c r="DL21" s="144">
        <f t="shared" si="28"/>
        <v>2589.9727824299998</v>
      </c>
      <c r="DM21" s="144">
        <f t="shared" si="28"/>
        <v>2589.9727824299998</v>
      </c>
      <c r="DN21" s="144">
        <f t="shared" si="28"/>
        <v>2589.9727824299998</v>
      </c>
      <c r="DO21" s="144">
        <f t="shared" si="28"/>
        <v>2967.8844979999999</v>
      </c>
      <c r="DP21" s="144">
        <f t="shared" si="28"/>
        <v>2967.8844979999999</v>
      </c>
      <c r="DQ21" s="144">
        <f t="shared" si="28"/>
        <v>2967.8844979999999</v>
      </c>
      <c r="DR21" s="144">
        <f t="shared" si="28"/>
        <v>2967.8844979999999</v>
      </c>
      <c r="DS21" s="144">
        <f t="shared" si="28"/>
        <v>2967.8844979999999</v>
      </c>
      <c r="DT21" s="144">
        <f t="shared" si="28"/>
        <v>3031</v>
      </c>
      <c r="DU21" s="144">
        <f t="shared" si="28"/>
        <v>3031</v>
      </c>
      <c r="DV21" s="144">
        <f t="shared" si="28"/>
        <v>3031</v>
      </c>
      <c r="DW21" s="144">
        <f t="shared" ref="DW21" si="29">MAX(DW20, DV21)</f>
        <v>3080</v>
      </c>
      <c r="DX21" s="144">
        <f>MAX(DW21,DX20)</f>
        <v>3080</v>
      </c>
      <c r="DY21" s="144">
        <f>DY20</f>
        <v>836.98500799999999</v>
      </c>
      <c r="DZ21" s="144">
        <f>MAX(DZ20, DY21)</f>
        <v>901.72535600000003</v>
      </c>
      <c r="EA21" s="144">
        <f t="shared" ref="EA21:EN21" si="30">MAX(EA20, DZ21)</f>
        <v>958.34431600000005</v>
      </c>
      <c r="EB21" s="144">
        <f t="shared" si="30"/>
        <v>1019.66512</v>
      </c>
      <c r="EC21" s="144">
        <f t="shared" si="30"/>
        <v>1019.66512</v>
      </c>
      <c r="ED21" s="144">
        <f t="shared" si="30"/>
        <v>1019.66512</v>
      </c>
      <c r="EE21" s="144">
        <f t="shared" si="30"/>
        <v>1019.66512</v>
      </c>
      <c r="EF21" s="144">
        <f t="shared" si="30"/>
        <v>1019.66512</v>
      </c>
      <c r="EG21" s="144">
        <f t="shared" si="30"/>
        <v>1019.66512</v>
      </c>
      <c r="EH21" s="144">
        <f t="shared" si="30"/>
        <v>1019.66512</v>
      </c>
      <c r="EI21" s="144">
        <f t="shared" si="30"/>
        <v>1019.66512</v>
      </c>
      <c r="EJ21" s="144">
        <f t="shared" si="30"/>
        <v>1019.66512</v>
      </c>
      <c r="EK21" s="144">
        <f t="shared" si="30"/>
        <v>1019.66512</v>
      </c>
      <c r="EL21" s="144">
        <f t="shared" si="30"/>
        <v>1026.0431919615999</v>
      </c>
      <c r="EM21" s="144">
        <f t="shared" si="30"/>
        <v>1050.4283640000001</v>
      </c>
      <c r="EN21" s="144">
        <f t="shared" si="30"/>
        <v>1050.4283640000001</v>
      </c>
      <c r="EO21" s="144">
        <f t="shared" ref="EO21" si="31">MAX(EO20, EN21)</f>
        <v>1050.4283640000001</v>
      </c>
      <c r="EP21" s="144">
        <f t="shared" ref="EP21" si="32">MAX(EP20, EO21)</f>
        <v>1050.4283640000001</v>
      </c>
      <c r="EQ21" s="144">
        <f t="shared" ref="EQ21:ER21" si="33">MAX(EQ20, EP21)</f>
        <v>1101.0564443999999</v>
      </c>
      <c r="ER21" s="144">
        <f t="shared" si="33"/>
        <v>1138.9999704000002</v>
      </c>
      <c r="ES21" s="144">
        <f>ES20</f>
        <v>2069.6999999999998</v>
      </c>
      <c r="ET21" s="144">
        <f>MAX(ET20, ES21)</f>
        <v>2183.549</v>
      </c>
      <c r="EU21" s="144">
        <f t="shared" ref="EU21:FH21" si="34">MAX(EU20, ET21)</f>
        <v>2313.63</v>
      </c>
      <c r="EV21" s="144">
        <f t="shared" si="34"/>
        <v>2516.69</v>
      </c>
      <c r="EW21" s="144">
        <f t="shared" si="34"/>
        <v>2516.69</v>
      </c>
      <c r="EX21" s="144">
        <f t="shared" si="34"/>
        <v>2516.69</v>
      </c>
      <c r="EY21" s="144">
        <f t="shared" si="34"/>
        <v>2516.69</v>
      </c>
      <c r="EZ21" s="144">
        <f t="shared" si="34"/>
        <v>2516.69</v>
      </c>
      <c r="FA21" s="144">
        <f t="shared" si="34"/>
        <v>2571.31</v>
      </c>
      <c r="FB21" s="144">
        <f t="shared" si="34"/>
        <v>2571.31</v>
      </c>
      <c r="FC21" s="144">
        <f t="shared" si="34"/>
        <v>2571.31</v>
      </c>
      <c r="FD21" s="144">
        <f t="shared" si="34"/>
        <v>2571.31</v>
      </c>
      <c r="FE21" s="144">
        <f t="shared" si="34"/>
        <v>2614.17022</v>
      </c>
      <c r="FF21" s="144">
        <f t="shared" si="34"/>
        <v>2626</v>
      </c>
      <c r="FG21" s="144">
        <f t="shared" si="34"/>
        <v>2679</v>
      </c>
      <c r="FH21" s="144">
        <f t="shared" si="34"/>
        <v>2679</v>
      </c>
      <c r="FI21" s="144">
        <f>MAX(FH21,FI20)</f>
        <v>2679</v>
      </c>
      <c r="FJ21" s="144">
        <f>MAX(FI21,FJ20)</f>
        <v>2679</v>
      </c>
      <c r="FK21" s="144">
        <f>FK20</f>
        <v>2765.2886760000001</v>
      </c>
      <c r="FL21" s="144">
        <f>MAX(FL20, FK21)</f>
        <v>2765.2886760000001</v>
      </c>
      <c r="FM21" s="144">
        <f t="shared" ref="FM21:FZ21" si="35">MAX(FM20, FL21)</f>
        <v>2959.9079360000001</v>
      </c>
      <c r="FN21" s="144">
        <f t="shared" si="35"/>
        <v>3192.7919959999999</v>
      </c>
      <c r="FO21" s="144">
        <f t="shared" si="35"/>
        <v>3192.7919959999999</v>
      </c>
      <c r="FP21" s="144">
        <f t="shared" si="35"/>
        <v>3192.7919959999999</v>
      </c>
      <c r="FQ21" s="144">
        <f t="shared" si="35"/>
        <v>3192.7919959999999</v>
      </c>
      <c r="FR21" s="144">
        <f t="shared" si="35"/>
        <v>3192.7919959999999</v>
      </c>
      <c r="FS21" s="144">
        <f t="shared" si="35"/>
        <v>3192.7919959999999</v>
      </c>
      <c r="FT21" s="144">
        <f t="shared" si="35"/>
        <v>3192.7919959999999</v>
      </c>
      <c r="FU21" s="144">
        <f t="shared" si="35"/>
        <v>3192.7919959999999</v>
      </c>
      <c r="FV21" s="144">
        <f t="shared" si="35"/>
        <v>3192.7919959999999</v>
      </c>
      <c r="FW21" s="144">
        <f t="shared" si="35"/>
        <v>3192.7919959999999</v>
      </c>
      <c r="FX21" s="144">
        <f t="shared" si="35"/>
        <v>3192.7919959999999</v>
      </c>
      <c r="FY21" s="144">
        <f t="shared" si="35"/>
        <v>3192.7919959999999</v>
      </c>
      <c r="FZ21" s="144">
        <f t="shared" si="35"/>
        <v>3192.7919959999999</v>
      </c>
      <c r="GA21" s="144">
        <f>MAX(FZ21,GA20)</f>
        <v>3192.7919959999999</v>
      </c>
      <c r="GB21" s="144">
        <f>MAX(GA21,GB20)</f>
        <v>3192.7919959999999</v>
      </c>
      <c r="GC21" s="144">
        <f>GC20</f>
        <v>1616.768</v>
      </c>
      <c r="GD21" s="144">
        <f>MAX(GD20, GC21)</f>
        <v>1689.1969999999999</v>
      </c>
      <c r="GE21" s="144">
        <f t="shared" ref="GE21:GR21" si="36">MAX(GE20, GD21)</f>
        <v>1801.394</v>
      </c>
      <c r="GF21" s="144">
        <f t="shared" si="36"/>
        <v>1930.99232807</v>
      </c>
      <c r="GG21" s="144">
        <f t="shared" si="36"/>
        <v>1937.704264</v>
      </c>
      <c r="GH21" s="144">
        <f t="shared" si="36"/>
        <v>1937.704264</v>
      </c>
      <c r="GI21" s="144">
        <f t="shared" si="36"/>
        <v>1937.704264</v>
      </c>
      <c r="GJ21" s="144">
        <f t="shared" si="36"/>
        <v>1937.704264</v>
      </c>
      <c r="GK21" s="144">
        <f t="shared" si="36"/>
        <v>1942.955156</v>
      </c>
      <c r="GL21" s="144">
        <f t="shared" si="36"/>
        <v>1942.955156</v>
      </c>
      <c r="GM21" s="144">
        <f t="shared" si="36"/>
        <v>1951.7954540000001</v>
      </c>
      <c r="GN21" s="144">
        <f t="shared" si="36"/>
        <v>1951.7954540000001</v>
      </c>
      <c r="GO21" s="144">
        <f t="shared" si="36"/>
        <v>1951.7954540000001</v>
      </c>
      <c r="GP21" s="144">
        <f t="shared" si="36"/>
        <v>2026.9370560000002</v>
      </c>
      <c r="GQ21" s="144">
        <f t="shared" si="36"/>
        <v>2114.9357599999998</v>
      </c>
      <c r="GR21" s="144">
        <f t="shared" si="36"/>
        <v>2114.9357599999998</v>
      </c>
      <c r="GS21" s="144">
        <f>MAX(GR21,GS20)</f>
        <v>2114.9357599999998</v>
      </c>
      <c r="GT21" s="144">
        <f>MAX(GS21,GT20)</f>
        <v>2114.9357599999998</v>
      </c>
      <c r="GU21" s="144">
        <f>GU20</f>
        <v>1063</v>
      </c>
      <c r="GV21" s="144">
        <f>MAX(GV20, GU21)</f>
        <v>1148</v>
      </c>
      <c r="GW21" s="144">
        <f t="shared" ref="GW21:HJ21" si="37">MAX(GW20, GV21)</f>
        <v>1154</v>
      </c>
      <c r="GX21" s="144">
        <f t="shared" si="37"/>
        <v>1154</v>
      </c>
      <c r="GY21" s="144">
        <f t="shared" si="37"/>
        <v>1154</v>
      </c>
      <c r="GZ21" s="144">
        <f t="shared" si="37"/>
        <v>1154</v>
      </c>
      <c r="HA21" s="144">
        <f t="shared" si="37"/>
        <v>1154</v>
      </c>
      <c r="HB21" s="144">
        <f t="shared" si="37"/>
        <v>1154</v>
      </c>
      <c r="HC21" s="144">
        <f t="shared" si="37"/>
        <v>1154</v>
      </c>
      <c r="HD21" s="144">
        <f t="shared" si="37"/>
        <v>1154</v>
      </c>
      <c r="HE21" s="144">
        <f t="shared" si="37"/>
        <v>1154</v>
      </c>
      <c r="HF21" s="144">
        <f t="shared" si="37"/>
        <v>1154</v>
      </c>
      <c r="HG21" s="144">
        <f t="shared" si="37"/>
        <v>1154</v>
      </c>
      <c r="HH21" s="144">
        <f t="shared" si="37"/>
        <v>1154</v>
      </c>
      <c r="HI21" s="144">
        <f t="shared" si="37"/>
        <v>1154</v>
      </c>
      <c r="HJ21" s="144">
        <f t="shared" si="37"/>
        <v>1154</v>
      </c>
      <c r="HK21" s="144">
        <f t="shared" ref="HK21" si="38">MAX(HK20, HJ21)</f>
        <v>1154</v>
      </c>
      <c r="HL21" s="144">
        <f t="shared" ref="HL21" si="39">MAX(HL20, HK21)</f>
        <v>1154</v>
      </c>
      <c r="HM21" s="144">
        <f>HM20</f>
        <v>1724.0199811800001</v>
      </c>
      <c r="HN21" s="144">
        <f>MAX(HN20, HM21)</f>
        <v>1819.64476949</v>
      </c>
      <c r="HO21" s="144">
        <f t="shared" ref="HO21:IB21" si="40">MAX(HO20, HN21)</f>
        <v>1949.3399704399999</v>
      </c>
      <c r="HP21" s="144">
        <f t="shared" si="40"/>
        <v>2136.74219451</v>
      </c>
      <c r="HQ21" s="144">
        <f t="shared" si="40"/>
        <v>2136.74219451</v>
      </c>
      <c r="HR21" s="144">
        <f t="shared" si="40"/>
        <v>2136.74219451</v>
      </c>
      <c r="HS21" s="144">
        <f t="shared" si="40"/>
        <v>2136.74219451</v>
      </c>
      <c r="HT21" s="144">
        <f t="shared" si="40"/>
        <v>2136.74219451</v>
      </c>
      <c r="HU21" s="144">
        <f t="shared" si="40"/>
        <v>2142.611222</v>
      </c>
      <c r="HV21" s="144">
        <f t="shared" si="40"/>
        <v>2142.611222</v>
      </c>
      <c r="HW21" s="144">
        <f t="shared" si="40"/>
        <v>2142.611222</v>
      </c>
      <c r="HX21" s="144">
        <f t="shared" si="40"/>
        <v>2142.611222</v>
      </c>
      <c r="HY21" s="144">
        <f t="shared" si="40"/>
        <v>2142.611222</v>
      </c>
      <c r="HZ21" s="144">
        <f t="shared" si="40"/>
        <v>2142.611222</v>
      </c>
      <c r="IA21" s="144">
        <f t="shared" si="40"/>
        <v>2142.611222</v>
      </c>
      <c r="IB21" s="144">
        <f t="shared" si="40"/>
        <v>2142.611222</v>
      </c>
      <c r="IC21" s="144">
        <f t="shared" ref="IC21" si="41">MAX(IC20, IB21)</f>
        <v>2142.611222</v>
      </c>
      <c r="ID21" s="144">
        <f t="shared" ref="ID21" si="42">MAX(ID20, IC21)</f>
        <v>2142.611222</v>
      </c>
    </row>
    <row r="22" spans="1:239" s="146" customFormat="1" ht="13.7" customHeight="1">
      <c r="A22" s="147" t="s">
        <v>897</v>
      </c>
      <c r="B22" s="147" t="s">
        <v>898</v>
      </c>
      <c r="C22" s="148">
        <f t="shared" ref="C22:T22" si="43">C18/C19</f>
        <v>0.42522515337109201</v>
      </c>
      <c r="D22" s="148">
        <f t="shared" si="43"/>
        <v>0.43275286863029311</v>
      </c>
      <c r="E22" s="148">
        <f t="shared" si="43"/>
        <v>0.44031042496774148</v>
      </c>
      <c r="F22" s="148">
        <f t="shared" si="43"/>
        <v>0.44789431096080118</v>
      </c>
      <c r="G22" s="148">
        <f t="shared" si="43"/>
        <v>0.4555009650809772</v>
      </c>
      <c r="H22" s="148">
        <f t="shared" si="43"/>
        <v>0.46312678237759619</v>
      </c>
      <c r="I22" s="148">
        <f t="shared" si="43"/>
        <v>0.47076812134176887</v>
      </c>
      <c r="J22" s="148">
        <f t="shared" si="43"/>
        <v>0.47842131092325751</v>
      </c>
      <c r="K22" s="148">
        <f t="shared" si="43"/>
        <v>0.48608265767178116</v>
      </c>
      <c r="L22" s="148">
        <f t="shared" si="43"/>
        <v>0.4937596171914938</v>
      </c>
      <c r="M22" s="148">
        <f t="shared" si="43"/>
        <v>0.50141498035191479</v>
      </c>
      <c r="N22" s="148">
        <f t="shared" si="43"/>
        <v>0.50475925528852583</v>
      </c>
      <c r="O22" s="148">
        <f t="shared" si="43"/>
        <v>0.51009407076301971</v>
      </c>
      <c r="P22" s="148">
        <f t="shared" si="43"/>
        <v>0.5145488248128588</v>
      </c>
      <c r="Q22" s="148">
        <f t="shared" si="43"/>
        <v>0.51764217952397007</v>
      </c>
      <c r="R22" s="148">
        <f t="shared" si="43"/>
        <v>0.52127774522393577</v>
      </c>
      <c r="S22" s="148">
        <f t="shared" si="43"/>
        <v>0.52336096302095625</v>
      </c>
      <c r="T22" s="148">
        <f t="shared" si="43"/>
        <v>0.52521790894227616</v>
      </c>
      <c r="U22" s="148">
        <f t="shared" ref="U22:AI22" si="44">U18/U19</f>
        <v>0.32609225629959121</v>
      </c>
      <c r="V22" s="148">
        <f t="shared" si="44"/>
        <v>0.3341597474663125</v>
      </c>
      <c r="W22" s="148">
        <f t="shared" si="44"/>
        <v>0.33749331676710981</v>
      </c>
      <c r="X22" s="148">
        <f t="shared" si="44"/>
        <v>0.34281590466195311</v>
      </c>
      <c r="Y22" s="148">
        <f t="shared" si="44"/>
        <v>0.34667203401319985</v>
      </c>
      <c r="Z22" s="148">
        <f t="shared" si="44"/>
        <v>0.35095288406163194</v>
      </c>
      <c r="AA22" s="148">
        <f t="shared" si="44"/>
        <v>0.35793551235403137</v>
      </c>
      <c r="AB22" s="148">
        <f t="shared" si="44"/>
        <v>0.36353348270531333</v>
      </c>
      <c r="AC22" s="148">
        <f t="shared" si="44"/>
        <v>0.36895660267931218</v>
      </c>
      <c r="AD22" s="148">
        <f t="shared" si="44"/>
        <v>0.37067965732946428</v>
      </c>
      <c r="AE22" s="148">
        <f t="shared" si="44"/>
        <v>0.37437986122555672</v>
      </c>
      <c r="AF22" s="148">
        <f t="shared" si="44"/>
        <v>0.3782722659509048</v>
      </c>
      <c r="AG22" s="148">
        <f t="shared" si="44"/>
        <v>0.38126986402848473</v>
      </c>
      <c r="AH22" s="148">
        <f t="shared" si="44"/>
        <v>0.38419787178327419</v>
      </c>
      <c r="AI22" s="148">
        <f t="shared" si="44"/>
        <v>0.38769750785680979</v>
      </c>
      <c r="AJ22" s="148">
        <f t="shared" ref="AJ22:AK22" si="45">AJ18/AJ19</f>
        <v>0.39001016599117</v>
      </c>
      <c r="AK22" s="148">
        <f t="shared" si="45"/>
        <v>0.39287144892266374</v>
      </c>
      <c r="AL22" s="148">
        <f>AL18/AL19</f>
        <v>0.39472604659191524</v>
      </c>
      <c r="AM22" s="148">
        <f t="shared" ref="AM22:BA22" si="46">AM18/AM19</f>
        <v>0.42786234148292218</v>
      </c>
      <c r="AN22" s="148">
        <f t="shared" si="46"/>
        <v>0.43760765354938264</v>
      </c>
      <c r="AO22" s="148">
        <f t="shared" si="46"/>
        <v>0.45668253848090856</v>
      </c>
      <c r="AP22" s="148">
        <f t="shared" si="46"/>
        <v>0.46139246443080661</v>
      </c>
      <c r="AQ22" s="148">
        <f t="shared" si="46"/>
        <v>0.46692500184566388</v>
      </c>
      <c r="AR22" s="148">
        <f t="shared" si="46"/>
        <v>0.48109243697478993</v>
      </c>
      <c r="AS22" s="148">
        <f t="shared" si="46"/>
        <v>0.48175691378108298</v>
      </c>
      <c r="AT22" s="148">
        <f t="shared" si="46"/>
        <v>0.48631239935587761</v>
      </c>
      <c r="AU22" s="148">
        <f t="shared" si="46"/>
        <v>0.49339482876561808</v>
      </c>
      <c r="AV22" s="148">
        <f t="shared" si="46"/>
        <v>0.49567313402023577</v>
      </c>
      <c r="AW22" s="148">
        <f t="shared" si="46"/>
        <v>0.49916321677089753</v>
      </c>
      <c r="AX22" s="148">
        <f t="shared" si="46"/>
        <v>0.49993076238309281</v>
      </c>
      <c r="AY22" s="148">
        <f t="shared" si="46"/>
        <v>0.50003441794869985</v>
      </c>
      <c r="AZ22" s="148">
        <f t="shared" si="46"/>
        <v>0.50245308852182757</v>
      </c>
      <c r="BA22" s="148">
        <f t="shared" si="46"/>
        <v>0.50559634732217729</v>
      </c>
      <c r="BB22" s="148">
        <f t="shared" ref="BB22" si="47">BB18/BB19</f>
        <v>0.50712165184849123</v>
      </c>
      <c r="BC22" s="148">
        <f>BC18/BC19</f>
        <v>0.50611620795107037</v>
      </c>
      <c r="BD22" s="148">
        <f>BD18/BD19</f>
        <v>0.50764817850056787</v>
      </c>
      <c r="BE22" s="148">
        <f t="shared" ref="BE22:BS22" si="48">BE18/BE19</f>
        <v>0.27889121854958066</v>
      </c>
      <c r="BF22" s="148">
        <f t="shared" si="48"/>
        <v>0.28700657894736842</v>
      </c>
      <c r="BG22" s="148">
        <f t="shared" si="48"/>
        <v>0.29607495720592208</v>
      </c>
      <c r="BH22" s="148">
        <f t="shared" si="48"/>
        <v>0.30185532624557015</v>
      </c>
      <c r="BI22" s="148">
        <f t="shared" si="48"/>
        <v>0.30712363604104442</v>
      </c>
      <c r="BJ22" s="148">
        <f t="shared" si="48"/>
        <v>0.31490694135549574</v>
      </c>
      <c r="BK22" s="148">
        <f t="shared" si="48"/>
        <v>0.32258157833834761</v>
      </c>
      <c r="BL22" s="148">
        <f t="shared" si="48"/>
        <v>0.33163949870107623</v>
      </c>
      <c r="BM22" s="148">
        <f t="shared" si="48"/>
        <v>0.34105358254224638</v>
      </c>
      <c r="BN22" s="148">
        <f t="shared" si="48"/>
        <v>0.35094550425297771</v>
      </c>
      <c r="BO22" s="148">
        <f t="shared" si="48"/>
        <v>0.36122497011820909</v>
      </c>
      <c r="BP22" s="148">
        <f t="shared" si="48"/>
        <v>0.3721371739614116</v>
      </c>
      <c r="BQ22" s="148">
        <f t="shared" si="48"/>
        <v>0.38297190533179976</v>
      </c>
      <c r="BR22" s="148">
        <f t="shared" si="48"/>
        <v>0.39796453452640751</v>
      </c>
      <c r="BS22" s="148">
        <f t="shared" si="48"/>
        <v>0.40773985591461154</v>
      </c>
      <c r="BT22" s="148">
        <f t="shared" ref="BT22" si="49">BT18/BT19</f>
        <v>0.41579378144590717</v>
      </c>
      <c r="BU22" s="148">
        <f>BU18/BU19</f>
        <v>0.42392675340051716</v>
      </c>
      <c r="BV22" s="148">
        <f>BV18/BV19</f>
        <v>0.43052712995284576</v>
      </c>
      <c r="BW22" s="148">
        <f t="shared" ref="BW22:CK22" si="50">BW18/BW19</f>
        <v>0.2614985640190321</v>
      </c>
      <c r="BX22" s="148">
        <f t="shared" si="50"/>
        <v>0.273313044390807</v>
      </c>
      <c r="BY22" s="148">
        <f t="shared" si="50"/>
        <v>0.28517510209132535</v>
      </c>
      <c r="BZ22" s="148">
        <f t="shared" si="50"/>
        <v>0.29732737167944645</v>
      </c>
      <c r="CA22" s="148">
        <f t="shared" si="50"/>
        <v>0.30602390406448909</v>
      </c>
      <c r="CB22" s="148">
        <f t="shared" si="50"/>
        <v>0.31259971243426365</v>
      </c>
      <c r="CC22" s="148">
        <f t="shared" si="50"/>
        <v>0.31845272876007946</v>
      </c>
      <c r="CD22" s="148">
        <f t="shared" si="50"/>
        <v>0.32343909928352099</v>
      </c>
      <c r="CE22" s="148">
        <f t="shared" si="50"/>
        <v>0.3262125962201961</v>
      </c>
      <c r="CF22" s="148">
        <f t="shared" si="50"/>
        <v>0.33182604831264167</v>
      </c>
      <c r="CG22" s="148">
        <f t="shared" si="50"/>
        <v>0.3396977700788017</v>
      </c>
      <c r="CH22" s="148">
        <f t="shared" si="50"/>
        <v>0.34670833565861192</v>
      </c>
      <c r="CI22" s="148">
        <f t="shared" si="50"/>
        <v>0.35337043452622269</v>
      </c>
      <c r="CJ22" s="148">
        <f t="shared" si="50"/>
        <v>0.35967650656297351</v>
      </c>
      <c r="CK22" s="148">
        <f t="shared" si="50"/>
        <v>0.36450443921000181</v>
      </c>
      <c r="CL22" s="148">
        <f t="shared" ref="CL22" si="51">CL18/CL19</f>
        <v>0.36855753646677469</v>
      </c>
      <c r="CM22" s="148">
        <f>CM18/CM19</f>
        <v>0.37201853740583679</v>
      </c>
      <c r="CN22" s="148">
        <f>CN18/CN19</f>
        <v>0.37632383253962615</v>
      </c>
      <c r="CO22" s="148">
        <f t="shared" ref="CO22:DC22" si="52">CO18/CO19</f>
        <v>2.6676226910207768E-2</v>
      </c>
      <c r="CP22" s="148">
        <f t="shared" si="52"/>
        <v>2.9855804861203011E-2</v>
      </c>
      <c r="CQ22" s="148">
        <f t="shared" si="52"/>
        <v>3.5131259929887956E-2</v>
      </c>
      <c r="CR22" s="148">
        <f t="shared" si="52"/>
        <v>4.1813360256598653E-2</v>
      </c>
      <c r="CS22" s="148">
        <f t="shared" si="52"/>
        <v>4.5188226302583519E-2</v>
      </c>
      <c r="CT22" s="148">
        <f t="shared" si="52"/>
        <v>4.8054458633240489E-2</v>
      </c>
      <c r="CU22" s="148">
        <f t="shared" si="52"/>
        <v>5.0243863113430598E-2</v>
      </c>
      <c r="CV22" s="148">
        <f t="shared" si="52"/>
        <v>5.4357651186598056E-2</v>
      </c>
      <c r="CW22" s="148">
        <f t="shared" si="52"/>
        <v>5.6269527789939426E-2</v>
      </c>
      <c r="CX22" s="148">
        <f t="shared" si="52"/>
        <v>5.8463027886094344E-2</v>
      </c>
      <c r="CY22" s="148">
        <f t="shared" si="52"/>
        <v>6.0035840825639314E-2</v>
      </c>
      <c r="CZ22" s="148">
        <f t="shared" si="52"/>
        <v>6.1086844162442387E-2</v>
      </c>
      <c r="DA22" s="148">
        <f t="shared" si="52"/>
        <v>5.79699599885692E-2</v>
      </c>
      <c r="DB22" s="148">
        <f t="shared" si="52"/>
        <v>5.896518370870471E-2</v>
      </c>
      <c r="DC22" s="148">
        <f t="shared" si="52"/>
        <v>5.9453533871114253E-2</v>
      </c>
      <c r="DD22" s="148">
        <f t="shared" ref="DD22" si="53">DD18/DD19</f>
        <v>6.0065272409643468E-2</v>
      </c>
      <c r="DE22" s="148">
        <f>DE18/DE19</f>
        <v>6.1129005476843419E-2</v>
      </c>
      <c r="DF22" s="148">
        <f>DF18/DF19</f>
        <v>6.2296426455684999E-2</v>
      </c>
      <c r="DG22" s="148">
        <f t="shared" ref="DG22:DU22" si="54">DG18/DG19</f>
        <v>2.5888118826766091E-2</v>
      </c>
      <c r="DH22" s="148">
        <f t="shared" si="54"/>
        <v>3.1876148048054387E-2</v>
      </c>
      <c r="DI22" s="148">
        <f t="shared" si="54"/>
        <v>3.2040209009358063E-2</v>
      </c>
      <c r="DJ22" s="148">
        <f t="shared" si="54"/>
        <v>3.1898801597869508E-2</v>
      </c>
      <c r="DK22" s="148">
        <f t="shared" si="54"/>
        <v>3.2883785531770515E-2</v>
      </c>
      <c r="DL22" s="148">
        <f t="shared" si="54"/>
        <v>3.7073959032907992E-2</v>
      </c>
      <c r="DM22" s="148">
        <f t="shared" si="54"/>
        <v>3.8596785435412617E-2</v>
      </c>
      <c r="DN22" s="148">
        <f t="shared" si="54"/>
        <v>3.9804926036199617E-2</v>
      </c>
      <c r="DO22" s="148">
        <f t="shared" si="54"/>
        <v>4.0102832830756219E-2</v>
      </c>
      <c r="DP22" s="148">
        <f t="shared" si="54"/>
        <v>4.1496223316601459E-2</v>
      </c>
      <c r="DQ22" s="148">
        <f t="shared" si="54"/>
        <v>4.3415615642921714E-2</v>
      </c>
      <c r="DR22" s="148">
        <f t="shared" si="54"/>
        <v>4.5378994334517135E-2</v>
      </c>
      <c r="DS22" s="148">
        <f t="shared" si="54"/>
        <v>4.6600323823279062E-2</v>
      </c>
      <c r="DT22" s="148">
        <f t="shared" si="54"/>
        <v>4.7855950630983295E-2</v>
      </c>
      <c r="DU22" s="148">
        <f t="shared" si="54"/>
        <v>4.9225469069960344E-2</v>
      </c>
      <c r="DV22" s="148">
        <f t="shared" ref="DV22" si="55">DV18/DV19</f>
        <v>5.0725539332916916E-2</v>
      </c>
      <c r="DW22" s="148">
        <f>DW18/DW19</f>
        <v>5.212452135550568E-2</v>
      </c>
      <c r="DX22" s="148">
        <f>DX18/DX19</f>
        <v>5.3974236320479062E-2</v>
      </c>
      <c r="DY22" s="148">
        <f t="shared" ref="DY22:EM22" si="56">DY18/DY19</f>
        <v>0.22747879639112203</v>
      </c>
      <c r="DZ22" s="148">
        <f t="shared" si="56"/>
        <v>0.23299200141419674</v>
      </c>
      <c r="EA22" s="148">
        <f t="shared" si="56"/>
        <v>0.24125000120067852</v>
      </c>
      <c r="EB22" s="148">
        <f t="shared" si="56"/>
        <v>0.24689266812662292</v>
      </c>
      <c r="EC22" s="148">
        <f t="shared" si="56"/>
        <v>0.25241437742464712</v>
      </c>
      <c r="ED22" s="148">
        <f t="shared" si="56"/>
        <v>0.25914262010683403</v>
      </c>
      <c r="EE22" s="148">
        <f t="shared" si="56"/>
        <v>0.26710795003652427</v>
      </c>
      <c r="EF22" s="148">
        <f t="shared" si="56"/>
        <v>0.27372815871779377</v>
      </c>
      <c r="EG22" s="148">
        <f t="shared" si="56"/>
        <v>0.28001709531365349</v>
      </c>
      <c r="EH22" s="148">
        <f t="shared" si="56"/>
        <v>0.28743671300274615</v>
      </c>
      <c r="EI22" s="148">
        <f t="shared" si="56"/>
        <v>0.29381561869970341</v>
      </c>
      <c r="EJ22" s="148">
        <f t="shared" si="56"/>
        <v>0.30522377495508901</v>
      </c>
      <c r="EK22" s="148">
        <f t="shared" si="56"/>
        <v>0.3164169559656495</v>
      </c>
      <c r="EL22" s="148">
        <f t="shared" si="56"/>
        <v>0.32442899002606157</v>
      </c>
      <c r="EM22" s="148">
        <f t="shared" si="56"/>
        <v>0.33225018580944715</v>
      </c>
      <c r="EN22" s="148">
        <f t="shared" ref="EN22:EQ22" si="57">EN18/EN19</f>
        <v>0.33294016651671188</v>
      </c>
      <c r="EO22" s="148">
        <f t="shared" si="57"/>
        <v>0.34053506996391797</v>
      </c>
      <c r="EP22" s="148">
        <f t="shared" si="57"/>
        <v>0.34919185330144237</v>
      </c>
      <c r="EQ22" s="148">
        <f t="shared" si="57"/>
        <v>0.36004137014019999</v>
      </c>
      <c r="ER22" s="148">
        <f>ER18/ER19</f>
        <v>0.36713819646094414</v>
      </c>
      <c r="ES22" s="148">
        <f t="shared" ref="ES22:FG22" si="58">ES18/ES19</f>
        <v>4.6371995286249496E-2</v>
      </c>
      <c r="ET22" s="148">
        <f t="shared" si="58"/>
        <v>4.8831858529732597E-2</v>
      </c>
      <c r="EU22" s="148">
        <f t="shared" si="58"/>
        <v>4.9105316795695103E-2</v>
      </c>
      <c r="EV22" s="148">
        <f t="shared" si="58"/>
        <v>6.2856519185778559E-2</v>
      </c>
      <c r="EW22" s="148">
        <f t="shared" si="58"/>
        <v>6.9779131599089092E-2</v>
      </c>
      <c r="EX22" s="148">
        <f t="shared" si="58"/>
        <v>6.4102388798490423E-2</v>
      </c>
      <c r="EY22" s="148">
        <f t="shared" si="58"/>
        <v>6.5627675041102215E-2</v>
      </c>
      <c r="EZ22" s="148">
        <f t="shared" si="58"/>
        <v>6.8548769099595341E-2</v>
      </c>
      <c r="FA22" s="148">
        <f t="shared" si="58"/>
        <v>7.0750937295320199E-2</v>
      </c>
      <c r="FB22" s="148">
        <f t="shared" si="58"/>
        <v>7.4903828001107398E-2</v>
      </c>
      <c r="FC22" s="148">
        <f t="shared" si="58"/>
        <v>7.8483992656186594E-2</v>
      </c>
      <c r="FD22" s="148">
        <f t="shared" si="58"/>
        <v>8.4205120272585643E-2</v>
      </c>
      <c r="FE22" s="148">
        <f t="shared" si="58"/>
        <v>8.862452080924571E-2</v>
      </c>
      <c r="FF22" s="148">
        <f t="shared" si="58"/>
        <v>9.4078953876632815E-2</v>
      </c>
      <c r="FG22" s="148">
        <f t="shared" si="58"/>
        <v>0.1005611974974075</v>
      </c>
      <c r="FH22" s="148">
        <f t="shared" ref="FH22" si="59">FH18/FH19</f>
        <v>0.10350783975922923</v>
      </c>
      <c r="FI22" s="148">
        <f>FI18/FI19</f>
        <v>0.10693645372017818</v>
      </c>
      <c r="FJ22" s="148">
        <f>FJ18/FJ19</f>
        <v>0.11207758055130472</v>
      </c>
      <c r="FK22" s="148">
        <f t="shared" ref="FK22:FY22" si="60">FK18/FK19</f>
        <v>0.16222777132412472</v>
      </c>
      <c r="FL22" s="148">
        <f t="shared" si="60"/>
        <v>0.16760233933622518</v>
      </c>
      <c r="FM22" s="148">
        <f t="shared" si="60"/>
        <v>0.17291481933580838</v>
      </c>
      <c r="FN22" s="148">
        <f t="shared" si="60"/>
        <v>0.17880512534744628</v>
      </c>
      <c r="FO22" s="148">
        <f t="shared" si="60"/>
        <v>0.18215200472323506</v>
      </c>
      <c r="FP22" s="148">
        <f t="shared" si="60"/>
        <v>0.1849674266305413</v>
      </c>
      <c r="FQ22" s="148">
        <f t="shared" si="60"/>
        <v>0.1882523488526047</v>
      </c>
      <c r="FR22" s="148">
        <f t="shared" si="60"/>
        <v>0.19036206051573315</v>
      </c>
      <c r="FS22" s="148">
        <f t="shared" si="60"/>
        <v>0.19212605825190782</v>
      </c>
      <c r="FT22" s="148">
        <f t="shared" si="60"/>
        <v>0.19241278443555063</v>
      </c>
      <c r="FU22" s="148">
        <f t="shared" si="60"/>
        <v>0.19689667597513738</v>
      </c>
      <c r="FV22" s="148">
        <f t="shared" si="60"/>
        <v>0.19954816738038236</v>
      </c>
      <c r="FW22" s="148">
        <f t="shared" si="60"/>
        <v>0.20225952010390658</v>
      </c>
      <c r="FX22" s="148">
        <f t="shared" si="60"/>
        <v>0.20230016349750274</v>
      </c>
      <c r="FY22" s="148">
        <f t="shared" si="60"/>
        <v>0.20452715397691687</v>
      </c>
      <c r="FZ22" s="148">
        <f t="shared" ref="FZ22" si="61">FZ18/FZ19</f>
        <v>0.20783858584054996</v>
      </c>
      <c r="GA22" s="148">
        <f>GA18/GA19</f>
        <v>0.21181921205252982</v>
      </c>
      <c r="GB22" s="148">
        <f>GB18/GB19</f>
        <v>0.21427891669580595</v>
      </c>
      <c r="GC22" s="148">
        <f t="shared" ref="GC22:GQ22" si="62">GC18/GC19</f>
        <v>9.3110860390771988E-2</v>
      </c>
      <c r="GD22" s="148">
        <f t="shared" si="62"/>
        <v>9.827448884621634E-2</v>
      </c>
      <c r="GE22" s="148">
        <f t="shared" si="62"/>
        <v>0.10189114475813271</v>
      </c>
      <c r="GF22" s="148">
        <f t="shared" si="62"/>
        <v>0.10799228901441157</v>
      </c>
      <c r="GG22" s="148">
        <f t="shared" si="62"/>
        <v>0.11154427122151547</v>
      </c>
      <c r="GH22" s="148">
        <f t="shared" si="62"/>
        <v>0.11730189507638172</v>
      </c>
      <c r="GI22" s="148">
        <f t="shared" si="62"/>
        <v>0.12178799702009957</v>
      </c>
      <c r="GJ22" s="148">
        <f t="shared" si="62"/>
        <v>0.1256228577732561</v>
      </c>
      <c r="GK22" s="148">
        <f t="shared" si="62"/>
        <v>0.12949935261640574</v>
      </c>
      <c r="GL22" s="148">
        <f t="shared" si="62"/>
        <v>0.1345885661446157</v>
      </c>
      <c r="GM22" s="148">
        <f t="shared" si="62"/>
        <v>0.14026114925978037</v>
      </c>
      <c r="GN22" s="148">
        <f t="shared" si="62"/>
        <v>0.14648153793015195</v>
      </c>
      <c r="GO22" s="148">
        <f t="shared" si="62"/>
        <v>0.15320898622146123</v>
      </c>
      <c r="GP22" s="148">
        <f t="shared" si="62"/>
        <v>0.16065844732731463</v>
      </c>
      <c r="GQ22" s="148">
        <f t="shared" si="62"/>
        <v>0.16591803175046252</v>
      </c>
      <c r="GR22" s="148">
        <f t="shared" ref="GR22" si="63">GR18/GR19</f>
        <v>0.1686139950101925</v>
      </c>
      <c r="GS22" s="148">
        <f>GS18/GS19</f>
        <v>0.17282223703532201</v>
      </c>
      <c r="GT22" s="148">
        <f>GT18/GT19</f>
        <v>0.17810596643306231</v>
      </c>
      <c r="GU22" s="148">
        <f t="shared" ref="GU22:HI22" si="64">GU18/GU19</f>
        <v>8.9689248888490752E-2</v>
      </c>
      <c r="GV22" s="148">
        <f t="shared" si="64"/>
        <v>8.9697832636338348E-2</v>
      </c>
      <c r="GW22" s="148">
        <f t="shared" si="64"/>
        <v>8.9697832636338348E-2</v>
      </c>
      <c r="GX22" s="148">
        <f t="shared" si="64"/>
        <v>9.0775726685411742E-2</v>
      </c>
      <c r="GY22" s="148">
        <f t="shared" si="64"/>
        <v>9.6857852133674177E-2</v>
      </c>
      <c r="GZ22" s="148">
        <f t="shared" si="64"/>
        <v>0.10327732656591199</v>
      </c>
      <c r="HA22" s="148">
        <f t="shared" si="64"/>
        <v>0.1052690789799344</v>
      </c>
      <c r="HB22" s="148">
        <f t="shared" si="64"/>
        <v>0.10627286117864065</v>
      </c>
      <c r="HC22" s="148">
        <f t="shared" si="64"/>
        <v>0.10814415071190753</v>
      </c>
      <c r="HD22" s="148">
        <f t="shared" si="64"/>
        <v>0.10894260944189699</v>
      </c>
      <c r="HE22" s="148">
        <f t="shared" si="64"/>
        <v>0.11032405286819857</v>
      </c>
      <c r="HF22" s="148">
        <f t="shared" si="64"/>
        <v>0.11108561302033139</v>
      </c>
      <c r="HG22" s="148">
        <f t="shared" si="64"/>
        <v>0.11246113496701314</v>
      </c>
      <c r="HH22" s="148">
        <f t="shared" si="64"/>
        <v>0.11405791800144018</v>
      </c>
      <c r="HI22" s="148">
        <f t="shared" si="64"/>
        <v>0.11558308943356273</v>
      </c>
      <c r="HJ22" s="148">
        <f t="shared" ref="HJ22" si="65">HJ18/HJ19</f>
        <v>0.11828679373241414</v>
      </c>
      <c r="HK22" s="148">
        <f>HK18/HK19</f>
        <v>0.11863901931071988</v>
      </c>
      <c r="HL22" s="148">
        <f>HL18/HL19</f>
        <v>0.12708373107067744</v>
      </c>
      <c r="HM22" s="148">
        <f t="shared" ref="HM22:IA22" si="66">HM18/HM19</f>
        <v>0.18378552971576229</v>
      </c>
      <c r="HN22" s="148">
        <f t="shared" si="66"/>
        <v>0.18582432291624923</v>
      </c>
      <c r="HO22" s="148">
        <f t="shared" si="66"/>
        <v>0.18963338552139047</v>
      </c>
      <c r="HP22" s="148">
        <f t="shared" si="66"/>
        <v>0.1933639082751745</v>
      </c>
      <c r="HQ22" s="148">
        <f t="shared" si="66"/>
        <v>0.19746290848122489</v>
      </c>
      <c r="HR22" s="148">
        <f t="shared" si="66"/>
        <v>0.20395429613214516</v>
      </c>
      <c r="HS22" s="148">
        <f t="shared" si="66"/>
        <v>0.20533485207839222</v>
      </c>
      <c r="HT22" s="148">
        <f t="shared" si="66"/>
        <v>0.20965040086640124</v>
      </c>
      <c r="HU22" s="148">
        <f t="shared" si="66"/>
        <v>0.21352330872860312</v>
      </c>
      <c r="HV22" s="148">
        <f t="shared" si="66"/>
        <v>0.21697346581767002</v>
      </c>
      <c r="HW22" s="148">
        <f t="shared" si="66"/>
        <v>0.22013629565434287</v>
      </c>
      <c r="HX22" s="148">
        <f t="shared" si="66"/>
        <v>0.24708501189829302</v>
      </c>
      <c r="HY22" s="148">
        <f t="shared" si="66"/>
        <v>0.24954807989065741</v>
      </c>
      <c r="HZ22" s="148">
        <f t="shared" si="66"/>
        <v>0.25161752739634585</v>
      </c>
      <c r="IA22" s="148">
        <f t="shared" si="66"/>
        <v>0.25353581321283253</v>
      </c>
      <c r="IB22" s="148">
        <f t="shared" ref="IB22" si="67">IB18/IB19</f>
        <v>0.25484779780709904</v>
      </c>
      <c r="IC22" s="148">
        <f>IC18/IC19</f>
        <v>0.2564256697286651</v>
      </c>
      <c r="ID22" s="148">
        <f>ID18/ID19</f>
        <v>0.25817448236478152</v>
      </c>
    </row>
    <row r="23" spans="1:239" s="146" customFormat="1" ht="13.7" customHeight="1">
      <c r="A23" s="143" t="s">
        <v>519</v>
      </c>
      <c r="B23" s="143" t="s">
        <v>899</v>
      </c>
      <c r="C23" s="144">
        <f t="shared" ref="C23:S23" si="68">VLOOKUP($A23, Table_Data_opex_selected, MATCH(C$16, Header_Table_Data_EBRIN, 0), FALSE)</f>
        <v>38538.624900945346</v>
      </c>
      <c r="D23" s="144">
        <f t="shared" si="68"/>
        <v>40555.568802439702</v>
      </c>
      <c r="E23" s="144">
        <f t="shared" si="68"/>
        <v>44812.70258129912</v>
      </c>
      <c r="F23" s="144">
        <f t="shared" si="68"/>
        <v>46821.896889849857</v>
      </c>
      <c r="G23" s="144">
        <f t="shared" si="68"/>
        <v>55266.38145396336</v>
      </c>
      <c r="H23" s="144">
        <f t="shared" si="68"/>
        <v>63737.765832817691</v>
      </c>
      <c r="I23" s="144">
        <f t="shared" si="68"/>
        <v>70608.373543978203</v>
      </c>
      <c r="J23" s="144">
        <f t="shared" si="68"/>
        <v>77834.327675292603</v>
      </c>
      <c r="K23" s="144">
        <f t="shared" si="68"/>
        <v>88864.580625233939</v>
      </c>
      <c r="L23" s="144">
        <f t="shared" si="68"/>
        <v>86548.092643177908</v>
      </c>
      <c r="M23" s="144">
        <f t="shared" si="68"/>
        <v>52497.721534325196</v>
      </c>
      <c r="N23" s="144">
        <f t="shared" si="68"/>
        <v>58245.248035999997</v>
      </c>
      <c r="O23" s="144">
        <f t="shared" si="68"/>
        <v>72071.139840504809</v>
      </c>
      <c r="P23" s="144">
        <f t="shared" si="68"/>
        <v>70694.304359999995</v>
      </c>
      <c r="Q23" s="144">
        <f t="shared" si="68"/>
        <v>68958.093410000001</v>
      </c>
      <c r="R23" s="144">
        <f t="shared" si="68"/>
        <v>66360.226999999999</v>
      </c>
      <c r="S23" s="144">
        <f t="shared" si="68"/>
        <v>71365.648977441</v>
      </c>
      <c r="T23" s="144" t="e">
        <f>VLOOKUP(Parameter_Scenario, Table_data_opexforecast_alternative, MATCH(T34, Header_Table_Data_opex_proposed, 0), FALSE)</f>
        <v>#N/A</v>
      </c>
      <c r="U23" s="144">
        <f t="shared" ref="U23:AK23" si="69">VLOOKUP($A23, Table_Data_opex_selected, MATCH(U$16, Header_Table_Data_EBRIN, 0), FALSE)</f>
        <v>359429.30472414085</v>
      </c>
      <c r="V23" s="144">
        <f t="shared" si="69"/>
        <v>319120.88969815226</v>
      </c>
      <c r="W23" s="144">
        <f t="shared" si="69"/>
        <v>470681.79458618024</v>
      </c>
      <c r="X23" s="144">
        <f t="shared" si="69"/>
        <v>443700.63762656803</v>
      </c>
      <c r="Y23" s="144">
        <f t="shared" si="69"/>
        <v>516405.56407726306</v>
      </c>
      <c r="Z23" s="144">
        <f t="shared" si="69"/>
        <v>513411.9445176929</v>
      </c>
      <c r="AA23" s="144">
        <f t="shared" si="69"/>
        <v>583745.18660643906</v>
      </c>
      <c r="AB23" s="144">
        <f t="shared" si="69"/>
        <v>475807.76904051501</v>
      </c>
      <c r="AC23" s="144">
        <f t="shared" si="69"/>
        <v>543068.58082208002</v>
      </c>
      <c r="AD23" s="144">
        <f t="shared" si="69"/>
        <v>652527.45930349501</v>
      </c>
      <c r="AE23" s="144">
        <f t="shared" si="69"/>
        <v>590738.86946726497</v>
      </c>
      <c r="AF23" s="144">
        <f t="shared" si="69"/>
        <v>533275.74492261</v>
      </c>
      <c r="AG23" s="144">
        <f t="shared" si="69"/>
        <v>467980.26400000002</v>
      </c>
      <c r="AH23" s="144">
        <f t="shared" si="69"/>
        <v>454424.70699999999</v>
      </c>
      <c r="AI23" s="144">
        <f t="shared" si="69"/>
        <v>409523.11597899999</v>
      </c>
      <c r="AJ23" s="144">
        <f t="shared" si="69"/>
        <v>390331.33600000001</v>
      </c>
      <c r="AK23" s="144">
        <f t="shared" si="69"/>
        <v>350363.98100000003</v>
      </c>
      <c r="AL23" s="144" t="e">
        <f>VLOOKUP(Parameter_Scenario, Table_data_opexforecast_alternative, MATCH(AL34, Header_Table_Data_opex_proposed, 0), FALSE)</f>
        <v>#N/A</v>
      </c>
      <c r="AM23" s="144">
        <f t="shared" ref="AM23:BB23" si="70">VLOOKUP($A23, Table_Data_opex_selected, MATCH(AM$16, Header_Table_Data_EBRIN, 0), FALSE)</f>
        <v>37898.188999999998</v>
      </c>
      <c r="AN23" s="144">
        <f t="shared" si="70"/>
        <v>40582.080999999998</v>
      </c>
      <c r="AO23" s="144">
        <f t="shared" si="70"/>
        <v>41333.470999999998</v>
      </c>
      <c r="AP23" s="144">
        <f t="shared" si="70"/>
        <v>50008.286836201994</v>
      </c>
      <c r="AQ23" s="144">
        <f t="shared" si="70"/>
        <v>54297.417209442443</v>
      </c>
      <c r="AR23" s="144">
        <f t="shared" si="70"/>
        <v>54486.114272112434</v>
      </c>
      <c r="AS23" s="144">
        <f t="shared" si="70"/>
        <v>67739.510590000005</v>
      </c>
      <c r="AT23" s="144">
        <f t="shared" si="70"/>
        <v>68089.082299999995</v>
      </c>
      <c r="AU23" s="144">
        <f t="shared" si="70"/>
        <v>73439.955393108001</v>
      </c>
      <c r="AV23" s="144">
        <f t="shared" si="70"/>
        <v>71997.882248406604</v>
      </c>
      <c r="AW23" s="144">
        <f t="shared" si="70"/>
        <v>73454.018770187686</v>
      </c>
      <c r="AX23" s="144">
        <f t="shared" si="70"/>
        <v>73056.219669490965</v>
      </c>
      <c r="AY23" s="144">
        <f t="shared" si="70"/>
        <v>67694.236446691008</v>
      </c>
      <c r="AZ23" s="144">
        <f t="shared" si="70"/>
        <v>75670.104999999996</v>
      </c>
      <c r="BA23" s="144">
        <f t="shared" si="70"/>
        <v>74131.675000000003</v>
      </c>
      <c r="BB23" s="144">
        <f t="shared" si="70"/>
        <v>67493.260999999999</v>
      </c>
      <c r="BC23" s="144" t="e">
        <f>VLOOKUP(Parameter_Scenario, Table_data_opexforecast_alternative, MATCH(BC34, Header_Table_Data_opex_proposed, 0), FALSE)</f>
        <v>#N/A</v>
      </c>
      <c r="BD23" s="144" t="e">
        <f>VLOOKUP(Parameter_Scenario, Table_data_opexforecast_alternative, MATCH(BD34, Header_Table_Data_opex_proposed, 0), FALSE)</f>
        <v>#N/A</v>
      </c>
      <c r="BE23" s="144">
        <f t="shared" ref="BE23:BT23" si="71">VLOOKUP($A23, Table_Data_opex_selected, MATCH(BE$16, Header_Table_Data_EBRIN, 0), FALSE)</f>
        <v>173158.03593754568</v>
      </c>
      <c r="BF23" s="144">
        <f t="shared" si="71"/>
        <v>192755.56936652676</v>
      </c>
      <c r="BG23" s="144">
        <f t="shared" si="71"/>
        <v>243136.6498313061</v>
      </c>
      <c r="BH23" s="144">
        <f t="shared" si="71"/>
        <v>229075.96469774732</v>
      </c>
      <c r="BI23" s="144">
        <f t="shared" si="71"/>
        <v>228043.59112183331</v>
      </c>
      <c r="BJ23" s="144">
        <f t="shared" si="71"/>
        <v>244517.0998057948</v>
      </c>
      <c r="BK23" s="144">
        <f t="shared" si="71"/>
        <v>276189.14942971262</v>
      </c>
      <c r="BL23" s="144">
        <f t="shared" si="71"/>
        <v>248232.2275998212</v>
      </c>
      <c r="BM23" s="144">
        <f t="shared" si="71"/>
        <v>295997.52023237501</v>
      </c>
      <c r="BN23" s="144">
        <f t="shared" si="71"/>
        <v>300530.03952954285</v>
      </c>
      <c r="BO23" s="144">
        <f t="shared" si="71"/>
        <v>316821.14712986699</v>
      </c>
      <c r="BP23" s="144">
        <f t="shared" si="71"/>
        <v>290656.54168067907</v>
      </c>
      <c r="BQ23" s="144">
        <f t="shared" si="71"/>
        <v>278512.48718438006</v>
      </c>
      <c r="BR23" s="144">
        <f t="shared" si="71"/>
        <v>291794.86913370003</v>
      </c>
      <c r="BS23" s="144">
        <f t="shared" si="71"/>
        <v>259970.16376625502</v>
      </c>
      <c r="BT23" s="144">
        <f t="shared" si="71"/>
        <v>272205.97344527696</v>
      </c>
      <c r="BU23" s="144" t="e">
        <f>VLOOKUP(Parameter_Scenario, Table_data_opexforecast_alternative, MATCH(BU34, Header_Table_Data_opex_proposed, 0), FALSE)</f>
        <v>#N/A</v>
      </c>
      <c r="BV23" s="144" t="e">
        <f>VLOOKUP(Parameter_Scenario, Table_data_opexforecast_alternative, MATCH(BV34, Header_Table_Data_opex_proposed, 0), FALSE)</f>
        <v>#N/A</v>
      </c>
      <c r="BW23" s="144">
        <f t="shared" ref="BW23:CM23" si="72">VLOOKUP($A23, Table_Data_opex_selected, MATCH(BW$16, Header_Table_Data_EBRIN, 0), FALSE)</f>
        <v>203391.00643221589</v>
      </c>
      <c r="BX23" s="144">
        <f t="shared" si="72"/>
        <v>245038.43019628001</v>
      </c>
      <c r="BY23" s="144">
        <f t="shared" si="72"/>
        <v>270734.64824942936</v>
      </c>
      <c r="BZ23" s="144">
        <f t="shared" si="72"/>
        <v>289293.06264344038</v>
      </c>
      <c r="CA23" s="144">
        <f t="shared" si="72"/>
        <v>290823.1193110157</v>
      </c>
      <c r="CB23" s="144">
        <f t="shared" si="72"/>
        <v>332430.89486645564</v>
      </c>
      <c r="CC23" s="144">
        <f t="shared" si="72"/>
        <v>370283.76816004416</v>
      </c>
      <c r="CD23" s="144">
        <f t="shared" si="72"/>
        <v>407311.95354971435</v>
      </c>
      <c r="CE23" s="144">
        <f t="shared" si="72"/>
        <v>390233.18903118349</v>
      </c>
      <c r="CF23" s="144">
        <f t="shared" si="72"/>
        <v>421671.38971983065</v>
      </c>
      <c r="CG23" s="144">
        <f t="shared" si="72"/>
        <v>385683.09634885762</v>
      </c>
      <c r="CH23" s="144">
        <f t="shared" si="72"/>
        <v>383795.11304166587</v>
      </c>
      <c r="CI23" s="144">
        <f t="shared" si="72"/>
        <v>398546.59066905046</v>
      </c>
      <c r="CJ23" s="144">
        <f t="shared" si="72"/>
        <v>385080.41533664323</v>
      </c>
      <c r="CK23" s="144">
        <f t="shared" si="72"/>
        <v>378940.35891394789</v>
      </c>
      <c r="CL23" s="144">
        <f t="shared" si="72"/>
        <v>392934.74461496645</v>
      </c>
      <c r="CM23" s="144">
        <f t="shared" si="72"/>
        <v>420899.80138333316</v>
      </c>
      <c r="CN23" s="144" t="e">
        <f>VLOOKUP(Parameter_Scenario, Table_data_opexforecast_alternative, MATCH(CN34, Header_Table_Data_opex_proposed, 0), FALSE)</f>
        <v>#N/A</v>
      </c>
      <c r="CO23" s="144">
        <f t="shared" ref="CO23:DE23" si="73">VLOOKUP($A23, Table_Data_opex_selected, MATCH(CO$16, Header_Table_Data_EBRIN, 0), FALSE)</f>
        <v>328450.67775370367</v>
      </c>
      <c r="CP23" s="144">
        <f t="shared" si="73"/>
        <v>314117.44280743861</v>
      </c>
      <c r="CQ23" s="144">
        <f t="shared" si="73"/>
        <v>351956.67354095803</v>
      </c>
      <c r="CR23" s="144">
        <f t="shared" si="73"/>
        <v>352440.60055190895</v>
      </c>
      <c r="CS23" s="144">
        <f t="shared" si="73"/>
        <v>358645.91452986334</v>
      </c>
      <c r="CT23" s="144">
        <f t="shared" si="73"/>
        <v>438502.57794558577</v>
      </c>
      <c r="CU23" s="144">
        <f t="shared" si="73"/>
        <v>473552.57786512509</v>
      </c>
      <c r="CV23" s="144">
        <f t="shared" si="73"/>
        <v>396894.09990378871</v>
      </c>
      <c r="CW23" s="144">
        <f t="shared" si="73"/>
        <v>412448.34124129853</v>
      </c>
      <c r="CX23" s="144">
        <f t="shared" si="73"/>
        <v>459958.66147334105</v>
      </c>
      <c r="CY23" s="144">
        <f t="shared" si="73"/>
        <v>451043.84626636445</v>
      </c>
      <c r="CZ23" s="144">
        <f t="shared" si="73"/>
        <v>411267.77110382053</v>
      </c>
      <c r="DA23" s="144">
        <f t="shared" si="73"/>
        <v>420845.88526630681</v>
      </c>
      <c r="DB23" s="144">
        <f t="shared" si="73"/>
        <v>439391.46162860282</v>
      </c>
      <c r="DC23" s="144">
        <f t="shared" si="73"/>
        <v>471635.74230853823</v>
      </c>
      <c r="DD23" s="144">
        <f t="shared" si="73"/>
        <v>381389.06418793899</v>
      </c>
      <c r="DE23" s="144">
        <f t="shared" si="73"/>
        <v>393820.5393030665</v>
      </c>
      <c r="DF23" s="144" t="e">
        <f>VLOOKUP(Parameter_Scenario, Table_data_opexforecast_alternative, MATCH(DF34, Header_Table_Data_opex_proposed, 0), FALSE)</f>
        <v>#N/A</v>
      </c>
      <c r="DG23" s="144">
        <f t="shared" ref="DG23:DW23" si="74">VLOOKUP($A23, Table_Data_opex_selected, MATCH(DG$16, Header_Table_Data_EBRIN, 0), FALSE)</f>
        <v>259512.70302584243</v>
      </c>
      <c r="DH23" s="144">
        <f t="shared" si="74"/>
        <v>321110.07103787101</v>
      </c>
      <c r="DI23" s="144">
        <f t="shared" si="74"/>
        <v>382924.51082332933</v>
      </c>
      <c r="DJ23" s="144">
        <f t="shared" si="74"/>
        <v>366150.1169553746</v>
      </c>
      <c r="DK23" s="144">
        <f t="shared" si="74"/>
        <v>408797.33885724487</v>
      </c>
      <c r="DL23" s="144">
        <f t="shared" si="74"/>
        <v>428987.86973761127</v>
      </c>
      <c r="DM23" s="144">
        <f t="shared" si="74"/>
        <v>545508.47029752308</v>
      </c>
      <c r="DN23" s="144">
        <f t="shared" si="74"/>
        <v>498609.56726852624</v>
      </c>
      <c r="DO23" s="144">
        <f t="shared" si="74"/>
        <v>491882.73613880406</v>
      </c>
      <c r="DP23" s="144">
        <f t="shared" si="74"/>
        <v>442683.02080096811</v>
      </c>
      <c r="DQ23" s="144">
        <f t="shared" si="74"/>
        <v>365550.70929830213</v>
      </c>
      <c r="DR23" s="144">
        <f t="shared" si="74"/>
        <v>358375.09771504463</v>
      </c>
      <c r="DS23" s="144">
        <f t="shared" si="74"/>
        <v>380873.63400000002</v>
      </c>
      <c r="DT23" s="144">
        <f t="shared" si="74"/>
        <v>442180.00900000002</v>
      </c>
      <c r="DU23" s="144">
        <f t="shared" si="74"/>
        <v>431036.37299999996</v>
      </c>
      <c r="DV23" s="144">
        <f t="shared" si="74"/>
        <v>434187.93192</v>
      </c>
      <c r="DW23" s="144">
        <f t="shared" si="74"/>
        <v>413880.68199999997</v>
      </c>
      <c r="DX23" s="144" t="e">
        <f>VLOOKUP(Parameter_Scenario, Table_data_opexforecast_alternative, MATCH(DX34, Header_Table_Data_opex_proposed, 0), FALSE)</f>
        <v>#N/A</v>
      </c>
      <c r="DY23" s="144">
        <f t="shared" ref="DY23:EQ23" si="75">VLOOKUP($A23, Table_Data_opex_selected, MATCH(DY$16, Header_Table_Data_EBRIN, 0), FALSE)</f>
        <v>46756.092287101899</v>
      </c>
      <c r="DZ23" s="144">
        <f t="shared" si="75"/>
        <v>51252.352222211397</v>
      </c>
      <c r="EA23" s="144">
        <f t="shared" si="75"/>
        <v>43220.358648427202</v>
      </c>
      <c r="EB23" s="144">
        <f t="shared" si="75"/>
        <v>48349.725749867001</v>
      </c>
      <c r="EC23" s="144">
        <f t="shared" si="75"/>
        <v>58605.575110382997</v>
      </c>
      <c r="ED23" s="144">
        <f t="shared" si="75"/>
        <v>66223.988115314729</v>
      </c>
      <c r="EE23" s="144">
        <f t="shared" si="75"/>
        <v>82861.176102655692</v>
      </c>
      <c r="EF23" s="144">
        <f t="shared" si="75"/>
        <v>83295.789556688193</v>
      </c>
      <c r="EG23" s="144">
        <f t="shared" si="75"/>
        <v>81839.89075075349</v>
      </c>
      <c r="EH23" s="144">
        <f t="shared" si="75"/>
        <v>83810.675510022906</v>
      </c>
      <c r="EI23" s="144">
        <f t="shared" si="75"/>
        <v>89922.443806029289</v>
      </c>
      <c r="EJ23" s="144">
        <f t="shared" si="75"/>
        <v>95124.824283925991</v>
      </c>
      <c r="EK23" s="144">
        <f t="shared" si="75"/>
        <v>90354.527270000006</v>
      </c>
      <c r="EL23" s="144">
        <f t="shared" si="75"/>
        <v>92437.99136</v>
      </c>
      <c r="EM23" s="144">
        <f t="shared" si="75"/>
        <v>83587.755040000004</v>
      </c>
      <c r="EN23" s="144">
        <f t="shared" si="75"/>
        <v>75656.824590000004</v>
      </c>
      <c r="EO23" s="144">
        <f t="shared" si="75"/>
        <v>74664.096995365093</v>
      </c>
      <c r="EP23" s="144">
        <f t="shared" si="75"/>
        <v>82877.291930000007</v>
      </c>
      <c r="EQ23" s="144">
        <f t="shared" si="75"/>
        <v>88592.699200000003</v>
      </c>
      <c r="ER23" s="167">
        <v>92147.741814780631</v>
      </c>
      <c r="ES23" s="144">
        <f t="shared" ref="ES23:FH23" si="76">VLOOKUP($A23, Table_Data_opex_selected, MATCH(ES$16, Header_Table_Data_EBRIN, 0), FALSE)</f>
        <v>0</v>
      </c>
      <c r="ET23" s="144">
        <f t="shared" si="76"/>
        <v>0</v>
      </c>
      <c r="EU23" s="144">
        <f t="shared" si="76"/>
        <v>0</v>
      </c>
      <c r="EV23" s="144">
        <f t="shared" si="76"/>
        <v>0</v>
      </c>
      <c r="EW23" s="144">
        <f t="shared" si="76"/>
        <v>0</v>
      </c>
      <c r="EX23" s="144">
        <f t="shared" si="76"/>
        <v>0</v>
      </c>
      <c r="EY23" s="144">
        <f t="shared" si="76"/>
        <v>0</v>
      </c>
      <c r="EZ23" s="144">
        <f t="shared" si="76"/>
        <v>0</v>
      </c>
      <c r="FA23" s="144">
        <f t="shared" si="76"/>
        <v>0</v>
      </c>
      <c r="FB23" s="144">
        <f t="shared" si="76"/>
        <v>0</v>
      </c>
      <c r="FC23" s="144">
        <f t="shared" si="76"/>
        <v>0</v>
      </c>
      <c r="FD23" s="144">
        <f t="shared" si="76"/>
        <v>0</v>
      </c>
      <c r="FE23" s="144">
        <f t="shared" si="76"/>
        <v>0</v>
      </c>
      <c r="FF23" s="144">
        <f t="shared" si="76"/>
        <v>0</v>
      </c>
      <c r="FG23" s="144">
        <f t="shared" si="76"/>
        <v>0</v>
      </c>
      <c r="FH23" s="144">
        <f t="shared" si="76"/>
        <v>0</v>
      </c>
      <c r="FI23" s="144" t="e">
        <f>VLOOKUP(Parameter_Scenario, Table_data_opexforecast_alternative, MATCH(FI34, Header_Table_Data_opex_proposed, 0), FALSE)</f>
        <v>#N/A</v>
      </c>
      <c r="FJ23" s="144" t="e">
        <f>VLOOKUP(Parameter_Scenario, Table_data_opexforecast_alternative, MATCH(FJ34, Header_Table_Data_opex_proposed, 0), FALSE)</f>
        <v>#N/A</v>
      </c>
      <c r="FK23" s="144">
        <f t="shared" ref="FK23:FZ23" si="77">VLOOKUP($A23, Table_Data_opex_selected, MATCH(FK$16, Header_Table_Data_EBRIN, 0), FALSE)</f>
        <v>0</v>
      </c>
      <c r="FL23" s="144">
        <f t="shared" si="77"/>
        <v>0</v>
      </c>
      <c r="FM23" s="144">
        <f t="shared" si="77"/>
        <v>0</v>
      </c>
      <c r="FN23" s="144">
        <f t="shared" si="77"/>
        <v>0</v>
      </c>
      <c r="FO23" s="144">
        <f t="shared" si="77"/>
        <v>0</v>
      </c>
      <c r="FP23" s="144">
        <f t="shared" si="77"/>
        <v>0</v>
      </c>
      <c r="FQ23" s="144">
        <f t="shared" si="77"/>
        <v>0</v>
      </c>
      <c r="FR23" s="144">
        <f t="shared" si="77"/>
        <v>0</v>
      </c>
      <c r="FS23" s="144">
        <f t="shared" si="77"/>
        <v>0</v>
      </c>
      <c r="FT23" s="144">
        <f t="shared" si="77"/>
        <v>0</v>
      </c>
      <c r="FU23" s="144">
        <f t="shared" si="77"/>
        <v>0</v>
      </c>
      <c r="FV23" s="144">
        <f t="shared" si="77"/>
        <v>0</v>
      </c>
      <c r="FW23" s="144">
        <f t="shared" si="77"/>
        <v>0</v>
      </c>
      <c r="FX23" s="144">
        <f t="shared" si="77"/>
        <v>0</v>
      </c>
      <c r="FY23" s="144">
        <f t="shared" si="77"/>
        <v>0</v>
      </c>
      <c r="FZ23" s="144">
        <f t="shared" si="77"/>
        <v>0</v>
      </c>
      <c r="GA23" s="144" t="e">
        <f>VLOOKUP(Parameter_Scenario, Table_data_opexforecast_alternative, MATCH(GA34, Header_Table_Data_opex_proposed, 0), FALSE)</f>
        <v>#N/A</v>
      </c>
      <c r="GB23" s="144" t="e">
        <f>VLOOKUP(Parameter_Scenario, Table_data_opexforecast_alternative, MATCH(GB34, Header_Table_Data_opex_proposed, 0), FALSE)</f>
        <v>#N/A</v>
      </c>
      <c r="GC23" s="144">
        <f t="shared" ref="GC23:GR23" si="78">VLOOKUP($A23, Table_Data_opex_selected, MATCH(GC$16, Header_Table_Data_EBRIN, 0), FALSE)</f>
        <v>0</v>
      </c>
      <c r="GD23" s="144">
        <f t="shared" si="78"/>
        <v>0</v>
      </c>
      <c r="GE23" s="144">
        <f t="shared" si="78"/>
        <v>0</v>
      </c>
      <c r="GF23" s="144">
        <f t="shared" si="78"/>
        <v>0</v>
      </c>
      <c r="GG23" s="144">
        <f t="shared" si="78"/>
        <v>0</v>
      </c>
      <c r="GH23" s="144">
        <f t="shared" si="78"/>
        <v>0</v>
      </c>
      <c r="GI23" s="144">
        <f t="shared" si="78"/>
        <v>0</v>
      </c>
      <c r="GJ23" s="144">
        <f t="shared" si="78"/>
        <v>0</v>
      </c>
      <c r="GK23" s="144">
        <f t="shared" si="78"/>
        <v>0</v>
      </c>
      <c r="GL23" s="144">
        <f t="shared" si="78"/>
        <v>0</v>
      </c>
      <c r="GM23" s="144">
        <f t="shared" si="78"/>
        <v>0</v>
      </c>
      <c r="GN23" s="144">
        <f t="shared" si="78"/>
        <v>0</v>
      </c>
      <c r="GO23" s="144">
        <f t="shared" si="78"/>
        <v>0</v>
      </c>
      <c r="GP23" s="144">
        <f t="shared" si="78"/>
        <v>0</v>
      </c>
      <c r="GQ23" s="144">
        <f t="shared" si="78"/>
        <v>0</v>
      </c>
      <c r="GR23" s="144">
        <f t="shared" si="78"/>
        <v>0</v>
      </c>
      <c r="GS23" s="144" t="e">
        <f>VLOOKUP(Parameter_Scenario, Table_data_opexforecast_alternative, MATCH(GS34, Header_Table_Data_opex_proposed, 0), FALSE)</f>
        <v>#N/A</v>
      </c>
      <c r="GT23" s="144" t="e">
        <f>VLOOKUP(Parameter_Scenario, Table_data_opexforecast_alternative, MATCH(GT34, Header_Table_Data_opex_proposed, 0), FALSE)</f>
        <v>#N/A</v>
      </c>
      <c r="GU23" s="144">
        <f t="shared" ref="GU23:HJ23" si="79">VLOOKUP($A23, Table_Data_opex_selected, MATCH(GU$16, Header_Table_Data_EBRIN, 0), FALSE)</f>
        <v>0</v>
      </c>
      <c r="GV23" s="144">
        <f t="shared" si="79"/>
        <v>0</v>
      </c>
      <c r="GW23" s="144">
        <f t="shared" si="79"/>
        <v>0</v>
      </c>
      <c r="GX23" s="144">
        <f t="shared" si="79"/>
        <v>0</v>
      </c>
      <c r="GY23" s="144">
        <f t="shared" si="79"/>
        <v>0</v>
      </c>
      <c r="GZ23" s="144">
        <f t="shared" si="79"/>
        <v>0</v>
      </c>
      <c r="HA23" s="144">
        <f t="shared" si="79"/>
        <v>0</v>
      </c>
      <c r="HB23" s="144">
        <f t="shared" si="79"/>
        <v>0</v>
      </c>
      <c r="HC23" s="144">
        <f t="shared" si="79"/>
        <v>0</v>
      </c>
      <c r="HD23" s="144">
        <f t="shared" si="79"/>
        <v>0</v>
      </c>
      <c r="HE23" s="144">
        <f t="shared" si="79"/>
        <v>0</v>
      </c>
      <c r="HF23" s="144">
        <f t="shared" si="79"/>
        <v>0</v>
      </c>
      <c r="HG23" s="144">
        <f t="shared" si="79"/>
        <v>0</v>
      </c>
      <c r="HH23" s="144">
        <f t="shared" si="79"/>
        <v>0</v>
      </c>
      <c r="HI23" s="144">
        <f t="shared" si="79"/>
        <v>0</v>
      </c>
      <c r="HJ23" s="144">
        <f t="shared" si="79"/>
        <v>0</v>
      </c>
      <c r="HK23" s="144" t="e">
        <f>VLOOKUP(Parameter_Scenario, Table_data_opexforecast_alternative, MATCH(HK34, Header_Table_Data_opex_proposed, 0), FALSE)</f>
        <v>#N/A</v>
      </c>
      <c r="HL23" s="144" t="e">
        <f>VLOOKUP(Parameter_Scenario, Table_data_opexforecast_alternative, MATCH(HL34, Header_Table_Data_opex_proposed, 0), FALSE)</f>
        <v>#N/A</v>
      </c>
      <c r="HM23" s="144">
        <f t="shared" ref="HM23:IB23" si="80">VLOOKUP($A23, Table_Data_opex_selected, MATCH(HM$16, Header_Table_Data_EBRIN, 0), FALSE)</f>
        <v>0</v>
      </c>
      <c r="HN23" s="144">
        <f t="shared" si="80"/>
        <v>0</v>
      </c>
      <c r="HO23" s="144">
        <f t="shared" si="80"/>
        <v>0</v>
      </c>
      <c r="HP23" s="144">
        <f t="shared" si="80"/>
        <v>0</v>
      </c>
      <c r="HQ23" s="144">
        <f t="shared" si="80"/>
        <v>0</v>
      </c>
      <c r="HR23" s="144">
        <f t="shared" si="80"/>
        <v>0</v>
      </c>
      <c r="HS23" s="144">
        <f t="shared" si="80"/>
        <v>0</v>
      </c>
      <c r="HT23" s="144">
        <f t="shared" si="80"/>
        <v>0</v>
      </c>
      <c r="HU23" s="144">
        <f t="shared" si="80"/>
        <v>0</v>
      </c>
      <c r="HV23" s="144">
        <f t="shared" si="80"/>
        <v>0</v>
      </c>
      <c r="HW23" s="144">
        <f t="shared" si="80"/>
        <v>0</v>
      </c>
      <c r="HX23" s="144">
        <f t="shared" si="80"/>
        <v>0</v>
      </c>
      <c r="HY23" s="144">
        <f t="shared" si="80"/>
        <v>0</v>
      </c>
      <c r="HZ23" s="144">
        <f t="shared" si="80"/>
        <v>0</v>
      </c>
      <c r="IA23" s="144">
        <f t="shared" si="80"/>
        <v>0</v>
      </c>
      <c r="IB23" s="144">
        <f t="shared" si="80"/>
        <v>0</v>
      </c>
      <c r="IC23" s="144" t="e">
        <f>VLOOKUP(Parameter_Scenario, Table_data_opexforecast_alternative, MATCH(IC34, Header_Table_Data_opex_proposed, 0), FALSE)</f>
        <v>#N/A</v>
      </c>
      <c r="ID23" s="144" t="e">
        <f>VLOOKUP(Parameter_Scenario, Table_data_opexforecast_alternative, MATCH(ID34, Header_Table_Data_opex_proposed, 0), FALSE)</f>
        <v>#N/A</v>
      </c>
    </row>
    <row r="24" spans="1:239" s="146" customFormat="1" ht="13.7" customHeight="1">
      <c r="A24" s="143" t="s">
        <v>900</v>
      </c>
      <c r="B24" s="143" t="s">
        <v>899</v>
      </c>
      <c r="C24" s="142">
        <v>0</v>
      </c>
      <c r="D24" s="142">
        <v>0</v>
      </c>
      <c r="E24" s="142">
        <v>0</v>
      </c>
      <c r="F24" s="142">
        <v>0</v>
      </c>
      <c r="G24" s="142">
        <v>0</v>
      </c>
      <c r="H24" s="142">
        <v>0</v>
      </c>
      <c r="I24" s="142">
        <v>0</v>
      </c>
      <c r="J24" s="142">
        <v>0</v>
      </c>
      <c r="K24" s="142">
        <v>0</v>
      </c>
      <c r="L24" s="142">
        <v>0</v>
      </c>
      <c r="M24" s="142">
        <v>0</v>
      </c>
      <c r="N24" s="142">
        <v>0</v>
      </c>
      <c r="O24" s="142">
        <v>0</v>
      </c>
      <c r="P24" s="142">
        <v>0</v>
      </c>
      <c r="Q24" s="142">
        <v>0</v>
      </c>
      <c r="R24" s="142">
        <v>0</v>
      </c>
      <c r="S24" s="142">
        <v>0</v>
      </c>
      <c r="T24" s="142">
        <v>0</v>
      </c>
      <c r="U24" s="142">
        <v>0</v>
      </c>
      <c r="V24" s="142">
        <v>0</v>
      </c>
      <c r="W24" s="142">
        <v>0</v>
      </c>
      <c r="X24" s="142">
        <v>0</v>
      </c>
      <c r="Y24" s="142">
        <v>0</v>
      </c>
      <c r="Z24" s="142">
        <v>0</v>
      </c>
      <c r="AA24" s="142">
        <v>0</v>
      </c>
      <c r="AB24" s="142">
        <v>0</v>
      </c>
      <c r="AC24" s="142">
        <v>0</v>
      </c>
      <c r="AD24" s="142">
        <v>0</v>
      </c>
      <c r="AE24" s="142">
        <v>0</v>
      </c>
      <c r="AF24" s="142">
        <v>0</v>
      </c>
      <c r="AG24" s="142">
        <v>0</v>
      </c>
      <c r="AH24" s="142">
        <v>0</v>
      </c>
      <c r="AI24" s="142">
        <v>0</v>
      </c>
      <c r="AJ24" s="142">
        <v>0</v>
      </c>
      <c r="AK24" s="145">
        <v>0</v>
      </c>
      <c r="AL24" s="145">
        <v>0</v>
      </c>
      <c r="AM24" s="145">
        <v>0</v>
      </c>
      <c r="AN24" s="145">
        <v>0</v>
      </c>
      <c r="AO24" s="145">
        <v>0</v>
      </c>
      <c r="AP24" s="145">
        <v>0</v>
      </c>
      <c r="AQ24" s="145">
        <v>0</v>
      </c>
      <c r="AR24" s="145">
        <v>0</v>
      </c>
      <c r="AS24" s="145">
        <v>0</v>
      </c>
      <c r="AT24" s="145">
        <v>0</v>
      </c>
      <c r="AU24" s="145">
        <v>0</v>
      </c>
      <c r="AV24" s="145">
        <v>0</v>
      </c>
      <c r="AW24" s="145">
        <v>0</v>
      </c>
      <c r="AX24" s="145">
        <v>0</v>
      </c>
      <c r="AY24" s="145">
        <v>0</v>
      </c>
      <c r="AZ24" s="145">
        <v>0</v>
      </c>
      <c r="BA24" s="145">
        <v>0</v>
      </c>
      <c r="BB24" s="145">
        <v>0</v>
      </c>
      <c r="BC24" s="145">
        <v>0</v>
      </c>
      <c r="BD24" s="145">
        <v>0</v>
      </c>
      <c r="BE24" s="145">
        <v>0</v>
      </c>
      <c r="BF24" s="145">
        <v>0</v>
      </c>
      <c r="BG24" s="145">
        <v>0</v>
      </c>
      <c r="BH24" s="145">
        <v>0</v>
      </c>
      <c r="BI24" s="145">
        <v>0</v>
      </c>
      <c r="BJ24" s="145">
        <v>0</v>
      </c>
      <c r="BK24" s="145">
        <v>0</v>
      </c>
      <c r="BL24" s="145">
        <v>0</v>
      </c>
      <c r="BM24" s="145">
        <v>0</v>
      </c>
      <c r="BN24" s="145">
        <v>0</v>
      </c>
      <c r="BO24" s="145">
        <v>0</v>
      </c>
      <c r="BP24" s="145">
        <v>0</v>
      </c>
      <c r="BQ24" s="145">
        <v>0</v>
      </c>
      <c r="BR24" s="145">
        <v>0</v>
      </c>
      <c r="BS24" s="145">
        <v>0</v>
      </c>
      <c r="BT24" s="145">
        <v>0</v>
      </c>
      <c r="BU24" s="145">
        <v>0</v>
      </c>
      <c r="BV24" s="145">
        <v>0</v>
      </c>
      <c r="BW24" s="145">
        <v>0</v>
      </c>
      <c r="BX24" s="145">
        <v>0</v>
      </c>
      <c r="BY24" s="145">
        <v>0</v>
      </c>
      <c r="BZ24" s="145">
        <v>0</v>
      </c>
      <c r="CA24" s="145">
        <v>0</v>
      </c>
      <c r="CB24" s="145">
        <v>0</v>
      </c>
      <c r="CC24" s="145">
        <v>0</v>
      </c>
      <c r="CD24" s="145">
        <v>0</v>
      </c>
      <c r="CE24" s="145">
        <v>0</v>
      </c>
      <c r="CF24" s="145">
        <v>0</v>
      </c>
      <c r="CG24" s="145">
        <v>0</v>
      </c>
      <c r="CH24" s="145">
        <v>0</v>
      </c>
      <c r="CI24" s="145">
        <v>0</v>
      </c>
      <c r="CJ24" s="145">
        <v>0</v>
      </c>
      <c r="CK24" s="145">
        <v>0</v>
      </c>
      <c r="CL24" s="145">
        <v>0</v>
      </c>
      <c r="CM24" s="145">
        <v>0</v>
      </c>
      <c r="CN24" s="145">
        <v>0</v>
      </c>
      <c r="CO24" s="145">
        <v>0</v>
      </c>
      <c r="CP24" s="145">
        <v>0</v>
      </c>
      <c r="CQ24" s="145">
        <v>0</v>
      </c>
      <c r="CR24" s="145">
        <v>0</v>
      </c>
      <c r="CS24" s="145">
        <v>0</v>
      </c>
      <c r="CT24" s="145">
        <v>0</v>
      </c>
      <c r="CU24" s="145">
        <v>0</v>
      </c>
      <c r="CV24" s="145">
        <v>0</v>
      </c>
      <c r="CW24" s="145">
        <v>0</v>
      </c>
      <c r="CX24" s="145">
        <v>0</v>
      </c>
      <c r="CY24" s="145">
        <v>0</v>
      </c>
      <c r="CZ24" s="145">
        <v>0</v>
      </c>
      <c r="DA24" s="145">
        <v>0</v>
      </c>
      <c r="DB24" s="145">
        <v>0</v>
      </c>
      <c r="DC24" s="145">
        <v>0</v>
      </c>
      <c r="DD24" s="145">
        <v>0</v>
      </c>
      <c r="DE24" s="145">
        <v>0</v>
      </c>
      <c r="DF24" s="145">
        <v>0</v>
      </c>
      <c r="DG24" s="145">
        <v>0</v>
      </c>
      <c r="DH24" s="145">
        <v>0</v>
      </c>
      <c r="DI24" s="145">
        <v>0</v>
      </c>
      <c r="DJ24" s="145">
        <v>0</v>
      </c>
      <c r="DK24" s="145">
        <v>0</v>
      </c>
      <c r="DL24" s="145">
        <v>0</v>
      </c>
      <c r="DM24" s="145">
        <v>0</v>
      </c>
      <c r="DN24" s="145">
        <v>0</v>
      </c>
      <c r="DO24" s="145">
        <v>0</v>
      </c>
      <c r="DP24" s="145">
        <v>0</v>
      </c>
      <c r="DQ24" s="145">
        <v>0</v>
      </c>
      <c r="DR24" s="145">
        <v>0</v>
      </c>
      <c r="DS24" s="145">
        <v>0</v>
      </c>
      <c r="DT24" s="145">
        <v>0</v>
      </c>
      <c r="DU24" s="145">
        <v>0</v>
      </c>
      <c r="DV24" s="145">
        <v>0</v>
      </c>
      <c r="DW24" s="145">
        <v>0</v>
      </c>
      <c r="DX24" s="145">
        <v>0</v>
      </c>
      <c r="DY24" s="145">
        <v>0</v>
      </c>
      <c r="DZ24" s="145">
        <v>0</v>
      </c>
      <c r="EA24" s="145">
        <v>0</v>
      </c>
      <c r="EB24" s="145">
        <v>0</v>
      </c>
      <c r="EC24" s="145">
        <v>0</v>
      </c>
      <c r="ED24" s="145">
        <v>0</v>
      </c>
      <c r="EE24" s="145">
        <v>0</v>
      </c>
      <c r="EF24" s="145">
        <v>0</v>
      </c>
      <c r="EG24" s="145">
        <v>0</v>
      </c>
      <c r="EH24" s="145">
        <v>0</v>
      </c>
      <c r="EI24" s="145">
        <v>0</v>
      </c>
      <c r="EJ24" s="145">
        <v>0</v>
      </c>
      <c r="EK24" s="145">
        <v>0</v>
      </c>
      <c r="EL24" s="145">
        <v>0</v>
      </c>
      <c r="EM24" s="145">
        <v>0</v>
      </c>
      <c r="EN24" s="145">
        <v>0</v>
      </c>
      <c r="EO24" s="145">
        <v>0</v>
      </c>
      <c r="EP24" s="145">
        <v>0</v>
      </c>
      <c r="EQ24" s="145"/>
      <c r="ER24" s="145"/>
      <c r="ES24" s="145">
        <v>0</v>
      </c>
      <c r="ET24" s="145">
        <v>0</v>
      </c>
      <c r="EU24" s="145">
        <v>0</v>
      </c>
      <c r="EV24" s="145">
        <v>0</v>
      </c>
      <c r="EW24" s="145">
        <v>0</v>
      </c>
      <c r="EX24" s="145">
        <v>0</v>
      </c>
      <c r="EY24" s="145">
        <v>0</v>
      </c>
      <c r="EZ24" s="145">
        <v>0</v>
      </c>
      <c r="FA24" s="145">
        <v>0</v>
      </c>
      <c r="FB24" s="145">
        <v>0</v>
      </c>
      <c r="FC24" s="145">
        <v>0</v>
      </c>
      <c r="FD24" s="145">
        <v>0</v>
      </c>
      <c r="FE24" s="145">
        <v>0</v>
      </c>
      <c r="FF24" s="145">
        <v>0</v>
      </c>
      <c r="FG24" s="145">
        <v>0</v>
      </c>
      <c r="FH24" s="145">
        <v>0</v>
      </c>
      <c r="FI24" s="145">
        <v>0</v>
      </c>
      <c r="FJ24" s="145">
        <v>0</v>
      </c>
      <c r="FK24" s="145">
        <v>0</v>
      </c>
      <c r="FL24" s="145">
        <v>0</v>
      </c>
      <c r="FM24" s="145">
        <v>0</v>
      </c>
      <c r="FN24" s="145">
        <v>0</v>
      </c>
      <c r="FO24" s="145">
        <v>0</v>
      </c>
      <c r="FP24" s="145">
        <v>0</v>
      </c>
      <c r="FQ24" s="145">
        <v>0</v>
      </c>
      <c r="FR24" s="145">
        <v>0</v>
      </c>
      <c r="FS24" s="145">
        <v>0</v>
      </c>
      <c r="FT24" s="145">
        <v>0</v>
      </c>
      <c r="FU24" s="145">
        <v>0</v>
      </c>
      <c r="FV24" s="145">
        <v>0</v>
      </c>
      <c r="FW24" s="145">
        <v>0</v>
      </c>
      <c r="FX24" s="145">
        <v>0</v>
      </c>
      <c r="FY24" s="145">
        <v>0</v>
      </c>
      <c r="FZ24" s="145">
        <v>0</v>
      </c>
      <c r="GA24" s="145">
        <v>0</v>
      </c>
      <c r="GB24" s="145">
        <v>0</v>
      </c>
      <c r="GC24" s="145">
        <v>0</v>
      </c>
      <c r="GD24" s="145">
        <v>0</v>
      </c>
      <c r="GE24" s="145">
        <v>0</v>
      </c>
      <c r="GF24" s="145">
        <v>0</v>
      </c>
      <c r="GG24" s="145">
        <v>0</v>
      </c>
      <c r="GH24" s="145">
        <v>0</v>
      </c>
      <c r="GI24" s="145">
        <v>0</v>
      </c>
      <c r="GJ24" s="145">
        <v>0</v>
      </c>
      <c r="GK24" s="145">
        <v>0</v>
      </c>
      <c r="GL24" s="145">
        <v>0</v>
      </c>
      <c r="GM24" s="145">
        <v>0</v>
      </c>
      <c r="GN24" s="145">
        <v>0</v>
      </c>
      <c r="GO24" s="145">
        <v>0</v>
      </c>
      <c r="GP24" s="145">
        <v>0</v>
      </c>
      <c r="GQ24" s="145">
        <v>0</v>
      </c>
      <c r="GR24" s="145">
        <v>0</v>
      </c>
      <c r="GS24" s="145">
        <v>0</v>
      </c>
      <c r="GT24" s="145">
        <v>0</v>
      </c>
      <c r="GU24" s="145">
        <v>0</v>
      </c>
      <c r="GV24" s="145">
        <v>0</v>
      </c>
      <c r="GW24" s="145">
        <v>0</v>
      </c>
      <c r="GX24" s="145">
        <v>0</v>
      </c>
      <c r="GY24" s="145">
        <v>0</v>
      </c>
      <c r="GZ24" s="145">
        <v>0</v>
      </c>
      <c r="HA24" s="145">
        <v>0</v>
      </c>
      <c r="HB24" s="145">
        <v>0</v>
      </c>
      <c r="HC24" s="145">
        <v>0</v>
      </c>
      <c r="HD24" s="145">
        <v>0</v>
      </c>
      <c r="HE24" s="145">
        <v>0</v>
      </c>
      <c r="HF24" s="145">
        <v>0</v>
      </c>
      <c r="HG24" s="145">
        <v>0</v>
      </c>
      <c r="HH24" s="145">
        <v>0</v>
      </c>
      <c r="HI24" s="145">
        <v>0</v>
      </c>
      <c r="HJ24" s="145">
        <v>0</v>
      </c>
      <c r="HK24" s="145">
        <v>0</v>
      </c>
      <c r="HL24" s="145">
        <v>0</v>
      </c>
      <c r="HM24" s="145">
        <v>0</v>
      </c>
      <c r="HN24" s="145">
        <v>0</v>
      </c>
      <c r="HO24" s="145">
        <v>0</v>
      </c>
      <c r="HP24" s="145">
        <v>0</v>
      </c>
      <c r="HQ24" s="145">
        <v>0</v>
      </c>
      <c r="HR24" s="145">
        <v>0</v>
      </c>
      <c r="HS24" s="145">
        <v>0</v>
      </c>
      <c r="HT24" s="145">
        <v>0</v>
      </c>
      <c r="HU24" s="145">
        <v>0</v>
      </c>
      <c r="HV24" s="145">
        <v>0</v>
      </c>
      <c r="HW24" s="145">
        <v>0</v>
      </c>
      <c r="HX24" s="145">
        <v>0</v>
      </c>
      <c r="HY24" s="145">
        <v>0</v>
      </c>
      <c r="HZ24" s="145">
        <v>0</v>
      </c>
      <c r="IA24" s="145">
        <v>0</v>
      </c>
      <c r="IB24" s="145">
        <v>0</v>
      </c>
      <c r="IC24" s="145">
        <v>0</v>
      </c>
      <c r="ID24" s="145">
        <v>0</v>
      </c>
    </row>
    <row r="25" spans="1:239" s="146" customFormat="1" ht="13.7" customHeight="1">
      <c r="A25" s="143" t="s">
        <v>901</v>
      </c>
      <c r="B25" s="143" t="s">
        <v>899</v>
      </c>
      <c r="C25" s="149">
        <f t="shared" ref="C25:AH25" si="81">C23 * (1 + Parameter_Opex_forecast_error) + C24</f>
        <v>38538.624900945346</v>
      </c>
      <c r="D25" s="149">
        <f t="shared" si="81"/>
        <v>40555.568802439702</v>
      </c>
      <c r="E25" s="149">
        <f t="shared" si="81"/>
        <v>44812.70258129912</v>
      </c>
      <c r="F25" s="149">
        <f t="shared" si="81"/>
        <v>46821.896889849857</v>
      </c>
      <c r="G25" s="149">
        <f t="shared" si="81"/>
        <v>55266.38145396336</v>
      </c>
      <c r="H25" s="149">
        <f t="shared" si="81"/>
        <v>63737.765832817691</v>
      </c>
      <c r="I25" s="149">
        <f t="shared" si="81"/>
        <v>70608.373543978203</v>
      </c>
      <c r="J25" s="149">
        <f t="shared" si="81"/>
        <v>77834.327675292603</v>
      </c>
      <c r="K25" s="149">
        <f t="shared" si="81"/>
        <v>88864.580625233939</v>
      </c>
      <c r="L25" s="149">
        <f t="shared" si="81"/>
        <v>86548.092643177908</v>
      </c>
      <c r="M25" s="149">
        <f t="shared" si="81"/>
        <v>52497.721534325196</v>
      </c>
      <c r="N25" s="149">
        <f t="shared" si="81"/>
        <v>58245.248035999997</v>
      </c>
      <c r="O25" s="149">
        <f t="shared" si="81"/>
        <v>72071.139840504809</v>
      </c>
      <c r="P25" s="149">
        <f t="shared" si="81"/>
        <v>70694.304359999995</v>
      </c>
      <c r="Q25" s="149">
        <f t="shared" si="81"/>
        <v>68958.093410000001</v>
      </c>
      <c r="R25" s="149">
        <f t="shared" si="81"/>
        <v>66360.226999999999</v>
      </c>
      <c r="S25" s="149">
        <f t="shared" si="81"/>
        <v>71365.648977441</v>
      </c>
      <c r="T25" s="149" t="e">
        <f t="shared" si="81"/>
        <v>#N/A</v>
      </c>
      <c r="U25" s="149">
        <f t="shared" si="81"/>
        <v>359429.30472414085</v>
      </c>
      <c r="V25" s="149">
        <f t="shared" si="81"/>
        <v>319120.88969815226</v>
      </c>
      <c r="W25" s="149">
        <f t="shared" si="81"/>
        <v>470681.79458618024</v>
      </c>
      <c r="X25" s="149">
        <f t="shared" si="81"/>
        <v>443700.63762656803</v>
      </c>
      <c r="Y25" s="149">
        <f t="shared" si="81"/>
        <v>516405.56407726306</v>
      </c>
      <c r="Z25" s="149">
        <f t="shared" si="81"/>
        <v>513411.9445176929</v>
      </c>
      <c r="AA25" s="149">
        <f t="shared" si="81"/>
        <v>583745.18660643906</v>
      </c>
      <c r="AB25" s="149">
        <f t="shared" si="81"/>
        <v>475807.76904051501</v>
      </c>
      <c r="AC25" s="149">
        <f t="shared" si="81"/>
        <v>543068.58082208002</v>
      </c>
      <c r="AD25" s="149">
        <f t="shared" si="81"/>
        <v>652527.45930349501</v>
      </c>
      <c r="AE25" s="149">
        <f t="shared" si="81"/>
        <v>590738.86946726497</v>
      </c>
      <c r="AF25" s="149">
        <f t="shared" si="81"/>
        <v>533275.74492261</v>
      </c>
      <c r="AG25" s="149">
        <f t="shared" si="81"/>
        <v>467980.26400000002</v>
      </c>
      <c r="AH25" s="149">
        <f t="shared" si="81"/>
        <v>454424.70699999999</v>
      </c>
      <c r="AI25" s="149">
        <f t="shared" ref="AI25:BN25" si="82">AI23 * (1 + Parameter_Opex_forecast_error) + AI24</f>
        <v>409523.11597899999</v>
      </c>
      <c r="AJ25" s="149">
        <f t="shared" si="82"/>
        <v>390331.33600000001</v>
      </c>
      <c r="AK25" s="149">
        <f t="shared" si="82"/>
        <v>350363.98100000003</v>
      </c>
      <c r="AL25" s="149" t="e">
        <f t="shared" si="82"/>
        <v>#N/A</v>
      </c>
      <c r="AM25" s="149">
        <f t="shared" si="82"/>
        <v>37898.188999999998</v>
      </c>
      <c r="AN25" s="149">
        <f t="shared" si="82"/>
        <v>40582.080999999998</v>
      </c>
      <c r="AO25" s="149">
        <f t="shared" si="82"/>
        <v>41333.470999999998</v>
      </c>
      <c r="AP25" s="149">
        <f t="shared" si="82"/>
        <v>50008.286836201994</v>
      </c>
      <c r="AQ25" s="149">
        <f t="shared" si="82"/>
        <v>54297.417209442443</v>
      </c>
      <c r="AR25" s="149">
        <f t="shared" si="82"/>
        <v>54486.114272112434</v>
      </c>
      <c r="AS25" s="149">
        <f t="shared" si="82"/>
        <v>67739.510590000005</v>
      </c>
      <c r="AT25" s="149">
        <f t="shared" si="82"/>
        <v>68089.082299999995</v>
      </c>
      <c r="AU25" s="149">
        <f t="shared" si="82"/>
        <v>73439.955393108001</v>
      </c>
      <c r="AV25" s="149">
        <f t="shared" si="82"/>
        <v>71997.882248406604</v>
      </c>
      <c r="AW25" s="149">
        <f t="shared" si="82"/>
        <v>73454.018770187686</v>
      </c>
      <c r="AX25" s="149">
        <f t="shared" si="82"/>
        <v>73056.219669490965</v>
      </c>
      <c r="AY25" s="149">
        <f t="shared" si="82"/>
        <v>67694.236446691008</v>
      </c>
      <c r="AZ25" s="149">
        <f t="shared" si="82"/>
        <v>75670.104999999996</v>
      </c>
      <c r="BA25" s="149">
        <f t="shared" si="82"/>
        <v>74131.675000000003</v>
      </c>
      <c r="BB25" s="149">
        <f t="shared" si="82"/>
        <v>67493.260999999999</v>
      </c>
      <c r="BC25" s="149" t="e">
        <f t="shared" si="82"/>
        <v>#N/A</v>
      </c>
      <c r="BD25" s="149" t="e">
        <f t="shared" si="82"/>
        <v>#N/A</v>
      </c>
      <c r="BE25" s="149">
        <f t="shared" si="82"/>
        <v>173158.03593754568</v>
      </c>
      <c r="BF25" s="149">
        <f t="shared" si="82"/>
        <v>192755.56936652676</v>
      </c>
      <c r="BG25" s="149">
        <f t="shared" si="82"/>
        <v>243136.6498313061</v>
      </c>
      <c r="BH25" s="149">
        <f t="shared" si="82"/>
        <v>229075.96469774732</v>
      </c>
      <c r="BI25" s="149">
        <f t="shared" si="82"/>
        <v>228043.59112183331</v>
      </c>
      <c r="BJ25" s="149">
        <f t="shared" si="82"/>
        <v>244517.0998057948</v>
      </c>
      <c r="BK25" s="149">
        <f t="shared" si="82"/>
        <v>276189.14942971262</v>
      </c>
      <c r="BL25" s="149">
        <f t="shared" si="82"/>
        <v>248232.2275998212</v>
      </c>
      <c r="BM25" s="149">
        <f t="shared" si="82"/>
        <v>295997.52023237501</v>
      </c>
      <c r="BN25" s="149">
        <f t="shared" si="82"/>
        <v>300530.03952954285</v>
      </c>
      <c r="BO25" s="149">
        <f t="shared" ref="BO25:DZ25" si="83">BO23 * (1 + Parameter_Opex_forecast_error) + BO24</f>
        <v>316821.14712986699</v>
      </c>
      <c r="BP25" s="149">
        <f t="shared" si="83"/>
        <v>290656.54168067907</v>
      </c>
      <c r="BQ25" s="149">
        <f t="shared" si="83"/>
        <v>278512.48718438006</v>
      </c>
      <c r="BR25" s="149">
        <f t="shared" si="83"/>
        <v>291794.86913370003</v>
      </c>
      <c r="BS25" s="149">
        <f t="shared" si="83"/>
        <v>259970.16376625502</v>
      </c>
      <c r="BT25" s="149">
        <f t="shared" si="83"/>
        <v>272205.97344527696</v>
      </c>
      <c r="BU25" s="149" t="e">
        <f t="shared" si="83"/>
        <v>#N/A</v>
      </c>
      <c r="BV25" s="149" t="e">
        <f t="shared" si="83"/>
        <v>#N/A</v>
      </c>
      <c r="BW25" s="149">
        <f t="shared" si="83"/>
        <v>203391.00643221589</v>
      </c>
      <c r="BX25" s="149">
        <f t="shared" si="83"/>
        <v>245038.43019628001</v>
      </c>
      <c r="BY25" s="149">
        <f t="shared" si="83"/>
        <v>270734.64824942936</v>
      </c>
      <c r="BZ25" s="149">
        <f t="shared" si="83"/>
        <v>289293.06264344038</v>
      </c>
      <c r="CA25" s="149">
        <f t="shared" si="83"/>
        <v>290823.1193110157</v>
      </c>
      <c r="CB25" s="149">
        <f t="shared" si="83"/>
        <v>332430.89486645564</v>
      </c>
      <c r="CC25" s="149">
        <f t="shared" si="83"/>
        <v>370283.76816004416</v>
      </c>
      <c r="CD25" s="149">
        <f t="shared" si="83"/>
        <v>407311.95354971435</v>
      </c>
      <c r="CE25" s="149">
        <f t="shared" si="83"/>
        <v>390233.18903118349</v>
      </c>
      <c r="CF25" s="149">
        <f t="shared" si="83"/>
        <v>421671.38971983065</v>
      </c>
      <c r="CG25" s="149">
        <f t="shared" si="83"/>
        <v>385683.09634885762</v>
      </c>
      <c r="CH25" s="149">
        <f t="shared" si="83"/>
        <v>383795.11304166587</v>
      </c>
      <c r="CI25" s="149">
        <f t="shared" si="83"/>
        <v>398546.59066905046</v>
      </c>
      <c r="CJ25" s="149">
        <f t="shared" si="83"/>
        <v>385080.41533664323</v>
      </c>
      <c r="CK25" s="149">
        <f t="shared" si="83"/>
        <v>378940.35891394789</v>
      </c>
      <c r="CL25" s="149">
        <f t="shared" si="83"/>
        <v>392934.74461496645</v>
      </c>
      <c r="CM25" s="149">
        <f t="shared" si="83"/>
        <v>420899.80138333316</v>
      </c>
      <c r="CN25" s="149" t="e">
        <f t="shared" si="83"/>
        <v>#N/A</v>
      </c>
      <c r="CO25" s="149">
        <f t="shared" si="83"/>
        <v>328450.67775370367</v>
      </c>
      <c r="CP25" s="149">
        <f t="shared" si="83"/>
        <v>314117.44280743861</v>
      </c>
      <c r="CQ25" s="149">
        <f t="shared" si="83"/>
        <v>351956.67354095803</v>
      </c>
      <c r="CR25" s="149">
        <f t="shared" si="83"/>
        <v>352440.60055190895</v>
      </c>
      <c r="CS25" s="149">
        <f t="shared" si="83"/>
        <v>358645.91452986334</v>
      </c>
      <c r="CT25" s="149">
        <f t="shared" si="83"/>
        <v>438502.57794558577</v>
      </c>
      <c r="CU25" s="149">
        <f t="shared" si="83"/>
        <v>473552.57786512509</v>
      </c>
      <c r="CV25" s="149">
        <f t="shared" si="83"/>
        <v>396894.09990378871</v>
      </c>
      <c r="CW25" s="149">
        <f t="shared" si="83"/>
        <v>412448.34124129853</v>
      </c>
      <c r="CX25" s="149">
        <f t="shared" si="83"/>
        <v>459958.66147334105</v>
      </c>
      <c r="CY25" s="149">
        <f t="shared" si="83"/>
        <v>451043.84626636445</v>
      </c>
      <c r="CZ25" s="149">
        <f t="shared" si="83"/>
        <v>411267.77110382053</v>
      </c>
      <c r="DA25" s="149">
        <f t="shared" si="83"/>
        <v>420845.88526630681</v>
      </c>
      <c r="DB25" s="149">
        <f t="shared" si="83"/>
        <v>439391.46162860282</v>
      </c>
      <c r="DC25" s="149">
        <f t="shared" si="83"/>
        <v>471635.74230853823</v>
      </c>
      <c r="DD25" s="149">
        <f t="shared" si="83"/>
        <v>381389.06418793899</v>
      </c>
      <c r="DE25" s="149">
        <f t="shared" si="83"/>
        <v>393820.5393030665</v>
      </c>
      <c r="DF25" s="149" t="e">
        <f t="shared" si="83"/>
        <v>#N/A</v>
      </c>
      <c r="DG25" s="149">
        <f t="shared" si="83"/>
        <v>259512.70302584243</v>
      </c>
      <c r="DH25" s="149">
        <f t="shared" si="83"/>
        <v>321110.07103787101</v>
      </c>
      <c r="DI25" s="149">
        <f t="shared" si="83"/>
        <v>382924.51082332933</v>
      </c>
      <c r="DJ25" s="149">
        <f t="shared" si="83"/>
        <v>366150.1169553746</v>
      </c>
      <c r="DK25" s="149">
        <f t="shared" si="83"/>
        <v>408797.33885724487</v>
      </c>
      <c r="DL25" s="149">
        <f t="shared" si="83"/>
        <v>428987.86973761127</v>
      </c>
      <c r="DM25" s="149">
        <f t="shared" si="83"/>
        <v>545508.47029752308</v>
      </c>
      <c r="DN25" s="149">
        <f t="shared" si="83"/>
        <v>498609.56726852624</v>
      </c>
      <c r="DO25" s="149">
        <f t="shared" si="83"/>
        <v>491882.73613880406</v>
      </c>
      <c r="DP25" s="149">
        <f t="shared" si="83"/>
        <v>442683.02080096811</v>
      </c>
      <c r="DQ25" s="149">
        <f t="shared" si="83"/>
        <v>365550.70929830213</v>
      </c>
      <c r="DR25" s="149">
        <f t="shared" si="83"/>
        <v>358375.09771504463</v>
      </c>
      <c r="DS25" s="149">
        <f t="shared" si="83"/>
        <v>380873.63400000002</v>
      </c>
      <c r="DT25" s="149">
        <f t="shared" si="83"/>
        <v>442180.00900000002</v>
      </c>
      <c r="DU25" s="149">
        <f t="shared" si="83"/>
        <v>431036.37299999996</v>
      </c>
      <c r="DV25" s="149">
        <f t="shared" si="83"/>
        <v>434187.93192</v>
      </c>
      <c r="DW25" s="149">
        <f t="shared" si="83"/>
        <v>413880.68199999997</v>
      </c>
      <c r="DX25" s="149" t="e">
        <f t="shared" si="83"/>
        <v>#N/A</v>
      </c>
      <c r="DY25" s="149">
        <f t="shared" si="83"/>
        <v>46756.092287101899</v>
      </c>
      <c r="DZ25" s="149">
        <f t="shared" si="83"/>
        <v>51252.352222211397</v>
      </c>
      <c r="EA25" s="149">
        <f t="shared" ref="EA25:GN25" si="84">EA23 * (1 + Parameter_Opex_forecast_error) + EA24</f>
        <v>43220.358648427202</v>
      </c>
      <c r="EB25" s="149">
        <f t="shared" si="84"/>
        <v>48349.725749867001</v>
      </c>
      <c r="EC25" s="149">
        <f t="shared" si="84"/>
        <v>58605.575110382997</v>
      </c>
      <c r="ED25" s="149">
        <f t="shared" si="84"/>
        <v>66223.988115314729</v>
      </c>
      <c r="EE25" s="149">
        <f t="shared" si="84"/>
        <v>82861.176102655692</v>
      </c>
      <c r="EF25" s="149">
        <f t="shared" si="84"/>
        <v>83295.789556688193</v>
      </c>
      <c r="EG25" s="149">
        <f t="shared" si="84"/>
        <v>81839.89075075349</v>
      </c>
      <c r="EH25" s="149">
        <f t="shared" si="84"/>
        <v>83810.675510022906</v>
      </c>
      <c r="EI25" s="149">
        <f t="shared" si="84"/>
        <v>89922.443806029289</v>
      </c>
      <c r="EJ25" s="149">
        <f t="shared" si="84"/>
        <v>95124.824283925991</v>
      </c>
      <c r="EK25" s="149">
        <f t="shared" si="84"/>
        <v>90354.527270000006</v>
      </c>
      <c r="EL25" s="149">
        <f t="shared" si="84"/>
        <v>92437.99136</v>
      </c>
      <c r="EM25" s="149">
        <f t="shared" si="84"/>
        <v>83587.755040000004</v>
      </c>
      <c r="EN25" s="149">
        <f t="shared" si="84"/>
        <v>75656.824590000004</v>
      </c>
      <c r="EO25" s="149">
        <f t="shared" si="84"/>
        <v>74664.096995365093</v>
      </c>
      <c r="EP25" s="149">
        <f t="shared" si="84"/>
        <v>82877.291930000007</v>
      </c>
      <c r="EQ25" s="149">
        <f t="shared" si="84"/>
        <v>88592.699200000003</v>
      </c>
      <c r="ER25" s="149">
        <f t="shared" si="84"/>
        <v>92147.741814780631</v>
      </c>
      <c r="ES25" s="149">
        <f t="shared" si="84"/>
        <v>0</v>
      </c>
      <c r="ET25" s="149">
        <f t="shared" si="84"/>
        <v>0</v>
      </c>
      <c r="EU25" s="149">
        <f t="shared" si="84"/>
        <v>0</v>
      </c>
      <c r="EV25" s="149">
        <f t="shared" si="84"/>
        <v>0</v>
      </c>
      <c r="EW25" s="149">
        <f t="shared" si="84"/>
        <v>0</v>
      </c>
      <c r="EX25" s="149">
        <f t="shared" si="84"/>
        <v>0</v>
      </c>
      <c r="EY25" s="149">
        <f t="shared" si="84"/>
        <v>0</v>
      </c>
      <c r="EZ25" s="149">
        <f t="shared" si="84"/>
        <v>0</v>
      </c>
      <c r="FA25" s="149">
        <f t="shared" si="84"/>
        <v>0</v>
      </c>
      <c r="FB25" s="149">
        <f t="shared" si="84"/>
        <v>0</v>
      </c>
      <c r="FC25" s="149">
        <f t="shared" si="84"/>
        <v>0</v>
      </c>
      <c r="FD25" s="149">
        <f t="shared" si="84"/>
        <v>0</v>
      </c>
      <c r="FE25" s="149">
        <f t="shared" si="84"/>
        <v>0</v>
      </c>
      <c r="FF25" s="149">
        <f t="shared" si="84"/>
        <v>0</v>
      </c>
      <c r="FG25" s="149">
        <f t="shared" si="84"/>
        <v>0</v>
      </c>
      <c r="FH25" s="149">
        <f t="shared" si="84"/>
        <v>0</v>
      </c>
      <c r="FI25" s="149" t="e">
        <f t="shared" si="84"/>
        <v>#N/A</v>
      </c>
      <c r="FJ25" s="149" t="e">
        <f t="shared" si="84"/>
        <v>#N/A</v>
      </c>
      <c r="FK25" s="149">
        <f t="shared" si="84"/>
        <v>0</v>
      </c>
      <c r="FL25" s="149">
        <f t="shared" si="84"/>
        <v>0</v>
      </c>
      <c r="FM25" s="149">
        <f t="shared" si="84"/>
        <v>0</v>
      </c>
      <c r="FN25" s="149">
        <f t="shared" si="84"/>
        <v>0</v>
      </c>
      <c r="FO25" s="149">
        <f t="shared" si="84"/>
        <v>0</v>
      </c>
      <c r="FP25" s="149">
        <f t="shared" si="84"/>
        <v>0</v>
      </c>
      <c r="FQ25" s="149">
        <f t="shared" si="84"/>
        <v>0</v>
      </c>
      <c r="FR25" s="149">
        <f t="shared" si="84"/>
        <v>0</v>
      </c>
      <c r="FS25" s="149">
        <f t="shared" si="84"/>
        <v>0</v>
      </c>
      <c r="FT25" s="149">
        <f t="shared" si="84"/>
        <v>0</v>
      </c>
      <c r="FU25" s="149">
        <f t="shared" si="84"/>
        <v>0</v>
      </c>
      <c r="FV25" s="149">
        <f t="shared" si="84"/>
        <v>0</v>
      </c>
      <c r="FW25" s="149">
        <f t="shared" si="84"/>
        <v>0</v>
      </c>
      <c r="FX25" s="149">
        <f t="shared" si="84"/>
        <v>0</v>
      </c>
      <c r="FY25" s="149">
        <f t="shared" si="84"/>
        <v>0</v>
      </c>
      <c r="FZ25" s="149">
        <f t="shared" si="84"/>
        <v>0</v>
      </c>
      <c r="GA25" s="149" t="e">
        <f t="shared" si="84"/>
        <v>#N/A</v>
      </c>
      <c r="GB25" s="149" t="e">
        <f t="shared" si="84"/>
        <v>#N/A</v>
      </c>
      <c r="GC25" s="149">
        <f t="shared" si="84"/>
        <v>0</v>
      </c>
      <c r="GD25" s="149">
        <f t="shared" si="84"/>
        <v>0</v>
      </c>
      <c r="GE25" s="149">
        <f t="shared" si="84"/>
        <v>0</v>
      </c>
      <c r="GF25" s="149">
        <f t="shared" si="84"/>
        <v>0</v>
      </c>
      <c r="GG25" s="149">
        <f t="shared" si="84"/>
        <v>0</v>
      </c>
      <c r="GH25" s="149">
        <f t="shared" si="84"/>
        <v>0</v>
      </c>
      <c r="GI25" s="149">
        <f t="shared" si="84"/>
        <v>0</v>
      </c>
      <c r="GJ25" s="149">
        <f t="shared" si="84"/>
        <v>0</v>
      </c>
      <c r="GK25" s="149">
        <f t="shared" si="84"/>
        <v>0</v>
      </c>
      <c r="GL25" s="149">
        <f t="shared" si="84"/>
        <v>0</v>
      </c>
      <c r="GM25" s="149">
        <f t="shared" si="84"/>
        <v>0</v>
      </c>
      <c r="GN25" s="149">
        <f t="shared" si="84"/>
        <v>0</v>
      </c>
      <c r="GO25" s="149">
        <f t="shared" ref="GO25:ID25" si="85">GO23 * (1 + Parameter_Opex_forecast_error) + GO24</f>
        <v>0</v>
      </c>
      <c r="GP25" s="149">
        <f t="shared" si="85"/>
        <v>0</v>
      </c>
      <c r="GQ25" s="149">
        <f t="shared" si="85"/>
        <v>0</v>
      </c>
      <c r="GR25" s="149">
        <f t="shared" si="85"/>
        <v>0</v>
      </c>
      <c r="GS25" s="149" t="e">
        <f t="shared" si="85"/>
        <v>#N/A</v>
      </c>
      <c r="GT25" s="149" t="e">
        <f t="shared" si="85"/>
        <v>#N/A</v>
      </c>
      <c r="GU25" s="149">
        <f t="shared" si="85"/>
        <v>0</v>
      </c>
      <c r="GV25" s="149">
        <f t="shared" si="85"/>
        <v>0</v>
      </c>
      <c r="GW25" s="149">
        <f t="shared" si="85"/>
        <v>0</v>
      </c>
      <c r="GX25" s="149">
        <f t="shared" si="85"/>
        <v>0</v>
      </c>
      <c r="GY25" s="149">
        <f t="shared" si="85"/>
        <v>0</v>
      </c>
      <c r="GZ25" s="149">
        <f t="shared" si="85"/>
        <v>0</v>
      </c>
      <c r="HA25" s="149">
        <f t="shared" si="85"/>
        <v>0</v>
      </c>
      <c r="HB25" s="149">
        <f t="shared" si="85"/>
        <v>0</v>
      </c>
      <c r="HC25" s="149">
        <f t="shared" si="85"/>
        <v>0</v>
      </c>
      <c r="HD25" s="149">
        <f t="shared" si="85"/>
        <v>0</v>
      </c>
      <c r="HE25" s="149">
        <f t="shared" si="85"/>
        <v>0</v>
      </c>
      <c r="HF25" s="149">
        <f t="shared" si="85"/>
        <v>0</v>
      </c>
      <c r="HG25" s="149">
        <f t="shared" si="85"/>
        <v>0</v>
      </c>
      <c r="HH25" s="149">
        <f t="shared" si="85"/>
        <v>0</v>
      </c>
      <c r="HI25" s="149">
        <f t="shared" si="85"/>
        <v>0</v>
      </c>
      <c r="HJ25" s="149">
        <f t="shared" si="85"/>
        <v>0</v>
      </c>
      <c r="HK25" s="149" t="e">
        <f t="shared" si="85"/>
        <v>#N/A</v>
      </c>
      <c r="HL25" s="149" t="e">
        <f t="shared" si="85"/>
        <v>#N/A</v>
      </c>
      <c r="HM25" s="149">
        <f t="shared" si="85"/>
        <v>0</v>
      </c>
      <c r="HN25" s="149">
        <f t="shared" si="85"/>
        <v>0</v>
      </c>
      <c r="HO25" s="149">
        <f t="shared" si="85"/>
        <v>0</v>
      </c>
      <c r="HP25" s="149">
        <f t="shared" si="85"/>
        <v>0</v>
      </c>
      <c r="HQ25" s="149">
        <f t="shared" si="85"/>
        <v>0</v>
      </c>
      <c r="HR25" s="149">
        <f t="shared" si="85"/>
        <v>0</v>
      </c>
      <c r="HS25" s="149">
        <f t="shared" si="85"/>
        <v>0</v>
      </c>
      <c r="HT25" s="149">
        <f t="shared" si="85"/>
        <v>0</v>
      </c>
      <c r="HU25" s="149">
        <f t="shared" si="85"/>
        <v>0</v>
      </c>
      <c r="HV25" s="149">
        <f t="shared" si="85"/>
        <v>0</v>
      </c>
      <c r="HW25" s="149">
        <f t="shared" si="85"/>
        <v>0</v>
      </c>
      <c r="HX25" s="149">
        <f t="shared" si="85"/>
        <v>0</v>
      </c>
      <c r="HY25" s="149">
        <f t="shared" si="85"/>
        <v>0</v>
      </c>
      <c r="HZ25" s="149">
        <f t="shared" si="85"/>
        <v>0</v>
      </c>
      <c r="IA25" s="149">
        <f t="shared" si="85"/>
        <v>0</v>
      </c>
      <c r="IB25" s="149">
        <f t="shared" si="85"/>
        <v>0</v>
      </c>
      <c r="IC25" s="149" t="e">
        <f t="shared" si="85"/>
        <v>#N/A</v>
      </c>
      <c r="ID25" s="149" t="e">
        <f t="shared" si="85"/>
        <v>#N/A</v>
      </c>
    </row>
    <row r="26" spans="1:239" ht="13.7" customHeight="1">
      <c r="R26" s="137"/>
      <c r="S26" s="137"/>
      <c r="T26" s="137"/>
      <c r="HW26" s="71"/>
    </row>
    <row r="27" spans="1:239" s="22" customFormat="1" ht="13.7" customHeight="1">
      <c r="A27" s="2" t="s">
        <v>227</v>
      </c>
      <c r="B27" s="4"/>
      <c r="C27" s="4"/>
    </row>
    <row r="28" spans="1:239" ht="13.7" hidden="1" customHeight="1" outlineLevel="1">
      <c r="HW28" s="64"/>
    </row>
    <row r="29" spans="1:239" ht="13.7" hidden="1" customHeight="1" outlineLevel="1">
      <c r="Q29" s="23" t="s">
        <v>902</v>
      </c>
      <c r="S29" s="186"/>
      <c r="T29" s="167">
        <v>11920.405000000001</v>
      </c>
      <c r="AI29" s="23" t="s">
        <v>902</v>
      </c>
      <c r="AK29" s="186"/>
      <c r="AL29" s="167">
        <v>8883.6420000000016</v>
      </c>
      <c r="BA29" s="23" t="s">
        <v>902</v>
      </c>
      <c r="BC29" s="186"/>
      <c r="BD29" s="167">
        <v>0</v>
      </c>
      <c r="BS29" s="23" t="s">
        <v>902</v>
      </c>
      <c r="BU29" s="186"/>
      <c r="BV29" s="167">
        <v>38930.152999999998</v>
      </c>
      <c r="CK29" s="23" t="s">
        <v>902</v>
      </c>
      <c r="CM29" s="186"/>
      <c r="CN29" s="167">
        <v>11180.15705020319</v>
      </c>
      <c r="DC29" s="23" t="s">
        <v>902</v>
      </c>
      <c r="DE29" s="186"/>
      <c r="DF29" s="167">
        <v>17174.813874728141</v>
      </c>
      <c r="DW29" s="186"/>
      <c r="DX29" s="176">
        <v>59002.025107759997</v>
      </c>
      <c r="EO29" s="186"/>
      <c r="FI29" s="186"/>
      <c r="FJ29" s="144">
        <v>0</v>
      </c>
      <c r="GA29" s="186"/>
      <c r="GB29" s="167">
        <v>0</v>
      </c>
      <c r="GS29" s="186"/>
      <c r="GT29" s="167">
        <v>3706.0810000000006</v>
      </c>
      <c r="HK29" s="186"/>
      <c r="HL29" s="237">
        <v>15465.052133950283</v>
      </c>
      <c r="HW29" s="71"/>
      <c r="IA29" s="186"/>
      <c r="IB29" s="186"/>
      <c r="IC29" s="186"/>
      <c r="ID29" s="167">
        <v>0</v>
      </c>
    </row>
    <row r="30" spans="1:239" ht="13.7" hidden="1" customHeight="1" outlineLevel="1">
      <c r="Q30" s="23" t="s">
        <v>903</v>
      </c>
      <c r="T30" s="167">
        <v>1116.183</v>
      </c>
      <c r="HW30" s="62"/>
    </row>
    <row r="31" spans="1:239" ht="13.7" hidden="1" customHeight="1" outlineLevel="1">
      <c r="HW31" s="62"/>
    </row>
    <row r="32" spans="1:239" ht="13.7" hidden="1" customHeight="1" outlineLevel="1">
      <c r="L32" s="186"/>
      <c r="M32" s="186"/>
      <c r="N32" s="186"/>
      <c r="O32" s="186"/>
      <c r="P32" s="186"/>
      <c r="Q32" s="186"/>
      <c r="R32" s="186"/>
      <c r="S32" s="186"/>
      <c r="HW32" s="64"/>
    </row>
    <row r="33" spans="1:238" ht="13.7" hidden="1" customHeight="1" outlineLevel="1">
      <c r="L33" s="186"/>
      <c r="M33" s="186"/>
      <c r="N33" s="186"/>
      <c r="O33" s="186"/>
      <c r="P33" s="186"/>
      <c r="Q33" s="186"/>
      <c r="R33" s="186"/>
      <c r="S33" s="186"/>
      <c r="HW33" s="64"/>
    </row>
    <row r="34" spans="1:238" ht="13.7" hidden="1" customHeight="1" outlineLevel="1">
      <c r="A34" s="24" t="s">
        <v>46</v>
      </c>
      <c r="B34" s="24" t="s">
        <v>271</v>
      </c>
      <c r="C34" s="171" t="s">
        <v>288</v>
      </c>
      <c r="D34" s="171" t="s">
        <v>289</v>
      </c>
      <c r="E34" s="171" t="s">
        <v>290</v>
      </c>
      <c r="F34" s="171" t="s">
        <v>291</v>
      </c>
      <c r="G34" s="171" t="s">
        <v>292</v>
      </c>
      <c r="H34" s="171" t="s">
        <v>293</v>
      </c>
      <c r="I34" s="171" t="s">
        <v>294</v>
      </c>
      <c r="J34" s="171" t="s">
        <v>295</v>
      </c>
      <c r="K34" s="171" t="s">
        <v>296</v>
      </c>
      <c r="L34" s="171" t="s">
        <v>297</v>
      </c>
      <c r="M34" s="171" t="s">
        <v>298</v>
      </c>
      <c r="N34" s="171" t="s">
        <v>299</v>
      </c>
      <c r="O34" s="171" t="s">
        <v>300</v>
      </c>
      <c r="P34" s="171" t="s">
        <v>301</v>
      </c>
      <c r="Q34" s="171" t="s">
        <v>302</v>
      </c>
      <c r="R34" s="171" t="s">
        <v>303</v>
      </c>
      <c r="S34" s="171" t="s">
        <v>304</v>
      </c>
      <c r="T34" s="171" t="s">
        <v>883</v>
      </c>
      <c r="U34" s="171" t="s">
        <v>305</v>
      </c>
      <c r="V34" s="171" t="s">
        <v>306</v>
      </c>
      <c r="W34" s="171" t="s">
        <v>307</v>
      </c>
      <c r="X34" s="171" t="s">
        <v>308</v>
      </c>
      <c r="Y34" s="171" t="s">
        <v>309</v>
      </c>
      <c r="Z34" s="171" t="s">
        <v>310</v>
      </c>
      <c r="AA34" s="171" t="s">
        <v>311</v>
      </c>
      <c r="AB34" s="171" t="s">
        <v>312</v>
      </c>
      <c r="AC34" s="171" t="s">
        <v>313</v>
      </c>
      <c r="AD34" s="171" t="s">
        <v>314</v>
      </c>
      <c r="AE34" s="171" t="s">
        <v>315</v>
      </c>
      <c r="AF34" s="171" t="s">
        <v>316</v>
      </c>
      <c r="AG34" s="171" t="s">
        <v>317</v>
      </c>
      <c r="AH34" s="171" t="s">
        <v>318</v>
      </c>
      <c r="AI34" s="171" t="s">
        <v>319</v>
      </c>
      <c r="AJ34" s="171" t="s">
        <v>320</v>
      </c>
      <c r="AK34" s="171" t="s">
        <v>321</v>
      </c>
      <c r="AL34" s="171" t="s">
        <v>884</v>
      </c>
      <c r="AM34" s="171" t="s">
        <v>322</v>
      </c>
      <c r="AN34" s="171" t="s">
        <v>323</v>
      </c>
      <c r="AO34" s="171" t="s">
        <v>324</v>
      </c>
      <c r="AP34" s="171" t="s">
        <v>325</v>
      </c>
      <c r="AQ34" s="171" t="s">
        <v>326</v>
      </c>
      <c r="AR34" s="171" t="s">
        <v>327</v>
      </c>
      <c r="AS34" s="171" t="s">
        <v>328</v>
      </c>
      <c r="AT34" s="171" t="s">
        <v>329</v>
      </c>
      <c r="AU34" s="171" t="s">
        <v>330</v>
      </c>
      <c r="AV34" s="171" t="s">
        <v>331</v>
      </c>
      <c r="AW34" s="171" t="s">
        <v>332</v>
      </c>
      <c r="AX34" s="171" t="s">
        <v>333</v>
      </c>
      <c r="AY34" s="171" t="s">
        <v>334</v>
      </c>
      <c r="AZ34" s="171" t="s">
        <v>335</v>
      </c>
      <c r="BA34" s="171" t="s">
        <v>336</v>
      </c>
      <c r="BB34" s="171" t="s">
        <v>337</v>
      </c>
      <c r="BC34" s="171" t="s">
        <v>338</v>
      </c>
      <c r="BD34" s="171" t="s">
        <v>885</v>
      </c>
      <c r="BE34" s="171" t="s">
        <v>339</v>
      </c>
      <c r="BF34" s="171" t="s">
        <v>340</v>
      </c>
      <c r="BG34" s="171" t="s">
        <v>341</v>
      </c>
      <c r="BH34" s="171" t="s">
        <v>342</v>
      </c>
      <c r="BI34" s="171" t="s">
        <v>343</v>
      </c>
      <c r="BJ34" s="171" t="s">
        <v>344</v>
      </c>
      <c r="BK34" s="171" t="s">
        <v>345</v>
      </c>
      <c r="BL34" s="171" t="s">
        <v>346</v>
      </c>
      <c r="BM34" s="171" t="s">
        <v>347</v>
      </c>
      <c r="BN34" s="171" t="s">
        <v>348</v>
      </c>
      <c r="BO34" s="171" t="s">
        <v>349</v>
      </c>
      <c r="BP34" s="171" t="s">
        <v>350</v>
      </c>
      <c r="BQ34" s="171" t="s">
        <v>351</v>
      </c>
      <c r="BR34" s="171" t="s">
        <v>352</v>
      </c>
      <c r="BS34" s="171" t="s">
        <v>353</v>
      </c>
      <c r="BT34" s="171" t="s">
        <v>354</v>
      </c>
      <c r="BU34" s="171" t="s">
        <v>355</v>
      </c>
      <c r="BV34" s="171" t="s">
        <v>886</v>
      </c>
      <c r="BW34" s="171" t="s">
        <v>356</v>
      </c>
      <c r="BX34" s="171" t="s">
        <v>357</v>
      </c>
      <c r="BY34" s="171" t="s">
        <v>358</v>
      </c>
      <c r="BZ34" s="171" t="s">
        <v>359</v>
      </c>
      <c r="CA34" s="171" t="s">
        <v>360</v>
      </c>
      <c r="CB34" s="171" t="s">
        <v>361</v>
      </c>
      <c r="CC34" s="171" t="s">
        <v>362</v>
      </c>
      <c r="CD34" s="171" t="s">
        <v>363</v>
      </c>
      <c r="CE34" s="171" t="s">
        <v>364</v>
      </c>
      <c r="CF34" s="171" t="s">
        <v>365</v>
      </c>
      <c r="CG34" s="171" t="s">
        <v>366</v>
      </c>
      <c r="CH34" s="171" t="s">
        <v>367</v>
      </c>
      <c r="CI34" s="171" t="s">
        <v>368</v>
      </c>
      <c r="CJ34" s="171" t="s">
        <v>369</v>
      </c>
      <c r="CK34" s="171" t="s">
        <v>370</v>
      </c>
      <c r="CL34" s="171" t="s">
        <v>371</v>
      </c>
      <c r="CM34" s="171" t="s">
        <v>372</v>
      </c>
      <c r="CN34" s="171" t="s">
        <v>887</v>
      </c>
      <c r="CO34" s="171" t="s">
        <v>373</v>
      </c>
      <c r="CP34" s="171" t="s">
        <v>374</v>
      </c>
      <c r="CQ34" s="171" t="s">
        <v>375</v>
      </c>
      <c r="CR34" s="171" t="s">
        <v>376</v>
      </c>
      <c r="CS34" s="171" t="s">
        <v>377</v>
      </c>
      <c r="CT34" s="171" t="s">
        <v>378</v>
      </c>
      <c r="CU34" s="171" t="s">
        <v>379</v>
      </c>
      <c r="CV34" s="171" t="s">
        <v>380</v>
      </c>
      <c r="CW34" s="171" t="s">
        <v>381</v>
      </c>
      <c r="CX34" s="171" t="s">
        <v>382</v>
      </c>
      <c r="CY34" s="171" t="s">
        <v>383</v>
      </c>
      <c r="CZ34" s="171" t="s">
        <v>384</v>
      </c>
      <c r="DA34" s="171" t="s">
        <v>385</v>
      </c>
      <c r="DB34" s="171" t="s">
        <v>386</v>
      </c>
      <c r="DC34" s="171" t="s">
        <v>387</v>
      </c>
      <c r="DD34" s="171" t="s">
        <v>388</v>
      </c>
      <c r="DE34" s="171" t="s">
        <v>389</v>
      </c>
      <c r="DF34" s="171" t="s">
        <v>888</v>
      </c>
      <c r="DG34" s="171" t="s">
        <v>390</v>
      </c>
      <c r="DH34" s="171" t="s">
        <v>391</v>
      </c>
      <c r="DI34" s="171" t="s">
        <v>392</v>
      </c>
      <c r="DJ34" s="171" t="s">
        <v>393</v>
      </c>
      <c r="DK34" s="171" t="s">
        <v>394</v>
      </c>
      <c r="DL34" s="171" t="s">
        <v>395</v>
      </c>
      <c r="DM34" s="171" t="s">
        <v>396</v>
      </c>
      <c r="DN34" s="171" t="s">
        <v>397</v>
      </c>
      <c r="DO34" s="171" t="s">
        <v>398</v>
      </c>
      <c r="DP34" s="171" t="s">
        <v>399</v>
      </c>
      <c r="DQ34" s="171" t="s">
        <v>400</v>
      </c>
      <c r="DR34" s="171" t="s">
        <v>401</v>
      </c>
      <c r="DS34" s="171" t="s">
        <v>402</v>
      </c>
      <c r="DT34" s="171" t="s">
        <v>403</v>
      </c>
      <c r="DU34" s="171" t="s">
        <v>404</v>
      </c>
      <c r="DV34" s="171" t="s">
        <v>405</v>
      </c>
      <c r="DW34" s="171" t="s">
        <v>406</v>
      </c>
      <c r="DX34" s="171" t="s">
        <v>889</v>
      </c>
      <c r="DY34" s="171" t="s">
        <v>407</v>
      </c>
      <c r="DZ34" s="171" t="s">
        <v>408</v>
      </c>
      <c r="EA34" s="171" t="s">
        <v>409</v>
      </c>
      <c r="EB34" s="171" t="s">
        <v>410</v>
      </c>
      <c r="EC34" s="171" t="s">
        <v>411</v>
      </c>
      <c r="ED34" s="171" t="s">
        <v>412</v>
      </c>
      <c r="EE34" s="171" t="s">
        <v>413</v>
      </c>
      <c r="EF34" s="171" t="s">
        <v>414</v>
      </c>
      <c r="EG34" s="171" t="s">
        <v>415</v>
      </c>
      <c r="EH34" s="171" t="s">
        <v>416</v>
      </c>
      <c r="EI34" s="171" t="s">
        <v>417</v>
      </c>
      <c r="EJ34" s="171" t="s">
        <v>418</v>
      </c>
      <c r="EK34" s="171" t="s">
        <v>419</v>
      </c>
      <c r="EL34" s="171" t="s">
        <v>420</v>
      </c>
      <c r="EM34" s="171" t="s">
        <v>421</v>
      </c>
      <c r="EN34" s="171" t="s">
        <v>422</v>
      </c>
      <c r="EO34" s="171" t="s">
        <v>423</v>
      </c>
      <c r="EP34" s="171" t="s">
        <v>423</v>
      </c>
      <c r="EQ34" s="171" t="s">
        <v>425</v>
      </c>
      <c r="ER34" s="171" t="s">
        <v>890</v>
      </c>
      <c r="ES34" s="171" t="s">
        <v>426</v>
      </c>
      <c r="ET34" s="171" t="s">
        <v>427</v>
      </c>
      <c r="EU34" s="171" t="s">
        <v>428</v>
      </c>
      <c r="EV34" s="171" t="s">
        <v>429</v>
      </c>
      <c r="EW34" s="171" t="s">
        <v>430</v>
      </c>
      <c r="EX34" s="171" t="s">
        <v>431</v>
      </c>
      <c r="EY34" s="171" t="s">
        <v>432</v>
      </c>
      <c r="EZ34" s="171" t="s">
        <v>433</v>
      </c>
      <c r="FA34" s="171" t="s">
        <v>434</v>
      </c>
      <c r="FB34" s="171" t="s">
        <v>435</v>
      </c>
      <c r="FC34" s="171" t="s">
        <v>436</v>
      </c>
      <c r="FD34" s="171" t="s">
        <v>437</v>
      </c>
      <c r="FE34" s="171" t="s">
        <v>438</v>
      </c>
      <c r="FF34" s="171" t="s">
        <v>439</v>
      </c>
      <c r="FG34" s="171" t="s">
        <v>440</v>
      </c>
      <c r="FH34" s="171" t="s">
        <v>441</v>
      </c>
      <c r="FI34" s="171" t="s">
        <v>442</v>
      </c>
      <c r="FJ34" s="171" t="s">
        <v>891</v>
      </c>
      <c r="FK34" s="171" t="s">
        <v>443</v>
      </c>
      <c r="FL34" s="171" t="s">
        <v>444</v>
      </c>
      <c r="FM34" s="171" t="s">
        <v>445</v>
      </c>
      <c r="FN34" s="171" t="s">
        <v>446</v>
      </c>
      <c r="FO34" s="171" t="s">
        <v>447</v>
      </c>
      <c r="FP34" s="171" t="s">
        <v>448</v>
      </c>
      <c r="FQ34" s="171" t="s">
        <v>449</v>
      </c>
      <c r="FR34" s="171" t="s">
        <v>450</v>
      </c>
      <c r="FS34" s="171" t="s">
        <v>451</v>
      </c>
      <c r="FT34" s="171" t="s">
        <v>452</v>
      </c>
      <c r="FU34" s="171" t="s">
        <v>453</v>
      </c>
      <c r="FV34" s="171" t="s">
        <v>454</v>
      </c>
      <c r="FW34" s="171" t="s">
        <v>455</v>
      </c>
      <c r="FX34" s="171" t="s">
        <v>456</v>
      </c>
      <c r="FY34" s="171" t="s">
        <v>457</v>
      </c>
      <c r="FZ34" s="171" t="s">
        <v>458</v>
      </c>
      <c r="GA34" s="171" t="s">
        <v>459</v>
      </c>
      <c r="GB34" s="171" t="s">
        <v>892</v>
      </c>
      <c r="GC34" s="171" t="s">
        <v>460</v>
      </c>
      <c r="GD34" s="171" t="s">
        <v>461</v>
      </c>
      <c r="GE34" s="171" t="s">
        <v>462</v>
      </c>
      <c r="GF34" s="171" t="s">
        <v>463</v>
      </c>
      <c r="GG34" s="171" t="s">
        <v>464</v>
      </c>
      <c r="GH34" s="171" t="s">
        <v>465</v>
      </c>
      <c r="GI34" s="171" t="s">
        <v>466</v>
      </c>
      <c r="GJ34" s="171" t="s">
        <v>467</v>
      </c>
      <c r="GK34" s="171" t="s">
        <v>468</v>
      </c>
      <c r="GL34" s="171" t="s">
        <v>469</v>
      </c>
      <c r="GM34" s="171" t="s">
        <v>470</v>
      </c>
      <c r="GN34" s="171" t="s">
        <v>471</v>
      </c>
      <c r="GO34" s="171" t="s">
        <v>472</v>
      </c>
      <c r="GP34" s="171" t="s">
        <v>473</v>
      </c>
      <c r="GQ34" s="171" t="s">
        <v>474</v>
      </c>
      <c r="GR34" s="171" t="s">
        <v>475</v>
      </c>
      <c r="GS34" s="171" t="s">
        <v>476</v>
      </c>
      <c r="GT34" s="171" t="s">
        <v>893</v>
      </c>
      <c r="GU34" s="171" t="s">
        <v>477</v>
      </c>
      <c r="GV34" s="171" t="s">
        <v>478</v>
      </c>
      <c r="GW34" s="171" t="s">
        <v>479</v>
      </c>
      <c r="GX34" s="171" t="s">
        <v>480</v>
      </c>
      <c r="GY34" s="171" t="s">
        <v>481</v>
      </c>
      <c r="GZ34" s="171" t="s">
        <v>482</v>
      </c>
      <c r="HA34" s="171" t="s">
        <v>483</v>
      </c>
      <c r="HB34" s="171" t="s">
        <v>484</v>
      </c>
      <c r="HC34" s="171" t="s">
        <v>485</v>
      </c>
      <c r="HD34" s="171" t="s">
        <v>486</v>
      </c>
      <c r="HE34" s="171" t="s">
        <v>487</v>
      </c>
      <c r="HF34" s="171" t="s">
        <v>488</v>
      </c>
      <c r="HG34" s="171" t="s">
        <v>489</v>
      </c>
      <c r="HH34" s="171" t="s">
        <v>490</v>
      </c>
      <c r="HI34" s="171" t="s">
        <v>491</v>
      </c>
      <c r="HJ34" s="171" t="s">
        <v>492</v>
      </c>
      <c r="HK34" s="171" t="s">
        <v>493</v>
      </c>
      <c r="HL34" s="171" t="s">
        <v>894</v>
      </c>
      <c r="HM34" s="171" t="s">
        <v>494</v>
      </c>
      <c r="HN34" s="171" t="s">
        <v>495</v>
      </c>
      <c r="HO34" s="171" t="s">
        <v>496</v>
      </c>
      <c r="HP34" s="171" t="s">
        <v>497</v>
      </c>
      <c r="HQ34" s="171" t="s">
        <v>498</v>
      </c>
      <c r="HR34" s="171" t="s">
        <v>499</v>
      </c>
      <c r="HS34" s="171" t="s">
        <v>500</v>
      </c>
      <c r="HT34" s="171" t="s">
        <v>501</v>
      </c>
      <c r="HU34" s="171" t="s">
        <v>502</v>
      </c>
      <c r="HV34" s="171" t="s">
        <v>503</v>
      </c>
      <c r="HW34" s="172" t="s">
        <v>504</v>
      </c>
      <c r="HX34" s="171" t="s">
        <v>505</v>
      </c>
      <c r="HY34" s="171" t="s">
        <v>506</v>
      </c>
      <c r="HZ34" s="171" t="s">
        <v>507</v>
      </c>
      <c r="IA34" s="171" t="s">
        <v>508</v>
      </c>
      <c r="IB34" s="171" t="s">
        <v>509</v>
      </c>
      <c r="IC34" s="171" t="s">
        <v>510</v>
      </c>
      <c r="ID34" s="171" t="s">
        <v>895</v>
      </c>
    </row>
    <row r="35" spans="1:238" ht="13.7" hidden="1" customHeight="1" outlineLevel="1">
      <c r="A35" s="66" t="s">
        <v>272</v>
      </c>
      <c r="B35" s="248">
        <v>12</v>
      </c>
      <c r="S35" s="144">
        <v>59089.322977440999</v>
      </c>
      <c r="T35" s="167">
        <v>58375.166000000005</v>
      </c>
      <c r="U35" s="66"/>
      <c r="V35" s="66"/>
      <c r="W35" s="66"/>
      <c r="X35" s="66"/>
      <c r="Y35" s="66"/>
      <c r="Z35" s="66"/>
      <c r="AA35" s="66"/>
      <c r="AB35" s="66"/>
      <c r="AC35" s="66"/>
      <c r="AD35" s="66"/>
      <c r="AE35" s="66"/>
      <c r="AF35" s="66"/>
      <c r="AG35" s="66"/>
      <c r="AH35" s="66"/>
      <c r="AI35" s="66"/>
      <c r="AJ35" s="66"/>
      <c r="AK35" s="66"/>
      <c r="AL35" s="248">
        <v>391856.63411826995</v>
      </c>
      <c r="AM35" s="66"/>
      <c r="AN35" s="66"/>
      <c r="AO35" s="66"/>
      <c r="AP35" s="66"/>
      <c r="AQ35" s="66"/>
      <c r="AR35" s="66"/>
      <c r="AS35" s="66"/>
      <c r="AT35" s="66"/>
      <c r="AU35" s="66"/>
      <c r="AV35" s="66"/>
      <c r="AW35" s="66"/>
      <c r="AX35" s="66"/>
      <c r="AY35" s="66"/>
      <c r="AZ35" s="66"/>
      <c r="BA35" s="66"/>
      <c r="BB35" s="66"/>
      <c r="BC35" s="248">
        <v>49770.854958085292</v>
      </c>
      <c r="BD35" s="248">
        <f>BC35*POWER(BC35/'Data|EBRIN'!AW54,1/4)</f>
        <v>50020.04900857537</v>
      </c>
      <c r="BE35" s="66"/>
      <c r="BF35" s="66"/>
      <c r="BG35" s="66"/>
      <c r="BH35" s="66"/>
      <c r="BI35" s="66"/>
      <c r="BJ35" s="66"/>
      <c r="BK35" s="66"/>
      <c r="BL35" s="66"/>
      <c r="BM35" s="66"/>
      <c r="BN35" s="66"/>
      <c r="BO35" s="66"/>
      <c r="BP35" s="66"/>
      <c r="BQ35" s="66"/>
      <c r="BR35" s="66"/>
      <c r="BS35" s="66"/>
      <c r="BT35" s="66"/>
      <c r="BU35" s="66"/>
      <c r="BV35" s="248">
        <v>252414.96563747391</v>
      </c>
      <c r="BW35" s="66"/>
      <c r="BX35" s="66"/>
      <c r="BY35" s="66"/>
      <c r="BZ35" s="66"/>
      <c r="CA35" s="66"/>
      <c r="CB35" s="66"/>
      <c r="CC35" s="66"/>
      <c r="CD35" s="66"/>
      <c r="CE35" s="66"/>
      <c r="CF35" s="66"/>
      <c r="CG35" s="66"/>
      <c r="CH35" s="66"/>
      <c r="CI35" s="66"/>
      <c r="CJ35" s="66"/>
      <c r="CK35" s="66"/>
      <c r="CL35" s="66"/>
      <c r="CM35" s="248">
        <v>422580.21130494471</v>
      </c>
      <c r="CN35" s="248">
        <v>461349.89899999998</v>
      </c>
      <c r="CO35" s="66"/>
      <c r="CP35" s="66"/>
      <c r="CQ35" s="66"/>
      <c r="CR35" s="66"/>
      <c r="CS35" s="66"/>
      <c r="CT35" s="66"/>
      <c r="CU35" s="66"/>
      <c r="CV35" s="66"/>
      <c r="CW35" s="66"/>
      <c r="CX35" s="66"/>
      <c r="CY35" s="66"/>
      <c r="CZ35" s="66"/>
      <c r="DA35" s="66"/>
      <c r="DB35" s="66"/>
      <c r="DC35" s="66"/>
      <c r="DD35" s="66"/>
      <c r="DE35" s="248">
        <v>359914.5709396</v>
      </c>
      <c r="DF35" s="248">
        <v>445062.163</v>
      </c>
      <c r="DG35" s="66"/>
      <c r="DH35" s="66"/>
      <c r="DI35" s="66"/>
      <c r="DJ35" s="66"/>
      <c r="DK35" s="66"/>
      <c r="DL35" s="66"/>
      <c r="DM35" s="66"/>
      <c r="DN35" s="66"/>
      <c r="DO35" s="66"/>
      <c r="DP35" s="66"/>
      <c r="DQ35" s="66"/>
      <c r="DR35" s="66"/>
      <c r="DS35" s="66"/>
      <c r="DT35" s="66"/>
      <c r="DU35" s="66"/>
      <c r="DV35" s="66"/>
      <c r="DW35" s="66"/>
      <c r="DX35" s="248">
        <v>420984.55432852509</v>
      </c>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248">
        <v>191487.34181872383</v>
      </c>
      <c r="FJ35" s="248">
        <f>FI35*POWER(FI35/'Data|EBRIN'!EW54,1/4)</f>
        <v>192427.27313868696</v>
      </c>
      <c r="FK35" s="66"/>
      <c r="FL35" s="66"/>
      <c r="FM35" s="66"/>
      <c r="FN35" s="66"/>
      <c r="FO35" s="66"/>
      <c r="FP35" s="66"/>
      <c r="FQ35" s="66"/>
      <c r="FR35" s="66"/>
      <c r="FS35" s="66"/>
      <c r="FT35" s="66"/>
      <c r="FU35" s="66"/>
      <c r="FV35" s="66"/>
      <c r="FW35" s="66"/>
      <c r="FX35" s="66"/>
      <c r="FY35" s="66"/>
      <c r="FZ35" s="66"/>
      <c r="GA35" s="248">
        <v>268338.46308999998</v>
      </c>
      <c r="GB35" s="248">
        <f>GA35*POWER(GA35/'Data|EBRIN'!FN54,1/4)</f>
        <v>273400.37159544253</v>
      </c>
      <c r="GC35" s="66"/>
      <c r="GD35" s="66"/>
      <c r="GE35" s="66"/>
      <c r="GF35" s="66"/>
      <c r="GG35" s="66"/>
      <c r="GH35" s="66"/>
      <c r="GI35" s="66"/>
      <c r="GJ35" s="66"/>
      <c r="GK35" s="66"/>
      <c r="GL35" s="66"/>
      <c r="GM35" s="66"/>
      <c r="GN35" s="66"/>
      <c r="GO35" s="66"/>
      <c r="GP35" s="66"/>
      <c r="GQ35" s="66"/>
      <c r="GR35" s="66"/>
      <c r="GS35" s="248">
        <v>219288.94666366841</v>
      </c>
      <c r="GT35" s="248">
        <f>GS35*POWER(GS35/'Data|EBRIN'!GE54,1/4)</f>
        <v>226239.36997529253</v>
      </c>
      <c r="GU35" s="66"/>
      <c r="GV35" s="66"/>
      <c r="GW35" s="66"/>
      <c r="GX35" s="66"/>
      <c r="GY35" s="66"/>
      <c r="GZ35" s="66"/>
      <c r="HA35" s="66"/>
      <c r="HB35" s="66"/>
      <c r="HC35" s="66"/>
      <c r="HD35" s="66"/>
      <c r="HE35" s="66"/>
      <c r="HF35" s="66"/>
      <c r="HG35" s="66"/>
      <c r="HH35" s="66"/>
      <c r="HI35" s="66"/>
      <c r="HJ35" s="66"/>
      <c r="HK35" s="248">
        <v>91390.233242584902</v>
      </c>
      <c r="HL35" s="248">
        <v>96870.091741360127</v>
      </c>
      <c r="HM35" s="66"/>
      <c r="HN35" s="66"/>
      <c r="HO35" s="66"/>
      <c r="HP35" s="66"/>
      <c r="HQ35" s="66"/>
      <c r="HR35" s="66"/>
      <c r="HS35" s="66"/>
      <c r="HT35" s="66"/>
      <c r="HU35" s="66"/>
      <c r="HV35" s="66"/>
      <c r="HW35" s="66"/>
      <c r="HX35" s="66"/>
      <c r="HY35" s="66"/>
      <c r="HZ35" s="66"/>
      <c r="IA35" s="66"/>
      <c r="IB35" s="66"/>
      <c r="IC35" s="248">
        <v>124679.376</v>
      </c>
      <c r="ID35" s="248">
        <f>IC35*POWER(IC35/'Data|EBRIN'!HM54,1/4)</f>
        <v>129164.80143730638</v>
      </c>
    </row>
    <row r="36" spans="1:238" ht="13.7" hidden="1" customHeight="1" outlineLevel="1">
      <c r="A36" s="66" t="s">
        <v>273</v>
      </c>
      <c r="B36" s="238" t="s">
        <v>274</v>
      </c>
      <c r="S36" s="248">
        <f>S35+S29</f>
        <v>59089.322977440999</v>
      </c>
      <c r="T36" s="144">
        <f>T35+T29</f>
        <v>70295.571000000011</v>
      </c>
      <c r="U36" s="66"/>
      <c r="V36" s="66"/>
      <c r="W36" s="66"/>
      <c r="X36" s="66"/>
      <c r="Y36" s="66"/>
      <c r="Z36" s="66"/>
      <c r="AA36" s="66"/>
      <c r="AB36" s="66"/>
      <c r="AC36" s="66"/>
      <c r="AD36" s="66"/>
      <c r="AE36" s="66"/>
      <c r="AF36" s="66"/>
      <c r="AG36" s="66"/>
      <c r="AH36" s="66"/>
      <c r="AI36" s="66"/>
      <c r="AJ36" s="66"/>
      <c r="AK36" s="66"/>
      <c r="AL36" s="248">
        <f>AL35+AL29</f>
        <v>400740.27611826995</v>
      </c>
      <c r="AM36" s="66"/>
      <c r="AN36" s="66"/>
      <c r="AO36" s="66"/>
      <c r="AP36" s="66"/>
      <c r="AQ36" s="66"/>
      <c r="AR36" s="66"/>
      <c r="AS36" s="66"/>
      <c r="AT36" s="66"/>
      <c r="AU36" s="66"/>
      <c r="AV36" s="66"/>
      <c r="AW36" s="66"/>
      <c r="AX36" s="66"/>
      <c r="AY36" s="66"/>
      <c r="AZ36" s="66"/>
      <c r="BA36" s="66"/>
      <c r="BB36" s="66"/>
      <c r="BC36" s="248">
        <v>72884.255999999994</v>
      </c>
      <c r="BD36" s="248">
        <f>BC36*POWER(BC36/'Data|EBRIN'!AW55,1/4)</f>
        <v>74242.781204652449</v>
      </c>
      <c r="BE36" s="66"/>
      <c r="BF36" s="66"/>
      <c r="BG36" s="66"/>
      <c r="BH36" s="66"/>
      <c r="BI36" s="66"/>
      <c r="BJ36" s="66"/>
      <c r="BK36" s="66"/>
      <c r="BL36" s="66"/>
      <c r="BM36" s="66"/>
      <c r="BN36" s="66"/>
      <c r="BO36" s="66"/>
      <c r="BP36" s="66"/>
      <c r="BQ36" s="66"/>
      <c r="BR36" s="66"/>
      <c r="BS36" s="66"/>
      <c r="BT36" s="66"/>
      <c r="BU36" s="66"/>
      <c r="BV36" s="248">
        <f>BV35+BV29</f>
        <v>291345.1186374739</v>
      </c>
      <c r="BW36" s="66"/>
      <c r="BX36" s="66"/>
      <c r="BY36" s="66"/>
      <c r="BZ36" s="66"/>
      <c r="CA36" s="66"/>
      <c r="CB36" s="66"/>
      <c r="CC36" s="66"/>
      <c r="CD36" s="66"/>
      <c r="CE36" s="66"/>
      <c r="CF36" s="66"/>
      <c r="CG36" s="66"/>
      <c r="CH36" s="66"/>
      <c r="CI36" s="66"/>
      <c r="CJ36" s="66"/>
      <c r="CK36" s="66"/>
      <c r="CL36" s="66"/>
      <c r="CM36" s="248">
        <v>412216.255</v>
      </c>
      <c r="CN36" s="248">
        <f>CN35</f>
        <v>461349.89899999998</v>
      </c>
      <c r="CO36" s="66"/>
      <c r="CP36" s="66"/>
      <c r="CQ36" s="66"/>
      <c r="CR36" s="66"/>
      <c r="CS36" s="66"/>
      <c r="CT36" s="66"/>
      <c r="CU36" s="66"/>
      <c r="CV36" s="66"/>
      <c r="CW36" s="66"/>
      <c r="CX36" s="66"/>
      <c r="CY36" s="66"/>
      <c r="CZ36" s="66"/>
      <c r="DA36" s="66"/>
      <c r="DB36" s="66"/>
      <c r="DC36" s="66"/>
      <c r="DD36" s="66"/>
      <c r="DE36" s="248">
        <v>378858.63400000002</v>
      </c>
      <c r="DF36" s="248">
        <f>DF35</f>
        <v>445062.163</v>
      </c>
      <c r="DG36" s="66"/>
      <c r="DH36" s="66"/>
      <c r="DI36" s="66"/>
      <c r="DJ36" s="66"/>
      <c r="DK36" s="66"/>
      <c r="DL36" s="66"/>
      <c r="DM36" s="66"/>
      <c r="DN36" s="66"/>
      <c r="DO36" s="66"/>
      <c r="DP36" s="66"/>
      <c r="DQ36" s="66"/>
      <c r="DR36" s="66"/>
      <c r="DS36" s="66"/>
      <c r="DT36" s="66"/>
      <c r="DU36" s="66"/>
      <c r="DV36" s="66"/>
      <c r="DW36" s="66"/>
      <c r="DX36" s="248">
        <f>DX35+DX29</f>
        <v>479986.57943628507</v>
      </c>
      <c r="DY36" s="66"/>
      <c r="DZ36" s="66"/>
      <c r="EA36" s="66"/>
      <c r="EB36" s="66"/>
      <c r="EC36" s="66"/>
      <c r="ED36" s="66"/>
      <c r="EE36" s="66"/>
      <c r="EF36" s="66"/>
      <c r="EG36" s="66"/>
      <c r="EH36" s="66"/>
      <c r="EI36" s="66"/>
      <c r="EJ36" s="66"/>
      <c r="EK36" s="66"/>
      <c r="EL36" s="66"/>
      <c r="EM36" s="66"/>
      <c r="EN36" s="66"/>
      <c r="EO36" s="248">
        <f>EO25</f>
        <v>74664.096995365093</v>
      </c>
      <c r="EP36" s="248">
        <f t="shared" ref="EP36:ER36" si="86">EP25</f>
        <v>82877.291930000007</v>
      </c>
      <c r="EQ36" s="248">
        <f t="shared" si="86"/>
        <v>88592.699200000003</v>
      </c>
      <c r="ER36" s="248">
        <f t="shared" si="86"/>
        <v>92147.741814780631</v>
      </c>
      <c r="ES36" s="66"/>
      <c r="ET36" s="66"/>
      <c r="EU36" s="66"/>
      <c r="EV36" s="66"/>
      <c r="EW36" s="66"/>
      <c r="EX36" s="66"/>
      <c r="EY36" s="66"/>
      <c r="EZ36" s="66"/>
      <c r="FA36" s="66"/>
      <c r="FB36" s="66"/>
      <c r="FC36" s="66"/>
      <c r="FD36" s="66"/>
      <c r="FE36" s="66"/>
      <c r="FF36" s="66"/>
      <c r="FG36" s="66"/>
      <c r="FH36" s="66"/>
      <c r="FI36" s="248">
        <v>234183.25</v>
      </c>
      <c r="FJ36" s="248">
        <f>FI36*POWER(FI36/'Data|EBRIN'!EW55,1/4)</f>
        <v>237394.44017537782</v>
      </c>
      <c r="FK36" s="66"/>
      <c r="FL36" s="66"/>
      <c r="FM36" s="66"/>
      <c r="FN36" s="66"/>
      <c r="FO36" s="66"/>
      <c r="FP36" s="66"/>
      <c r="FQ36" s="66"/>
      <c r="FR36" s="66"/>
      <c r="FS36" s="66"/>
      <c r="FT36" s="66"/>
      <c r="FU36" s="66"/>
      <c r="FV36" s="66"/>
      <c r="FW36" s="66"/>
      <c r="FX36" s="66"/>
      <c r="FY36" s="66"/>
      <c r="FZ36" s="66"/>
      <c r="GA36" s="248">
        <f>GA35+GA29</f>
        <v>268338.46308999998</v>
      </c>
      <c r="GB36" s="248">
        <f>GB35+GB29</f>
        <v>273400.37159544253</v>
      </c>
      <c r="GC36" s="66"/>
      <c r="GD36" s="66"/>
      <c r="GE36" s="66"/>
      <c r="GF36" s="66"/>
      <c r="GG36" s="66"/>
      <c r="GH36" s="66"/>
      <c r="GI36" s="66"/>
      <c r="GJ36" s="66"/>
      <c r="GK36" s="66"/>
      <c r="GL36" s="66"/>
      <c r="GM36" s="66"/>
      <c r="GN36" s="66"/>
      <c r="GO36" s="66"/>
      <c r="GP36" s="66"/>
      <c r="GQ36" s="66"/>
      <c r="GR36" s="66"/>
      <c r="GS36" s="248">
        <f>GS35+GS29</f>
        <v>219288.94666366841</v>
      </c>
      <c r="GT36" s="248">
        <f>GT35+GT29</f>
        <v>229945.45097529254</v>
      </c>
      <c r="GU36" s="66"/>
      <c r="GV36" s="66"/>
      <c r="GW36" s="66"/>
      <c r="GX36" s="66"/>
      <c r="GY36" s="66"/>
      <c r="GZ36" s="66"/>
      <c r="HA36" s="66"/>
      <c r="HB36" s="66"/>
      <c r="HC36" s="66"/>
      <c r="HD36" s="66"/>
      <c r="HE36" s="66"/>
      <c r="HF36" s="66"/>
      <c r="HG36" s="66"/>
      <c r="HH36" s="66"/>
      <c r="HI36" s="66"/>
      <c r="HJ36" s="66"/>
      <c r="HK36" s="248">
        <f>HK35+HK29</f>
        <v>91390.233242584902</v>
      </c>
      <c r="HL36" s="248">
        <f>HL35+HL29</f>
        <v>112335.14387531042</v>
      </c>
      <c r="HM36" s="66"/>
      <c r="HN36" s="66"/>
      <c r="HO36" s="66"/>
      <c r="HP36" s="66"/>
      <c r="HQ36" s="66"/>
      <c r="HR36" s="66"/>
      <c r="HS36" s="66"/>
      <c r="HT36" s="66"/>
      <c r="HU36" s="66"/>
      <c r="HV36" s="66"/>
      <c r="HW36" s="66"/>
      <c r="HX36" s="66"/>
      <c r="HY36" s="66"/>
      <c r="HZ36" s="66"/>
      <c r="IA36" s="66"/>
      <c r="IB36" s="66"/>
      <c r="IC36" s="248">
        <f>IC35+IC29</f>
        <v>124679.376</v>
      </c>
      <c r="ID36" s="248">
        <f>ID35+ID29</f>
        <v>129164.80143730638</v>
      </c>
    </row>
    <row r="37" spans="1:238" ht="13.7" hidden="1" customHeight="1" outlineLevel="1">
      <c r="A37" s="66" t="s">
        <v>275</v>
      </c>
      <c r="B37" s="238" t="s">
        <v>276</v>
      </c>
      <c r="S37" s="248">
        <f>S36</f>
        <v>59089.322977440999</v>
      </c>
      <c r="T37" s="144">
        <f>T36</f>
        <v>70295.571000000011</v>
      </c>
      <c r="U37" s="66"/>
      <c r="V37" s="66"/>
      <c r="W37" s="66"/>
      <c r="X37" s="66"/>
      <c r="Y37" s="66"/>
      <c r="Z37" s="66"/>
      <c r="AA37" s="66"/>
      <c r="AB37" s="66"/>
      <c r="AC37" s="66"/>
      <c r="AD37" s="66"/>
      <c r="AE37" s="66"/>
      <c r="AF37" s="66"/>
      <c r="AG37" s="66"/>
      <c r="AH37" s="66"/>
      <c r="AI37" s="66"/>
      <c r="AJ37" s="66"/>
      <c r="AK37" s="66"/>
      <c r="AL37" s="248">
        <f>AL36</f>
        <v>400740.27611826995</v>
      </c>
      <c r="AM37" s="66"/>
      <c r="AN37" s="66"/>
      <c r="AO37" s="66"/>
      <c r="AP37" s="66"/>
      <c r="AQ37" s="66"/>
      <c r="AR37" s="66"/>
      <c r="AS37" s="66"/>
      <c r="AT37" s="66"/>
      <c r="AU37" s="66"/>
      <c r="AV37" s="66"/>
      <c r="AW37" s="66"/>
      <c r="AX37" s="66"/>
      <c r="AY37" s="66"/>
      <c r="AZ37" s="66"/>
      <c r="BA37" s="66"/>
      <c r="BB37" s="66"/>
      <c r="BC37" s="248">
        <f>BC36</f>
        <v>72884.255999999994</v>
      </c>
      <c r="BD37" s="248">
        <f>BD36</f>
        <v>74242.781204652449</v>
      </c>
      <c r="BE37" s="66"/>
      <c r="BF37" s="66"/>
      <c r="BG37" s="66"/>
      <c r="BH37" s="66"/>
      <c r="BI37" s="66"/>
      <c r="BJ37" s="66"/>
      <c r="BK37" s="66"/>
      <c r="BL37" s="66"/>
      <c r="BM37" s="66"/>
      <c r="BN37" s="66"/>
      <c r="BO37" s="66"/>
      <c r="BP37" s="66"/>
      <c r="BQ37" s="66"/>
      <c r="BR37" s="66"/>
      <c r="BS37" s="66"/>
      <c r="BT37" s="66"/>
      <c r="BU37" s="66"/>
      <c r="BV37" s="248">
        <f>BV36</f>
        <v>291345.1186374739</v>
      </c>
      <c r="BW37" s="66"/>
      <c r="BX37" s="66"/>
      <c r="BY37" s="66"/>
      <c r="BZ37" s="66"/>
      <c r="CA37" s="66"/>
      <c r="CB37" s="66"/>
      <c r="CC37" s="66"/>
      <c r="CD37" s="66"/>
      <c r="CE37" s="66"/>
      <c r="CF37" s="66"/>
      <c r="CG37" s="66"/>
      <c r="CH37" s="66"/>
      <c r="CI37" s="66"/>
      <c r="CJ37" s="66"/>
      <c r="CK37" s="66"/>
      <c r="CL37" s="66"/>
      <c r="CM37" s="248">
        <f>CM36+CM29</f>
        <v>412216.255</v>
      </c>
      <c r="CN37" s="248">
        <f>CN36+CN29</f>
        <v>472530.05605020316</v>
      </c>
      <c r="CO37" s="66"/>
      <c r="CP37" s="66"/>
      <c r="CQ37" s="66"/>
      <c r="CR37" s="66"/>
      <c r="CS37" s="66"/>
      <c r="CT37" s="66"/>
      <c r="CU37" s="66"/>
      <c r="CV37" s="66"/>
      <c r="CW37" s="66"/>
      <c r="CX37" s="66"/>
      <c r="CY37" s="66"/>
      <c r="CZ37" s="66"/>
      <c r="DA37" s="66"/>
      <c r="DB37" s="66"/>
      <c r="DC37" s="66"/>
      <c r="DD37" s="66"/>
      <c r="DE37" s="248">
        <f>DE36+DE29</f>
        <v>378858.63400000002</v>
      </c>
      <c r="DF37" s="248">
        <f>DF36+DF29</f>
        <v>462236.97687472816</v>
      </c>
      <c r="DG37" s="66"/>
      <c r="DH37" s="66"/>
      <c r="DI37" s="66"/>
      <c r="DJ37" s="66"/>
      <c r="DK37" s="66"/>
      <c r="DL37" s="66"/>
      <c r="DM37" s="66"/>
      <c r="DN37" s="66"/>
      <c r="DO37" s="66"/>
      <c r="DP37" s="66"/>
      <c r="DQ37" s="66"/>
      <c r="DR37" s="66"/>
      <c r="DS37" s="66"/>
      <c r="DT37" s="66"/>
      <c r="DU37" s="66"/>
      <c r="DV37" s="66"/>
      <c r="DW37" s="66"/>
      <c r="DX37" s="248">
        <f>DX36</f>
        <v>479986.57943628507</v>
      </c>
      <c r="DY37" s="66"/>
      <c r="DZ37" s="66"/>
      <c r="EA37" s="66"/>
      <c r="EB37" s="66"/>
      <c r="EC37" s="66"/>
      <c r="ED37" s="66"/>
      <c r="EE37" s="66"/>
      <c r="EF37" s="66"/>
      <c r="EG37" s="66"/>
      <c r="EH37" s="66"/>
      <c r="EI37" s="66"/>
      <c r="EJ37" s="66"/>
      <c r="EK37" s="66"/>
      <c r="EL37" s="66"/>
      <c r="EM37" s="66"/>
      <c r="EN37" s="66"/>
      <c r="EO37" s="248">
        <f>EO36</f>
        <v>74664.096995365093</v>
      </c>
      <c r="EP37" s="248">
        <f t="shared" ref="EP37:ER37" si="87">EP36</f>
        <v>82877.291930000007</v>
      </c>
      <c r="EQ37" s="248">
        <f t="shared" si="87"/>
        <v>88592.699200000003</v>
      </c>
      <c r="ER37" s="248">
        <f t="shared" si="87"/>
        <v>92147.741814780631</v>
      </c>
      <c r="ES37" s="66"/>
      <c r="ET37" s="66"/>
      <c r="EU37" s="66"/>
      <c r="EV37" s="66"/>
      <c r="EW37" s="66"/>
      <c r="EX37" s="66"/>
      <c r="EY37" s="66"/>
      <c r="EZ37" s="66"/>
      <c r="FA37" s="66"/>
      <c r="FB37" s="66"/>
      <c r="FC37" s="66"/>
      <c r="FD37" s="66"/>
      <c r="FE37" s="66"/>
      <c r="FF37" s="66"/>
      <c r="FG37" s="66"/>
      <c r="FH37" s="66"/>
      <c r="FI37" s="248">
        <f>FI36</f>
        <v>234183.25</v>
      </c>
      <c r="FJ37" s="248">
        <f>FJ36</f>
        <v>237394.44017537782</v>
      </c>
      <c r="FK37" s="66"/>
      <c r="FL37" s="66"/>
      <c r="FM37" s="66"/>
      <c r="FN37" s="66"/>
      <c r="FO37" s="66"/>
      <c r="FP37" s="66"/>
      <c r="FQ37" s="66"/>
      <c r="FR37" s="66"/>
      <c r="FS37" s="66"/>
      <c r="FT37" s="66"/>
      <c r="FU37" s="66"/>
      <c r="FV37" s="66"/>
      <c r="FW37" s="66"/>
      <c r="FX37" s="66"/>
      <c r="FY37" s="66"/>
      <c r="FZ37" s="66"/>
      <c r="GA37" s="248">
        <f>GA36</f>
        <v>268338.46308999998</v>
      </c>
      <c r="GB37" s="248">
        <f>GB36</f>
        <v>273400.37159544253</v>
      </c>
      <c r="GC37" s="66"/>
      <c r="GD37" s="66"/>
      <c r="GE37" s="66"/>
      <c r="GF37" s="66"/>
      <c r="GG37" s="66"/>
      <c r="GH37" s="66"/>
      <c r="GI37" s="66"/>
      <c r="GJ37" s="66"/>
      <c r="GK37" s="66"/>
      <c r="GL37" s="66"/>
      <c r="GM37" s="66"/>
      <c r="GN37" s="66"/>
      <c r="GO37" s="66"/>
      <c r="GP37" s="66"/>
      <c r="GQ37" s="66"/>
      <c r="GR37" s="66"/>
      <c r="GS37" s="248">
        <f>GS36</f>
        <v>219288.94666366841</v>
      </c>
      <c r="GT37" s="248">
        <f>GT36</f>
        <v>229945.45097529254</v>
      </c>
      <c r="GU37" s="66"/>
      <c r="GV37" s="66"/>
      <c r="GW37" s="66"/>
      <c r="GX37" s="66"/>
      <c r="GY37" s="66"/>
      <c r="GZ37" s="66"/>
      <c r="HA37" s="66"/>
      <c r="HB37" s="66"/>
      <c r="HC37" s="66"/>
      <c r="HD37" s="66"/>
      <c r="HE37" s="66"/>
      <c r="HF37" s="66"/>
      <c r="HG37" s="66"/>
      <c r="HH37" s="66"/>
      <c r="HI37" s="66"/>
      <c r="HJ37" s="66"/>
      <c r="HK37" s="248">
        <f>HK36</f>
        <v>91390.233242584902</v>
      </c>
      <c r="HL37" s="248">
        <f>HL36</f>
        <v>112335.14387531042</v>
      </c>
      <c r="HM37" s="66"/>
      <c r="HN37" s="66"/>
      <c r="HO37" s="66"/>
      <c r="HP37" s="66"/>
      <c r="HQ37" s="66"/>
      <c r="HR37" s="66"/>
      <c r="HS37" s="66"/>
      <c r="HT37" s="66"/>
      <c r="HU37" s="66"/>
      <c r="HV37" s="66"/>
      <c r="HW37" s="66"/>
      <c r="HX37" s="66"/>
      <c r="HY37" s="66"/>
      <c r="HZ37" s="66"/>
      <c r="IA37" s="66"/>
      <c r="IB37" s="66"/>
      <c r="IC37" s="248">
        <f>IC36</f>
        <v>124679.376</v>
      </c>
      <c r="ID37" s="248">
        <f>ID36</f>
        <v>129164.80143730638</v>
      </c>
    </row>
    <row r="38" spans="1:238" ht="13.7" hidden="1" customHeight="1" outlineLevel="1">
      <c r="A38" s="66" t="s">
        <v>277</v>
      </c>
      <c r="B38" s="252">
        <v>16</v>
      </c>
      <c r="T38" s="144">
        <f>T35</f>
        <v>58375.166000000005</v>
      </c>
      <c r="AL38" s="303">
        <f>AL35</f>
        <v>391856.63411826995</v>
      </c>
      <c r="BD38" s="104"/>
      <c r="BV38" s="167">
        <v>250399.92199999999</v>
      </c>
      <c r="CN38" s="303">
        <f>CN35</f>
        <v>461349.89899999998</v>
      </c>
      <c r="DF38" s="303">
        <f>DF35</f>
        <v>445062.163</v>
      </c>
      <c r="DW38" s="104"/>
      <c r="DX38" s="248">
        <v>401690.05572</v>
      </c>
      <c r="HL38" s="248">
        <v>85702.135649233489</v>
      </c>
    </row>
    <row r="39" spans="1:238" ht="13.7" hidden="1" customHeight="1" outlineLevel="1">
      <c r="A39" s="66" t="s">
        <v>278</v>
      </c>
      <c r="B39" s="252">
        <v>17</v>
      </c>
      <c r="L39" s="186"/>
      <c r="M39" s="186"/>
      <c r="N39" s="186"/>
      <c r="O39" s="186"/>
      <c r="P39" s="186"/>
      <c r="Q39" s="186"/>
      <c r="R39" s="186"/>
      <c r="T39" s="144">
        <f>T36</f>
        <v>70295.571000000011</v>
      </c>
      <c r="AL39" s="303">
        <f>AL36</f>
        <v>400740.27611826995</v>
      </c>
      <c r="BD39" s="104"/>
      <c r="BU39" s="104"/>
      <c r="BV39" s="149">
        <f>BV38+BV29</f>
        <v>289330.07500000001</v>
      </c>
      <c r="CN39" s="303">
        <f>CN35+CN29</f>
        <v>472530.05605020316</v>
      </c>
      <c r="DF39" s="303">
        <f>DF37</f>
        <v>462236.97687472816</v>
      </c>
      <c r="DW39" s="104"/>
      <c r="DX39" s="303">
        <f>DX38+DX29</f>
        <v>460692.08082775999</v>
      </c>
      <c r="HL39" s="303">
        <f>HL38+HL29</f>
        <v>101167.18778318378</v>
      </c>
      <c r="HW39" s="71"/>
      <c r="HX39" s="66"/>
    </row>
    <row r="40" spans="1:238" ht="13.7" hidden="1" customHeight="1" outlineLevel="1">
      <c r="A40" s="66" t="s">
        <v>279</v>
      </c>
      <c r="B40" s="252">
        <v>18</v>
      </c>
      <c r="L40" s="186"/>
      <c r="M40" s="186"/>
      <c r="N40" s="186"/>
      <c r="O40" s="186"/>
      <c r="P40" s="186"/>
      <c r="Q40" s="186"/>
      <c r="R40" s="186"/>
      <c r="T40" s="144">
        <f>T35+T29</f>
        <v>70295.571000000011</v>
      </c>
      <c r="AL40" s="303">
        <f>AL39</f>
        <v>400740.27611826995</v>
      </c>
      <c r="BD40" s="104"/>
      <c r="BV40" s="304">
        <f>BV39</f>
        <v>289330.07500000001</v>
      </c>
      <c r="CN40" s="303">
        <f>CN39</f>
        <v>472530.05605020316</v>
      </c>
      <c r="DF40" s="303">
        <f>DF35+DF29</f>
        <v>462236.97687472816</v>
      </c>
      <c r="DX40" s="303">
        <f>DX39</f>
        <v>460692.08082775999</v>
      </c>
      <c r="HL40" s="303">
        <f>HL39</f>
        <v>101167.18778318378</v>
      </c>
    </row>
    <row r="41" spans="1:238" ht="13.7" hidden="1" customHeight="1" outlineLevel="1">
      <c r="A41" s="66" t="s">
        <v>280</v>
      </c>
      <c r="B41" s="252">
        <v>19</v>
      </c>
      <c r="L41" s="186"/>
      <c r="M41" s="186"/>
      <c r="N41" s="186"/>
      <c r="O41" s="186"/>
      <c r="P41" s="186"/>
      <c r="Q41" s="186"/>
      <c r="R41" s="186"/>
      <c r="T41" s="144">
        <f>T35+T30+T29</f>
        <v>71411.754000000001</v>
      </c>
      <c r="AL41" s="303">
        <f>AL40</f>
        <v>400740.27611826995</v>
      </c>
      <c r="BD41" s="104"/>
      <c r="BV41" s="304">
        <f>BV40</f>
        <v>289330.07500000001</v>
      </c>
      <c r="CN41" s="303">
        <f t="shared" ref="CN41:CN42" si="88">CN40</f>
        <v>472530.05605020316</v>
      </c>
      <c r="DF41" s="303">
        <f>DF35+DF29</f>
        <v>462236.97687472816</v>
      </c>
      <c r="DX41" s="303">
        <f t="shared" ref="DX41:DX42" si="89">DX40</f>
        <v>460692.08082775999</v>
      </c>
      <c r="HL41" s="303">
        <f t="shared" ref="HL41:HL42" si="90">HL40</f>
        <v>101167.18778318378</v>
      </c>
    </row>
    <row r="42" spans="1:238" ht="13.7" hidden="1" customHeight="1" outlineLevel="1">
      <c r="A42" s="66" t="s">
        <v>281</v>
      </c>
      <c r="B42" s="252">
        <v>20</v>
      </c>
      <c r="L42" s="186"/>
      <c r="M42" s="186"/>
      <c r="N42" s="186"/>
      <c r="O42" s="186"/>
      <c r="P42" s="186"/>
      <c r="Q42" s="186"/>
      <c r="R42" s="186"/>
      <c r="T42" s="144">
        <f>T35+T30+T29</f>
        <v>71411.754000000001</v>
      </c>
      <c r="AL42" s="303">
        <f>AL41</f>
        <v>400740.27611826995</v>
      </c>
      <c r="BD42" s="104"/>
      <c r="BV42" s="304">
        <f>BV41</f>
        <v>289330.07500000001</v>
      </c>
      <c r="CN42" s="303">
        <f t="shared" si="88"/>
        <v>472530.05605020316</v>
      </c>
      <c r="DF42" s="303">
        <f>DF35+DF29</f>
        <v>462236.97687472816</v>
      </c>
      <c r="DX42" s="303">
        <f t="shared" si="89"/>
        <v>460692.08082775999</v>
      </c>
      <c r="HL42" s="303">
        <f t="shared" si="90"/>
        <v>101167.18778318378</v>
      </c>
    </row>
    <row r="43" spans="1:238" ht="13.7" customHeight="1" collapsed="1">
      <c r="L43" s="186"/>
      <c r="M43" s="186"/>
      <c r="N43" s="186"/>
      <c r="O43" s="186"/>
      <c r="P43" s="186"/>
      <c r="Q43" s="186"/>
      <c r="R43" s="186"/>
    </row>
    <row r="44" spans="1:238" ht="13.7" customHeight="1">
      <c r="L44" s="104"/>
      <c r="M44" s="104"/>
      <c r="N44" s="104"/>
      <c r="O44" s="104"/>
      <c r="P44" s="104"/>
      <c r="Q44" s="104"/>
      <c r="R44" s="104"/>
      <c r="HW44" s="62"/>
    </row>
    <row r="45" spans="1:238" ht="13.7" customHeight="1">
      <c r="L45" s="187"/>
      <c r="M45" s="187"/>
      <c r="N45" s="187"/>
      <c r="O45" s="187"/>
      <c r="P45" s="187"/>
      <c r="Q45" s="187"/>
      <c r="R45" s="187" t="s">
        <v>904</v>
      </c>
      <c r="S45" s="248">
        <v>59089.322977440999</v>
      </c>
      <c r="T45" s="248">
        <v>58564.974000000002</v>
      </c>
      <c r="HW45" s="64"/>
    </row>
    <row r="46" spans="1:238" ht="13.7" customHeight="1">
      <c r="S46" s="303">
        <f>S45-S35</f>
        <v>0</v>
      </c>
      <c r="T46" s="305">
        <f>(T45-T35)/1000</f>
        <v>0.18980799999999726</v>
      </c>
      <c r="HW46" s="64"/>
    </row>
    <row r="47" spans="1:238" ht="13.7" customHeight="1">
      <c r="Q47" s="24" t="s">
        <v>905</v>
      </c>
      <c r="HW47" s="64"/>
    </row>
    <row r="48" spans="1:238" ht="13.7" customHeight="1">
      <c r="Q48" s="335" t="s">
        <v>906</v>
      </c>
      <c r="R48" s="336"/>
      <c r="S48" s="188">
        <v>0.51056221517357325</v>
      </c>
      <c r="T48" s="189">
        <v>0</v>
      </c>
      <c r="HW48" s="64"/>
    </row>
    <row r="49" spans="1:231" ht="13.7" customHeight="1">
      <c r="Q49" s="335" t="s">
        <v>907</v>
      </c>
      <c r="R49" s="336"/>
      <c r="S49" s="188">
        <v>0.74210799999999999</v>
      </c>
      <c r="T49" s="189">
        <v>0.189808</v>
      </c>
      <c r="EQ49" s="326"/>
      <c r="HW49" s="64"/>
    </row>
    <row r="50" spans="1:231" ht="13.7" customHeight="1">
      <c r="Q50" s="335" t="s">
        <v>908</v>
      </c>
      <c r="R50" s="336"/>
      <c r="S50" s="189">
        <v>0.40453417999999997</v>
      </c>
      <c r="T50" s="189">
        <v>0</v>
      </c>
      <c r="HW50" s="64"/>
    </row>
    <row r="51" spans="1:231" ht="13.7" customHeight="1">
      <c r="Q51" s="190"/>
      <c r="R51" s="190"/>
      <c r="S51" s="191"/>
      <c r="HW51" s="64"/>
    </row>
    <row r="52" spans="1:231" ht="13.7" customHeight="1">
      <c r="HW52" s="64"/>
    </row>
    <row r="53" spans="1:231" ht="13.7" customHeight="1">
      <c r="A53" s="24"/>
      <c r="S53" s="66"/>
      <c r="HW53" s="64"/>
    </row>
    <row r="54" spans="1:231" ht="13.7" customHeight="1">
      <c r="A54" s="143"/>
      <c r="S54" s="66"/>
      <c r="T54" s="66"/>
    </row>
    <row r="55" spans="1:231" ht="13.7" customHeight="1">
      <c r="A55" s="143"/>
      <c r="S55" s="66"/>
      <c r="T55" s="66"/>
      <c r="HW55" s="71"/>
    </row>
    <row r="56" spans="1:231" ht="13.7" customHeight="1">
      <c r="A56" s="143"/>
      <c r="S56" s="66"/>
      <c r="T56" s="66"/>
    </row>
    <row r="57" spans="1:231" ht="13.7" customHeight="1">
      <c r="A57" s="143"/>
      <c r="HW57" s="62"/>
    </row>
    <row r="58" spans="1:231" ht="13.7" customHeight="1">
      <c r="A58" s="143"/>
      <c r="HW58" s="64"/>
    </row>
    <row r="59" spans="1:231" ht="13.7" customHeight="1">
      <c r="A59" s="147"/>
      <c r="S59" s="201"/>
      <c r="T59" s="201"/>
      <c r="HW59" s="64"/>
    </row>
    <row r="60" spans="1:231" ht="13.7" customHeight="1">
      <c r="A60" s="143"/>
      <c r="S60" s="202"/>
      <c r="T60" s="66"/>
      <c r="U60" s="203"/>
      <c r="V60" s="104"/>
      <c r="HW60" s="64"/>
    </row>
    <row r="61" spans="1:231" ht="13.7" customHeight="1">
      <c r="T61" s="66"/>
      <c r="HW61" s="64"/>
    </row>
    <row r="62" spans="1:231" ht="13.7" customHeight="1">
      <c r="HW62" s="64"/>
    </row>
    <row r="63" spans="1:231" ht="13.7" customHeight="1">
      <c r="S63" s="158"/>
      <c r="T63" s="68"/>
      <c r="HW63" s="64"/>
    </row>
    <row r="64" spans="1:231" ht="13.7" customHeight="1">
      <c r="S64" s="158"/>
      <c r="T64" s="68"/>
      <c r="HW64" s="64"/>
    </row>
    <row r="65" spans="1:91" ht="13.7" customHeight="1">
      <c r="A65" s="24"/>
      <c r="S65" s="158"/>
      <c r="T65" s="68"/>
    </row>
    <row r="66" spans="1:91" ht="13.7" customHeight="1">
      <c r="A66" s="24"/>
      <c r="F66" s="66"/>
      <c r="G66" s="66"/>
      <c r="H66" s="66"/>
      <c r="I66" s="66"/>
      <c r="J66" s="66"/>
      <c r="K66" s="66"/>
      <c r="L66" s="66"/>
      <c r="M66" s="66"/>
      <c r="N66" s="66"/>
      <c r="O66" s="66"/>
      <c r="P66" s="66"/>
      <c r="Q66" s="66"/>
      <c r="R66" s="66"/>
      <c r="S66" s="66"/>
      <c r="T66" s="158"/>
      <c r="X66" s="66"/>
      <c r="Y66" s="66"/>
      <c r="Z66" s="66"/>
      <c r="AA66" s="66"/>
      <c r="AB66" s="66"/>
      <c r="AC66" s="66"/>
      <c r="AD66" s="66"/>
      <c r="AE66" s="66"/>
      <c r="AF66" s="66"/>
      <c r="AG66" s="66"/>
      <c r="AH66" s="66"/>
      <c r="AI66" s="66"/>
      <c r="AJ66" s="66"/>
      <c r="AK66" s="66"/>
      <c r="AP66" s="66"/>
      <c r="AQ66" s="66"/>
      <c r="AR66" s="66"/>
      <c r="AS66" s="66"/>
      <c r="AT66" s="66"/>
      <c r="AU66" s="66"/>
      <c r="AV66" s="66"/>
      <c r="AW66" s="66"/>
      <c r="AX66" s="66"/>
      <c r="AY66" s="66"/>
      <c r="AZ66" s="66"/>
      <c r="BA66" s="66"/>
      <c r="BB66" s="66"/>
      <c r="BC66" s="66"/>
      <c r="BH66" s="66"/>
      <c r="BI66" s="66"/>
      <c r="BJ66" s="66"/>
      <c r="BK66" s="66"/>
      <c r="BL66" s="66"/>
      <c r="BM66" s="66"/>
      <c r="BN66" s="66"/>
      <c r="BO66" s="66"/>
      <c r="BP66" s="66"/>
      <c r="BQ66" s="66"/>
      <c r="BR66" s="66"/>
      <c r="BS66" s="66"/>
      <c r="BT66" s="66"/>
      <c r="BU66" s="66"/>
      <c r="BZ66" s="66"/>
      <c r="CA66" s="66"/>
      <c r="CB66" s="66"/>
      <c r="CC66" s="66"/>
      <c r="CD66" s="66"/>
      <c r="CE66" s="66"/>
      <c r="CF66" s="66"/>
      <c r="CG66" s="66"/>
      <c r="CH66" s="66"/>
      <c r="CI66" s="66"/>
      <c r="CJ66" s="66"/>
      <c r="CK66" s="66"/>
      <c r="CL66" s="66"/>
      <c r="CM66" s="66"/>
    </row>
    <row r="67" spans="1:91" ht="13.7" customHeight="1">
      <c r="A67" s="24"/>
      <c r="F67" s="66"/>
      <c r="G67" s="66"/>
      <c r="H67" s="66"/>
      <c r="I67" s="66"/>
      <c r="J67" s="66"/>
      <c r="K67" s="66"/>
      <c r="L67" s="66"/>
      <c r="M67" s="66"/>
      <c r="N67" s="66"/>
      <c r="O67" s="66"/>
      <c r="P67" s="66"/>
      <c r="Q67" s="66"/>
      <c r="R67" s="66"/>
      <c r="S67" s="66"/>
      <c r="X67" s="66"/>
      <c r="Y67" s="66"/>
      <c r="Z67" s="66"/>
      <c r="AA67" s="66"/>
      <c r="AB67" s="66"/>
      <c r="AC67" s="66"/>
      <c r="AD67" s="66"/>
      <c r="AE67" s="66"/>
      <c r="AF67" s="66"/>
      <c r="AG67" s="66"/>
      <c r="AH67" s="66"/>
      <c r="AI67" s="66"/>
      <c r="AJ67" s="66"/>
      <c r="AK67" s="66"/>
      <c r="AP67" s="66"/>
      <c r="AQ67" s="66"/>
      <c r="AR67" s="66"/>
      <c r="AS67" s="66"/>
      <c r="AT67" s="66"/>
      <c r="AU67" s="66"/>
      <c r="AV67" s="66"/>
      <c r="AW67" s="66"/>
      <c r="AX67" s="66"/>
      <c r="AY67" s="66"/>
      <c r="AZ67" s="66"/>
      <c r="BA67" s="66"/>
      <c r="BB67" s="66"/>
      <c r="BC67" s="66"/>
      <c r="BH67" s="66"/>
      <c r="BI67" s="66"/>
      <c r="BJ67" s="66"/>
      <c r="BK67" s="66"/>
      <c r="BL67" s="66"/>
      <c r="BM67" s="66"/>
      <c r="BN67" s="66"/>
      <c r="BO67" s="66"/>
      <c r="BP67" s="66"/>
      <c r="BQ67" s="66"/>
      <c r="BR67" s="66"/>
      <c r="BS67" s="66"/>
      <c r="BT67" s="66"/>
      <c r="BU67" s="66"/>
      <c r="BZ67" s="66"/>
      <c r="CA67" s="66"/>
      <c r="CB67" s="66"/>
      <c r="CC67" s="66"/>
      <c r="CD67" s="66"/>
      <c r="CE67" s="66"/>
      <c r="CF67" s="66"/>
      <c r="CG67" s="66"/>
      <c r="CH67" s="66"/>
      <c r="CI67" s="66"/>
      <c r="CJ67" s="66"/>
      <c r="CK67" s="66"/>
      <c r="CL67" s="66"/>
      <c r="CM67" s="66"/>
    </row>
    <row r="68" spans="1:91" ht="13.7" customHeight="1">
      <c r="A68" s="24"/>
    </row>
    <row r="69" spans="1:91" ht="13.7" customHeight="1">
      <c r="A69" s="24"/>
    </row>
    <row r="71" spans="1:91" ht="13.7" customHeight="1">
      <c r="A71" s="24" t="s">
        <v>909</v>
      </c>
      <c r="R71" s="24" t="s">
        <v>910</v>
      </c>
    </row>
    <row r="72" spans="1:91" ht="13.7" customHeight="1">
      <c r="A72" s="23" t="s">
        <v>911</v>
      </c>
      <c r="R72" s="23" t="s">
        <v>912</v>
      </c>
      <c r="T72" s="167">
        <v>2541.02</v>
      </c>
    </row>
    <row r="73" spans="1:91" ht="13.7" customHeight="1">
      <c r="A73" s="23" t="s">
        <v>913</v>
      </c>
      <c r="R73" s="23" t="s">
        <v>914</v>
      </c>
      <c r="T73" s="167">
        <v>3329.52</v>
      </c>
    </row>
    <row r="74" spans="1:91" ht="13.7" customHeight="1">
      <c r="A74" s="23" t="s">
        <v>915</v>
      </c>
      <c r="R74" s="23" t="s">
        <v>916</v>
      </c>
      <c r="T74" s="167">
        <v>4838.03</v>
      </c>
    </row>
    <row r="75" spans="1:91" ht="13.7" customHeight="1">
      <c r="A75" s="23" t="s">
        <v>917</v>
      </c>
      <c r="R75" s="23" t="s">
        <v>918</v>
      </c>
      <c r="T75" s="167">
        <v>5759.4274999999998</v>
      </c>
    </row>
  </sheetData>
  <mergeCells count="3">
    <mergeCell ref="Q48:R48"/>
    <mergeCell ref="Q49:R49"/>
    <mergeCell ref="Q50:R50"/>
  </mergeCells>
  <hyperlinks>
    <hyperlink ref="A2" location="Index!A1" display="Index" xr:uid="{00000000-0004-0000-0600-000000000000}"/>
  </hyperlinks>
  <pageMargins left="0.7" right="0.7" top="0.75" bottom="0.75" header="0.3" footer="0.3"/>
  <pageSetup paperSize="9" orientation="portrait" r:id="rId1"/>
  <ignoredErrors>
    <ignoredError sqref="ER21:ER22 ER24:ER25" 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pageSetUpPr fitToPage="1"/>
  </sheetPr>
  <dimension ref="A1:AE65"/>
  <sheetViews>
    <sheetView workbookViewId="0"/>
  </sheetViews>
  <sheetFormatPr defaultColWidth="8.85546875" defaultRowHeight="13.7" customHeight="1"/>
  <cols>
    <col min="1" max="1" width="38.85546875" style="9" customWidth="1"/>
    <col min="2" max="2" width="45.85546875" style="34" customWidth="1"/>
    <col min="3" max="3" width="21.85546875" style="9" customWidth="1"/>
    <col min="4" max="4" width="42.7109375" style="9" customWidth="1"/>
    <col min="5" max="5" width="34.85546875" style="9" customWidth="1"/>
    <col min="6" max="6" width="19.7109375" style="9" customWidth="1"/>
    <col min="7" max="7" width="16.140625" style="9" bestFit="1" customWidth="1"/>
    <col min="8" max="8" width="18.85546875" style="9" bestFit="1" customWidth="1"/>
    <col min="9" max="9" width="16.140625" style="9" customWidth="1"/>
    <col min="10" max="10" width="18.140625" style="9" customWidth="1"/>
    <col min="11" max="11" width="15.42578125" style="9" customWidth="1"/>
    <col min="12" max="12" width="18.140625" style="9" customWidth="1"/>
    <col min="13" max="13" width="17.140625" style="9" customWidth="1"/>
    <col min="14" max="14" width="11.42578125" style="9" customWidth="1"/>
    <col min="15" max="15" width="21" style="9" bestFit="1" customWidth="1"/>
    <col min="16" max="16" width="34.42578125" style="9" bestFit="1" customWidth="1"/>
    <col min="17" max="17" width="19.42578125" style="9" bestFit="1" customWidth="1"/>
    <col min="18" max="18" width="20.140625" style="9" bestFit="1" customWidth="1"/>
    <col min="19" max="19" width="17.85546875" style="9" bestFit="1" customWidth="1"/>
    <col min="20" max="20" width="34.42578125" style="9" bestFit="1" customWidth="1"/>
    <col min="21" max="21" width="8.85546875" style="9"/>
    <col min="22" max="22" width="35.140625" style="9" bestFit="1" customWidth="1"/>
    <col min="23" max="25" width="12" style="9" bestFit="1" customWidth="1"/>
    <col min="26" max="26" width="12.85546875" style="9" bestFit="1" customWidth="1"/>
    <col min="27" max="27" width="19.42578125" style="9" bestFit="1" customWidth="1"/>
    <col min="28" max="30" width="10.42578125" style="9" bestFit="1" customWidth="1"/>
    <col min="31" max="31" width="21" style="9" bestFit="1" customWidth="1"/>
    <col min="32" max="33" width="8.85546875" style="9"/>
    <col min="34" max="34" width="34.42578125" style="9" bestFit="1" customWidth="1"/>
    <col min="35" max="43" width="7.42578125" style="9" bestFit="1" customWidth="1"/>
    <col min="44" max="16384" width="8.85546875" style="9"/>
  </cols>
  <sheetData>
    <row r="1" spans="1:31" s="7" customFormat="1" ht="15.6" customHeight="1">
      <c r="A1" s="1" t="s">
        <v>0</v>
      </c>
      <c r="B1" s="33"/>
    </row>
    <row r="2" spans="1:31" s="16" customFormat="1" ht="13.7" customHeight="1">
      <c r="A2" s="85" t="s">
        <v>5</v>
      </c>
      <c r="C2" s="15"/>
      <c r="E2" s="84"/>
    </row>
    <row r="3" spans="1:31" ht="13.7" customHeight="1" thickBot="1">
      <c r="A3" s="8" t="s">
        <v>26</v>
      </c>
    </row>
    <row r="5" spans="1:31" s="4" customFormat="1" ht="13.7" customHeight="1">
      <c r="A5" s="2" t="s">
        <v>919</v>
      </c>
      <c r="B5" s="35"/>
      <c r="C5" s="3"/>
      <c r="D5" s="3"/>
      <c r="E5" s="3"/>
      <c r="F5" s="3"/>
      <c r="G5" s="5"/>
      <c r="H5" s="6"/>
      <c r="I5" s="5"/>
      <c r="J5" s="6"/>
      <c r="K5" s="5"/>
      <c r="L5" s="5"/>
      <c r="M5" s="5"/>
      <c r="N5" s="5"/>
      <c r="O5" s="5"/>
      <c r="P5" s="5"/>
      <c r="Q5" s="5"/>
      <c r="R5" s="5"/>
      <c r="S5" s="6"/>
      <c r="T5" s="6"/>
      <c r="U5" s="5"/>
      <c r="V5" s="5"/>
      <c r="W5" s="5"/>
      <c r="X5" s="5"/>
      <c r="Y5" s="5"/>
    </row>
    <row r="6" spans="1:31" s="10" customFormat="1" ht="13.7" customHeight="1">
      <c r="B6" s="36"/>
    </row>
    <row r="7" spans="1:31" s="26" customFormat="1" ht="13.7" customHeight="1">
      <c r="A7" s="26" t="s">
        <v>920</v>
      </c>
      <c r="B7" s="26" t="s">
        <v>921</v>
      </c>
      <c r="L7" s="27"/>
      <c r="M7" s="13"/>
      <c r="V7" s="26" t="s">
        <v>922</v>
      </c>
      <c r="W7" s="26">
        <v>2016</v>
      </c>
      <c r="X7" s="26">
        <v>2017</v>
      </c>
      <c r="Y7" s="26">
        <v>2018</v>
      </c>
      <c r="Z7" s="26">
        <v>2019</v>
      </c>
      <c r="AA7" s="26">
        <v>2020</v>
      </c>
      <c r="AB7" s="26">
        <v>2021</v>
      </c>
      <c r="AC7" s="26">
        <v>2022</v>
      </c>
      <c r="AD7" s="26">
        <v>2023</v>
      </c>
      <c r="AE7" s="28">
        <v>2024</v>
      </c>
    </row>
    <row r="8" spans="1:31" s="11" customFormat="1" ht="13.7" customHeight="1">
      <c r="A8" s="10" t="s">
        <v>271</v>
      </c>
      <c r="B8" s="37" t="s">
        <v>1067</v>
      </c>
      <c r="D8" s="24"/>
      <c r="E8" s="24"/>
      <c r="L8" s="12"/>
      <c r="M8" s="13"/>
      <c r="AE8" s="14"/>
    </row>
    <row r="9" spans="1:31" s="11" customFormat="1" ht="13.7" customHeight="1">
      <c r="A9" s="10" t="s">
        <v>270</v>
      </c>
      <c r="B9" s="60">
        <f>VLOOKUP(Parameter_Scenario, Table_Scenario_number, 2, FALSE)</f>
        <v>22</v>
      </c>
      <c r="D9" s="23"/>
      <c r="E9" s="25"/>
      <c r="L9" s="12"/>
      <c r="M9" s="13"/>
      <c r="AE9" s="14"/>
    </row>
    <row r="10" spans="1:31" s="11" customFormat="1" ht="13.7" customHeight="1">
      <c r="A10" s="10" t="s">
        <v>233</v>
      </c>
      <c r="B10" s="37" t="s">
        <v>248</v>
      </c>
      <c r="D10" s="23"/>
      <c r="E10" s="25"/>
      <c r="L10" s="12"/>
      <c r="M10" s="13"/>
      <c r="AE10" s="14"/>
    </row>
    <row r="11" spans="1:31" s="11" customFormat="1" ht="13.7" customHeight="1">
      <c r="A11" s="10" t="s">
        <v>232</v>
      </c>
      <c r="B11" s="45" t="str">
        <f>VLOOKUP(Parameter_DNSP, Table_DNSP, 2, FALSE)</f>
        <v>Jemena</v>
      </c>
      <c r="D11" s="23"/>
      <c r="E11" s="25"/>
      <c r="L11" s="12"/>
      <c r="M11" s="13"/>
      <c r="AE11" s="14"/>
    </row>
    <row r="12" spans="1:31" s="11" customFormat="1" ht="13.7" customHeight="1">
      <c r="A12" s="10" t="s">
        <v>269</v>
      </c>
      <c r="B12" s="45" t="str">
        <f>VLOOKUP(Parameter_DNSP, Table_Victorian_or_non_Victorian, 2, FALSE)</f>
        <v>Victorian</v>
      </c>
      <c r="D12" s="23"/>
      <c r="E12" s="25"/>
      <c r="L12" s="12"/>
      <c r="M12" s="13"/>
      <c r="AE12" s="14"/>
    </row>
    <row r="13" spans="1:31" s="11" customFormat="1" ht="13.7" customHeight="1">
      <c r="A13" s="10" t="s">
        <v>923</v>
      </c>
      <c r="B13" s="128" t="s">
        <v>874</v>
      </c>
      <c r="D13" s="23"/>
      <c r="E13" s="25"/>
      <c r="L13" s="12"/>
      <c r="M13" s="13"/>
      <c r="AE13" s="14"/>
    </row>
    <row r="14" spans="1:31" s="11" customFormat="1" ht="13.7" customHeight="1">
      <c r="A14" s="10" t="s">
        <v>924</v>
      </c>
      <c r="B14" s="60">
        <f>IF(Parameter_Base_year_manual_override = "", VLOOKUP(Parameter_DNSP, Table_Base_year_default, 2, FALSE), Parameter_Base_year_manual_override)</f>
        <v>2025</v>
      </c>
      <c r="L14" s="12"/>
      <c r="M14" s="13"/>
      <c r="AE14" s="14"/>
    </row>
    <row r="15" spans="1:31" s="11" customFormat="1" ht="13.7" customHeight="1">
      <c r="A15" s="10" t="s">
        <v>925</v>
      </c>
      <c r="B15" s="61">
        <v>2025</v>
      </c>
      <c r="L15" s="12"/>
      <c r="M15" s="13"/>
      <c r="AE15" s="14"/>
    </row>
    <row r="16" spans="1:31" s="11" customFormat="1" ht="13.7" customHeight="1">
      <c r="A16" s="10" t="s">
        <v>926</v>
      </c>
      <c r="B16" s="10">
        <v>2006</v>
      </c>
      <c r="L16" s="12"/>
      <c r="M16" s="13"/>
      <c r="AE16" s="14"/>
    </row>
    <row r="17" spans="1:31" s="11" customFormat="1" ht="13.7" customHeight="1">
      <c r="A17" s="10" t="s">
        <v>927</v>
      </c>
      <c r="B17" s="307">
        <v>2012</v>
      </c>
      <c r="L17" s="12"/>
      <c r="M17" s="13"/>
      <c r="AE17" s="14"/>
    </row>
    <row r="18" spans="1:31" s="11" customFormat="1" ht="13.7" customHeight="1">
      <c r="A18" s="10" t="s">
        <v>928</v>
      </c>
      <c r="B18" s="60">
        <f>IF(OR(Parameter_Scenario_number=16,Parameter_Scenario_number=17,Parameter_Scenario_number=18,Parameter_Scenario_number=19,Parameter_Scenario_number=20, Parameter_Scenario_number = 21 ),2023,IF(Parameter_Scenario_number = 22, 2024,2021))</f>
        <v>2024</v>
      </c>
      <c r="L18" s="12"/>
      <c r="M18" s="13"/>
      <c r="AE18" s="14"/>
    </row>
    <row r="19" spans="1:31" s="11" customFormat="1" ht="13.7" customHeight="1">
      <c r="A19" s="10"/>
      <c r="B19" s="192"/>
      <c r="L19" s="12"/>
      <c r="M19" s="13"/>
      <c r="AE19" s="14"/>
    </row>
    <row r="20" spans="1:31" s="11" customFormat="1" ht="13.7" customHeight="1">
      <c r="A20" s="10"/>
      <c r="B20" s="192"/>
      <c r="L20" s="12"/>
      <c r="M20" s="13"/>
      <c r="AE20" s="14"/>
    </row>
    <row r="21" spans="1:31" s="11" customFormat="1" ht="13.7" customHeight="1">
      <c r="A21" s="10"/>
      <c r="L21" s="12"/>
      <c r="M21" s="13"/>
      <c r="AE21" s="14"/>
    </row>
    <row r="22" spans="1:31" s="4" customFormat="1" ht="13.7" customHeight="1">
      <c r="A22" s="2" t="s">
        <v>929</v>
      </c>
      <c r="B22" s="35"/>
      <c r="C22" s="3"/>
      <c r="D22" s="3"/>
      <c r="E22" s="3"/>
      <c r="F22" s="3"/>
      <c r="G22" s="5"/>
      <c r="H22" s="6"/>
      <c r="I22" s="5"/>
      <c r="J22" s="6"/>
      <c r="K22" s="5"/>
      <c r="L22" s="5"/>
      <c r="M22" s="5"/>
      <c r="N22" s="5"/>
      <c r="O22" s="5"/>
      <c r="P22" s="5"/>
      <c r="Q22" s="5"/>
      <c r="R22" s="5"/>
      <c r="S22" s="6"/>
      <c r="T22" s="6"/>
      <c r="U22" s="5"/>
      <c r="V22" s="5"/>
      <c r="W22" s="5"/>
      <c r="X22" s="5"/>
      <c r="Y22" s="5"/>
    </row>
    <row r="23" spans="1:31" s="11" customFormat="1" ht="13.7" customHeight="1">
      <c r="A23" s="10"/>
      <c r="B23" s="36"/>
      <c r="L23" s="12"/>
      <c r="M23" s="13"/>
      <c r="AE23" s="14"/>
    </row>
    <row r="24" spans="1:31" s="11" customFormat="1" ht="13.7" customHeight="1">
      <c r="A24" s="10" t="s">
        <v>930</v>
      </c>
      <c r="B24" s="121">
        <v>0</v>
      </c>
      <c r="L24" s="12"/>
      <c r="M24" s="13"/>
      <c r="AE24" s="14"/>
    </row>
    <row r="25" spans="1:31" s="11" customFormat="1" ht="13.7" customHeight="1">
      <c r="A25" s="10" t="s">
        <v>931</v>
      </c>
      <c r="B25" s="120" t="s">
        <v>230</v>
      </c>
      <c r="L25" s="12"/>
      <c r="M25" s="13"/>
      <c r="AE25" s="14"/>
    </row>
    <row r="26" spans="1:31" s="11" customFormat="1" ht="13.7" customHeight="1">
      <c r="A26" s="10"/>
      <c r="B26" s="36"/>
      <c r="L26" s="12"/>
      <c r="M26" s="13"/>
      <c r="AE26" s="14"/>
    </row>
    <row r="27" spans="1:31" s="4" customFormat="1" ht="13.7" customHeight="1">
      <c r="A27" s="2" t="s">
        <v>932</v>
      </c>
      <c r="B27" s="35"/>
      <c r="C27" s="3"/>
      <c r="D27" s="3"/>
      <c r="E27" s="3"/>
      <c r="F27" s="3"/>
      <c r="G27" s="5"/>
      <c r="H27" s="6"/>
      <c r="I27" s="5"/>
      <c r="J27" s="6"/>
      <c r="K27" s="5"/>
      <c r="L27" s="5"/>
      <c r="M27" s="5"/>
      <c r="N27" s="5"/>
      <c r="O27" s="5"/>
      <c r="P27" s="5"/>
      <c r="Q27" s="5"/>
      <c r="R27" s="5"/>
      <c r="S27" s="6"/>
      <c r="T27" s="6"/>
      <c r="U27" s="5"/>
      <c r="V27" s="5"/>
      <c r="W27" s="5"/>
      <c r="X27" s="5"/>
      <c r="Y27" s="5"/>
    </row>
    <row r="28" spans="1:31" s="11" customFormat="1" ht="13.7" customHeight="1">
      <c r="A28" s="10"/>
      <c r="B28" s="36"/>
      <c r="L28" s="12"/>
      <c r="M28" s="13"/>
      <c r="AE28" s="14"/>
    </row>
    <row r="29" spans="1:31" s="26" customFormat="1" ht="13.7" customHeight="1">
      <c r="A29" s="26" t="s">
        <v>920</v>
      </c>
      <c r="B29" s="26" t="s">
        <v>921</v>
      </c>
      <c r="L29" s="27"/>
      <c r="M29" s="13"/>
      <c r="AE29" s="28"/>
    </row>
    <row r="30" spans="1:31" s="11" customFormat="1" ht="13.7" customHeight="1">
      <c r="A30" s="10" t="s">
        <v>932</v>
      </c>
      <c r="B30" s="44">
        <v>0.75</v>
      </c>
      <c r="L30" s="12"/>
      <c r="M30" s="13"/>
      <c r="AE30" s="14"/>
    </row>
    <row r="31" spans="1:31" s="11" customFormat="1" ht="13.7" customHeight="1">
      <c r="A31" s="10"/>
      <c r="B31" s="38"/>
      <c r="L31" s="12"/>
      <c r="M31" s="13"/>
      <c r="AE31" s="14"/>
    </row>
    <row r="32" spans="1:31" s="4" customFormat="1" ht="13.7" customHeight="1">
      <c r="A32" s="2" t="s">
        <v>933</v>
      </c>
      <c r="B32" s="35"/>
      <c r="C32" s="3"/>
      <c r="D32" s="3"/>
      <c r="E32" s="3"/>
      <c r="F32" s="3"/>
      <c r="G32" s="5"/>
      <c r="H32" s="6"/>
      <c r="I32" s="5"/>
      <c r="J32" s="6"/>
      <c r="K32" s="5"/>
      <c r="L32" s="5"/>
      <c r="M32" s="5"/>
      <c r="N32" s="5"/>
      <c r="O32" s="5"/>
      <c r="P32" s="5"/>
      <c r="Q32" s="5"/>
      <c r="R32" s="5"/>
      <c r="S32" s="6"/>
      <c r="T32" s="6"/>
      <c r="U32" s="5"/>
      <c r="V32" s="5"/>
      <c r="W32" s="5"/>
      <c r="X32" s="5"/>
      <c r="Y32" s="5"/>
    </row>
    <row r="33" spans="1:31" s="11" customFormat="1" ht="13.7" customHeight="1">
      <c r="A33" s="10"/>
      <c r="B33" s="38"/>
      <c r="L33" s="12"/>
      <c r="M33" s="13"/>
      <c r="AE33" s="14"/>
    </row>
    <row r="34" spans="1:31" s="26" customFormat="1" ht="13.7" customHeight="1">
      <c r="A34" s="26" t="s">
        <v>920</v>
      </c>
      <c r="B34" s="26" t="s">
        <v>921</v>
      </c>
      <c r="L34" s="27"/>
      <c r="M34" s="13"/>
      <c r="AE34" s="28"/>
    </row>
    <row r="35" spans="1:31" s="26" customFormat="1" ht="13.7" customHeight="1">
      <c r="A35" s="36" t="s">
        <v>934</v>
      </c>
      <c r="B35" s="243" t="s">
        <v>231</v>
      </c>
      <c r="C35" s="38"/>
      <c r="D35" s="38"/>
      <c r="F35" s="110"/>
      <c r="L35" s="27"/>
      <c r="M35" s="13"/>
      <c r="AE35" s="28"/>
    </row>
    <row r="36" spans="1:31" s="11" customFormat="1" ht="13.7" customHeight="1">
      <c r="A36" s="10" t="s">
        <v>935</v>
      </c>
      <c r="B36" s="241">
        <f>IF(Parameter_Include_OEFs = "1 - Yes", Parameter_OEF_Sapere_Merz_long + Parameter_OEF_vegetation_management_long + Parameter_OEF_capitalisation_long + B38, 0)</f>
        <v>-2.4055706413974517E-2</v>
      </c>
      <c r="F36" s="110"/>
      <c r="L36" s="12"/>
      <c r="M36" s="13"/>
      <c r="AE36" s="14"/>
    </row>
    <row r="37" spans="1:31" s="11" customFormat="1" ht="13.7" customHeight="1">
      <c r="A37" s="10" t="s">
        <v>936</v>
      </c>
      <c r="B37" s="241">
        <f>VLOOKUP(Parameter_DNSP, Table_OEF_Sapere_Merz_long, 2, FALSE)</f>
        <v>-1.2204359145938843E-3</v>
      </c>
      <c r="L37" s="12"/>
      <c r="M37" s="13"/>
      <c r="AE37" s="14"/>
    </row>
    <row r="38" spans="1:31" s="11" customFormat="1" ht="13.7" customHeight="1">
      <c r="A38" s="10" t="s">
        <v>937</v>
      </c>
      <c r="B38" s="241">
        <v>0</v>
      </c>
      <c r="C38" s="242"/>
      <c r="D38" s="240"/>
      <c r="L38" s="12"/>
      <c r="M38" s="13"/>
      <c r="AE38" s="14"/>
    </row>
    <row r="39" spans="1:31" s="11" customFormat="1" ht="13.7" customHeight="1">
      <c r="A39" s="10" t="s">
        <v>938</v>
      </c>
      <c r="B39" s="241">
        <f>VLOOKUP(Parameter_DNSP, Table_OEF_vegetation_management_long, 2, FALSE)</f>
        <v>-2.2835270499380632E-2</v>
      </c>
      <c r="C39" s="242"/>
      <c r="L39" s="12"/>
      <c r="M39" s="13"/>
      <c r="AE39" s="14"/>
    </row>
    <row r="40" spans="1:31" s="11" customFormat="1" ht="13.7" customHeight="1">
      <c r="A40" s="10"/>
      <c r="B40" s="295"/>
      <c r="C40" s="242"/>
      <c r="L40" s="12"/>
      <c r="M40" s="13"/>
      <c r="AE40" s="14"/>
    </row>
    <row r="41" spans="1:31" s="11" customFormat="1" ht="13.7" customHeight="1">
      <c r="A41" s="10"/>
      <c r="B41" s="38"/>
      <c r="L41" s="12"/>
      <c r="M41" s="13"/>
      <c r="AE41" s="14"/>
    </row>
    <row r="42" spans="1:31" s="11" customFormat="1" ht="13.7" customHeight="1">
      <c r="A42" s="10"/>
      <c r="B42" s="110"/>
      <c r="L42" s="12"/>
      <c r="M42" s="13"/>
      <c r="AE42" s="14"/>
    </row>
    <row r="43" spans="1:31" s="11" customFormat="1" ht="13.7" customHeight="1">
      <c r="A43" s="10" t="s">
        <v>939</v>
      </c>
      <c r="B43" s="234" t="s">
        <v>940</v>
      </c>
      <c r="L43" s="12"/>
      <c r="M43" s="13"/>
      <c r="AE43" s="14"/>
    </row>
    <row r="44" spans="1:31" s="4" customFormat="1" ht="13.7" customHeight="1">
      <c r="A44" s="2" t="s">
        <v>941</v>
      </c>
      <c r="B44" s="35"/>
      <c r="C44" s="3"/>
      <c r="D44" s="3"/>
      <c r="E44" s="3"/>
      <c r="F44" s="3"/>
      <c r="G44" s="5"/>
      <c r="H44" s="6"/>
      <c r="I44" s="5"/>
      <c r="J44" s="6"/>
      <c r="K44" s="5"/>
      <c r="L44" s="5"/>
      <c r="M44" s="5"/>
      <c r="N44" s="5"/>
      <c r="O44" s="5"/>
      <c r="P44" s="5"/>
      <c r="Q44" s="5"/>
      <c r="R44" s="5"/>
      <c r="S44" s="6"/>
      <c r="T44" s="6"/>
      <c r="U44" s="5"/>
      <c r="V44" s="5"/>
      <c r="W44" s="5"/>
      <c r="X44" s="5"/>
      <c r="Y44" s="5"/>
    </row>
    <row r="45" spans="1:31" s="11" customFormat="1" ht="13.7" customHeight="1">
      <c r="A45" s="10"/>
      <c r="B45" s="38"/>
      <c r="L45" s="12"/>
      <c r="M45" s="13"/>
      <c r="AE45" s="14"/>
    </row>
    <row r="46" spans="1:31" s="26" customFormat="1" ht="13.7" customHeight="1">
      <c r="A46" s="26" t="s">
        <v>920</v>
      </c>
      <c r="B46" s="26" t="s">
        <v>921</v>
      </c>
      <c r="L46" s="27"/>
      <c r="M46" s="13"/>
      <c r="AE46" s="28"/>
    </row>
    <row r="47" spans="1:31" s="26" customFormat="1" ht="13.7" customHeight="1">
      <c r="A47" s="36" t="s">
        <v>934</v>
      </c>
      <c r="B47" s="80" t="str">
        <f>Parameter_Include_OEFs</f>
        <v>1 - Yes</v>
      </c>
      <c r="L47" s="27"/>
      <c r="M47" s="13"/>
      <c r="AE47" s="28"/>
    </row>
    <row r="48" spans="1:31" s="11" customFormat="1" ht="13.7" customHeight="1">
      <c r="A48" s="10" t="s">
        <v>935</v>
      </c>
      <c r="B48" s="46">
        <f>IF(Parameter_Include_OEFs = "1 - Yes", Parameter_OEF_Sapere_Merz_short + Parameter_OEF_vegetation_management_short + Parameter_OEF_capitalisation_short + B50, 0)</f>
        <v>-2.6303944071478569E-2</v>
      </c>
      <c r="L48" s="12"/>
      <c r="M48" s="13"/>
      <c r="AE48" s="14"/>
    </row>
    <row r="49" spans="1:31" s="11" customFormat="1" ht="13.7" customHeight="1">
      <c r="A49" s="10" t="s">
        <v>936</v>
      </c>
      <c r="B49" s="46">
        <f>VLOOKUP(Parameter_DNSP, Table_OEF_Sapere_Merz_short, 2, FALSE)</f>
        <v>4.6760200536967427E-3</v>
      </c>
      <c r="L49" s="12"/>
      <c r="M49" s="13"/>
      <c r="AE49" s="14"/>
    </row>
    <row r="50" spans="1:31" s="11" customFormat="1" ht="13.7" customHeight="1">
      <c r="A50" s="10" t="s">
        <v>937</v>
      </c>
      <c r="B50" s="46">
        <f>IF(C35="1 - Yes",VLOOKUP(Parameter_DNSP, 'Data|OEFs - Short'!E10:G23, 3, FALSE),0)</f>
        <v>0</v>
      </c>
      <c r="C50" s="244"/>
      <c r="L50" s="12"/>
      <c r="M50" s="13"/>
      <c r="AE50" s="14"/>
    </row>
    <row r="51" spans="1:31" s="11" customFormat="1" ht="13.7" customHeight="1">
      <c r="A51" s="10" t="s">
        <v>938</v>
      </c>
      <c r="B51" s="46">
        <f>VLOOKUP(Parameter_DNSP, Table_OEF_vegetation_management_short, 2, FALSE)</f>
        <v>-3.0979964125175313E-2</v>
      </c>
      <c r="L51" s="12"/>
      <c r="M51" s="13"/>
      <c r="AE51" s="14"/>
    </row>
    <row r="52" spans="1:31" s="11" customFormat="1" ht="13.7" customHeight="1">
      <c r="A52" s="10"/>
      <c r="B52" s="235"/>
      <c r="L52" s="12"/>
      <c r="M52" s="13"/>
      <c r="AE52" s="14"/>
    </row>
    <row r="53" spans="1:31" s="11" customFormat="1" ht="13.7" customHeight="1">
      <c r="A53" s="10"/>
      <c r="B53" s="38"/>
      <c r="L53" s="12"/>
      <c r="M53" s="13"/>
      <c r="AE53" s="14"/>
    </row>
    <row r="54" spans="1:31" s="11" customFormat="1" ht="13.7" customHeight="1">
      <c r="A54" s="10"/>
      <c r="B54" s="235"/>
      <c r="L54" s="12"/>
      <c r="M54" s="13"/>
      <c r="AE54" s="14"/>
    </row>
    <row r="55" spans="1:31" s="11" customFormat="1" ht="13.7" customHeight="1">
      <c r="A55" s="10" t="s">
        <v>939</v>
      </c>
      <c r="B55" s="234" t="str">
        <f>B43</f>
        <v>2023 ABR - Option 5</v>
      </c>
      <c r="L55" s="12"/>
      <c r="M55" s="13"/>
      <c r="AE55" s="14"/>
    </row>
    <row r="56" spans="1:31" s="4" customFormat="1" ht="13.7" customHeight="1">
      <c r="A56" s="3" t="s">
        <v>227</v>
      </c>
      <c r="B56" s="3"/>
      <c r="C56" s="3"/>
      <c r="D56" s="3"/>
      <c r="E56" s="3"/>
      <c r="F56" s="3"/>
      <c r="G56" s="3"/>
      <c r="H56" s="5"/>
      <c r="I56" s="6"/>
      <c r="J56" s="5"/>
      <c r="K56" s="6"/>
      <c r="L56" s="5"/>
      <c r="M56" s="5"/>
      <c r="N56" s="5"/>
      <c r="O56" s="5"/>
      <c r="P56" s="5"/>
      <c r="Q56" s="5"/>
      <c r="R56" s="5"/>
      <c r="S56" s="5"/>
      <c r="T56" s="6"/>
      <c r="U56" s="6"/>
      <c r="V56" s="5"/>
      <c r="W56" s="5"/>
      <c r="X56" s="5"/>
      <c r="Y56" s="5"/>
      <c r="Z56" s="5"/>
    </row>
    <row r="58" spans="1:31" ht="13.7" customHeight="1">
      <c r="A58" s="92"/>
    </row>
    <row r="60" spans="1:31" ht="13.7" customHeight="1">
      <c r="A60" s="245"/>
      <c r="B60" s="244"/>
    </row>
    <row r="61" spans="1:31" ht="13.7" customHeight="1">
      <c r="B61" s="244"/>
    </row>
    <row r="62" spans="1:31" ht="13.7" customHeight="1">
      <c r="B62" s="38"/>
    </row>
    <row r="65" spans="1:3" ht="13.7" customHeight="1">
      <c r="A65" s="92"/>
      <c r="B65" s="38"/>
      <c r="C65" s="246"/>
    </row>
  </sheetData>
  <dataConsolidate/>
  <dataValidations count="6">
    <dataValidation type="list" allowBlank="1" showInputMessage="1" showErrorMessage="1" sqref="B8" xr:uid="{00000000-0002-0000-0700-000000000000}">
      <formula1>List_Scenario</formula1>
    </dataValidation>
    <dataValidation type="list" allowBlank="1" showInputMessage="1" showErrorMessage="1" sqref="B10" xr:uid="{00000000-0002-0000-0700-000001000000}">
      <formula1>List_DNSP</formula1>
    </dataValidation>
    <dataValidation type="list" allowBlank="1" showInputMessage="1" showErrorMessage="1" sqref="B41 B53" xr:uid="{00000000-0002-0000-0700-000002000000}">
      <formula1>List_OEF_capitalisation_basis</formula1>
    </dataValidation>
    <dataValidation type="list" allowBlank="1" showInputMessage="1" showErrorMessage="1" sqref="B25" xr:uid="{00000000-0002-0000-0700-000003000000}">
      <formula1>List_Apply_fixed_growth_rate</formula1>
    </dataValidation>
    <dataValidation type="list" allowBlank="1" showInputMessage="1" showErrorMessage="1" sqref="B62 B35" xr:uid="{00000000-0002-0000-0700-000004000000}">
      <formula1>List_Include_OEFs</formula1>
    </dataValidation>
    <dataValidation type="list" allowBlank="1" showInputMessage="1" showErrorMessage="1" sqref="B65" xr:uid="{00000000-0002-0000-0700-000005000000}">
      <formula1>$B$67:$B$68</formula1>
    </dataValidation>
  </dataValidations>
  <hyperlinks>
    <hyperlink ref="A2" location="Index!A1" display="Index" xr:uid="{00000000-0004-0000-0700-000000000000}"/>
  </hyperlinks>
  <pageMargins left="0.7" right="0.7" top="0.75" bottom="0.75" header="0.3" footer="0.3"/>
  <pageSetup paperSize="9" scale="97" fitToWidth="0"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CC"/>
  </sheetPr>
  <dimension ref="A1:N279"/>
  <sheetViews>
    <sheetView workbookViewId="0"/>
  </sheetViews>
  <sheetFormatPr defaultColWidth="8.85546875" defaultRowHeight="14.25"/>
  <cols>
    <col min="1" max="1" width="8.85546875" style="21"/>
    <col min="2" max="2" width="12.42578125" style="21" customWidth="1"/>
    <col min="3" max="16384" width="8.85546875" style="21"/>
  </cols>
  <sheetData>
    <row r="1" spans="1:14" s="7" customFormat="1" ht="15.75">
      <c r="A1" s="1" t="s">
        <v>0</v>
      </c>
    </row>
    <row r="2" spans="1:14" s="16" customFormat="1" ht="13.7" customHeight="1">
      <c r="A2" s="85" t="s">
        <v>5</v>
      </c>
    </row>
    <row r="3" spans="1:14" s="9" customFormat="1" ht="13.7" customHeight="1" thickBot="1">
      <c r="A3" s="8" t="s">
        <v>28</v>
      </c>
    </row>
    <row r="4" spans="1:14" s="9" customFormat="1" ht="13.7" customHeight="1"/>
    <row r="5" spans="1:14" s="4" customFormat="1" ht="13.7" customHeight="1">
      <c r="A5" s="2" t="s">
        <v>942</v>
      </c>
      <c r="C5" s="5"/>
      <c r="D5" s="5"/>
      <c r="E5" s="5"/>
      <c r="F5" s="6"/>
      <c r="G5" s="6"/>
      <c r="H5" s="5"/>
      <c r="I5" s="5"/>
      <c r="J5" s="5"/>
      <c r="K5" s="5"/>
      <c r="L5" s="5"/>
    </row>
    <row r="6" spans="1:14" ht="13.7" customHeight="1"/>
    <row r="7" spans="1:14" ht="13.7" customHeight="1">
      <c r="A7" s="92"/>
      <c r="B7" s="32"/>
      <c r="C7" s="117"/>
    </row>
    <row r="8" spans="1:14" ht="13.7" customHeight="1">
      <c r="B8" s="25"/>
      <c r="C8" s="117"/>
    </row>
    <row r="9" spans="1:14" ht="13.7" customHeight="1">
      <c r="B9" s="180"/>
      <c r="C9" s="117"/>
    </row>
    <row r="10" spans="1:14" ht="13.7" customHeight="1">
      <c r="B10" s="197"/>
      <c r="C10" s="117"/>
    </row>
    <row r="11" spans="1:14" s="23" customFormat="1" ht="13.7" customHeight="1">
      <c r="C11" s="24" t="s">
        <v>271</v>
      </c>
    </row>
    <row r="12" spans="1:14" s="23" customFormat="1" ht="13.7" customHeight="1">
      <c r="A12" s="32" t="s">
        <v>943</v>
      </c>
      <c r="B12" s="32" t="s">
        <v>46</v>
      </c>
      <c r="C12" s="269">
        <v>12</v>
      </c>
      <c r="D12" s="25" t="s">
        <v>274</v>
      </c>
      <c r="E12" s="25" t="s">
        <v>276</v>
      </c>
      <c r="F12" s="252">
        <v>16</v>
      </c>
      <c r="G12" s="252">
        <v>17</v>
      </c>
      <c r="H12" s="252">
        <v>18</v>
      </c>
      <c r="I12" s="252">
        <v>19</v>
      </c>
      <c r="J12" s="252">
        <v>20</v>
      </c>
      <c r="K12" s="316">
        <v>21</v>
      </c>
      <c r="L12" s="316">
        <v>22</v>
      </c>
    </row>
    <row r="13" spans="1:14" ht="13.7" customHeight="1">
      <c r="A13" s="23" t="s">
        <v>944</v>
      </c>
      <c r="B13" s="23" t="s">
        <v>945</v>
      </c>
      <c r="C13" s="173">
        <v>0.61299999999999999</v>
      </c>
      <c r="D13" s="162">
        <v>0.61099999999999999</v>
      </c>
      <c r="E13" s="173">
        <v>0.60899999999999999</v>
      </c>
      <c r="F13" s="162">
        <v>0.59099999999999997</v>
      </c>
      <c r="G13" s="173">
        <v>0.58799999999999997</v>
      </c>
      <c r="H13" s="173">
        <v>0.58799999999999997</v>
      </c>
      <c r="I13" s="173">
        <v>0.58799999999999997</v>
      </c>
      <c r="J13" s="173">
        <v>0.58799999999999997</v>
      </c>
      <c r="K13" s="315">
        <v>0.53900000000000003</v>
      </c>
      <c r="L13" s="315">
        <v>0.51516110000000004</v>
      </c>
      <c r="M13" s="198"/>
      <c r="N13" s="198"/>
    </row>
    <row r="14" spans="1:14" ht="13.7" customHeight="1">
      <c r="A14" s="23" t="s">
        <v>946</v>
      </c>
      <c r="B14" s="23" t="s">
        <v>947</v>
      </c>
      <c r="C14" s="173">
        <v>0.17899999999999999</v>
      </c>
      <c r="D14" s="162">
        <v>0.17799999999999999</v>
      </c>
      <c r="E14" s="173">
        <v>0.17799999999999999</v>
      </c>
      <c r="F14" s="162">
        <v>0.19500000000000001</v>
      </c>
      <c r="G14" s="173">
        <v>0.19500000000000001</v>
      </c>
      <c r="H14" s="173">
        <v>0.19500000000000001</v>
      </c>
      <c r="I14" s="173">
        <v>0.19500000000000001</v>
      </c>
      <c r="J14" s="173">
        <v>0.19500000000000001</v>
      </c>
      <c r="K14" s="315">
        <v>0.26500000000000001</v>
      </c>
      <c r="L14" s="315">
        <v>0.26789590000000002</v>
      </c>
    </row>
    <row r="15" spans="1:14" ht="13.7" customHeight="1">
      <c r="A15" s="23" t="s">
        <v>948</v>
      </c>
      <c r="B15" s="23" t="s">
        <v>949</v>
      </c>
      <c r="C15" s="173">
        <v>0.189</v>
      </c>
      <c r="D15" s="162">
        <v>0.191</v>
      </c>
      <c r="E15" s="173">
        <v>0.19400000000000001</v>
      </c>
      <c r="F15" s="162">
        <v>0.193</v>
      </c>
      <c r="G15" s="173">
        <v>0.19500000000000001</v>
      </c>
      <c r="H15" s="173">
        <v>0.19500000000000001</v>
      </c>
      <c r="I15" s="173">
        <v>0.19500000000000001</v>
      </c>
      <c r="J15" s="173">
        <v>0.19500000000000001</v>
      </c>
      <c r="K15" s="315">
        <v>0.16300000000000001</v>
      </c>
      <c r="L15" s="315">
        <v>0.1830321</v>
      </c>
    </row>
    <row r="16" spans="1:14" ht="13.7" customHeight="1">
      <c r="A16" s="23" t="s">
        <v>950</v>
      </c>
      <c r="B16" s="23" t="s">
        <v>951</v>
      </c>
      <c r="C16" s="173">
        <v>-0.152</v>
      </c>
      <c r="D16" s="162">
        <v>-0.152</v>
      </c>
      <c r="E16" s="173">
        <v>-0.153</v>
      </c>
      <c r="F16" s="162">
        <v>-0.14199999999999999</v>
      </c>
      <c r="G16" s="173">
        <v>-0.14199999999999999</v>
      </c>
      <c r="H16" s="173">
        <v>-0.14199999999999999</v>
      </c>
      <c r="I16" s="173">
        <v>-0.14199999999999999</v>
      </c>
      <c r="J16" s="173">
        <v>-0.14199999999999999</v>
      </c>
      <c r="K16" s="315">
        <v>-8.4000000000000005E-2</v>
      </c>
      <c r="L16" s="315">
        <v>-8.9825299999999997E-2</v>
      </c>
    </row>
    <row r="17" spans="1:12" ht="13.7" customHeight="1">
      <c r="A17" s="23" t="s">
        <v>952</v>
      </c>
      <c r="B17" s="23" t="s">
        <v>953</v>
      </c>
      <c r="C17" s="173">
        <v>4.0000000000000001E-3</v>
      </c>
      <c r="D17" s="162">
        <v>4.0000000000000001E-3</v>
      </c>
      <c r="E17" s="173">
        <v>3.0000000000000001E-3</v>
      </c>
      <c r="F17" s="162">
        <v>3.0000000000000001E-3</v>
      </c>
      <c r="G17" s="173">
        <v>3.0000000000000001E-3</v>
      </c>
      <c r="H17" s="173">
        <v>3.0000000000000001E-3</v>
      </c>
      <c r="I17" s="173">
        <v>3.0000000000000001E-3</v>
      </c>
      <c r="J17" s="173">
        <v>3.0000000000000001E-3</v>
      </c>
      <c r="K17" s="315">
        <v>3.0000000000000001E-3</v>
      </c>
      <c r="L17" s="315">
        <v>5.1183000000000001E-3</v>
      </c>
    </row>
    <row r="18" spans="1:12" ht="13.7" customHeight="1">
      <c r="A18" s="23" t="s">
        <v>954</v>
      </c>
      <c r="B18" s="23" t="s">
        <v>955</v>
      </c>
      <c r="C18" s="173">
        <v>-0.215</v>
      </c>
      <c r="D18" s="162">
        <v>-0.41399999999999998</v>
      </c>
      <c r="E18" s="173">
        <v>-0.41499999999999998</v>
      </c>
      <c r="F18" s="162">
        <v>-0.21</v>
      </c>
      <c r="G18" s="173">
        <v>-0.40699999999999997</v>
      </c>
      <c r="H18" s="173">
        <v>-0.39100000000000001</v>
      </c>
      <c r="I18" s="173">
        <v>-0.41899999999999998</v>
      </c>
      <c r="J18" s="173">
        <v>-0.40400000000000003</v>
      </c>
      <c r="K18" s="315">
        <v>-0.40799999999999997</v>
      </c>
      <c r="L18" s="315">
        <v>-0.3869184</v>
      </c>
    </row>
    <row r="19" spans="1:12" ht="13.7" customHeight="1">
      <c r="A19" s="23" t="s">
        <v>956</v>
      </c>
      <c r="B19" s="23" t="s">
        <v>957</v>
      </c>
      <c r="C19" s="173">
        <v>-4.8000000000000001E-2</v>
      </c>
      <c r="D19" s="162">
        <v>-0.25</v>
      </c>
      <c r="E19" s="173">
        <v>-0.25</v>
      </c>
      <c r="F19" s="162">
        <v>-4.8000000000000001E-2</v>
      </c>
      <c r="G19" s="173">
        <v>-0.246</v>
      </c>
      <c r="H19" s="173">
        <v>-0.23100000000000001</v>
      </c>
      <c r="I19" s="173">
        <v>-0.25800000000000001</v>
      </c>
      <c r="J19" s="173">
        <v>-0.24299999999999999</v>
      </c>
      <c r="K19" s="315">
        <v>-0.16</v>
      </c>
      <c r="L19" s="315">
        <v>-0.14559059999999999</v>
      </c>
    </row>
    <row r="20" spans="1:12" ht="13.7" customHeight="1">
      <c r="A20" s="23" t="s">
        <v>958</v>
      </c>
      <c r="B20" s="23" t="s">
        <v>236</v>
      </c>
      <c r="C20" s="173">
        <v>-3.4000000000000002E-2</v>
      </c>
      <c r="D20" s="162">
        <v>-0.22500000000000001</v>
      </c>
      <c r="E20" s="173">
        <v>-0.22500000000000001</v>
      </c>
      <c r="F20" s="162">
        <v>-7.5999999999999998E-2</v>
      </c>
      <c r="G20" s="173">
        <v>-0.26300000000000001</v>
      </c>
      <c r="H20" s="173">
        <v>-0.248</v>
      </c>
      <c r="I20" s="173">
        <v>-0.27600000000000002</v>
      </c>
      <c r="J20" s="173">
        <v>-0.26</v>
      </c>
      <c r="K20" s="315">
        <v>-0.17899999999999999</v>
      </c>
      <c r="L20" s="315">
        <v>-0.1674099</v>
      </c>
    </row>
    <row r="21" spans="1:12" ht="13.7" customHeight="1">
      <c r="A21" s="23" t="s">
        <v>959</v>
      </c>
      <c r="B21" s="23" t="s">
        <v>238</v>
      </c>
      <c r="C21" s="173">
        <v>-0.57299999999999995</v>
      </c>
      <c r="D21" s="162">
        <v>-0.47499999999999998</v>
      </c>
      <c r="E21" s="173">
        <v>-0.47399999999999998</v>
      </c>
      <c r="F21" s="162">
        <v>-0.56499999999999995</v>
      </c>
      <c r="G21" s="173">
        <v>-0.45900000000000002</v>
      </c>
      <c r="H21" s="173">
        <v>-0.44400000000000001</v>
      </c>
      <c r="I21" s="173">
        <v>-0.47199999999999998</v>
      </c>
      <c r="J21" s="173">
        <v>-0.45700000000000002</v>
      </c>
      <c r="K21" s="315">
        <v>-0.35399999999999998</v>
      </c>
      <c r="L21" s="315">
        <v>-0.32171650000000002</v>
      </c>
    </row>
    <row r="22" spans="1:12" ht="13.7" customHeight="1">
      <c r="A22" s="23" t="s">
        <v>960</v>
      </c>
      <c r="B22" s="23" t="s">
        <v>240</v>
      </c>
      <c r="C22" s="173">
        <v>-0.27100000000000002</v>
      </c>
      <c r="D22" s="162">
        <v>-0.36</v>
      </c>
      <c r="E22" s="173">
        <v>-0.36</v>
      </c>
      <c r="F22" s="162">
        <v>-0.28599999999999998</v>
      </c>
      <c r="G22" s="173">
        <v>-0.36799999999999999</v>
      </c>
      <c r="H22" s="173">
        <v>-0.35299999999999998</v>
      </c>
      <c r="I22" s="173">
        <v>-0.38100000000000001</v>
      </c>
      <c r="J22" s="173">
        <v>-0.36499999999999999</v>
      </c>
      <c r="K22" s="315">
        <v>-0.32100000000000001</v>
      </c>
      <c r="L22" s="315">
        <v>-0.30969059999999998</v>
      </c>
    </row>
    <row r="23" spans="1:12" ht="13.7" customHeight="1">
      <c r="A23" s="23" t="s">
        <v>961</v>
      </c>
      <c r="B23" s="23" t="s">
        <v>242</v>
      </c>
      <c r="C23" s="173">
        <v>-0.24399999999999999</v>
      </c>
      <c r="D23" s="162">
        <v>-0.42199999999999999</v>
      </c>
      <c r="E23" s="173">
        <v>-0.18099999999999999</v>
      </c>
      <c r="F23" s="162">
        <v>-0.23699999999999999</v>
      </c>
      <c r="G23" s="173">
        <v>-0.378</v>
      </c>
      <c r="H23" s="173">
        <v>-0.36299999999999999</v>
      </c>
      <c r="I23" s="173">
        <v>-0.39100000000000001</v>
      </c>
      <c r="J23" s="173">
        <v>-0.376</v>
      </c>
      <c r="K23" s="315">
        <v>-0.307</v>
      </c>
      <c r="L23" s="315">
        <v>-0.2647024</v>
      </c>
    </row>
    <row r="24" spans="1:12" ht="13.7" customHeight="1">
      <c r="A24" s="23" t="s">
        <v>962</v>
      </c>
      <c r="B24" s="23" t="s">
        <v>244</v>
      </c>
      <c r="C24" s="173">
        <v>-0.24199999999999999</v>
      </c>
      <c r="D24" s="162">
        <v>-0.27400000000000002</v>
      </c>
      <c r="E24" s="173">
        <v>-5.0999999999999997E-2</v>
      </c>
      <c r="F24" s="162">
        <v>-0.253</v>
      </c>
      <c r="G24" s="173">
        <v>-0.26</v>
      </c>
      <c r="H24" s="173">
        <v>-0.24399999999999999</v>
      </c>
      <c r="I24" s="173">
        <v>-0.27300000000000002</v>
      </c>
      <c r="J24" s="173">
        <v>-0.25700000000000001</v>
      </c>
      <c r="K24" s="315">
        <v>-0.20399999999999999</v>
      </c>
      <c r="L24" s="315">
        <v>-0.15938479999999999</v>
      </c>
    </row>
    <row r="25" spans="1:12" ht="13.7" customHeight="1">
      <c r="A25" s="23" t="s">
        <v>963</v>
      </c>
      <c r="B25" s="23" t="s">
        <v>246</v>
      </c>
      <c r="C25" s="173">
        <v>-0.31</v>
      </c>
      <c r="D25" s="162">
        <v>-0.35199999999999998</v>
      </c>
      <c r="E25" s="173">
        <v>-0.35399999999999998</v>
      </c>
      <c r="F25" s="162">
        <v>-0.34799999999999998</v>
      </c>
      <c r="G25" s="173">
        <v>-0.38400000000000001</v>
      </c>
      <c r="H25" s="173">
        <v>-0.36899999999999999</v>
      </c>
      <c r="I25" s="173">
        <v>-0.39700000000000002</v>
      </c>
      <c r="J25" s="173">
        <v>-0.38100000000000001</v>
      </c>
      <c r="K25" s="315">
        <v>-0.33400000000000002</v>
      </c>
      <c r="L25" s="315">
        <v>-0.30960759999999998</v>
      </c>
    </row>
    <row r="26" spans="1:12" ht="13.7" customHeight="1">
      <c r="A26" s="23" t="s">
        <v>964</v>
      </c>
      <c r="B26" s="23" t="s">
        <v>248</v>
      </c>
      <c r="C26" s="173">
        <v>-0.33400000000000002</v>
      </c>
      <c r="D26" s="162">
        <v>-0.38100000000000001</v>
      </c>
      <c r="E26" s="173">
        <v>-0.38</v>
      </c>
      <c r="F26" s="162">
        <v>-0.36</v>
      </c>
      <c r="G26" s="173">
        <v>-0.38600000000000001</v>
      </c>
      <c r="H26" s="173">
        <v>-0.371</v>
      </c>
      <c r="I26" s="173">
        <v>-0.39900000000000002</v>
      </c>
      <c r="J26" s="173">
        <v>-0.38400000000000001</v>
      </c>
      <c r="K26" s="315">
        <v>-0.29599999999999999</v>
      </c>
      <c r="L26" s="315">
        <v>-0.27761819999999998</v>
      </c>
    </row>
    <row r="27" spans="1:12" ht="13.7" customHeight="1">
      <c r="A27" s="23" t="s">
        <v>965</v>
      </c>
      <c r="B27" s="23" t="s">
        <v>250</v>
      </c>
      <c r="C27" s="173">
        <v>-0.77100000000000002</v>
      </c>
      <c r="D27" s="162">
        <v>-0.80300000000000005</v>
      </c>
      <c r="E27" s="173">
        <v>-0.80300000000000005</v>
      </c>
      <c r="F27" s="162">
        <v>-0.76700000000000002</v>
      </c>
      <c r="G27" s="173">
        <v>-0.79500000000000004</v>
      </c>
      <c r="H27" s="173">
        <v>-0.78</v>
      </c>
      <c r="I27" s="173">
        <v>-0.80800000000000005</v>
      </c>
      <c r="J27" s="173">
        <v>-0.79200000000000004</v>
      </c>
      <c r="K27" s="315">
        <v>-0.70799999999999996</v>
      </c>
      <c r="L27" s="315">
        <v>-0.68607890000000005</v>
      </c>
    </row>
    <row r="28" spans="1:12" ht="13.7" customHeight="1">
      <c r="A28" s="23" t="s">
        <v>966</v>
      </c>
      <c r="B28" s="23" t="s">
        <v>252</v>
      </c>
      <c r="C28" s="173">
        <v>-0.46700000000000003</v>
      </c>
      <c r="D28" s="162">
        <v>-0.66700000000000004</v>
      </c>
      <c r="E28" s="173">
        <v>-0.66700000000000004</v>
      </c>
      <c r="F28" s="162">
        <v>-0.46500000000000002</v>
      </c>
      <c r="G28" s="173">
        <v>-0.66200000000000003</v>
      </c>
      <c r="H28" s="173">
        <v>-0.64600000000000002</v>
      </c>
      <c r="I28" s="173">
        <v>-0.67400000000000004</v>
      </c>
      <c r="J28" s="173">
        <v>-0.65900000000000003</v>
      </c>
      <c r="K28" s="315">
        <v>-0.61399999999999999</v>
      </c>
      <c r="L28" s="315">
        <v>-0.58873310000000001</v>
      </c>
    </row>
    <row r="29" spans="1:12" ht="13.7" customHeight="1">
      <c r="A29" s="23" t="s">
        <v>967</v>
      </c>
      <c r="B29" s="23" t="s">
        <v>254</v>
      </c>
      <c r="C29" s="173">
        <v>-0.377</v>
      </c>
      <c r="D29" s="162">
        <v>-0.53700000000000003</v>
      </c>
      <c r="E29" s="173">
        <v>-0.53600000000000003</v>
      </c>
      <c r="F29" s="162">
        <v>-0.378</v>
      </c>
      <c r="G29" s="173">
        <v>-0.53700000000000003</v>
      </c>
      <c r="H29" s="173">
        <v>-0.52100000000000002</v>
      </c>
      <c r="I29" s="173">
        <v>-0.55000000000000004</v>
      </c>
      <c r="J29" s="173">
        <v>-0.53400000000000003</v>
      </c>
      <c r="K29" s="315">
        <v>-0.49399999999999999</v>
      </c>
      <c r="L29" s="315">
        <v>-0.44217529999999999</v>
      </c>
    </row>
    <row r="30" spans="1:12" ht="13.7" customHeight="1">
      <c r="A30" s="23" t="s">
        <v>968</v>
      </c>
      <c r="B30" s="23" t="s">
        <v>256</v>
      </c>
      <c r="C30" s="173">
        <v>-0.48799999999999999</v>
      </c>
      <c r="D30" s="162">
        <v>-0.58399999999999996</v>
      </c>
      <c r="E30" s="173">
        <v>-0.58499999999999996</v>
      </c>
      <c r="F30" s="162">
        <v>-0.48799999999999999</v>
      </c>
      <c r="G30" s="173">
        <v>-0.57799999999999996</v>
      </c>
      <c r="H30" s="173">
        <v>-0.56200000000000006</v>
      </c>
      <c r="I30" s="173">
        <v>-0.59</v>
      </c>
      <c r="J30" s="173">
        <v>-0.57499999999999996</v>
      </c>
      <c r="K30" s="315">
        <v>-0.53600000000000003</v>
      </c>
      <c r="L30" s="315">
        <v>-0.51832040000000001</v>
      </c>
    </row>
    <row r="31" spans="1:12" ht="13.7" customHeight="1">
      <c r="A31" s="23" t="s">
        <v>969</v>
      </c>
      <c r="B31" s="23" t="s">
        <v>258</v>
      </c>
      <c r="C31" s="173">
        <v>-0.53600000000000003</v>
      </c>
      <c r="D31" s="162">
        <v>-0.73499999999999999</v>
      </c>
      <c r="E31" s="173">
        <v>-0.73499999999999999</v>
      </c>
      <c r="F31" s="162">
        <v>-0.51800000000000002</v>
      </c>
      <c r="G31" s="173">
        <v>-0.71299999999999997</v>
      </c>
      <c r="H31" s="173">
        <v>-0.69799999999999995</v>
      </c>
      <c r="I31" s="173">
        <v>-0.72599999999999998</v>
      </c>
      <c r="J31" s="173">
        <v>-0.71</v>
      </c>
      <c r="K31" s="315">
        <v>-0.60199999999999998</v>
      </c>
      <c r="L31" s="315">
        <v>-0.56777069999999996</v>
      </c>
    </row>
    <row r="32" spans="1:12" ht="13.7" customHeight="1">
      <c r="A32" s="23"/>
      <c r="B32" s="23"/>
      <c r="C32" s="173"/>
      <c r="D32" s="162"/>
      <c r="E32" s="173"/>
      <c r="F32" s="162"/>
      <c r="G32" s="173"/>
      <c r="H32" s="173"/>
      <c r="I32" s="173"/>
      <c r="J32" s="173"/>
      <c r="K32" s="315"/>
      <c r="L32" s="315"/>
    </row>
    <row r="33" spans="1:12" ht="13.7" customHeight="1">
      <c r="A33" s="23"/>
      <c r="B33" s="23"/>
      <c r="C33" s="173"/>
      <c r="D33" s="162"/>
      <c r="E33" s="173"/>
      <c r="F33" s="162"/>
      <c r="G33" s="173"/>
      <c r="H33" s="173"/>
      <c r="I33" s="173"/>
      <c r="J33" s="173"/>
      <c r="K33" s="315"/>
      <c r="L33" s="315"/>
    </row>
    <row r="34" spans="1:12" ht="13.7" customHeight="1">
      <c r="A34" s="23"/>
      <c r="B34" s="23"/>
      <c r="C34" s="173"/>
      <c r="D34" s="162"/>
      <c r="E34" s="173"/>
      <c r="F34" s="162"/>
      <c r="G34" s="173"/>
      <c r="H34" s="173"/>
      <c r="I34" s="173"/>
      <c r="J34" s="173"/>
      <c r="K34" s="315"/>
      <c r="L34" s="315"/>
    </row>
    <row r="35" spans="1:12" ht="13.7" customHeight="1">
      <c r="A35" s="23"/>
      <c r="B35" s="23"/>
      <c r="C35" s="173"/>
      <c r="D35" s="162"/>
      <c r="E35" s="173"/>
      <c r="F35" s="162"/>
      <c r="G35" s="173"/>
      <c r="H35" s="173"/>
      <c r="I35" s="173"/>
      <c r="J35" s="173"/>
      <c r="K35" s="315"/>
      <c r="L35" s="315"/>
    </row>
    <row r="36" spans="1:12" ht="13.7" customHeight="1">
      <c r="A36" s="23"/>
      <c r="B36" s="23"/>
      <c r="C36" s="173"/>
      <c r="D36" s="162"/>
      <c r="E36" s="173"/>
      <c r="F36" s="162"/>
      <c r="G36" s="173"/>
      <c r="H36" s="173"/>
      <c r="I36" s="173"/>
      <c r="J36" s="173"/>
      <c r="K36" s="315"/>
      <c r="L36" s="315"/>
    </row>
    <row r="37" spans="1:12" ht="13.7" customHeight="1">
      <c r="A37" s="23"/>
      <c r="B37" s="23"/>
      <c r="C37" s="173"/>
      <c r="D37" s="162"/>
      <c r="E37" s="173"/>
      <c r="F37" s="162"/>
      <c r="G37" s="173"/>
      <c r="H37" s="173"/>
      <c r="I37" s="173"/>
      <c r="J37" s="173"/>
      <c r="K37" s="315"/>
      <c r="L37" s="315"/>
    </row>
    <row r="38" spans="1:12" ht="13.7" customHeight="1">
      <c r="A38" s="23" t="s">
        <v>970</v>
      </c>
      <c r="B38" s="23" t="s">
        <v>971</v>
      </c>
      <c r="C38" s="173">
        <v>2.2170000000000001</v>
      </c>
      <c r="D38" s="162">
        <v>3.0720000000000001</v>
      </c>
      <c r="E38" s="173">
        <v>4.1029999999999998</v>
      </c>
      <c r="F38" s="162">
        <v>3.734</v>
      </c>
      <c r="G38" s="173">
        <v>4.3959999999999999</v>
      </c>
      <c r="H38" s="173">
        <v>4.4059999999999997</v>
      </c>
      <c r="I38" s="173">
        <v>4.3460000000000001</v>
      </c>
      <c r="J38" s="173">
        <v>4.3559999999999999</v>
      </c>
      <c r="K38" s="315">
        <v>3.9670000000000001</v>
      </c>
      <c r="L38" s="315">
        <v>0.14608499999999999</v>
      </c>
    </row>
    <row r="39" spans="1:12" s="9" customFormat="1" ht="13.7" customHeight="1"/>
    <row r="40" spans="1:12" s="4" customFormat="1" ht="13.7" customHeight="1">
      <c r="A40" s="2" t="s">
        <v>972</v>
      </c>
      <c r="C40" s="5"/>
      <c r="D40" s="5"/>
      <c r="E40" s="5"/>
      <c r="F40" s="6"/>
      <c r="G40" s="6"/>
      <c r="H40" s="5"/>
      <c r="I40" s="5"/>
      <c r="J40" s="5"/>
      <c r="K40" s="5"/>
      <c r="L40" s="5"/>
    </row>
    <row r="42" spans="1:12" ht="13.7" customHeight="1">
      <c r="A42" s="92"/>
      <c r="B42" s="32"/>
      <c r="C42" s="117"/>
    </row>
    <row r="43" spans="1:12" ht="13.7" customHeight="1">
      <c r="B43" s="25"/>
      <c r="C43" s="117"/>
    </row>
    <row r="44" spans="1:12" ht="13.7" customHeight="1">
      <c r="B44" s="180"/>
      <c r="C44" s="117"/>
    </row>
    <row r="45" spans="1:12" ht="13.7" customHeight="1">
      <c r="B45" s="197"/>
      <c r="C45" s="117"/>
    </row>
    <row r="46" spans="1:12" ht="13.7" customHeight="1">
      <c r="C46" s="24" t="s">
        <v>271</v>
      </c>
    </row>
    <row r="47" spans="1:12" s="23" customFormat="1" ht="13.7" customHeight="1">
      <c r="A47" s="24" t="s">
        <v>233</v>
      </c>
      <c r="C47" s="269">
        <v>12</v>
      </c>
      <c r="D47" s="25" t="s">
        <v>274</v>
      </c>
      <c r="E47" s="25" t="s">
        <v>276</v>
      </c>
      <c r="F47" s="252">
        <v>16</v>
      </c>
      <c r="G47" s="252">
        <v>17</v>
      </c>
      <c r="H47" s="252">
        <v>18</v>
      </c>
      <c r="I47" s="252">
        <v>19</v>
      </c>
      <c r="J47" s="252">
        <v>20</v>
      </c>
      <c r="K47" s="316">
        <f>K12</f>
        <v>21</v>
      </c>
      <c r="L47" s="316">
        <f>L12</f>
        <v>22</v>
      </c>
    </row>
    <row r="48" spans="1:12" s="23" customFormat="1" ht="13.7" customHeight="1">
      <c r="A48" s="23" t="s">
        <v>234</v>
      </c>
      <c r="C48" s="173">
        <v>0.46255028667230141</v>
      </c>
      <c r="D48" s="162">
        <v>0.44798299718474366</v>
      </c>
      <c r="E48" s="173">
        <v>0.44798299718474366</v>
      </c>
      <c r="F48" s="162">
        <v>0.46440419316009157</v>
      </c>
      <c r="G48" s="173">
        <v>0.45158123492259217</v>
      </c>
      <c r="H48" s="173">
        <v>0.45840601130522352</v>
      </c>
      <c r="I48" s="173">
        <v>0.44574867266496021</v>
      </c>
      <c r="J48" s="173">
        <v>0.45293801277655771</v>
      </c>
      <c r="K48" s="315">
        <v>0.49268835783004761</v>
      </c>
      <c r="L48" s="315">
        <v>0.50354665990752168</v>
      </c>
    </row>
    <row r="49" spans="1:12" s="23" customFormat="1" ht="13.7" customHeight="1">
      <c r="A49" s="23" t="s">
        <v>236</v>
      </c>
      <c r="C49" s="173">
        <v>0.47854740642884114</v>
      </c>
      <c r="D49" s="162">
        <v>0.56101928384217048</v>
      </c>
      <c r="E49" s="173">
        <v>0.56101928384217048</v>
      </c>
      <c r="F49" s="162">
        <v>0.50107474370144889</v>
      </c>
      <c r="G49" s="173">
        <v>0.58742893616452341</v>
      </c>
      <c r="H49" s="173">
        <v>0.58742893616452341</v>
      </c>
      <c r="I49" s="173">
        <v>0.58742893616452352</v>
      </c>
      <c r="J49" s="173">
        <v>0.58742893616452352</v>
      </c>
      <c r="K49" s="315">
        <v>0.58935058116912842</v>
      </c>
      <c r="L49" s="315">
        <v>0.59531238166797007</v>
      </c>
    </row>
    <row r="50" spans="1:12" s="23" customFormat="1" ht="13.7" customHeight="1">
      <c r="A50" s="23" t="s">
        <v>238</v>
      </c>
      <c r="C50" s="173">
        <v>0.82036985313783084</v>
      </c>
      <c r="D50" s="162">
        <v>0.72036301970530126</v>
      </c>
      <c r="E50" s="173">
        <v>0.71964301674707531</v>
      </c>
      <c r="F50" s="162">
        <v>0.81709492794223648</v>
      </c>
      <c r="G50" s="173">
        <v>0.71462310581605726</v>
      </c>
      <c r="H50" s="173">
        <v>0.71462310581605726</v>
      </c>
      <c r="I50" s="173">
        <v>0.71462310581605726</v>
      </c>
      <c r="J50" s="173">
        <v>0.71533808635255991</v>
      </c>
      <c r="K50" s="315">
        <v>0.70202577114105225</v>
      </c>
      <c r="L50" s="315">
        <v>0.69463941179976074</v>
      </c>
    </row>
    <row r="51" spans="1:12" s="23" customFormat="1" ht="13.7" customHeight="1">
      <c r="A51" s="23" t="s">
        <v>240</v>
      </c>
      <c r="C51" s="173">
        <v>0.60653065971263342</v>
      </c>
      <c r="D51" s="162">
        <v>0.64210720708779523</v>
      </c>
      <c r="E51" s="173">
        <v>0.64210720708779523</v>
      </c>
      <c r="F51" s="162">
        <v>0.6181649177029257</v>
      </c>
      <c r="G51" s="173">
        <v>0.65246355222790042</v>
      </c>
      <c r="H51" s="173">
        <v>0.65246355222790042</v>
      </c>
      <c r="I51" s="173">
        <v>0.65246355222790042</v>
      </c>
      <c r="J51" s="173">
        <v>0.65246355222790042</v>
      </c>
      <c r="K51" s="315">
        <v>0.67897534370422363</v>
      </c>
      <c r="L51" s="315">
        <v>0.6863357771115639</v>
      </c>
    </row>
    <row r="52" spans="1:12" s="23" customFormat="1" ht="13.7" customHeight="1">
      <c r="A52" s="23" t="s">
        <v>242</v>
      </c>
      <c r="C52" s="173">
        <v>0.59037343596046388</v>
      </c>
      <c r="D52" s="162">
        <v>0.68317788961989956</v>
      </c>
      <c r="E52" s="173">
        <v>0.53686962389145954</v>
      </c>
      <c r="F52" s="162">
        <v>0.58860496967835518</v>
      </c>
      <c r="G52" s="173">
        <v>0.6590209199441206</v>
      </c>
      <c r="H52" s="173">
        <v>0.6590209199441206</v>
      </c>
      <c r="I52" s="173">
        <v>0.65902091994412071</v>
      </c>
      <c r="J52" s="173">
        <v>0.65968027048438904</v>
      </c>
      <c r="K52" s="315">
        <v>0.66961526870727539</v>
      </c>
      <c r="L52" s="315">
        <v>0.65614301705253952</v>
      </c>
    </row>
    <row r="53" spans="1:12" s="23" customFormat="1" ht="13.7" customHeight="1">
      <c r="A53" s="23" t="s">
        <v>244</v>
      </c>
      <c r="C53" s="173">
        <v>0.58919386904864368</v>
      </c>
      <c r="D53" s="162">
        <v>0.58919386904864368</v>
      </c>
      <c r="E53" s="173">
        <v>0.47142276373913083</v>
      </c>
      <c r="F53" s="162">
        <v>0.59809839406276133</v>
      </c>
      <c r="G53" s="173">
        <v>0.58566929014479374</v>
      </c>
      <c r="H53" s="173">
        <v>0.58508391359170697</v>
      </c>
      <c r="I53" s="173">
        <v>0.58566929014479374</v>
      </c>
      <c r="J53" s="173">
        <v>0.58566929014479385</v>
      </c>
      <c r="K53" s="315">
        <v>0.60406845808029175</v>
      </c>
      <c r="L53" s="315">
        <v>0.59055405881938194</v>
      </c>
    </row>
    <row r="54" spans="1:12" s="23" customFormat="1" ht="13.7" customHeight="1">
      <c r="A54" s="23" t="s">
        <v>246</v>
      </c>
      <c r="C54" s="173">
        <v>0.63065267739805408</v>
      </c>
      <c r="D54" s="162">
        <v>0.63699084217798252</v>
      </c>
      <c r="E54" s="173">
        <v>0.63826609869376882</v>
      </c>
      <c r="F54" s="162">
        <v>0.65770419526781687</v>
      </c>
      <c r="G54" s="173">
        <v>0.6629869316007273</v>
      </c>
      <c r="H54" s="173">
        <v>0.66298693160072741</v>
      </c>
      <c r="I54" s="173">
        <v>0.66298693160072741</v>
      </c>
      <c r="J54" s="173">
        <v>0.66298693160072741</v>
      </c>
      <c r="K54" s="315">
        <v>0.68785804510116577</v>
      </c>
      <c r="L54" s="315">
        <v>0.68627881360608178</v>
      </c>
    </row>
    <row r="55" spans="1:12" s="23" customFormat="1" ht="13.7" customHeight="1">
      <c r="A55" s="23" t="s">
        <v>248</v>
      </c>
      <c r="C55" s="173">
        <v>0.64597143141062441</v>
      </c>
      <c r="D55" s="162">
        <v>0.65573403939344166</v>
      </c>
      <c r="E55" s="173">
        <v>0.65507863311180625</v>
      </c>
      <c r="F55" s="162">
        <v>0.66564419030152122</v>
      </c>
      <c r="G55" s="173">
        <v>0.66431423232221676</v>
      </c>
      <c r="H55" s="173">
        <v>0.66431423232221676</v>
      </c>
      <c r="I55" s="173">
        <v>0.66431423232221676</v>
      </c>
      <c r="J55" s="173">
        <v>0.66497887882240192</v>
      </c>
      <c r="K55" s="315">
        <v>0.6623389720916748</v>
      </c>
      <c r="L55" s="315">
        <v>0.66467259361114406</v>
      </c>
    </row>
    <row r="56" spans="1:12" s="23" customFormat="1" ht="13.7" customHeight="1">
      <c r="A56" s="23" t="s">
        <v>250</v>
      </c>
      <c r="C56" s="173">
        <v>1</v>
      </c>
      <c r="D56" s="162">
        <v>1</v>
      </c>
      <c r="E56" s="173">
        <v>1</v>
      </c>
      <c r="F56" s="162">
        <v>1</v>
      </c>
      <c r="G56" s="173">
        <v>1</v>
      </c>
      <c r="H56" s="173">
        <v>1</v>
      </c>
      <c r="I56" s="173">
        <v>1</v>
      </c>
      <c r="J56" s="173">
        <v>1</v>
      </c>
      <c r="K56" s="315">
        <v>1</v>
      </c>
      <c r="L56" s="315">
        <v>1</v>
      </c>
    </row>
    <row r="57" spans="1:12" s="23" customFormat="1" ht="13.7" customHeight="1">
      <c r="A57" s="23" t="s">
        <v>252</v>
      </c>
      <c r="C57" s="173">
        <v>0.73786086645059112</v>
      </c>
      <c r="D57" s="162">
        <v>0.87284263248871929</v>
      </c>
      <c r="E57" s="173">
        <v>0.87284263248871929</v>
      </c>
      <c r="F57" s="162">
        <v>0.73933806488953191</v>
      </c>
      <c r="G57" s="173">
        <v>0.8754650921087711</v>
      </c>
      <c r="H57" s="173">
        <v>0.87459006460333399</v>
      </c>
      <c r="I57" s="173">
        <v>0.87459006460333411</v>
      </c>
      <c r="J57" s="173">
        <v>0.87546509210877099</v>
      </c>
      <c r="K57" s="315">
        <v>0.9102051854133606</v>
      </c>
      <c r="L57" s="315">
        <v>0.9072422275218005</v>
      </c>
    </row>
    <row r="58" spans="1:12" s="23" customFormat="1" ht="13.7" customHeight="1">
      <c r="A58" s="23" t="s">
        <v>254</v>
      </c>
      <c r="C58" s="173">
        <v>0.67435405624044409</v>
      </c>
      <c r="D58" s="162">
        <v>0.76643912750101917</v>
      </c>
      <c r="E58" s="173">
        <v>0.765673071465374</v>
      </c>
      <c r="F58" s="162">
        <v>0.67773427001397113</v>
      </c>
      <c r="G58" s="173">
        <v>0.77259523210692804</v>
      </c>
      <c r="H58" s="173">
        <v>0.77182302304370354</v>
      </c>
      <c r="I58" s="173">
        <v>0.77259523210692804</v>
      </c>
      <c r="J58" s="173">
        <v>0.77259523210692804</v>
      </c>
      <c r="K58" s="315">
        <v>0.80761134624481201</v>
      </c>
      <c r="L58" s="315">
        <v>0.7835631661113821</v>
      </c>
    </row>
    <row r="59" spans="1:12" s="23" customFormat="1" ht="13.7" customHeight="1">
      <c r="A59" s="23" t="s">
        <v>256</v>
      </c>
      <c r="C59" s="173">
        <v>0.75351978785971707</v>
      </c>
      <c r="D59" s="162">
        <v>0.80332171815362641</v>
      </c>
      <c r="E59" s="173">
        <v>0.80412544166655953</v>
      </c>
      <c r="F59" s="162">
        <v>0.75653990321504727</v>
      </c>
      <c r="G59" s="173">
        <v>0.80492996930500127</v>
      </c>
      <c r="H59" s="173">
        <v>0.80412544166655975</v>
      </c>
      <c r="I59" s="173">
        <v>0.80412544166655953</v>
      </c>
      <c r="J59" s="173">
        <v>0.80492996930500149</v>
      </c>
      <c r="K59" s="315">
        <v>0.84242349863052368</v>
      </c>
      <c r="L59" s="315">
        <v>0.84555801228918837</v>
      </c>
    </row>
    <row r="60" spans="1:12" s="23" customFormat="1" ht="13.7" customHeight="1">
      <c r="A60" s="23" t="s">
        <v>258</v>
      </c>
      <c r="C60" s="173">
        <v>0.79057084962873558</v>
      </c>
      <c r="D60" s="162">
        <v>0.93426047357721342</v>
      </c>
      <c r="E60" s="173">
        <v>0.93426047357721342</v>
      </c>
      <c r="F60" s="162">
        <v>0.77957997338470042</v>
      </c>
      <c r="G60" s="173">
        <v>0.92127195869634859</v>
      </c>
      <c r="H60" s="173">
        <v>0.92127195869634859</v>
      </c>
      <c r="I60" s="173">
        <v>0.92127195869634859</v>
      </c>
      <c r="J60" s="173">
        <v>0.92127195869634859</v>
      </c>
      <c r="K60" s="315">
        <v>0.89992576837539673</v>
      </c>
      <c r="L60" s="315">
        <v>0.88842219869425831</v>
      </c>
    </row>
    <row r="61" spans="1:12" s="23" customFormat="1" ht="13.7" customHeight="1"/>
    <row r="62" spans="1:12" s="4" customFormat="1" ht="13.7" customHeight="1">
      <c r="A62" s="2" t="s">
        <v>973</v>
      </c>
      <c r="C62" s="5"/>
      <c r="D62" s="5"/>
      <c r="E62" s="5"/>
      <c r="F62" s="6"/>
      <c r="G62" s="6"/>
      <c r="H62" s="5"/>
      <c r="I62" s="5"/>
      <c r="J62" s="5"/>
      <c r="K62" s="5"/>
      <c r="L62" s="5"/>
    </row>
    <row r="64" spans="1:12" ht="13.7" customHeight="1">
      <c r="A64" s="92"/>
      <c r="B64" s="32"/>
      <c r="C64" s="117"/>
    </row>
    <row r="65" spans="1:12" ht="13.7" customHeight="1">
      <c r="B65" s="25"/>
      <c r="C65" s="117"/>
    </row>
    <row r="66" spans="1:12" ht="13.7" customHeight="1">
      <c r="B66" s="180"/>
      <c r="C66" s="117"/>
    </row>
    <row r="67" spans="1:12" ht="13.7" customHeight="1">
      <c r="B67" s="197"/>
      <c r="C67" s="117"/>
    </row>
    <row r="68" spans="1:12" s="23" customFormat="1" ht="13.7" customHeight="1">
      <c r="C68" s="24" t="s">
        <v>271</v>
      </c>
    </row>
    <row r="69" spans="1:12" s="23" customFormat="1" ht="13.7" customHeight="1">
      <c r="A69" s="32" t="s">
        <v>943</v>
      </c>
      <c r="B69" s="32" t="s">
        <v>46</v>
      </c>
      <c r="C69" s="269">
        <v>12</v>
      </c>
      <c r="D69" s="25" t="s">
        <v>274</v>
      </c>
      <c r="E69" s="25" t="s">
        <v>276</v>
      </c>
      <c r="F69" s="252">
        <v>16</v>
      </c>
      <c r="G69" s="252">
        <v>17</v>
      </c>
      <c r="H69" s="252">
        <v>18</v>
      </c>
      <c r="I69" s="252">
        <v>19</v>
      </c>
      <c r="J69" s="252">
        <v>20</v>
      </c>
      <c r="K69" s="316">
        <f>K47</f>
        <v>21</v>
      </c>
      <c r="L69" s="316">
        <f>L47</f>
        <v>22</v>
      </c>
    </row>
    <row r="70" spans="1:12" ht="13.7" customHeight="1">
      <c r="A70" s="23" t="s">
        <v>944</v>
      </c>
      <c r="B70" s="23" t="s">
        <v>945</v>
      </c>
      <c r="C70" s="173">
        <v>0.497</v>
      </c>
      <c r="D70" s="162">
        <v>0.47499999999999998</v>
      </c>
      <c r="E70" s="173">
        <v>0.44900000000000001</v>
      </c>
      <c r="F70" s="162">
        <v>0.40300000000000002</v>
      </c>
      <c r="G70" s="173">
        <v>0.40100000000000002</v>
      </c>
      <c r="H70" s="173">
        <v>0.40100000000000002</v>
      </c>
      <c r="I70" s="173">
        <v>0.4</v>
      </c>
      <c r="J70" s="173">
        <v>0.4</v>
      </c>
      <c r="K70" s="315">
        <v>0.25149909999999998</v>
      </c>
      <c r="L70" s="315">
        <v>0.20033110000000001</v>
      </c>
    </row>
    <row r="71" spans="1:12" ht="13.7" customHeight="1">
      <c r="A71" s="23" t="s">
        <v>946</v>
      </c>
      <c r="B71" s="23" t="s">
        <v>947</v>
      </c>
      <c r="C71" s="173">
        <v>0.20899999999999999</v>
      </c>
      <c r="D71" s="162">
        <v>0.19800000000000001</v>
      </c>
      <c r="E71" s="173">
        <v>0.20499999999999999</v>
      </c>
      <c r="F71" s="162">
        <v>0.23100000000000001</v>
      </c>
      <c r="G71" s="173">
        <v>0.214</v>
      </c>
      <c r="H71" s="173">
        <v>0.217</v>
      </c>
      <c r="I71" s="173">
        <v>0.21299999999999999</v>
      </c>
      <c r="J71" s="173">
        <v>0.216</v>
      </c>
      <c r="K71" s="315">
        <v>0.30740590000000001</v>
      </c>
      <c r="L71" s="315">
        <v>0.33215640000000002</v>
      </c>
    </row>
    <row r="72" spans="1:12" ht="13.7" customHeight="1">
      <c r="A72" s="23" t="s">
        <v>948</v>
      </c>
      <c r="B72" s="23" t="s">
        <v>949</v>
      </c>
      <c r="C72" s="173">
        <v>0.255</v>
      </c>
      <c r="D72" s="162">
        <v>0.28499999999999998</v>
      </c>
      <c r="E72" s="173">
        <v>0.30499999999999999</v>
      </c>
      <c r="F72" s="162">
        <v>0.32500000000000001</v>
      </c>
      <c r="G72" s="173">
        <v>0.34200000000000003</v>
      </c>
      <c r="H72" s="173">
        <v>0.33900000000000002</v>
      </c>
      <c r="I72" s="173">
        <v>0.34300000000000003</v>
      </c>
      <c r="J72" s="173">
        <v>0.34</v>
      </c>
      <c r="K72" s="315">
        <v>0.39248080000000002</v>
      </c>
      <c r="L72" s="315">
        <v>0.41815020000000003</v>
      </c>
    </row>
    <row r="73" spans="1:12" ht="13.7" customHeight="1">
      <c r="A73" s="23" t="s">
        <v>950</v>
      </c>
      <c r="B73" s="23" t="s">
        <v>951</v>
      </c>
      <c r="C73" s="173">
        <v>-0.09</v>
      </c>
      <c r="D73" s="162">
        <v>-0.11</v>
      </c>
      <c r="E73" s="173">
        <v>-0.106</v>
      </c>
      <c r="F73" s="162">
        <v>-0.08</v>
      </c>
      <c r="G73" s="173">
        <v>-0.1</v>
      </c>
      <c r="H73" s="173">
        <v>-9.8000000000000004E-2</v>
      </c>
      <c r="I73" s="173">
        <v>-0.1</v>
      </c>
      <c r="J73" s="173">
        <v>-9.7000000000000003E-2</v>
      </c>
      <c r="K73" s="315">
        <v>-8.5059999999999997E-3</v>
      </c>
      <c r="L73" s="315">
        <v>1.53004E-2</v>
      </c>
    </row>
    <row r="74" spans="1:12" ht="13.7" customHeight="1">
      <c r="A74" s="23" t="s">
        <v>952</v>
      </c>
      <c r="B74" s="23" t="s">
        <v>953</v>
      </c>
      <c r="C74" s="173">
        <v>4.0000000000000001E-3</v>
      </c>
      <c r="D74" s="162">
        <v>5.0000000000000001E-3</v>
      </c>
      <c r="E74" s="173">
        <v>5.0000000000000001E-3</v>
      </c>
      <c r="F74" s="162">
        <v>3.0000000000000001E-3</v>
      </c>
      <c r="G74" s="173">
        <v>3.0000000000000001E-3</v>
      </c>
      <c r="H74" s="173">
        <v>3.0000000000000001E-3</v>
      </c>
      <c r="I74" s="173">
        <v>3.0000000000000001E-3</v>
      </c>
      <c r="J74" s="173">
        <v>3.0000000000000001E-3</v>
      </c>
      <c r="K74" s="315">
        <v>2.1562999999999999E-3</v>
      </c>
      <c r="L74" s="315">
        <v>2.8747999999999998E-3</v>
      </c>
    </row>
    <row r="75" spans="1:12" ht="13.7" customHeight="1">
      <c r="A75" s="23" t="s">
        <v>954</v>
      </c>
      <c r="B75" s="23" t="s">
        <v>955</v>
      </c>
      <c r="C75" s="173">
        <v>0.1</v>
      </c>
      <c r="D75" s="162">
        <v>-2.5000000000000001E-2</v>
      </c>
      <c r="E75" s="173">
        <v>-4.1000000000000002E-2</v>
      </c>
      <c r="F75" s="162">
        <v>0.109</v>
      </c>
      <c r="G75" s="173">
        <v>-1.7999999999999999E-2</v>
      </c>
      <c r="H75" s="173">
        <v>-1.7999999999999999E-2</v>
      </c>
      <c r="I75" s="173">
        <v>-1.9E-2</v>
      </c>
      <c r="J75" s="173">
        <v>-1.9E-2</v>
      </c>
      <c r="K75" s="315">
        <v>-9.4954700000000003E-2</v>
      </c>
      <c r="L75" s="315">
        <v>-0.1105719</v>
      </c>
    </row>
    <row r="76" spans="1:12" ht="13.7" customHeight="1">
      <c r="A76" s="23" t="s">
        <v>956</v>
      </c>
      <c r="B76" s="23" t="s">
        <v>957</v>
      </c>
      <c r="C76" s="173">
        <v>0.26600000000000001</v>
      </c>
      <c r="D76" s="162">
        <v>0.126</v>
      </c>
      <c r="E76" s="173">
        <v>0.109</v>
      </c>
      <c r="F76" s="162">
        <v>0.251</v>
      </c>
      <c r="G76" s="173">
        <v>0.109</v>
      </c>
      <c r="H76" s="173">
        <v>0.112</v>
      </c>
      <c r="I76" s="173">
        <v>0.107</v>
      </c>
      <c r="J76" s="173">
        <v>0.11</v>
      </c>
      <c r="K76" s="315">
        <v>0.14395740000000001</v>
      </c>
      <c r="L76" s="315">
        <v>0.1360751</v>
      </c>
    </row>
    <row r="77" spans="1:12" ht="13.7" customHeight="1">
      <c r="A77" s="23"/>
      <c r="B77" s="23"/>
      <c r="C77" s="173"/>
      <c r="D77" s="162"/>
      <c r="E77" s="173"/>
      <c r="F77" s="162"/>
      <c r="G77" s="173"/>
      <c r="H77" s="173"/>
      <c r="I77" s="173"/>
      <c r="J77" s="173"/>
      <c r="K77" s="315"/>
      <c r="L77" s="315"/>
    </row>
    <row r="78" spans="1:12" ht="13.7" customHeight="1">
      <c r="A78" s="23"/>
      <c r="B78" s="23"/>
      <c r="C78" s="173"/>
      <c r="D78" s="162"/>
      <c r="E78" s="173"/>
      <c r="F78" s="162"/>
      <c r="G78" s="173"/>
      <c r="H78" s="173"/>
      <c r="I78" s="173"/>
      <c r="J78" s="173"/>
      <c r="K78" s="315"/>
      <c r="L78" s="315"/>
    </row>
    <row r="79" spans="1:12" ht="13.7" customHeight="1">
      <c r="A79" s="23"/>
      <c r="B79" s="23"/>
      <c r="C79" s="173"/>
      <c r="D79" s="162"/>
      <c r="E79" s="173"/>
      <c r="F79" s="162"/>
      <c r="G79" s="173"/>
      <c r="H79" s="173"/>
      <c r="I79" s="173"/>
      <c r="J79" s="173"/>
      <c r="K79" s="315"/>
      <c r="L79" s="315"/>
    </row>
    <row r="80" spans="1:12" ht="13.7" customHeight="1">
      <c r="A80" s="23"/>
      <c r="B80" s="23"/>
      <c r="C80" s="173"/>
      <c r="D80" s="162"/>
      <c r="E80" s="173"/>
      <c r="F80" s="162"/>
      <c r="G80" s="173"/>
      <c r="H80" s="173"/>
      <c r="I80" s="173"/>
      <c r="J80" s="173"/>
      <c r="K80" s="315"/>
      <c r="L80" s="315"/>
    </row>
    <row r="81" spans="1:12" ht="13.7" customHeight="1">
      <c r="A81" s="23"/>
      <c r="B81" s="23"/>
      <c r="C81" s="173"/>
      <c r="D81" s="162"/>
      <c r="E81" s="173"/>
      <c r="F81" s="162"/>
      <c r="G81" s="173"/>
      <c r="H81" s="173"/>
      <c r="I81" s="173"/>
      <c r="J81" s="173"/>
      <c r="K81" s="315"/>
      <c r="L81" s="315"/>
    </row>
    <row r="82" spans="1:12" ht="13.7" customHeight="1">
      <c r="A82" s="23"/>
      <c r="B82" s="23"/>
      <c r="C82" s="173"/>
      <c r="D82" s="162"/>
      <c r="E82" s="173"/>
      <c r="F82" s="162"/>
      <c r="G82" s="173"/>
      <c r="H82" s="173"/>
      <c r="I82" s="173"/>
      <c r="J82" s="173"/>
      <c r="K82" s="315"/>
      <c r="L82" s="315"/>
    </row>
    <row r="83" spans="1:12" ht="13.7" customHeight="1">
      <c r="A83" s="23"/>
      <c r="B83" s="23"/>
      <c r="C83" s="173"/>
      <c r="D83" s="162"/>
      <c r="E83" s="173"/>
      <c r="F83" s="162"/>
      <c r="G83" s="173"/>
      <c r="H83" s="173"/>
      <c r="I83" s="173"/>
      <c r="J83" s="173"/>
      <c r="K83" s="315"/>
      <c r="L83" s="315"/>
    </row>
    <row r="84" spans="1:12" ht="13.7" customHeight="1">
      <c r="A84" s="23"/>
      <c r="B84" s="23"/>
      <c r="C84" s="173"/>
      <c r="D84" s="162"/>
      <c r="E84" s="173"/>
      <c r="F84" s="162"/>
      <c r="G84" s="173"/>
      <c r="H84" s="173"/>
      <c r="I84" s="173"/>
      <c r="J84" s="173"/>
      <c r="K84" s="315"/>
      <c r="L84" s="315"/>
    </row>
    <row r="85" spans="1:12" ht="13.7" customHeight="1">
      <c r="A85" s="23"/>
      <c r="B85" s="23"/>
      <c r="C85" s="173"/>
      <c r="D85" s="162"/>
      <c r="E85" s="173"/>
      <c r="F85" s="162"/>
      <c r="G85" s="173"/>
      <c r="H85" s="173"/>
      <c r="I85" s="173"/>
      <c r="J85" s="173"/>
      <c r="K85" s="315"/>
      <c r="L85" s="315"/>
    </row>
    <row r="86" spans="1:12" ht="13.7" customHeight="1">
      <c r="A86" s="23"/>
      <c r="B86" s="23"/>
      <c r="C86" s="173"/>
      <c r="D86" s="162"/>
      <c r="E86" s="173"/>
      <c r="F86" s="162"/>
      <c r="G86" s="173"/>
      <c r="H86" s="173"/>
      <c r="I86" s="173"/>
      <c r="J86" s="173"/>
      <c r="K86" s="315"/>
      <c r="L86" s="315"/>
    </row>
    <row r="87" spans="1:12" ht="13.7" customHeight="1">
      <c r="A87" s="23"/>
      <c r="B87" s="23"/>
      <c r="C87" s="173"/>
      <c r="D87" s="162"/>
      <c r="E87" s="173"/>
      <c r="F87" s="162"/>
      <c r="G87" s="173"/>
      <c r="H87" s="173"/>
      <c r="I87" s="173"/>
      <c r="J87" s="173"/>
      <c r="K87" s="315"/>
      <c r="L87" s="315"/>
    </row>
    <row r="88" spans="1:12" ht="13.7" customHeight="1">
      <c r="A88" s="23"/>
      <c r="B88" s="23"/>
      <c r="C88" s="173"/>
      <c r="D88" s="162"/>
      <c r="E88" s="173"/>
      <c r="F88" s="162"/>
      <c r="G88" s="173"/>
      <c r="H88" s="173"/>
      <c r="I88" s="173"/>
      <c r="J88" s="173"/>
      <c r="K88" s="315"/>
      <c r="L88" s="315"/>
    </row>
    <row r="89" spans="1:12" ht="13.7" customHeight="1">
      <c r="A89" s="23"/>
      <c r="B89" s="23"/>
      <c r="C89" s="173"/>
      <c r="D89" s="162"/>
      <c r="E89" s="173"/>
      <c r="F89" s="162"/>
      <c r="G89" s="173"/>
      <c r="H89" s="173"/>
      <c r="I89" s="173"/>
      <c r="J89" s="173"/>
      <c r="K89" s="315"/>
      <c r="L89" s="315"/>
    </row>
    <row r="90" spans="1:12" ht="13.7" customHeight="1">
      <c r="A90" s="23"/>
      <c r="B90" s="23"/>
      <c r="C90" s="173"/>
      <c r="D90" s="162"/>
      <c r="E90" s="173"/>
      <c r="F90" s="162"/>
      <c r="G90" s="173"/>
      <c r="H90" s="173"/>
      <c r="I90" s="173"/>
      <c r="J90" s="173"/>
      <c r="K90" s="315"/>
      <c r="L90" s="315"/>
    </row>
    <row r="91" spans="1:12" ht="13.7" customHeight="1">
      <c r="A91" s="23"/>
      <c r="B91" s="23"/>
      <c r="C91" s="173"/>
      <c r="D91" s="162"/>
      <c r="E91" s="173"/>
      <c r="F91" s="162"/>
      <c r="G91" s="173"/>
      <c r="H91" s="173"/>
      <c r="I91" s="173"/>
      <c r="J91" s="173"/>
      <c r="K91" s="315"/>
      <c r="L91" s="315"/>
    </row>
    <row r="92" spans="1:12" ht="13.7" customHeight="1">
      <c r="A92" s="23"/>
      <c r="B92" s="23"/>
      <c r="C92" s="173"/>
      <c r="D92" s="162"/>
      <c r="E92" s="173"/>
      <c r="F92" s="162"/>
      <c r="G92" s="173"/>
      <c r="H92" s="173"/>
      <c r="I92" s="173"/>
      <c r="J92" s="173"/>
      <c r="K92" s="315"/>
      <c r="L92" s="315"/>
    </row>
    <row r="93" spans="1:12" ht="13.7" customHeight="1">
      <c r="A93" s="23"/>
      <c r="B93" s="23"/>
      <c r="C93" s="173"/>
      <c r="D93" s="162"/>
      <c r="E93" s="173"/>
      <c r="F93" s="162"/>
      <c r="G93" s="173"/>
      <c r="H93" s="173"/>
      <c r="I93" s="173"/>
      <c r="J93" s="173"/>
      <c r="K93" s="315"/>
      <c r="L93" s="315"/>
    </row>
    <row r="94" spans="1:12" ht="13.7" customHeight="1">
      <c r="A94" s="23"/>
      <c r="B94" s="23"/>
      <c r="C94" s="173"/>
      <c r="D94" s="162"/>
      <c r="E94" s="173"/>
      <c r="F94" s="162"/>
      <c r="G94" s="173"/>
      <c r="H94" s="173"/>
      <c r="I94" s="173"/>
      <c r="J94" s="173"/>
      <c r="K94" s="315"/>
      <c r="L94" s="315"/>
    </row>
    <row r="95" spans="1:12" ht="13.7" customHeight="1">
      <c r="A95" s="23" t="s">
        <v>970</v>
      </c>
      <c r="B95" s="23" t="s">
        <v>971</v>
      </c>
      <c r="C95" s="173">
        <v>0.57999999999999996</v>
      </c>
      <c r="D95" s="162">
        <v>8.5999999999999993E-2</v>
      </c>
      <c r="E95" s="173">
        <v>0.60799999999999998</v>
      </c>
      <c r="F95" s="162">
        <v>3.347</v>
      </c>
      <c r="G95" s="173">
        <v>3.0750000000000002</v>
      </c>
      <c r="H95" s="173">
        <v>3.1720000000000002</v>
      </c>
      <c r="I95" s="173">
        <v>2.9950000000000001</v>
      </c>
      <c r="J95" s="173">
        <v>3.0950000000000002</v>
      </c>
      <c r="K95" s="315">
        <v>5.6191469999999999</v>
      </c>
      <c r="L95" s="315">
        <v>4.2025620000000004</v>
      </c>
    </row>
    <row r="96" spans="1:12" s="9" customFormat="1" ht="13.7" customHeight="1"/>
    <row r="97" spans="1:12" s="4" customFormat="1" ht="13.7" customHeight="1">
      <c r="A97" s="2" t="s">
        <v>974</v>
      </c>
      <c r="C97" s="5"/>
      <c r="D97" s="5"/>
      <c r="E97" s="5"/>
      <c r="F97" s="6"/>
      <c r="G97" s="6"/>
      <c r="H97" s="5"/>
      <c r="I97" s="5"/>
      <c r="J97" s="5"/>
      <c r="K97" s="5"/>
      <c r="L97" s="5"/>
    </row>
    <row r="99" spans="1:12" ht="13.7" customHeight="1">
      <c r="A99" s="92"/>
      <c r="B99" s="32"/>
      <c r="C99" s="117"/>
    </row>
    <row r="100" spans="1:12" ht="13.7" customHeight="1">
      <c r="B100" s="25"/>
      <c r="C100" s="117"/>
    </row>
    <row r="101" spans="1:12" ht="13.7" customHeight="1">
      <c r="B101" s="180"/>
      <c r="C101" s="117"/>
    </row>
    <row r="102" spans="1:12" ht="13.7" customHeight="1">
      <c r="B102" s="197"/>
      <c r="C102" s="117"/>
    </row>
    <row r="103" spans="1:12" ht="13.7" customHeight="1">
      <c r="C103" s="24" t="s">
        <v>271</v>
      </c>
    </row>
    <row r="104" spans="1:12" s="23" customFormat="1" ht="13.7" customHeight="1">
      <c r="A104" s="24" t="s">
        <v>233</v>
      </c>
      <c r="C104" s="269">
        <v>12</v>
      </c>
      <c r="D104" s="25" t="s">
        <v>274</v>
      </c>
      <c r="E104" s="25" t="s">
        <v>276</v>
      </c>
      <c r="F104" s="252">
        <v>16</v>
      </c>
      <c r="G104" s="252">
        <v>17</v>
      </c>
      <c r="H104" s="252">
        <v>18</v>
      </c>
      <c r="I104" s="252">
        <v>19</v>
      </c>
      <c r="J104" s="252">
        <v>20</v>
      </c>
      <c r="K104" s="316">
        <f>K69</f>
        <v>21</v>
      </c>
      <c r="L104" s="316">
        <f>L69</f>
        <v>22</v>
      </c>
    </row>
    <row r="105" spans="1:12" s="23" customFormat="1" ht="13.7" customHeight="1">
      <c r="A105" s="23" t="s">
        <v>234</v>
      </c>
      <c r="C105" s="173">
        <v>0.51608526706695557</v>
      </c>
      <c r="D105" s="162">
        <v>0.48790135979652405</v>
      </c>
      <c r="E105" s="173">
        <v>0.49257802963256836</v>
      </c>
      <c r="F105" s="162">
        <v>0.52271599999999996</v>
      </c>
      <c r="G105" s="173">
        <v>0.49896839999999998</v>
      </c>
      <c r="H105" s="173">
        <v>0.50886547565460205</v>
      </c>
      <c r="I105" s="173">
        <v>0.49299013614654541</v>
      </c>
      <c r="J105" s="173">
        <v>0.5027318000793457</v>
      </c>
      <c r="K105" s="315">
        <v>0.55131286382675171</v>
      </c>
      <c r="L105" s="315">
        <v>0.56841249999999999</v>
      </c>
    </row>
    <row r="106" spans="1:12" s="23" customFormat="1" ht="13.7" customHeight="1">
      <c r="A106" s="23" t="s">
        <v>236</v>
      </c>
      <c r="C106" s="173">
        <v>0.49650683999061584</v>
      </c>
      <c r="D106" s="162">
        <v>0.56682586669921875</v>
      </c>
      <c r="E106" s="173">
        <v>0.57300770282745361</v>
      </c>
      <c r="F106" s="162">
        <v>0.51328269999999998</v>
      </c>
      <c r="G106" s="173">
        <v>0.59076019999999996</v>
      </c>
      <c r="H106" s="173">
        <v>0.58956915140151978</v>
      </c>
      <c r="I106" s="173">
        <v>0.59145873785018921</v>
      </c>
      <c r="J106" s="173">
        <v>0.59022855758666992</v>
      </c>
      <c r="K106" s="315">
        <v>0.61335223913192749</v>
      </c>
      <c r="L106" s="315">
        <v>0.62169859999999999</v>
      </c>
    </row>
    <row r="107" spans="1:12" s="23" customFormat="1" ht="13.7" customHeight="1">
      <c r="A107" s="23" t="s">
        <v>238</v>
      </c>
      <c r="C107" s="173">
        <v>0.87013590335845947</v>
      </c>
      <c r="D107" s="162">
        <v>0.76173955202102661</v>
      </c>
      <c r="E107" s="173">
        <v>0.7684977650642395</v>
      </c>
      <c r="F107" s="162">
        <v>0.87660769999999999</v>
      </c>
      <c r="G107" s="173">
        <v>0.77030609999999999</v>
      </c>
      <c r="H107" s="173">
        <v>0.76709932088851929</v>
      </c>
      <c r="I107" s="173">
        <v>0.77206915616989136</v>
      </c>
      <c r="J107" s="173">
        <v>0.76873934268951416</v>
      </c>
      <c r="K107" s="315">
        <v>0.76904988288879395</v>
      </c>
      <c r="L107" s="315">
        <v>0.75977629999999996</v>
      </c>
    </row>
    <row r="108" spans="1:12" s="23" customFormat="1" ht="13.7" customHeight="1">
      <c r="A108" s="23" t="s">
        <v>240</v>
      </c>
      <c r="C108" s="173">
        <v>0.64555424451828003</v>
      </c>
      <c r="D108" s="162">
        <v>0.67028641700744629</v>
      </c>
      <c r="E108" s="173">
        <v>0.68108052015304565</v>
      </c>
      <c r="F108" s="162">
        <v>0.66112570000000004</v>
      </c>
      <c r="G108" s="173">
        <v>0.68907399999999996</v>
      </c>
      <c r="H108" s="173">
        <v>0.68809139728546143</v>
      </c>
      <c r="I108" s="173">
        <v>0.68997722864151001</v>
      </c>
      <c r="J108" s="173">
        <v>0.68898516893386841</v>
      </c>
      <c r="K108" s="315">
        <v>0.73784452676773071</v>
      </c>
      <c r="L108" s="315">
        <v>0.74990129999999999</v>
      </c>
    </row>
    <row r="109" spans="1:12" s="23" customFormat="1" ht="13.7" customHeight="1">
      <c r="A109" s="23" t="s">
        <v>242</v>
      </c>
      <c r="C109" s="173">
        <v>0.62816017866134644</v>
      </c>
      <c r="D109" s="162">
        <v>0.69585114717483521</v>
      </c>
      <c r="E109" s="173">
        <v>0.55874145030975342</v>
      </c>
      <c r="F109" s="162">
        <v>0.62531029999999999</v>
      </c>
      <c r="G109" s="173">
        <v>0.67650350000000004</v>
      </c>
      <c r="H109" s="173">
        <v>0.67576849460601807</v>
      </c>
      <c r="I109" s="173">
        <v>0.67716801166534424</v>
      </c>
      <c r="J109" s="173">
        <v>0.67642712593078613</v>
      </c>
      <c r="K109" s="315">
        <v>0.70305085182189941</v>
      </c>
      <c r="L109" s="315">
        <v>0.69819850000000006</v>
      </c>
    </row>
    <row r="110" spans="1:12" s="23" customFormat="1" ht="13.7" customHeight="1">
      <c r="A110" s="23" t="s">
        <v>244</v>
      </c>
      <c r="C110" s="173">
        <v>0.60399055480957031</v>
      </c>
      <c r="D110" s="162">
        <v>0.59687149524688721</v>
      </c>
      <c r="E110" s="173">
        <v>0.48898789286613464</v>
      </c>
      <c r="F110" s="162">
        <v>0.62517739999999999</v>
      </c>
      <c r="G110" s="173">
        <v>0.60313589999999995</v>
      </c>
      <c r="H110" s="173">
        <v>0.60258674621582031</v>
      </c>
      <c r="I110" s="173">
        <v>0.60330164432525635</v>
      </c>
      <c r="J110" s="173">
        <v>0.60278052091598511</v>
      </c>
      <c r="K110" s="315">
        <v>0.63607674837112427</v>
      </c>
      <c r="L110" s="315">
        <v>0.63090349999999995</v>
      </c>
    </row>
    <row r="111" spans="1:12" s="23" customFormat="1" ht="13.7" customHeight="1">
      <c r="A111" s="23" t="s">
        <v>246</v>
      </c>
      <c r="C111" s="173">
        <v>0.63971245288848877</v>
      </c>
      <c r="D111" s="162">
        <v>0.64831298589706421</v>
      </c>
      <c r="E111" s="173">
        <v>0.65881621837615967</v>
      </c>
      <c r="F111" s="162">
        <v>0.65524839999999995</v>
      </c>
      <c r="G111" s="173">
        <v>0.66404810000000003</v>
      </c>
      <c r="H111" s="173">
        <v>0.66362708806991577</v>
      </c>
      <c r="I111" s="173">
        <v>0.66392624378204346</v>
      </c>
      <c r="J111" s="173">
        <v>0.66353648900985718</v>
      </c>
      <c r="K111" s="315">
        <v>0.67941832542419434</v>
      </c>
      <c r="L111" s="315">
        <v>0.67360759999999997</v>
      </c>
    </row>
    <row r="112" spans="1:12" s="23" customFormat="1" ht="13.7" customHeight="1">
      <c r="A112" s="23" t="s">
        <v>248</v>
      </c>
      <c r="C112" s="173">
        <v>0.6492002010345459</v>
      </c>
      <c r="D112" s="162">
        <v>0.65490686893463135</v>
      </c>
      <c r="E112" s="173">
        <v>0.65592700242996216</v>
      </c>
      <c r="F112" s="162">
        <v>0.64938229999999997</v>
      </c>
      <c r="G112" s="173">
        <v>0.65719539999999999</v>
      </c>
      <c r="H112" s="173">
        <v>0.65503162145614624</v>
      </c>
      <c r="I112" s="173">
        <v>0.65813636779785156</v>
      </c>
      <c r="J112" s="173">
        <v>0.65588980913162231</v>
      </c>
      <c r="K112" s="315">
        <v>0.64176028966903687</v>
      </c>
      <c r="L112" s="315">
        <v>0.63486500000000001</v>
      </c>
    </row>
    <row r="113" spans="1:12" s="23" customFormat="1" ht="13.7" customHeight="1">
      <c r="A113" s="23" t="s">
        <v>250</v>
      </c>
      <c r="C113" s="173">
        <v>0.96357804536819458</v>
      </c>
      <c r="D113" s="162">
        <v>0.95819211006164551</v>
      </c>
      <c r="E113" s="173">
        <v>0.96467816829681396</v>
      </c>
      <c r="F113" s="162">
        <v>0.9612096</v>
      </c>
      <c r="G113" s="173">
        <v>0.95702960000000004</v>
      </c>
      <c r="H113" s="173">
        <v>0.95589995384216309</v>
      </c>
      <c r="I113" s="173">
        <v>0.95738017559051514</v>
      </c>
      <c r="J113" s="173">
        <v>0.95624405145645142</v>
      </c>
      <c r="K113" s="315">
        <v>0.94739556312561035</v>
      </c>
      <c r="L113" s="315">
        <v>0.93115000000000003</v>
      </c>
    </row>
    <row r="114" spans="1:12" s="23" customFormat="1" ht="13.7" customHeight="1">
      <c r="A114" s="23" t="s">
        <v>252</v>
      </c>
      <c r="C114" s="173">
        <v>0.76682299375534058</v>
      </c>
      <c r="D114" s="162">
        <v>0.88168680667877197</v>
      </c>
      <c r="E114" s="173">
        <v>0.89788967370986938</v>
      </c>
      <c r="F114" s="162">
        <v>0.77487320000000004</v>
      </c>
      <c r="G114" s="173">
        <v>0.89239139999999995</v>
      </c>
      <c r="H114" s="173">
        <v>0.89254248142242432</v>
      </c>
      <c r="I114" s="173">
        <v>0.892933189868927</v>
      </c>
      <c r="J114" s="173">
        <v>0.8931581974029541</v>
      </c>
      <c r="K114" s="315">
        <v>0.95165556669235229</v>
      </c>
      <c r="L114" s="315">
        <v>0.95151379999999997</v>
      </c>
    </row>
    <row r="115" spans="1:12" s="23" customFormat="1" ht="13.7" customHeight="1">
      <c r="A115" s="23" t="s">
        <v>254</v>
      </c>
      <c r="C115" s="173">
        <v>0.66617941856384277</v>
      </c>
      <c r="D115" s="162">
        <v>0.7435416579246521</v>
      </c>
      <c r="E115" s="173">
        <v>0.74894481897354126</v>
      </c>
      <c r="F115" s="162">
        <v>0.65147849999999996</v>
      </c>
      <c r="G115" s="173">
        <v>0.73439350000000003</v>
      </c>
      <c r="H115" s="173">
        <v>0.73352211713790894</v>
      </c>
      <c r="I115" s="173">
        <v>0.73472082614898682</v>
      </c>
      <c r="J115" s="173">
        <v>0.73384392261505127</v>
      </c>
      <c r="K115" s="315">
        <v>0.74040883779525757</v>
      </c>
      <c r="L115" s="315">
        <v>0.72437960000000001</v>
      </c>
    </row>
    <row r="116" spans="1:12" s="23" customFormat="1" ht="13.7" customHeight="1">
      <c r="A116" s="23" t="s">
        <v>256</v>
      </c>
      <c r="C116" s="173">
        <v>0.80595332384109497</v>
      </c>
      <c r="D116" s="162">
        <v>0.86513692140579224</v>
      </c>
      <c r="E116" s="173">
        <v>0.87835985422134399</v>
      </c>
      <c r="F116" s="162">
        <v>0.81039740000000005</v>
      </c>
      <c r="G116" s="173">
        <v>0.86700310000000003</v>
      </c>
      <c r="H116" s="173">
        <v>0.86488556861877441</v>
      </c>
      <c r="I116" s="173">
        <v>0.86798310279846191</v>
      </c>
      <c r="J116" s="173">
        <v>0.86583393812179565</v>
      </c>
      <c r="K116" s="315">
        <v>0.88385939598083496</v>
      </c>
      <c r="L116" s="315">
        <v>0.87663919999999995</v>
      </c>
    </row>
    <row r="117" spans="1:12" s="23" customFormat="1" ht="13.7" customHeight="1">
      <c r="A117" s="23" t="s">
        <v>258</v>
      </c>
      <c r="C117" s="173">
        <v>0.79973787069320679</v>
      </c>
      <c r="D117" s="162">
        <v>0.93017101287841797</v>
      </c>
      <c r="E117" s="173">
        <v>0.93304836750030518</v>
      </c>
      <c r="F117" s="162">
        <v>0.7791129</v>
      </c>
      <c r="G117" s="173">
        <v>0.91797030000000002</v>
      </c>
      <c r="H117" s="173">
        <v>0.91456699371337891</v>
      </c>
      <c r="I117" s="173">
        <v>0.91924881935119629</v>
      </c>
      <c r="J117" s="173">
        <v>0.91571712493896484</v>
      </c>
      <c r="K117" s="315">
        <v>0.86957544088363647</v>
      </c>
      <c r="L117" s="315">
        <v>0.84465659999999998</v>
      </c>
    </row>
    <row r="118" spans="1:12" s="9" customFormat="1" ht="13.7" customHeight="1"/>
    <row r="119" spans="1:12" s="4" customFormat="1" ht="13.7" customHeight="1">
      <c r="A119" s="2" t="s">
        <v>975</v>
      </c>
      <c r="C119" s="5"/>
      <c r="D119" s="5"/>
      <c r="E119" s="5"/>
      <c r="F119" s="6"/>
      <c r="G119" s="6"/>
      <c r="H119" s="5"/>
      <c r="I119" s="5"/>
      <c r="J119" s="5"/>
      <c r="K119" s="5"/>
      <c r="L119" s="5"/>
    </row>
    <row r="121" spans="1:12" ht="13.7" customHeight="1">
      <c r="A121" s="92"/>
      <c r="B121" s="32"/>
      <c r="C121" s="117"/>
    </row>
    <row r="122" spans="1:12" ht="13.7" customHeight="1">
      <c r="B122" s="25"/>
      <c r="C122" s="117"/>
    </row>
    <row r="123" spans="1:12" ht="13.7" customHeight="1">
      <c r="B123" s="180"/>
      <c r="C123" s="117"/>
    </row>
    <row r="124" spans="1:12" ht="13.7" customHeight="1">
      <c r="B124" s="197"/>
      <c r="C124" s="117"/>
    </row>
    <row r="125" spans="1:12" s="23" customFormat="1" ht="13.7" customHeight="1">
      <c r="C125" s="24" t="s">
        <v>271</v>
      </c>
    </row>
    <row r="126" spans="1:12" s="23" customFormat="1" ht="13.7" customHeight="1">
      <c r="A126" s="32" t="s">
        <v>943</v>
      </c>
      <c r="B126" s="32" t="s">
        <v>46</v>
      </c>
      <c r="C126" s="269">
        <v>12</v>
      </c>
      <c r="D126" s="25" t="s">
        <v>274</v>
      </c>
      <c r="E126" s="25" t="s">
        <v>276</v>
      </c>
      <c r="F126" s="252">
        <v>16</v>
      </c>
      <c r="G126" s="252">
        <v>17</v>
      </c>
      <c r="H126" s="252">
        <v>18</v>
      </c>
      <c r="I126" s="252">
        <v>19</v>
      </c>
      <c r="J126" s="252">
        <v>20</v>
      </c>
      <c r="K126" s="316">
        <f>K104</f>
        <v>21</v>
      </c>
      <c r="L126" s="316">
        <f>L104</f>
        <v>22</v>
      </c>
    </row>
    <row r="127" spans="1:12" ht="13.7" customHeight="1">
      <c r="A127" s="23" t="s">
        <v>944</v>
      </c>
      <c r="B127" s="23" t="s">
        <v>976</v>
      </c>
      <c r="C127" s="173">
        <v>0.40500000000000003</v>
      </c>
      <c r="D127" s="162">
        <v>0.40300000000000002</v>
      </c>
      <c r="E127" s="173">
        <v>0.39500000000000002</v>
      </c>
      <c r="F127" s="162">
        <v>0.375</v>
      </c>
      <c r="G127" s="173">
        <v>0.375</v>
      </c>
      <c r="H127" s="173">
        <v>0.377</v>
      </c>
      <c r="I127" s="173">
        <v>0.375</v>
      </c>
      <c r="J127" s="173">
        <v>0.377</v>
      </c>
      <c r="K127" s="315">
        <v>0.30099999999999999</v>
      </c>
      <c r="L127" s="315">
        <v>0.29974460000000003</v>
      </c>
    </row>
    <row r="128" spans="1:12" ht="13.7" customHeight="1">
      <c r="A128" s="23" t="s">
        <v>946</v>
      </c>
      <c r="B128" s="23" t="s">
        <v>977</v>
      </c>
      <c r="C128" s="173">
        <v>0.20599999999999999</v>
      </c>
      <c r="D128" s="162">
        <v>0.20699999999999999</v>
      </c>
      <c r="E128" s="173">
        <v>0.20799999999999999</v>
      </c>
      <c r="F128" s="162">
        <v>0.223</v>
      </c>
      <c r="G128" s="173">
        <v>0.223</v>
      </c>
      <c r="H128" s="173">
        <v>0.223</v>
      </c>
      <c r="I128" s="173">
        <v>0.223</v>
      </c>
      <c r="J128" s="173">
        <v>0.223</v>
      </c>
      <c r="K128" s="315">
        <v>0.27900000000000003</v>
      </c>
      <c r="L128" s="315">
        <v>0.27871760000000001</v>
      </c>
    </row>
    <row r="129" spans="1:12" ht="13.7" customHeight="1">
      <c r="A129" s="23" t="s">
        <v>948</v>
      </c>
      <c r="B129" s="23" t="s">
        <v>978</v>
      </c>
      <c r="C129" s="173">
        <v>0.35</v>
      </c>
      <c r="D129" s="162">
        <v>0.35099999999999998</v>
      </c>
      <c r="E129" s="173">
        <v>0.35799999999999998</v>
      </c>
      <c r="F129" s="162">
        <v>0.36199999999999999</v>
      </c>
      <c r="G129" s="173">
        <v>0.36199999999999999</v>
      </c>
      <c r="H129" s="173">
        <v>0.36</v>
      </c>
      <c r="I129" s="173">
        <v>0.36199999999999999</v>
      </c>
      <c r="J129" s="173">
        <v>0.36</v>
      </c>
      <c r="K129" s="315">
        <v>0.375</v>
      </c>
      <c r="L129" s="315">
        <v>0.37628840000000002</v>
      </c>
    </row>
    <row r="130" spans="1:12" ht="13.7" customHeight="1">
      <c r="A130" s="23" t="s">
        <v>950</v>
      </c>
      <c r="B130" s="23" t="s">
        <v>951</v>
      </c>
      <c r="C130" s="173">
        <v>-0.11600000000000001</v>
      </c>
      <c r="D130" s="162">
        <v>-0.115</v>
      </c>
      <c r="E130" s="173">
        <v>-0.115</v>
      </c>
      <c r="F130" s="162">
        <v>-0.111</v>
      </c>
      <c r="G130" s="173">
        <v>-0.11</v>
      </c>
      <c r="H130" s="173">
        <v>-0.11</v>
      </c>
      <c r="I130" s="173">
        <v>-0.11</v>
      </c>
      <c r="J130" s="173">
        <v>-0.11</v>
      </c>
      <c r="K130" s="315">
        <v>-8.2000000000000003E-2</v>
      </c>
      <c r="L130" s="315">
        <v>-8.8359400000000005E-2</v>
      </c>
    </row>
    <row r="131" spans="1:12" ht="13.7" customHeight="1">
      <c r="A131" s="23" t="s">
        <v>952</v>
      </c>
      <c r="B131" s="23" t="s">
        <v>953</v>
      </c>
      <c r="C131" s="173">
        <v>6.0000000000000001E-3</v>
      </c>
      <c r="D131" s="162">
        <v>6.0000000000000001E-3</v>
      </c>
      <c r="E131" s="173">
        <v>5.0000000000000001E-3</v>
      </c>
      <c r="F131" s="162">
        <v>5.0000000000000001E-3</v>
      </c>
      <c r="G131" s="173">
        <v>5.0000000000000001E-3</v>
      </c>
      <c r="H131" s="173">
        <v>5.0000000000000001E-3</v>
      </c>
      <c r="I131" s="173">
        <v>5.0000000000000001E-3</v>
      </c>
      <c r="J131" s="173">
        <v>5.0000000000000001E-3</v>
      </c>
      <c r="K131" s="315">
        <v>6.0000000000000001E-3</v>
      </c>
      <c r="L131" s="315">
        <v>7.1596999999999997E-3</v>
      </c>
    </row>
    <row r="132" spans="1:12" ht="13.7" customHeight="1">
      <c r="A132" s="23" t="s">
        <v>954</v>
      </c>
      <c r="B132" s="23" t="s">
        <v>955</v>
      </c>
      <c r="C132" s="173">
        <v>-0.32600000000000001</v>
      </c>
      <c r="D132" s="162">
        <v>-0.52700000000000002</v>
      </c>
      <c r="E132" s="173">
        <v>-0.52700000000000002</v>
      </c>
      <c r="F132" s="162">
        <v>-0.314</v>
      </c>
      <c r="G132" s="173">
        <v>-0.51100000000000001</v>
      </c>
      <c r="H132" s="173">
        <v>-0.48499999999999999</v>
      </c>
      <c r="I132" s="173">
        <v>-0.52400000000000002</v>
      </c>
      <c r="J132" s="173">
        <v>-0.498</v>
      </c>
      <c r="K132" s="315">
        <v>-0.46100000000000002</v>
      </c>
      <c r="L132" s="315">
        <v>-0.44128210000000001</v>
      </c>
    </row>
    <row r="133" spans="1:12" ht="13.7" customHeight="1">
      <c r="A133" s="23" t="s">
        <v>956</v>
      </c>
      <c r="B133" s="23" t="s">
        <v>957</v>
      </c>
      <c r="C133" s="173">
        <v>-0.16400000000000001</v>
      </c>
      <c r="D133" s="162">
        <v>-0.36599999999999999</v>
      </c>
      <c r="E133" s="173">
        <v>-0.36799999999999999</v>
      </c>
      <c r="F133" s="162">
        <v>-0.161</v>
      </c>
      <c r="G133" s="173">
        <v>-0.35899999999999999</v>
      </c>
      <c r="H133" s="173">
        <v>-0.33300000000000002</v>
      </c>
      <c r="I133" s="173">
        <v>-0.372</v>
      </c>
      <c r="J133" s="173">
        <v>-0.34599999999999997</v>
      </c>
      <c r="K133" s="315">
        <v>-0.26500000000000001</v>
      </c>
      <c r="L133" s="315">
        <v>-0.2458669</v>
      </c>
    </row>
    <row r="134" spans="1:12" ht="13.7" customHeight="1">
      <c r="A134" s="23" t="s">
        <v>958</v>
      </c>
      <c r="B134" s="23" t="s">
        <v>236</v>
      </c>
      <c r="C134" s="173">
        <v>-2.8000000000000001E-2</v>
      </c>
      <c r="D134" s="162">
        <v>-0.21299999999999999</v>
      </c>
      <c r="E134" s="173">
        <v>-0.20100000000000001</v>
      </c>
      <c r="F134" s="162">
        <v>-4.7E-2</v>
      </c>
      <c r="G134" s="173">
        <v>-0.22800000000000001</v>
      </c>
      <c r="H134" s="173">
        <v>-0.20300000000000001</v>
      </c>
      <c r="I134" s="173">
        <v>-0.24099999999999999</v>
      </c>
      <c r="J134" s="173">
        <v>-0.216</v>
      </c>
      <c r="K134" s="315">
        <v>-5.7000000000000002E-2</v>
      </c>
      <c r="L134" s="315">
        <v>-8.0066200000000004E-2</v>
      </c>
    </row>
    <row r="135" spans="1:12" ht="13.7" customHeight="1">
      <c r="A135" s="23" t="s">
        <v>959</v>
      </c>
      <c r="B135" s="23" t="s">
        <v>238</v>
      </c>
      <c r="C135" s="173">
        <v>-0.61199999999999999</v>
      </c>
      <c r="D135" s="162">
        <v>-0.51400000000000001</v>
      </c>
      <c r="E135" s="173">
        <v>-0.51200000000000001</v>
      </c>
      <c r="F135" s="162">
        <v>-0.59799999999999998</v>
      </c>
      <c r="G135" s="173">
        <v>-0.49299999999999999</v>
      </c>
      <c r="H135" s="173">
        <v>-0.46800000000000003</v>
      </c>
      <c r="I135" s="173">
        <v>-0.50600000000000001</v>
      </c>
      <c r="J135" s="173">
        <v>-0.48099999999999998</v>
      </c>
      <c r="K135" s="315">
        <v>-0.36599999999999999</v>
      </c>
      <c r="L135" s="315">
        <v>-0.34101599999999999</v>
      </c>
    </row>
    <row r="136" spans="1:12" ht="13.7" customHeight="1">
      <c r="A136" s="23" t="s">
        <v>960</v>
      </c>
      <c r="B136" s="23" t="s">
        <v>240</v>
      </c>
      <c r="C136" s="173">
        <v>-0.35199999999999998</v>
      </c>
      <c r="D136" s="162">
        <v>-0.439</v>
      </c>
      <c r="E136" s="173">
        <v>-0.437</v>
      </c>
      <c r="F136" s="162">
        <v>-0.35599999999999998</v>
      </c>
      <c r="G136" s="173">
        <v>-0.436</v>
      </c>
      <c r="H136" s="173">
        <v>-0.41099999999999998</v>
      </c>
      <c r="I136" s="173">
        <v>-0.44900000000000001</v>
      </c>
      <c r="J136" s="173">
        <v>-0.42399999999999999</v>
      </c>
      <c r="K136" s="315">
        <v>-0.33</v>
      </c>
      <c r="L136" s="315">
        <v>-0.32465660000000002</v>
      </c>
    </row>
    <row r="137" spans="1:12" ht="13.7" customHeight="1">
      <c r="A137" s="23" t="s">
        <v>961</v>
      </c>
      <c r="B137" s="23" t="s">
        <v>242</v>
      </c>
      <c r="C137" s="173">
        <v>-0.25700000000000001</v>
      </c>
      <c r="D137" s="162">
        <v>-0.42699999999999999</v>
      </c>
      <c r="E137" s="173">
        <v>-0.17699999999999999</v>
      </c>
      <c r="F137" s="162">
        <v>-0.23300000000000001</v>
      </c>
      <c r="G137" s="173">
        <v>-0.36799999999999999</v>
      </c>
      <c r="H137" s="173">
        <v>-0.34200000000000003</v>
      </c>
      <c r="I137" s="173">
        <v>-0.38</v>
      </c>
      <c r="J137" s="173">
        <v>-0.35499999999999998</v>
      </c>
      <c r="K137" s="315">
        <v>-0.214</v>
      </c>
      <c r="L137" s="315">
        <v>-0.20551</v>
      </c>
    </row>
    <row r="138" spans="1:12" ht="13.7" customHeight="1">
      <c r="A138" s="23" t="s">
        <v>962</v>
      </c>
      <c r="B138" s="23" t="s">
        <v>244</v>
      </c>
      <c r="C138" s="173">
        <v>-0.441</v>
      </c>
      <c r="D138" s="162">
        <v>-0.48199999999999998</v>
      </c>
      <c r="E138" s="173">
        <v>-0.27</v>
      </c>
      <c r="F138" s="162">
        <v>-0.436</v>
      </c>
      <c r="G138" s="173">
        <v>-0.45300000000000001</v>
      </c>
      <c r="H138" s="173">
        <v>-0.42699999999999999</v>
      </c>
      <c r="I138" s="173">
        <v>-0.46600000000000003</v>
      </c>
      <c r="J138" s="173">
        <v>-0.44</v>
      </c>
      <c r="K138" s="315">
        <v>-0.39500000000000002</v>
      </c>
      <c r="L138" s="315">
        <v>-0.31559219999999999</v>
      </c>
    </row>
    <row r="139" spans="1:12" ht="13.7" customHeight="1">
      <c r="A139" s="23" t="s">
        <v>963</v>
      </c>
      <c r="B139" s="23" t="s">
        <v>246</v>
      </c>
      <c r="C139" s="173">
        <v>-0.53300000000000003</v>
      </c>
      <c r="D139" s="162">
        <v>-0.58199999999999996</v>
      </c>
      <c r="E139" s="173">
        <v>-0.58299999999999996</v>
      </c>
      <c r="F139" s="162">
        <v>-0.54900000000000004</v>
      </c>
      <c r="G139" s="173">
        <v>-0.59099999999999997</v>
      </c>
      <c r="H139" s="173">
        <v>-0.56499999999999995</v>
      </c>
      <c r="I139" s="173">
        <v>-0.60399999999999998</v>
      </c>
      <c r="J139" s="173">
        <v>-0.57799999999999996</v>
      </c>
      <c r="K139" s="315">
        <v>-0.48899999999999999</v>
      </c>
      <c r="L139" s="315">
        <v>-0.45226119999999997</v>
      </c>
    </row>
    <row r="140" spans="1:12" ht="13.7" customHeight="1">
      <c r="A140" s="23" t="s">
        <v>964</v>
      </c>
      <c r="B140" s="23" t="s">
        <v>248</v>
      </c>
      <c r="C140" s="173">
        <v>-0.13700000000000001</v>
      </c>
      <c r="D140" s="162">
        <v>-0.184</v>
      </c>
      <c r="E140" s="173">
        <v>-0.17499999999999999</v>
      </c>
      <c r="F140" s="162">
        <v>-0.14299999999999999</v>
      </c>
      <c r="G140" s="173">
        <v>-0.17199999999999999</v>
      </c>
      <c r="H140" s="173">
        <v>-0.14799999999999999</v>
      </c>
      <c r="I140" s="173">
        <v>-0.185</v>
      </c>
      <c r="J140" s="173">
        <v>-0.161</v>
      </c>
      <c r="K140" s="315">
        <v>-9.9000000000000005E-2</v>
      </c>
      <c r="L140" s="315">
        <v>-0.10609590000000001</v>
      </c>
    </row>
    <row r="141" spans="1:12" ht="13.7" customHeight="1">
      <c r="A141" s="23" t="s">
        <v>965</v>
      </c>
      <c r="B141" s="23" t="s">
        <v>250</v>
      </c>
      <c r="C141" s="173">
        <v>-0.81299999999999994</v>
      </c>
      <c r="D141" s="162">
        <v>-0.84399999999999997</v>
      </c>
      <c r="E141" s="173">
        <v>-0.83799999999999997</v>
      </c>
      <c r="F141" s="162">
        <v>-0.79700000000000004</v>
      </c>
      <c r="G141" s="173">
        <v>-0.82299999999999995</v>
      </c>
      <c r="H141" s="173">
        <v>-0.79700000000000004</v>
      </c>
      <c r="I141" s="173">
        <v>-0.83599999999999997</v>
      </c>
      <c r="J141" s="173">
        <v>-0.81</v>
      </c>
      <c r="K141" s="315">
        <v>-0.69799999999999995</v>
      </c>
      <c r="L141" s="315">
        <v>-0.68509719999999996</v>
      </c>
    </row>
    <row r="142" spans="1:12" ht="13.7" customHeight="1">
      <c r="A142" s="23" t="s">
        <v>966</v>
      </c>
      <c r="B142" s="23" t="s">
        <v>252</v>
      </c>
      <c r="C142" s="173">
        <v>-0.58599999999999997</v>
      </c>
      <c r="D142" s="162">
        <v>-0.78800000000000003</v>
      </c>
      <c r="E142" s="173">
        <v>-0.78700000000000003</v>
      </c>
      <c r="F142" s="162">
        <v>-0.57099999999999995</v>
      </c>
      <c r="G142" s="173">
        <v>-0.76900000000000002</v>
      </c>
      <c r="H142" s="173">
        <v>-0.74299999999999999</v>
      </c>
      <c r="I142" s="173">
        <v>-0.78200000000000003</v>
      </c>
      <c r="J142" s="173">
        <v>-0.75600000000000001</v>
      </c>
      <c r="K142" s="315">
        <v>-0.66100000000000003</v>
      </c>
      <c r="L142" s="315">
        <v>-0.63149599999999995</v>
      </c>
    </row>
    <row r="143" spans="1:12" ht="13.7" customHeight="1">
      <c r="A143" s="23" t="s">
        <v>967</v>
      </c>
      <c r="B143" s="23" t="s">
        <v>254</v>
      </c>
      <c r="C143" s="173">
        <v>-0.307</v>
      </c>
      <c r="D143" s="162">
        <v>-0.46200000000000002</v>
      </c>
      <c r="E143" s="173">
        <v>-0.44900000000000001</v>
      </c>
      <c r="F143" s="162">
        <v>-0.28999999999999998</v>
      </c>
      <c r="G143" s="173">
        <v>-0.44500000000000001</v>
      </c>
      <c r="H143" s="173">
        <v>-0.41899999999999998</v>
      </c>
      <c r="I143" s="173">
        <v>-0.45800000000000002</v>
      </c>
      <c r="J143" s="173">
        <v>-0.432</v>
      </c>
      <c r="K143" s="315">
        <v>-0.375</v>
      </c>
      <c r="L143" s="315">
        <v>-0.3534795</v>
      </c>
    </row>
    <row r="144" spans="1:12" ht="13.7" customHeight="1">
      <c r="A144" s="23" t="s">
        <v>968</v>
      </c>
      <c r="B144" s="23" t="s">
        <v>256</v>
      </c>
      <c r="C144" s="173">
        <v>-0.52800000000000002</v>
      </c>
      <c r="D144" s="162">
        <v>-0.627</v>
      </c>
      <c r="E144" s="173">
        <v>-0.63</v>
      </c>
      <c r="F144" s="162">
        <v>-0.52800000000000002</v>
      </c>
      <c r="G144" s="173">
        <v>-0.62</v>
      </c>
      <c r="H144" s="173">
        <v>-0.59399999999999997</v>
      </c>
      <c r="I144" s="173">
        <v>-0.63300000000000001</v>
      </c>
      <c r="J144" s="173">
        <v>-0.60599999999999998</v>
      </c>
      <c r="K144" s="315">
        <v>-0.57499999999999996</v>
      </c>
      <c r="L144" s="315">
        <v>-0.54677909999999996</v>
      </c>
    </row>
    <row r="145" spans="1:12" ht="13.7" customHeight="1">
      <c r="A145" s="23" t="s">
        <v>969</v>
      </c>
      <c r="B145" s="23" t="s">
        <v>258</v>
      </c>
      <c r="C145" s="173">
        <v>-0.34399999999999997</v>
      </c>
      <c r="D145" s="162">
        <v>-0.53900000000000003</v>
      </c>
      <c r="E145" s="173">
        <v>-0.52600000000000002</v>
      </c>
      <c r="F145" s="162">
        <v>-0.30499999999999999</v>
      </c>
      <c r="G145" s="173">
        <v>-0.497</v>
      </c>
      <c r="H145" s="173">
        <v>-0.47299999999999998</v>
      </c>
      <c r="I145" s="173">
        <v>-0.51</v>
      </c>
      <c r="J145" s="173">
        <v>-0.48599999999999999</v>
      </c>
      <c r="K145" s="315">
        <v>-0.378</v>
      </c>
      <c r="L145" s="315">
        <v>-0.37817210000000001</v>
      </c>
    </row>
    <row r="146" spans="1:12" ht="13.7" customHeight="1">
      <c r="A146" s="23" t="s">
        <v>979</v>
      </c>
      <c r="B146" s="23" t="s">
        <v>980</v>
      </c>
      <c r="C146" s="173">
        <v>-0.85299999999999998</v>
      </c>
      <c r="D146" s="162">
        <v>-0.86</v>
      </c>
      <c r="E146" s="173">
        <v>-0.88700000000000001</v>
      </c>
      <c r="F146" s="162">
        <v>-0.98899999999999999</v>
      </c>
      <c r="G146" s="173">
        <v>-0.97299999999999998</v>
      </c>
      <c r="H146" s="173">
        <v>-0.96099999999999997</v>
      </c>
      <c r="I146" s="173">
        <v>-0.97199999999999998</v>
      </c>
      <c r="J146" s="173">
        <v>-0.96099999999999997</v>
      </c>
      <c r="K146" s="315">
        <v>-0.36</v>
      </c>
      <c r="L146" s="315">
        <v>-0.25503589999999998</v>
      </c>
    </row>
    <row r="147" spans="1:12" ht="13.7" customHeight="1">
      <c r="A147" s="23" t="s">
        <v>981</v>
      </c>
      <c r="B147" s="23" t="s">
        <v>982</v>
      </c>
      <c r="C147" s="173">
        <v>0.27200000000000002</v>
      </c>
      <c r="D147" s="162">
        <v>0.26500000000000001</v>
      </c>
      <c r="E147" s="173">
        <v>0.26100000000000001</v>
      </c>
      <c r="F147" s="162">
        <v>0.30399999999999999</v>
      </c>
      <c r="G147" s="173">
        <v>0.29099999999999998</v>
      </c>
      <c r="H147" s="173">
        <v>0.28799999999999998</v>
      </c>
      <c r="I147" s="173">
        <v>0.29099999999999998</v>
      </c>
      <c r="J147" s="173">
        <v>0.28699999999999998</v>
      </c>
      <c r="K147" s="315">
        <v>0.216</v>
      </c>
      <c r="L147" s="315">
        <v>0.22044730000000001</v>
      </c>
    </row>
    <row r="148" spans="1:12" ht="13.7" customHeight="1">
      <c r="A148" s="23" t="s">
        <v>983</v>
      </c>
      <c r="B148" s="23" t="s">
        <v>984</v>
      </c>
      <c r="C148" s="173">
        <v>0.434</v>
      </c>
      <c r="D148" s="162">
        <v>0.439</v>
      </c>
      <c r="E148" s="173">
        <v>0.45500000000000002</v>
      </c>
      <c r="F148" s="162">
        <v>0.52300000000000002</v>
      </c>
      <c r="G148" s="173">
        <v>0.51200000000000001</v>
      </c>
      <c r="H148" s="173">
        <v>0.504</v>
      </c>
      <c r="I148" s="173">
        <v>0.51100000000000001</v>
      </c>
      <c r="J148" s="173">
        <v>0.503</v>
      </c>
      <c r="K148" s="315">
        <v>-6.0999999999999999E-2</v>
      </c>
      <c r="L148" s="315">
        <v>-0.1326078</v>
      </c>
    </row>
    <row r="149" spans="1:12" ht="13.7" customHeight="1">
      <c r="A149" s="23" t="s">
        <v>985</v>
      </c>
      <c r="B149" s="23" t="s">
        <v>986</v>
      </c>
      <c r="C149" s="173">
        <v>4.5999999999999999E-2</v>
      </c>
      <c r="D149" s="162">
        <v>0.05</v>
      </c>
      <c r="E149" s="173">
        <v>5.1999999999999998E-2</v>
      </c>
      <c r="F149" s="162">
        <v>3.1E-2</v>
      </c>
      <c r="G149" s="173">
        <v>3.6999999999999998E-2</v>
      </c>
      <c r="H149" s="173">
        <v>3.7999999999999999E-2</v>
      </c>
      <c r="I149" s="173">
        <v>3.6999999999999998E-2</v>
      </c>
      <c r="J149" s="173">
        <v>3.7999999999999999E-2</v>
      </c>
      <c r="K149" s="315">
        <v>0.03</v>
      </c>
      <c r="L149" s="315">
        <v>2.4254000000000001E-2</v>
      </c>
    </row>
    <row r="150" spans="1:12" ht="13.7" customHeight="1">
      <c r="A150" s="23" t="s">
        <v>987</v>
      </c>
      <c r="B150" s="23" t="s">
        <v>988</v>
      </c>
      <c r="C150" s="173">
        <v>-0.28799999999999998</v>
      </c>
      <c r="D150" s="162">
        <v>-0.28399999999999997</v>
      </c>
      <c r="E150" s="173">
        <v>-0.27900000000000003</v>
      </c>
      <c r="F150" s="162">
        <v>-0.30499999999999999</v>
      </c>
      <c r="G150" s="173">
        <v>-0.29599999999999999</v>
      </c>
      <c r="H150" s="173">
        <v>-0.29399999999999998</v>
      </c>
      <c r="I150" s="173">
        <v>-0.29599999999999999</v>
      </c>
      <c r="J150" s="173">
        <v>-0.29399999999999998</v>
      </c>
      <c r="K150" s="315">
        <v>-0.20599999999999999</v>
      </c>
      <c r="L150" s="315">
        <v>-0.21365519999999999</v>
      </c>
    </row>
    <row r="151" spans="1:12" ht="13.7" customHeight="1">
      <c r="A151" s="23" t="s">
        <v>989</v>
      </c>
      <c r="B151" s="23" t="s">
        <v>990</v>
      </c>
      <c r="C151" s="173">
        <v>2E-3</v>
      </c>
      <c r="D151" s="162">
        <v>-2E-3</v>
      </c>
      <c r="E151" s="173">
        <v>-1.2E-2</v>
      </c>
      <c r="F151" s="162">
        <v>-0.06</v>
      </c>
      <c r="G151" s="173">
        <v>-5.2999999999999999E-2</v>
      </c>
      <c r="H151" s="173">
        <v>-4.8000000000000001E-2</v>
      </c>
      <c r="I151" s="173">
        <v>-5.2999999999999999E-2</v>
      </c>
      <c r="J151" s="173">
        <v>-4.7E-2</v>
      </c>
      <c r="K151" s="315">
        <v>0.435</v>
      </c>
      <c r="L151" s="315">
        <v>0.48841279999999998</v>
      </c>
    </row>
    <row r="152" spans="1:12" ht="13.7" customHeight="1">
      <c r="A152" s="23" t="s">
        <v>970</v>
      </c>
      <c r="B152" s="23" t="s">
        <v>971</v>
      </c>
      <c r="C152" s="173">
        <v>-1.897</v>
      </c>
      <c r="D152" s="162">
        <v>-1.0409999999999999</v>
      </c>
      <c r="E152" s="173">
        <v>-0.11899999999999999</v>
      </c>
      <c r="F152" s="162">
        <v>-0.48299999999999998</v>
      </c>
      <c r="G152" s="173">
        <v>0.23400000000000001</v>
      </c>
      <c r="H152" s="173">
        <v>0.26900000000000002</v>
      </c>
      <c r="I152" s="173">
        <v>0.186</v>
      </c>
      <c r="J152" s="173">
        <v>0.22</v>
      </c>
      <c r="K152" s="315">
        <v>-0.68300000000000005</v>
      </c>
      <c r="L152" s="315">
        <v>-3.9647060000000001</v>
      </c>
    </row>
    <row r="153" spans="1:12" s="9" customFormat="1" ht="13.7" customHeight="1"/>
    <row r="154" spans="1:12" s="4" customFormat="1" ht="13.7" customHeight="1">
      <c r="A154" s="2" t="s">
        <v>991</v>
      </c>
      <c r="C154" s="5"/>
      <c r="D154" s="5"/>
      <c r="E154" s="5"/>
      <c r="F154" s="6"/>
      <c r="G154" s="6"/>
      <c r="H154" s="5"/>
      <c r="I154" s="5"/>
      <c r="J154" s="5"/>
      <c r="K154" s="5"/>
      <c r="L154" s="5"/>
    </row>
    <row r="156" spans="1:12" ht="13.7" customHeight="1">
      <c r="A156" s="92"/>
      <c r="B156" s="32"/>
      <c r="C156" s="117"/>
    </row>
    <row r="157" spans="1:12" ht="13.7" customHeight="1">
      <c r="B157" s="25"/>
      <c r="C157" s="117"/>
    </row>
    <row r="158" spans="1:12" ht="13.7" customHeight="1">
      <c r="B158" s="180"/>
      <c r="C158" s="117"/>
    </row>
    <row r="159" spans="1:12" ht="13.7" customHeight="1">
      <c r="B159" s="197"/>
      <c r="C159" s="117"/>
    </row>
    <row r="160" spans="1:12" ht="13.7" customHeight="1">
      <c r="C160" s="24" t="s">
        <v>271</v>
      </c>
    </row>
    <row r="161" spans="1:12" s="23" customFormat="1" ht="13.7" customHeight="1">
      <c r="A161" s="24" t="s">
        <v>233</v>
      </c>
      <c r="C161" s="269">
        <v>12</v>
      </c>
      <c r="D161" s="25" t="s">
        <v>274</v>
      </c>
      <c r="E161" s="25" t="s">
        <v>276</v>
      </c>
      <c r="F161" s="252">
        <v>16</v>
      </c>
      <c r="G161" s="252">
        <v>17</v>
      </c>
      <c r="H161" s="252">
        <v>18</v>
      </c>
      <c r="I161" s="252">
        <v>19</v>
      </c>
      <c r="J161" s="252">
        <v>20</v>
      </c>
      <c r="K161" s="316">
        <f>K126</f>
        <v>21</v>
      </c>
      <c r="L161" s="316">
        <f>L126</f>
        <v>22</v>
      </c>
    </row>
    <row r="162" spans="1:12" s="23" customFormat="1" ht="13.7" customHeight="1">
      <c r="A162" s="23" t="s">
        <v>234</v>
      </c>
      <c r="C162" s="173">
        <v>0.44352549188520951</v>
      </c>
      <c r="D162" s="162">
        <v>0.4299871304192398</v>
      </c>
      <c r="E162" s="173">
        <v>0.43257480847288665</v>
      </c>
      <c r="F162" s="162">
        <v>0.45067897501340953</v>
      </c>
      <c r="G162" s="173">
        <v>0.43911233950446971</v>
      </c>
      <c r="H162" s="173">
        <v>0.45067897501340948</v>
      </c>
      <c r="I162" s="173">
        <v>0.43344082381650428</v>
      </c>
      <c r="J162" s="173">
        <v>0.44485806622294111</v>
      </c>
      <c r="K162" s="315">
        <v>0.49735191464424133</v>
      </c>
      <c r="L162" s="315">
        <v>0.50404123438571569</v>
      </c>
    </row>
    <row r="163" spans="1:12" s="23" customFormat="1" ht="13.7" customHeight="1">
      <c r="A163" s="23" t="s">
        <v>236</v>
      </c>
      <c r="C163" s="173">
        <v>0.45611970178563926</v>
      </c>
      <c r="D163" s="162">
        <v>0.53205947541304766</v>
      </c>
      <c r="E163" s="173">
        <v>0.52887667650568249</v>
      </c>
      <c r="F163" s="162">
        <v>0.47236655274101474</v>
      </c>
      <c r="G163" s="173">
        <v>0.55156256586782981</v>
      </c>
      <c r="H163" s="173">
        <v>0.5521144043069306</v>
      </c>
      <c r="I163" s="173">
        <v>0.5515625658678297</v>
      </c>
      <c r="J163" s="173">
        <v>0.5521144043069306</v>
      </c>
      <c r="K163" s="315">
        <v>0.52646714448928833</v>
      </c>
      <c r="L163" s="315">
        <v>0.54605749859486974</v>
      </c>
    </row>
    <row r="164" spans="1:12" s="23" customFormat="1" ht="13.7" customHeight="1">
      <c r="A164" s="23" t="s">
        <v>238</v>
      </c>
      <c r="C164" s="173">
        <v>0.8179124315538594</v>
      </c>
      <c r="D164" s="162">
        <v>0.71892373343192628</v>
      </c>
      <c r="E164" s="173">
        <v>0.72180518743171584</v>
      </c>
      <c r="F164" s="162">
        <v>0.81954989333292549</v>
      </c>
      <c r="G164" s="173">
        <v>0.71892373343192628</v>
      </c>
      <c r="H164" s="173">
        <v>0.71964301674707531</v>
      </c>
      <c r="I164" s="173">
        <v>0.71892373343192617</v>
      </c>
      <c r="J164" s="173">
        <v>0.71964301674707543</v>
      </c>
      <c r="K164" s="315">
        <v>0.71689689159393311</v>
      </c>
      <c r="L164" s="315">
        <v>0.70887136535763018</v>
      </c>
    </row>
    <row r="165" spans="1:12" s="23" customFormat="1" ht="13.7" customHeight="1">
      <c r="A165" s="23" t="s">
        <v>240</v>
      </c>
      <c r="C165" s="173">
        <v>0.6306526773980542</v>
      </c>
      <c r="D165" s="162">
        <v>0.66697681085847438</v>
      </c>
      <c r="E165" s="173">
        <v>0.66965006103793456</v>
      </c>
      <c r="F165" s="162">
        <v>0.64339270657295622</v>
      </c>
      <c r="G165" s="173">
        <v>0.67909109492663688</v>
      </c>
      <c r="H165" s="173">
        <v>0.67977052568032093</v>
      </c>
      <c r="I165" s="173">
        <v>0.67909109492663677</v>
      </c>
      <c r="J165" s="173">
        <v>0.67977052568032104</v>
      </c>
      <c r="K165" s="315">
        <v>0.69194817543029785</v>
      </c>
      <c r="L165" s="315">
        <v>0.69736899759120019</v>
      </c>
    </row>
    <row r="166" spans="1:12" s="23" customFormat="1" ht="13.7" customHeight="1">
      <c r="A166" s="23" t="s">
        <v>242</v>
      </c>
      <c r="C166" s="173">
        <v>0.57349847587571545</v>
      </c>
      <c r="D166" s="162">
        <v>0.65902091994412071</v>
      </c>
      <c r="E166" s="173">
        <v>0.5163347414967544</v>
      </c>
      <c r="F166" s="162">
        <v>0.56892879117912165</v>
      </c>
      <c r="G166" s="173">
        <v>0.63444796794822833</v>
      </c>
      <c r="H166" s="173">
        <v>0.63444796794822811</v>
      </c>
      <c r="I166" s="173">
        <v>0.63381383709854899</v>
      </c>
      <c r="J166" s="173">
        <v>0.63444796794822811</v>
      </c>
      <c r="K166" s="315">
        <v>0.61632496118545532</v>
      </c>
      <c r="L166" s="315">
        <v>0.61903887831906679</v>
      </c>
    </row>
    <row r="167" spans="1:12" s="23" customFormat="1" ht="13.7" customHeight="1">
      <c r="A167" s="23" t="s">
        <v>244</v>
      </c>
      <c r="C167" s="173">
        <v>0.68935424252422239</v>
      </c>
      <c r="D167" s="162">
        <v>0.696282367841771</v>
      </c>
      <c r="E167" s="173">
        <v>0.56665762138222464</v>
      </c>
      <c r="F167" s="162">
        <v>0.69697899846687272</v>
      </c>
      <c r="G167" s="173">
        <v>0.69073433063735479</v>
      </c>
      <c r="H167" s="173">
        <v>0.69073433063735468</v>
      </c>
      <c r="I167" s="173">
        <v>0.69073433063735468</v>
      </c>
      <c r="J167" s="173">
        <v>0.69073433063735457</v>
      </c>
      <c r="K167" s="315">
        <v>0.7383735179901123</v>
      </c>
      <c r="L167" s="315">
        <v>0.6910763287685745</v>
      </c>
    </row>
    <row r="168" spans="1:12" s="23" customFormat="1" ht="13.7" customHeight="1">
      <c r="A168" s="23" t="s">
        <v>246</v>
      </c>
      <c r="C168" s="173">
        <v>0.75578374145572547</v>
      </c>
      <c r="D168" s="162">
        <v>0.76951102370757585</v>
      </c>
      <c r="E168" s="173">
        <v>0.77491649796108086</v>
      </c>
      <c r="F168" s="162">
        <v>0.78035994327803426</v>
      </c>
      <c r="G168" s="173">
        <v>0.79294612330668379</v>
      </c>
      <c r="H168" s="173">
        <v>0.79294612330668346</v>
      </c>
      <c r="I168" s="173">
        <v>0.79294612330668357</v>
      </c>
      <c r="J168" s="173">
        <v>0.79294612330668357</v>
      </c>
      <c r="K168" s="315">
        <v>0.81078439950942993</v>
      </c>
      <c r="L168" s="315">
        <v>0.79228349736383574</v>
      </c>
    </row>
    <row r="169" spans="1:12" s="23" customFormat="1" ht="13.7" customHeight="1">
      <c r="A169" s="23" t="s">
        <v>248</v>
      </c>
      <c r="C169" s="173">
        <v>0.50864751868031377</v>
      </c>
      <c r="D169" s="162">
        <v>0.51685133449169929</v>
      </c>
      <c r="E169" s="173">
        <v>0.51530310399514168</v>
      </c>
      <c r="F169" s="162">
        <v>0.51996176445726172</v>
      </c>
      <c r="G169" s="173">
        <v>0.52152399192015764</v>
      </c>
      <c r="H169" s="173">
        <v>0.5225680836476948</v>
      </c>
      <c r="I169" s="173">
        <v>0.52152399192015753</v>
      </c>
      <c r="J169" s="173">
        <v>0.5225680836476948</v>
      </c>
      <c r="K169" s="315">
        <v>0.54891002178192139</v>
      </c>
      <c r="L169" s="315">
        <v>0.56045781637885561</v>
      </c>
    </row>
    <row r="170" spans="1:12" s="23" customFormat="1" ht="13.7" customHeight="1">
      <c r="A170" s="23" t="s">
        <v>250</v>
      </c>
      <c r="C170" s="173">
        <v>1</v>
      </c>
      <c r="D170" s="162">
        <v>1</v>
      </c>
      <c r="E170" s="173">
        <v>1</v>
      </c>
      <c r="F170" s="162">
        <v>1</v>
      </c>
      <c r="G170" s="173">
        <v>1</v>
      </c>
      <c r="H170" s="173">
        <v>1</v>
      </c>
      <c r="I170" s="173">
        <v>1</v>
      </c>
      <c r="J170" s="173">
        <v>1</v>
      </c>
      <c r="K170" s="315">
        <v>1</v>
      </c>
      <c r="L170" s="315">
        <v>1</v>
      </c>
    </row>
    <row r="171" spans="1:12" s="23" customFormat="1" ht="13.7" customHeight="1">
      <c r="A171" s="23" t="s">
        <v>252</v>
      </c>
      <c r="C171" s="173">
        <v>0.79692078229013963</v>
      </c>
      <c r="D171" s="162">
        <v>0.94553913589039629</v>
      </c>
      <c r="E171" s="173">
        <v>0.95027867053242698</v>
      </c>
      <c r="F171" s="162">
        <v>0.79771810166567425</v>
      </c>
      <c r="G171" s="173">
        <v>0.94743210650179854</v>
      </c>
      <c r="H171" s="173">
        <v>0.94743210650179821</v>
      </c>
      <c r="I171" s="173">
        <v>0.94743210650179832</v>
      </c>
      <c r="J171" s="173">
        <v>0.94743210650179832</v>
      </c>
      <c r="K171" s="315">
        <v>0.96320664882659912</v>
      </c>
      <c r="L171" s="315">
        <v>0.94781001777637075</v>
      </c>
    </row>
    <row r="172" spans="1:12" s="23" customFormat="1" ht="13.7" customHeight="1">
      <c r="A172" s="23" t="s">
        <v>254</v>
      </c>
      <c r="C172" s="173">
        <v>0.60290237150384207</v>
      </c>
      <c r="D172" s="162">
        <v>0.68249505320539017</v>
      </c>
      <c r="E172" s="173">
        <v>0.67773427001397113</v>
      </c>
      <c r="F172" s="162">
        <v>0.60229977048306538</v>
      </c>
      <c r="G172" s="173">
        <v>0.68523050066587043</v>
      </c>
      <c r="H172" s="173">
        <v>0.68523050066587021</v>
      </c>
      <c r="I172" s="173">
        <v>0.68523050066587021</v>
      </c>
      <c r="J172" s="173">
        <v>0.68523050066587021</v>
      </c>
      <c r="K172" s="315">
        <v>0.72356718778610229</v>
      </c>
      <c r="L172" s="315">
        <v>0.71776167069621932</v>
      </c>
    </row>
    <row r="173" spans="1:12" s="23" customFormat="1" ht="13.7" customHeight="1">
      <c r="A173" s="23" t="s">
        <v>256</v>
      </c>
      <c r="C173" s="173">
        <v>0.75201425431938274</v>
      </c>
      <c r="D173" s="162">
        <v>0.80492996930500149</v>
      </c>
      <c r="E173" s="173">
        <v>0.81220703671193906</v>
      </c>
      <c r="F173" s="162">
        <v>0.76414325564819907</v>
      </c>
      <c r="G173" s="173">
        <v>0.81627824142561001</v>
      </c>
      <c r="H173" s="173">
        <v>0.8162782414256099</v>
      </c>
      <c r="I173" s="173">
        <v>0.8162782414256099</v>
      </c>
      <c r="J173" s="173">
        <v>0.8154623711872927</v>
      </c>
      <c r="K173" s="315">
        <v>0.8835480809211731</v>
      </c>
      <c r="L173" s="315">
        <v>0.87082163931947865</v>
      </c>
    </row>
    <row r="174" spans="1:12" s="23" customFormat="1" ht="13.7" customHeight="1">
      <c r="A174" s="23" t="s">
        <v>258</v>
      </c>
      <c r="C174" s="173">
        <v>0.62562758315631073</v>
      </c>
      <c r="D174" s="162">
        <v>0.73712337439162778</v>
      </c>
      <c r="E174" s="173">
        <v>0.73198152822831253</v>
      </c>
      <c r="F174" s="162">
        <v>0.61140236583240859</v>
      </c>
      <c r="G174" s="173">
        <v>0.72180518743171584</v>
      </c>
      <c r="H174" s="173">
        <v>0.72325024237984237</v>
      </c>
      <c r="I174" s="173">
        <v>0.72180518743171584</v>
      </c>
      <c r="J174" s="173">
        <v>0.72325024237984237</v>
      </c>
      <c r="K174" s="315">
        <v>0.72561931610107422</v>
      </c>
      <c r="L174" s="315">
        <v>0.73570570320081652</v>
      </c>
    </row>
    <row r="175" spans="1:12" s="23" customFormat="1" ht="13.7" customHeight="1"/>
    <row r="176" spans="1:12" s="4" customFormat="1" ht="13.7" customHeight="1">
      <c r="A176" s="2" t="s">
        <v>992</v>
      </c>
      <c r="C176" s="5"/>
      <c r="D176" s="5"/>
      <c r="E176" s="5"/>
      <c r="F176" s="6"/>
      <c r="G176" s="6"/>
      <c r="H176" s="5"/>
      <c r="I176" s="5"/>
      <c r="J176" s="5"/>
      <c r="K176" s="5"/>
      <c r="L176" s="5"/>
    </row>
    <row r="178" spans="1:12" ht="13.7" customHeight="1">
      <c r="A178" s="92"/>
      <c r="B178" s="32"/>
      <c r="C178" s="117"/>
    </row>
    <row r="179" spans="1:12" ht="13.7" customHeight="1">
      <c r="B179" s="25"/>
      <c r="C179" s="117"/>
    </row>
    <row r="180" spans="1:12" ht="13.7" customHeight="1">
      <c r="B180" s="180"/>
      <c r="C180" s="117"/>
    </row>
    <row r="181" spans="1:12" ht="13.7" customHeight="1">
      <c r="B181" s="197"/>
      <c r="C181" s="117"/>
    </row>
    <row r="182" spans="1:12" ht="13.7" customHeight="1">
      <c r="C182" s="24" t="s">
        <v>271</v>
      </c>
    </row>
    <row r="183" spans="1:12" s="23" customFormat="1" ht="13.7" customHeight="1">
      <c r="A183" s="24" t="s">
        <v>233</v>
      </c>
      <c r="C183" s="269">
        <v>12</v>
      </c>
      <c r="D183" s="25" t="s">
        <v>274</v>
      </c>
      <c r="E183" s="25" t="s">
        <v>276</v>
      </c>
      <c r="F183" s="252">
        <v>16</v>
      </c>
      <c r="G183" s="252">
        <v>17</v>
      </c>
      <c r="H183" s="252">
        <v>18</v>
      </c>
      <c r="I183" s="252">
        <v>19</v>
      </c>
      <c r="J183" s="252">
        <v>20</v>
      </c>
      <c r="K183" s="316">
        <f>K161</f>
        <v>21</v>
      </c>
      <c r="L183" s="316">
        <f>L161</f>
        <v>22</v>
      </c>
    </row>
    <row r="184" spans="1:12" s="23" customFormat="1" ht="13.7" customHeight="1">
      <c r="A184" s="23" t="s">
        <v>234</v>
      </c>
      <c r="C184" s="174">
        <v>0</v>
      </c>
      <c r="D184" s="42">
        <v>0</v>
      </c>
      <c r="E184" s="174">
        <v>0</v>
      </c>
      <c r="F184" s="42">
        <v>0</v>
      </c>
      <c r="G184" s="174">
        <v>0</v>
      </c>
      <c r="H184" s="174">
        <v>0</v>
      </c>
      <c r="I184" s="174">
        <v>0</v>
      </c>
      <c r="J184" s="174">
        <v>0</v>
      </c>
      <c r="K184" s="317">
        <v>0</v>
      </c>
      <c r="L184" s="317">
        <v>0</v>
      </c>
    </row>
    <row r="185" spans="1:12" s="23" customFormat="1" ht="13.7" customHeight="1">
      <c r="A185" s="23" t="s">
        <v>236</v>
      </c>
      <c r="C185" s="174">
        <v>1</v>
      </c>
      <c r="D185" s="42">
        <v>1</v>
      </c>
      <c r="E185" s="174">
        <v>1</v>
      </c>
      <c r="F185" s="42">
        <v>1</v>
      </c>
      <c r="G185" s="174">
        <v>1</v>
      </c>
      <c r="H185" s="174">
        <v>1</v>
      </c>
      <c r="I185" s="174">
        <v>1</v>
      </c>
      <c r="J185" s="174">
        <v>1</v>
      </c>
      <c r="K185" s="317">
        <v>1</v>
      </c>
      <c r="L185" s="317">
        <v>1</v>
      </c>
    </row>
    <row r="186" spans="1:12" s="23" customFormat="1" ht="13.7" customHeight="1">
      <c r="A186" s="23" t="s">
        <v>238</v>
      </c>
      <c r="C186" s="174">
        <v>1</v>
      </c>
      <c r="D186" s="42">
        <v>1</v>
      </c>
      <c r="E186" s="174">
        <v>1</v>
      </c>
      <c r="F186" s="42">
        <v>1</v>
      </c>
      <c r="G186" s="174">
        <v>1</v>
      </c>
      <c r="H186" s="174">
        <v>1</v>
      </c>
      <c r="I186" s="174">
        <v>1</v>
      </c>
      <c r="J186" s="174">
        <v>1</v>
      </c>
      <c r="K186" s="317">
        <v>1</v>
      </c>
      <c r="L186" s="317">
        <v>1</v>
      </c>
    </row>
    <row r="187" spans="1:12" s="23" customFormat="1" ht="13.7" customHeight="1">
      <c r="A187" s="23" t="s">
        <v>240</v>
      </c>
      <c r="C187" s="174">
        <v>0</v>
      </c>
      <c r="D187" s="42">
        <v>0</v>
      </c>
      <c r="E187" s="174">
        <v>0</v>
      </c>
      <c r="F187" s="42">
        <v>0</v>
      </c>
      <c r="G187" s="174">
        <v>1</v>
      </c>
      <c r="H187" s="174">
        <v>1</v>
      </c>
      <c r="I187" s="174">
        <v>1</v>
      </c>
      <c r="J187" s="174">
        <v>1</v>
      </c>
      <c r="K187" s="317">
        <v>1</v>
      </c>
      <c r="L187" s="317">
        <v>1</v>
      </c>
    </row>
    <row r="188" spans="1:12" s="23" customFormat="1" ht="13.7" customHeight="1">
      <c r="A188" s="23" t="s">
        <v>242</v>
      </c>
      <c r="C188" s="174">
        <v>1</v>
      </c>
      <c r="D188" s="42">
        <v>1</v>
      </c>
      <c r="E188" s="174">
        <v>1</v>
      </c>
      <c r="F188" s="42">
        <v>1</v>
      </c>
      <c r="G188" s="174">
        <v>1</v>
      </c>
      <c r="H188" s="174">
        <v>1</v>
      </c>
      <c r="I188" s="174">
        <v>1</v>
      </c>
      <c r="J188" s="174">
        <v>1</v>
      </c>
      <c r="K188" s="317">
        <v>1</v>
      </c>
      <c r="L188" s="317">
        <v>1</v>
      </c>
    </row>
    <row r="189" spans="1:12" s="23" customFormat="1" ht="13.7" customHeight="1">
      <c r="A189" s="23" t="s">
        <v>244</v>
      </c>
      <c r="C189" s="174">
        <v>0</v>
      </c>
      <c r="D189" s="42">
        <v>0</v>
      </c>
      <c r="E189" s="174">
        <v>0</v>
      </c>
      <c r="F189" s="42">
        <v>0</v>
      </c>
      <c r="G189" s="174">
        <v>0</v>
      </c>
      <c r="H189" s="174">
        <v>0</v>
      </c>
      <c r="I189" s="174">
        <v>0</v>
      </c>
      <c r="J189" s="174">
        <v>0</v>
      </c>
      <c r="K189" s="317">
        <v>0</v>
      </c>
      <c r="L189" s="317">
        <v>0</v>
      </c>
    </row>
    <row r="190" spans="1:12" s="23" customFormat="1" ht="13.7" customHeight="1">
      <c r="A190" s="23" t="s">
        <v>246</v>
      </c>
      <c r="C190" s="174">
        <v>0</v>
      </c>
      <c r="D190" s="42">
        <v>0</v>
      </c>
      <c r="E190" s="174">
        <v>0</v>
      </c>
      <c r="F190" s="42">
        <v>0</v>
      </c>
      <c r="G190" s="174">
        <v>0</v>
      </c>
      <c r="H190" s="174">
        <v>0</v>
      </c>
      <c r="I190" s="174">
        <v>0</v>
      </c>
      <c r="J190" s="174">
        <v>0</v>
      </c>
      <c r="K190" s="317">
        <v>0</v>
      </c>
      <c r="L190" s="317">
        <v>0</v>
      </c>
    </row>
    <row r="191" spans="1:12" s="23" customFormat="1" ht="13.7" customHeight="1">
      <c r="A191" s="23" t="s">
        <v>248</v>
      </c>
      <c r="C191" s="174">
        <v>1</v>
      </c>
      <c r="D191" s="42">
        <v>1</v>
      </c>
      <c r="E191" s="174">
        <v>1</v>
      </c>
      <c r="F191" s="42">
        <v>1</v>
      </c>
      <c r="G191" s="174">
        <v>1</v>
      </c>
      <c r="H191" s="174">
        <v>1</v>
      </c>
      <c r="I191" s="174">
        <v>1</v>
      </c>
      <c r="J191" s="174">
        <v>1</v>
      </c>
      <c r="K191" s="317">
        <v>1</v>
      </c>
      <c r="L191" s="317">
        <v>1</v>
      </c>
    </row>
    <row r="192" spans="1:12" s="23" customFormat="1" ht="13.7" customHeight="1">
      <c r="A192" s="23" t="s">
        <v>250</v>
      </c>
      <c r="C192" s="174">
        <v>0</v>
      </c>
      <c r="D192" s="42">
        <v>0</v>
      </c>
      <c r="E192" s="174">
        <v>0</v>
      </c>
      <c r="F192" s="42">
        <v>0</v>
      </c>
      <c r="G192" s="174">
        <v>0</v>
      </c>
      <c r="H192" s="174">
        <v>0</v>
      </c>
      <c r="I192" s="174">
        <v>0</v>
      </c>
      <c r="J192" s="174">
        <v>0</v>
      </c>
      <c r="K192" s="317">
        <v>0</v>
      </c>
      <c r="L192" s="317">
        <v>0</v>
      </c>
    </row>
    <row r="193" spans="1:12" s="23" customFormat="1" ht="13.7" customHeight="1">
      <c r="A193" s="23" t="s">
        <v>252</v>
      </c>
      <c r="C193" s="174">
        <v>0</v>
      </c>
      <c r="D193" s="42">
        <v>0</v>
      </c>
      <c r="E193" s="174">
        <v>0</v>
      </c>
      <c r="F193" s="42">
        <v>0</v>
      </c>
      <c r="G193" s="174">
        <v>0</v>
      </c>
      <c r="H193" s="174">
        <v>0</v>
      </c>
      <c r="I193" s="174">
        <v>0</v>
      </c>
      <c r="J193" s="174">
        <v>0</v>
      </c>
      <c r="K193" s="317">
        <v>0</v>
      </c>
      <c r="L193" s="317">
        <v>0</v>
      </c>
    </row>
    <row r="194" spans="1:12" s="23" customFormat="1" ht="13.7" customHeight="1">
      <c r="A194" s="23" t="s">
        <v>254</v>
      </c>
      <c r="C194" s="174">
        <v>0</v>
      </c>
      <c r="D194" s="42">
        <v>0</v>
      </c>
      <c r="E194" s="174">
        <v>1</v>
      </c>
      <c r="F194" s="42">
        <v>1</v>
      </c>
      <c r="G194" s="174">
        <v>1</v>
      </c>
      <c r="H194" s="174">
        <v>1</v>
      </c>
      <c r="I194" s="174">
        <v>1</v>
      </c>
      <c r="J194" s="174">
        <v>1</v>
      </c>
      <c r="K194" s="317">
        <v>0.33333333333333331</v>
      </c>
      <c r="L194" s="317">
        <v>0</v>
      </c>
    </row>
    <row r="195" spans="1:12" s="23" customFormat="1" ht="13.7" customHeight="1">
      <c r="A195" s="23" t="s">
        <v>256</v>
      </c>
      <c r="C195" s="174">
        <v>0</v>
      </c>
      <c r="D195" s="42">
        <v>0</v>
      </c>
      <c r="E195" s="174">
        <v>0</v>
      </c>
      <c r="F195" s="42">
        <v>0</v>
      </c>
      <c r="G195" s="174">
        <v>0</v>
      </c>
      <c r="H195" s="174">
        <v>0</v>
      </c>
      <c r="I195" s="174">
        <v>0</v>
      </c>
      <c r="J195" s="174">
        <v>0</v>
      </c>
      <c r="K195" s="317">
        <v>0</v>
      </c>
      <c r="L195" s="317">
        <v>0</v>
      </c>
    </row>
    <row r="196" spans="1:12" s="23" customFormat="1" ht="13.7" customHeight="1">
      <c r="A196" s="23" t="s">
        <v>258</v>
      </c>
      <c r="C196" s="174">
        <v>1</v>
      </c>
      <c r="D196" s="42">
        <v>1</v>
      </c>
      <c r="E196" s="174">
        <v>1</v>
      </c>
      <c r="F196" s="42">
        <v>1</v>
      </c>
      <c r="G196" s="174">
        <v>1</v>
      </c>
      <c r="H196" s="174">
        <v>1</v>
      </c>
      <c r="I196" s="174">
        <v>1</v>
      </c>
      <c r="J196" s="174">
        <v>1</v>
      </c>
      <c r="K196" s="317">
        <v>1</v>
      </c>
      <c r="L196" s="317">
        <v>1</v>
      </c>
    </row>
    <row r="197" spans="1:12" s="152" customFormat="1" ht="15">
      <c r="A197" s="24" t="s">
        <v>993</v>
      </c>
      <c r="C197" s="153">
        <f t="shared" ref="C197:J197" si="0">SUM(C184:C196)</f>
        <v>5</v>
      </c>
      <c r="D197" s="153">
        <f t="shared" si="0"/>
        <v>5</v>
      </c>
      <c r="E197" s="153">
        <f t="shared" si="0"/>
        <v>6</v>
      </c>
      <c r="F197" s="153">
        <f t="shared" si="0"/>
        <v>6</v>
      </c>
      <c r="G197" s="153">
        <f t="shared" si="0"/>
        <v>7</v>
      </c>
      <c r="H197" s="153">
        <f t="shared" si="0"/>
        <v>7</v>
      </c>
      <c r="I197" s="153">
        <f t="shared" si="0"/>
        <v>7</v>
      </c>
      <c r="J197" s="153">
        <f t="shared" si="0"/>
        <v>7</v>
      </c>
      <c r="K197" s="153">
        <f t="shared" ref="K197:L197" si="1">SUM(K184:K196)</f>
        <v>6.333333333333333</v>
      </c>
      <c r="L197" s="153">
        <f t="shared" si="1"/>
        <v>6</v>
      </c>
    </row>
    <row r="198" spans="1:12">
      <c r="C198" s="151"/>
      <c r="D198" s="160"/>
      <c r="E198" s="160"/>
    </row>
    <row r="199" spans="1:12" s="4" customFormat="1" ht="13.7" customHeight="1">
      <c r="A199" s="2" t="s">
        <v>994</v>
      </c>
      <c r="C199" s="5"/>
      <c r="D199" s="5"/>
      <c r="E199" s="5"/>
      <c r="F199" s="6"/>
      <c r="G199" s="6"/>
      <c r="H199" s="5"/>
      <c r="I199" s="5"/>
      <c r="J199" s="5"/>
      <c r="K199" s="5"/>
      <c r="L199" s="5"/>
    </row>
    <row r="201" spans="1:12" ht="13.7" customHeight="1">
      <c r="A201" s="92"/>
      <c r="B201" s="32"/>
      <c r="C201" s="117"/>
    </row>
    <row r="202" spans="1:12" ht="13.7" customHeight="1">
      <c r="B202" s="25"/>
      <c r="C202" s="117"/>
    </row>
    <row r="203" spans="1:12" ht="13.7" customHeight="1">
      <c r="B203" s="180"/>
      <c r="C203" s="117"/>
    </row>
    <row r="204" spans="1:12" ht="13.7" customHeight="1">
      <c r="B204" s="197"/>
      <c r="C204" s="117"/>
    </row>
    <row r="205" spans="1:12" s="23" customFormat="1" ht="13.7" customHeight="1">
      <c r="C205" s="24" t="s">
        <v>271</v>
      </c>
    </row>
    <row r="206" spans="1:12" s="23" customFormat="1" ht="13.7" customHeight="1">
      <c r="A206" s="32" t="s">
        <v>943</v>
      </c>
      <c r="B206" s="32" t="s">
        <v>46</v>
      </c>
      <c r="C206" s="269">
        <v>12</v>
      </c>
      <c r="D206" s="25" t="s">
        <v>274</v>
      </c>
      <c r="E206" s="25" t="s">
        <v>276</v>
      </c>
      <c r="F206" s="252">
        <v>16</v>
      </c>
      <c r="G206" s="252">
        <v>17</v>
      </c>
      <c r="H206" s="252">
        <v>18</v>
      </c>
      <c r="I206" s="252">
        <v>19</v>
      </c>
      <c r="J206" s="252">
        <v>20</v>
      </c>
      <c r="K206" s="316">
        <f>K183</f>
        <v>21</v>
      </c>
      <c r="L206" s="316">
        <f>L183</f>
        <v>22</v>
      </c>
    </row>
    <row r="207" spans="1:12" ht="13.7" customHeight="1">
      <c r="A207" s="23" t="s">
        <v>944</v>
      </c>
      <c r="B207" s="23" t="s">
        <v>976</v>
      </c>
      <c r="C207" s="173">
        <v>0.48099999999999998</v>
      </c>
      <c r="D207" s="162">
        <v>0.49099999999999999</v>
      </c>
      <c r="E207" s="173">
        <v>0.48499999999999999</v>
      </c>
      <c r="F207" s="162">
        <v>0.33400000000000002</v>
      </c>
      <c r="G207" s="173">
        <v>0.34899999999999998</v>
      </c>
      <c r="H207" s="173">
        <v>0.35399999999999998</v>
      </c>
      <c r="I207" s="173">
        <v>0.34699999999999998</v>
      </c>
      <c r="J207" s="173">
        <v>0.35199999999999998</v>
      </c>
      <c r="K207" s="315">
        <v>-0.1837715</v>
      </c>
      <c r="L207" s="315">
        <v>-0.17745250000000001</v>
      </c>
    </row>
    <row r="208" spans="1:12" ht="13.7" customHeight="1">
      <c r="A208" s="23" t="s">
        <v>946</v>
      </c>
      <c r="B208" s="23" t="s">
        <v>977</v>
      </c>
      <c r="C208" s="173">
        <v>0.20200000000000001</v>
      </c>
      <c r="D208" s="162">
        <v>0.184</v>
      </c>
      <c r="E208" s="173">
        <v>0.19400000000000001</v>
      </c>
      <c r="F208" s="162">
        <v>0.24299999999999999</v>
      </c>
      <c r="G208" s="173">
        <v>0.23200000000000001</v>
      </c>
      <c r="H208" s="173">
        <v>0.23</v>
      </c>
      <c r="I208" s="173">
        <v>0.23400000000000001</v>
      </c>
      <c r="J208" s="173">
        <v>0.23100000000000001</v>
      </c>
      <c r="K208" s="315">
        <v>0.56481749999999997</v>
      </c>
      <c r="L208" s="315">
        <v>0.51991129999999997</v>
      </c>
    </row>
    <row r="209" spans="1:12" ht="13.7" customHeight="1">
      <c r="A209" s="23" t="s">
        <v>948</v>
      </c>
      <c r="B209" s="23" t="s">
        <v>978</v>
      </c>
      <c r="C209" s="173">
        <v>0.28999999999999998</v>
      </c>
      <c r="D209" s="162">
        <v>0.29599999999999999</v>
      </c>
      <c r="E209" s="173">
        <v>0.29699999999999999</v>
      </c>
      <c r="F209" s="162">
        <v>0.40200000000000002</v>
      </c>
      <c r="G209" s="173">
        <v>0.40100000000000002</v>
      </c>
      <c r="H209" s="173">
        <v>0.39500000000000002</v>
      </c>
      <c r="I209" s="173">
        <v>0.40300000000000002</v>
      </c>
      <c r="J209" s="173">
        <v>0.39700000000000002</v>
      </c>
      <c r="K209" s="315">
        <v>0.32666460000000003</v>
      </c>
      <c r="L209" s="315">
        <v>0.3871774</v>
      </c>
    </row>
    <row r="210" spans="1:12" ht="13.7" customHeight="1">
      <c r="A210" s="23" t="s">
        <v>950</v>
      </c>
      <c r="B210" s="23" t="s">
        <v>951</v>
      </c>
      <c r="C210" s="173">
        <v>-7.0999999999999994E-2</v>
      </c>
      <c r="D210" s="162">
        <v>-8.5999999999999993E-2</v>
      </c>
      <c r="E210" s="173">
        <v>-7.1999999999999995E-2</v>
      </c>
      <c r="F210" s="162">
        <v>-6.8000000000000005E-2</v>
      </c>
      <c r="G210" s="173">
        <v>-7.4999999999999997E-2</v>
      </c>
      <c r="H210" s="173">
        <v>-7.3999999999999996E-2</v>
      </c>
      <c r="I210" s="173">
        <v>-7.3999999999999996E-2</v>
      </c>
      <c r="J210" s="173">
        <v>-7.3999999999999996E-2</v>
      </c>
      <c r="K210" s="315">
        <v>1.2710600000000001E-2</v>
      </c>
      <c r="L210" s="315">
        <v>4.3214900000000001E-2</v>
      </c>
    </row>
    <row r="211" spans="1:12" ht="13.7" customHeight="1">
      <c r="A211" s="23" t="s">
        <v>952</v>
      </c>
      <c r="B211" s="23" t="s">
        <v>953</v>
      </c>
      <c r="C211" s="173">
        <v>5.0000000000000001E-3</v>
      </c>
      <c r="D211" s="162">
        <v>5.0000000000000001E-3</v>
      </c>
      <c r="E211" s="173">
        <v>5.0000000000000001E-3</v>
      </c>
      <c r="F211" s="162">
        <v>5.0000000000000001E-3</v>
      </c>
      <c r="G211" s="173">
        <v>4.0000000000000001E-3</v>
      </c>
      <c r="H211" s="173">
        <v>4.0000000000000001E-3</v>
      </c>
      <c r="I211" s="173">
        <v>4.0000000000000001E-3</v>
      </c>
      <c r="J211" s="173">
        <v>4.0000000000000001E-3</v>
      </c>
      <c r="K211" s="315">
        <v>7.5811999999999997E-3</v>
      </c>
      <c r="L211" s="315">
        <v>7.4159999999999998E-3</v>
      </c>
    </row>
    <row r="212" spans="1:12" ht="13.7" customHeight="1">
      <c r="A212" s="23" t="s">
        <v>954</v>
      </c>
      <c r="B212" s="23" t="s">
        <v>955</v>
      </c>
      <c r="C212" s="173">
        <v>-2.4E-2</v>
      </c>
      <c r="D212" s="162">
        <v>-0.15</v>
      </c>
      <c r="E212" s="173">
        <v>-0.17100000000000001</v>
      </c>
      <c r="F212" s="162">
        <v>-2.1000000000000001E-2</v>
      </c>
      <c r="G212" s="173">
        <v>-0.14699999999999999</v>
      </c>
      <c r="H212" s="173">
        <v>-0.14699999999999999</v>
      </c>
      <c r="I212" s="173">
        <v>-0.14799999999999999</v>
      </c>
      <c r="J212" s="173">
        <v>-0.14799999999999999</v>
      </c>
      <c r="K212" s="315">
        <v>-0.29595690000000002</v>
      </c>
      <c r="L212" s="315">
        <v>-0.3077936</v>
      </c>
    </row>
    <row r="213" spans="1:12" ht="13.7" customHeight="1">
      <c r="A213" s="23" t="s">
        <v>956</v>
      </c>
      <c r="B213" s="23" t="s">
        <v>957</v>
      </c>
      <c r="C213" s="173">
        <v>0.14199999999999999</v>
      </c>
      <c r="D213" s="162">
        <v>-1.2E-2</v>
      </c>
      <c r="E213" s="173">
        <v>-3.3000000000000002E-2</v>
      </c>
      <c r="F213" s="162">
        <v>9.9000000000000005E-2</v>
      </c>
      <c r="G213" s="173">
        <v>-4.4999999999999998E-2</v>
      </c>
      <c r="H213" s="173">
        <v>-4.1000000000000002E-2</v>
      </c>
      <c r="I213" s="173">
        <v>-4.7E-2</v>
      </c>
      <c r="J213" s="173">
        <v>-4.3999999999999997E-2</v>
      </c>
      <c r="K213" s="315">
        <v>-0.1013472</v>
      </c>
      <c r="L213" s="315">
        <v>-0.19574440000000001</v>
      </c>
    </row>
    <row r="214" spans="1:12" ht="13.7" customHeight="1">
      <c r="A214" s="23"/>
      <c r="B214" s="23"/>
      <c r="C214" s="173"/>
      <c r="D214" s="162"/>
      <c r="E214" s="173"/>
      <c r="F214" s="162"/>
      <c r="G214" s="173"/>
      <c r="H214" s="173"/>
      <c r="I214" s="173"/>
      <c r="J214" s="173"/>
      <c r="K214" s="315"/>
      <c r="L214" s="315"/>
    </row>
    <row r="215" spans="1:12" ht="13.7" customHeight="1">
      <c r="A215" s="23"/>
      <c r="B215" s="23"/>
      <c r="C215" s="173"/>
      <c r="D215" s="162"/>
      <c r="E215" s="173"/>
      <c r="F215" s="162"/>
      <c r="G215" s="173"/>
      <c r="H215" s="173"/>
      <c r="I215" s="173"/>
      <c r="J215" s="173"/>
      <c r="K215" s="315"/>
      <c r="L215" s="315"/>
    </row>
    <row r="216" spans="1:12" ht="13.7" customHeight="1">
      <c r="A216" s="23"/>
      <c r="B216" s="23"/>
      <c r="C216" s="173"/>
      <c r="D216" s="162"/>
      <c r="E216" s="173"/>
      <c r="F216" s="162"/>
      <c r="G216" s="173"/>
      <c r="H216" s="173"/>
      <c r="I216" s="173"/>
      <c r="J216" s="173"/>
      <c r="K216" s="315"/>
      <c r="L216" s="315"/>
    </row>
    <row r="217" spans="1:12" ht="13.7" customHeight="1">
      <c r="A217" s="23"/>
      <c r="B217" s="23"/>
      <c r="C217" s="173"/>
      <c r="D217" s="162"/>
      <c r="E217" s="173"/>
      <c r="F217" s="162"/>
      <c r="G217" s="173"/>
      <c r="H217" s="173"/>
      <c r="I217" s="173"/>
      <c r="J217" s="173"/>
      <c r="K217" s="315"/>
      <c r="L217" s="315"/>
    </row>
    <row r="218" spans="1:12" ht="13.7" customHeight="1">
      <c r="A218" s="23"/>
      <c r="B218" s="23"/>
      <c r="C218" s="173"/>
      <c r="D218" s="162"/>
      <c r="E218" s="173"/>
      <c r="F218" s="162"/>
      <c r="G218" s="173"/>
      <c r="H218" s="173"/>
      <c r="I218" s="173"/>
      <c r="J218" s="173"/>
      <c r="K218" s="315"/>
      <c r="L218" s="315"/>
    </row>
    <row r="219" spans="1:12" ht="13.7" customHeight="1">
      <c r="A219" s="23"/>
      <c r="B219" s="23"/>
      <c r="C219" s="173"/>
      <c r="D219" s="162"/>
      <c r="E219" s="173"/>
      <c r="F219" s="162"/>
      <c r="G219" s="173"/>
      <c r="H219" s="173"/>
      <c r="I219" s="173"/>
      <c r="J219" s="173"/>
      <c r="K219" s="315"/>
      <c r="L219" s="315"/>
    </row>
    <row r="220" spans="1:12" ht="13.7" customHeight="1">
      <c r="A220" s="23"/>
      <c r="B220" s="23"/>
      <c r="C220" s="173"/>
      <c r="D220" s="162"/>
      <c r="E220" s="173"/>
      <c r="F220" s="162"/>
      <c r="G220" s="173"/>
      <c r="H220" s="173"/>
      <c r="I220" s="173"/>
      <c r="J220" s="173"/>
      <c r="K220" s="315"/>
      <c r="L220" s="315"/>
    </row>
    <row r="221" spans="1:12" ht="13.7" customHeight="1">
      <c r="A221" s="23"/>
      <c r="B221" s="23"/>
      <c r="C221" s="173"/>
      <c r="D221" s="162"/>
      <c r="E221" s="173"/>
      <c r="F221" s="162"/>
      <c r="G221" s="173"/>
      <c r="H221" s="173"/>
      <c r="I221" s="173"/>
      <c r="J221" s="173"/>
      <c r="K221" s="315"/>
      <c r="L221" s="315"/>
    </row>
    <row r="222" spans="1:12" ht="13.7" customHeight="1">
      <c r="A222" s="23"/>
      <c r="B222" s="23"/>
      <c r="C222" s="173"/>
      <c r="D222" s="162"/>
      <c r="E222" s="173"/>
      <c r="F222" s="162"/>
      <c r="G222" s="173"/>
      <c r="H222" s="173"/>
      <c r="I222" s="173"/>
      <c r="J222" s="173"/>
      <c r="K222" s="315"/>
      <c r="L222" s="315"/>
    </row>
    <row r="223" spans="1:12" ht="13.7" customHeight="1">
      <c r="A223" s="23"/>
      <c r="B223" s="23"/>
      <c r="C223" s="173"/>
      <c r="D223" s="162"/>
      <c r="E223" s="173"/>
      <c r="F223" s="162"/>
      <c r="G223" s="173"/>
      <c r="H223" s="173"/>
      <c r="I223" s="173"/>
      <c r="J223" s="173"/>
      <c r="K223" s="315"/>
      <c r="L223" s="315"/>
    </row>
    <row r="224" spans="1:12" ht="13.7" customHeight="1">
      <c r="A224" s="23"/>
      <c r="B224" s="23"/>
      <c r="C224" s="173"/>
      <c r="D224" s="162"/>
      <c r="E224" s="173"/>
      <c r="F224" s="162"/>
      <c r="G224" s="173"/>
      <c r="H224" s="173"/>
      <c r="I224" s="173"/>
      <c r="J224" s="173"/>
      <c r="K224" s="315"/>
      <c r="L224" s="315"/>
    </row>
    <row r="225" spans="1:12" ht="13.7" customHeight="1">
      <c r="A225" s="23"/>
      <c r="B225" s="23"/>
      <c r="C225" s="173"/>
      <c r="D225" s="162"/>
      <c r="E225" s="173"/>
      <c r="F225" s="162"/>
      <c r="G225" s="173"/>
      <c r="H225" s="173"/>
      <c r="I225" s="173"/>
      <c r="J225" s="173"/>
      <c r="K225" s="315"/>
      <c r="L225" s="315"/>
    </row>
    <row r="226" spans="1:12" ht="13.7" customHeight="1">
      <c r="A226" s="23" t="s">
        <v>979</v>
      </c>
      <c r="B226" s="23" t="s">
        <v>980</v>
      </c>
      <c r="C226" s="173">
        <v>-0.96499999999999997</v>
      </c>
      <c r="D226" s="162">
        <v>-0.91500000000000004</v>
      </c>
      <c r="E226" s="173">
        <v>-0.88100000000000001</v>
      </c>
      <c r="F226" s="162">
        <v>-1.083</v>
      </c>
      <c r="G226" s="173">
        <v>-0.93300000000000005</v>
      </c>
      <c r="H226" s="173">
        <v>-0.89600000000000002</v>
      </c>
      <c r="I226" s="173">
        <v>-0.93500000000000005</v>
      </c>
      <c r="J226" s="173">
        <v>-0.90100000000000002</v>
      </c>
      <c r="K226" s="315">
        <v>-0.13587589999999999</v>
      </c>
      <c r="L226" s="315">
        <v>-0.38604100000000002</v>
      </c>
    </row>
    <row r="227" spans="1:12" ht="13.7" customHeight="1">
      <c r="A227" s="23" t="s">
        <v>981</v>
      </c>
      <c r="B227" s="23" t="s">
        <v>982</v>
      </c>
      <c r="C227" s="173">
        <v>0.255</v>
      </c>
      <c r="D227" s="162">
        <v>0.20399999999999999</v>
      </c>
      <c r="E227" s="173">
        <v>0.159</v>
      </c>
      <c r="F227" s="162">
        <v>0.34799999999999998</v>
      </c>
      <c r="G227" s="173">
        <v>0.27700000000000002</v>
      </c>
      <c r="H227" s="173">
        <v>0.25800000000000001</v>
      </c>
      <c r="I227" s="173">
        <v>0.27900000000000003</v>
      </c>
      <c r="J227" s="173">
        <v>0.26100000000000001</v>
      </c>
      <c r="K227" s="315">
        <v>0.51253660000000001</v>
      </c>
      <c r="L227" s="315">
        <v>0.68630100000000005</v>
      </c>
    </row>
    <row r="228" spans="1:12" ht="13.7" customHeight="1">
      <c r="A228" s="23" t="s">
        <v>983</v>
      </c>
      <c r="B228" s="23" t="s">
        <v>984</v>
      </c>
      <c r="C228" s="173">
        <v>0.46100000000000002</v>
      </c>
      <c r="D228" s="162">
        <v>0.42499999999999999</v>
      </c>
      <c r="E228" s="173">
        <v>0.39400000000000002</v>
      </c>
      <c r="F228" s="162">
        <v>0.44900000000000001</v>
      </c>
      <c r="G228" s="173">
        <v>0.33400000000000002</v>
      </c>
      <c r="H228" s="173">
        <v>0.32300000000000001</v>
      </c>
      <c r="I228" s="173">
        <v>0.33</v>
      </c>
      <c r="J228" s="173">
        <v>0.32200000000000001</v>
      </c>
      <c r="K228" s="315">
        <v>-1.142361</v>
      </c>
      <c r="L228" s="315">
        <v>-0.99572550000000004</v>
      </c>
    </row>
    <row r="229" spans="1:12" ht="13.7" customHeight="1">
      <c r="A229" s="23" t="s">
        <v>985</v>
      </c>
      <c r="B229" s="23" t="s">
        <v>986</v>
      </c>
      <c r="C229" s="173">
        <v>7.3999999999999996E-2</v>
      </c>
      <c r="D229" s="162">
        <v>0.123</v>
      </c>
      <c r="E229" s="173">
        <v>0.152</v>
      </c>
      <c r="F229" s="162">
        <v>1.0999999999999999E-2</v>
      </c>
      <c r="G229" s="173">
        <v>6.5000000000000002E-2</v>
      </c>
      <c r="H229" s="173">
        <v>7.2999999999999995E-2</v>
      </c>
      <c r="I229" s="173">
        <v>6.7000000000000004E-2</v>
      </c>
      <c r="J229" s="173">
        <v>7.3999999999999996E-2</v>
      </c>
      <c r="K229" s="315">
        <v>0.1005277</v>
      </c>
      <c r="L229" s="315">
        <v>-7.5626000000000001E-3</v>
      </c>
    </row>
    <row r="230" spans="1:12" ht="13.7" customHeight="1">
      <c r="A230" s="23" t="s">
        <v>987</v>
      </c>
      <c r="B230" s="23" t="s">
        <v>988</v>
      </c>
      <c r="C230" s="173">
        <v>-0.28599999999999998</v>
      </c>
      <c r="D230" s="162">
        <v>-0.27600000000000002</v>
      </c>
      <c r="E230" s="173">
        <v>-0.248</v>
      </c>
      <c r="F230" s="162">
        <v>-0.30399999999999999</v>
      </c>
      <c r="G230" s="173">
        <v>-0.27700000000000002</v>
      </c>
      <c r="H230" s="173">
        <v>-0.26900000000000002</v>
      </c>
      <c r="I230" s="173">
        <v>-0.28000000000000003</v>
      </c>
      <c r="J230" s="173">
        <v>-0.27200000000000002</v>
      </c>
      <c r="K230" s="315">
        <v>-0.233597</v>
      </c>
      <c r="L230" s="315">
        <v>-0.26801009999999997</v>
      </c>
    </row>
    <row r="231" spans="1:12" ht="13.7" customHeight="1">
      <c r="A231" s="23" t="s">
        <v>989</v>
      </c>
      <c r="B231" s="23" t="s">
        <v>990</v>
      </c>
      <c r="C231" s="173">
        <v>-2.3E-2</v>
      </c>
      <c r="D231" s="162">
        <v>8.0000000000000002E-3</v>
      </c>
      <c r="E231" s="173">
        <v>3.1E-2</v>
      </c>
      <c r="F231" s="162">
        <v>-2E-3</v>
      </c>
      <c r="G231" s="173">
        <v>8.5999999999999993E-2</v>
      </c>
      <c r="H231" s="173">
        <v>0.09</v>
      </c>
      <c r="I231" s="173">
        <v>8.8999999999999996E-2</v>
      </c>
      <c r="J231" s="173">
        <v>9.1999999999999998E-2</v>
      </c>
      <c r="K231" s="315">
        <v>1.115229</v>
      </c>
      <c r="L231" s="315">
        <v>0.92586409999999997</v>
      </c>
    </row>
    <row r="232" spans="1:12" ht="13.7" customHeight="1">
      <c r="A232" s="23" t="s">
        <v>970</v>
      </c>
      <c r="B232" s="23" t="s">
        <v>971</v>
      </c>
      <c r="C232" s="173">
        <v>-1.2130000000000001</v>
      </c>
      <c r="D232" s="162">
        <v>-1.24</v>
      </c>
      <c r="E232" s="173">
        <v>-6.9000000000000006E-2</v>
      </c>
      <c r="F232" s="162">
        <v>0.54400000000000004</v>
      </c>
      <c r="G232" s="173">
        <v>0.91200000000000003</v>
      </c>
      <c r="H232" s="173">
        <v>1.07</v>
      </c>
      <c r="I232" s="173">
        <v>0.84299999999999997</v>
      </c>
      <c r="J232" s="173">
        <v>0.99399999999999999</v>
      </c>
      <c r="K232" s="315">
        <v>-5.0587910000000003</v>
      </c>
      <c r="L232" s="315">
        <v>-4.6570689999999999</v>
      </c>
    </row>
    <row r="233" spans="1:12" s="9" customFormat="1" ht="13.7" customHeight="1"/>
    <row r="234" spans="1:12" s="4" customFormat="1" ht="13.7" customHeight="1">
      <c r="A234" s="2" t="s">
        <v>995</v>
      </c>
      <c r="C234" s="5"/>
      <c r="D234" s="5"/>
      <c r="E234" s="5"/>
      <c r="F234" s="6"/>
      <c r="G234" s="6"/>
      <c r="H234" s="5"/>
      <c r="I234" s="5"/>
      <c r="J234" s="5"/>
      <c r="K234" s="5"/>
      <c r="L234" s="5"/>
    </row>
    <row r="236" spans="1:12" ht="13.7" customHeight="1">
      <c r="A236" s="92"/>
      <c r="B236" s="32"/>
      <c r="C236" s="117"/>
    </row>
    <row r="237" spans="1:12" ht="13.7" customHeight="1">
      <c r="B237" s="25"/>
      <c r="C237" s="117"/>
    </row>
    <row r="238" spans="1:12" ht="13.7" customHeight="1">
      <c r="B238" s="180"/>
      <c r="C238" s="117"/>
    </row>
    <row r="239" spans="1:12" ht="13.7" customHeight="1">
      <c r="B239" s="197"/>
      <c r="C239" s="117"/>
    </row>
    <row r="240" spans="1:12" ht="13.7" customHeight="1">
      <c r="C240" s="24" t="s">
        <v>271</v>
      </c>
    </row>
    <row r="241" spans="1:12" s="23" customFormat="1" ht="13.7" customHeight="1">
      <c r="A241" s="24" t="s">
        <v>233</v>
      </c>
      <c r="C241" s="269">
        <v>12</v>
      </c>
      <c r="D241" s="25" t="s">
        <v>274</v>
      </c>
      <c r="E241" s="25" t="s">
        <v>276</v>
      </c>
      <c r="F241" s="252">
        <v>16</v>
      </c>
      <c r="G241" s="252">
        <v>17</v>
      </c>
      <c r="H241" s="252">
        <v>18</v>
      </c>
      <c r="I241" s="252">
        <v>19</v>
      </c>
      <c r="J241" s="252">
        <v>20</v>
      </c>
      <c r="K241" s="316">
        <f>K206</f>
        <v>21</v>
      </c>
      <c r="L241" s="316">
        <f>L206</f>
        <v>22</v>
      </c>
    </row>
    <row r="242" spans="1:12" s="23" customFormat="1" ht="13.7" customHeight="1">
      <c r="A242" s="23" t="s">
        <v>234</v>
      </c>
      <c r="C242" s="173">
        <v>0.52313244342803955</v>
      </c>
      <c r="D242" s="162">
        <v>0.51402145624160767</v>
      </c>
      <c r="E242" s="173">
        <v>0.51736730337142944</v>
      </c>
      <c r="F242" s="162">
        <v>0.53586489999999998</v>
      </c>
      <c r="G242" s="173">
        <v>0.51754869999999997</v>
      </c>
      <c r="H242" s="173">
        <v>0.53352397680282593</v>
      </c>
      <c r="I242" s="173">
        <v>0.51065278053283691</v>
      </c>
      <c r="J242" s="173">
        <v>0.52671170234680176</v>
      </c>
      <c r="K242" s="315">
        <v>0.44443851709365845</v>
      </c>
      <c r="L242" s="315">
        <v>0.4851335</v>
      </c>
    </row>
    <row r="243" spans="1:12" s="23" customFormat="1" ht="13.7" customHeight="1">
      <c r="A243" s="23" t="s">
        <v>236</v>
      </c>
      <c r="C243" s="173">
        <v>0.38993659615516663</v>
      </c>
      <c r="D243" s="162">
        <v>0.41907313466072083</v>
      </c>
      <c r="E243" s="173">
        <v>0.40373200178146362</v>
      </c>
      <c r="F243" s="162">
        <v>0.35999490000000001</v>
      </c>
      <c r="G243" s="173">
        <v>0.37887310000000002</v>
      </c>
      <c r="H243" s="173">
        <v>0.38845983147621155</v>
      </c>
      <c r="I243" s="173">
        <v>0.37271377444267273</v>
      </c>
      <c r="J243" s="173">
        <v>0.38293248414993286</v>
      </c>
      <c r="K243" s="315">
        <v>1.6960395500063896E-2</v>
      </c>
      <c r="L243" s="315">
        <v>2.0635799999999999E-2</v>
      </c>
    </row>
    <row r="244" spans="1:12" s="23" customFormat="1" ht="13.7" customHeight="1">
      <c r="A244" s="23" t="s">
        <v>238</v>
      </c>
      <c r="C244" s="173">
        <v>0.89839309453964233</v>
      </c>
      <c r="D244" s="162">
        <v>0.82006168365478516</v>
      </c>
      <c r="E244" s="173">
        <v>0.81965577602386475</v>
      </c>
      <c r="F244" s="162">
        <v>0.86708589999999997</v>
      </c>
      <c r="G244" s="173">
        <v>0.76684079999999999</v>
      </c>
      <c r="H244" s="173">
        <v>0.77360081672668457</v>
      </c>
      <c r="I244" s="173">
        <v>0.76513832807540894</v>
      </c>
      <c r="J244" s="173">
        <v>0.77221041917800903</v>
      </c>
      <c r="K244" s="315">
        <v>0.23170889914035797</v>
      </c>
      <c r="L244" s="315">
        <v>0.24</v>
      </c>
    </row>
    <row r="245" spans="1:12" s="23" customFormat="1" ht="13.7" customHeight="1">
      <c r="A245" s="23" t="s">
        <v>240</v>
      </c>
      <c r="C245" s="173">
        <v>0.59973865747451782</v>
      </c>
      <c r="D245" s="162">
        <v>0.60680502653121948</v>
      </c>
      <c r="E245" s="173">
        <v>0.60366916656494141</v>
      </c>
      <c r="F245" s="162">
        <v>0.59131849999999997</v>
      </c>
      <c r="G245" s="173">
        <v>0.58664799999999995</v>
      </c>
      <c r="H245" s="173">
        <v>0.59281909465789795</v>
      </c>
      <c r="I245" s="173">
        <v>0.58186227083206177</v>
      </c>
      <c r="J245" s="173">
        <v>0.58870923519134521</v>
      </c>
      <c r="K245" s="315">
        <v>9.2462614178657532E-2</v>
      </c>
      <c r="L245" s="315">
        <v>0.10772180000000001</v>
      </c>
    </row>
    <row r="246" spans="1:12" s="23" customFormat="1" ht="13.7" customHeight="1">
      <c r="A246" s="23" t="s">
        <v>242</v>
      </c>
      <c r="C246" s="173">
        <v>0.51948195695877075</v>
      </c>
      <c r="D246" s="162">
        <v>0.54904431104660034</v>
      </c>
      <c r="E246" s="173">
        <v>0.42569312453269958</v>
      </c>
      <c r="F246" s="162">
        <v>0.48227039999999999</v>
      </c>
      <c r="G246" s="173">
        <v>0.48639850000000001</v>
      </c>
      <c r="H246" s="173">
        <v>0.49445080757141113</v>
      </c>
      <c r="I246" s="173">
        <v>0.48074665665626526</v>
      </c>
      <c r="J246" s="173">
        <v>0.48943057656288147</v>
      </c>
      <c r="K246" s="315">
        <v>4.7788333147764206E-2</v>
      </c>
      <c r="L246" s="315">
        <v>5.6765200000000002E-2</v>
      </c>
    </row>
    <row r="247" spans="1:12" s="23" customFormat="1" ht="13.7" customHeight="1">
      <c r="A247" s="23" t="s">
        <v>244</v>
      </c>
      <c r="C247" s="173">
        <v>0.68934619426727295</v>
      </c>
      <c r="D247" s="162">
        <v>0.72772175073623657</v>
      </c>
      <c r="E247" s="173">
        <v>0.62899166345596313</v>
      </c>
      <c r="F247" s="162">
        <v>0.69979530000000001</v>
      </c>
      <c r="G247" s="173">
        <v>0.72024270000000001</v>
      </c>
      <c r="H247" s="173">
        <v>0.72100049257278442</v>
      </c>
      <c r="I247" s="173">
        <v>0.72257399559020996</v>
      </c>
      <c r="J247" s="173">
        <v>0.72277349233627319</v>
      </c>
      <c r="K247" s="315">
        <v>0.75227755308151245</v>
      </c>
      <c r="L247" s="315">
        <v>0.70653889999999997</v>
      </c>
    </row>
    <row r="248" spans="1:12" s="23" customFormat="1" ht="13.7" customHeight="1">
      <c r="A248" s="23" t="s">
        <v>246</v>
      </c>
      <c r="C248" s="173">
        <v>0.75573617219924927</v>
      </c>
      <c r="D248" s="162">
        <v>0.81587070226669312</v>
      </c>
      <c r="E248" s="173">
        <v>0.86020702123641968</v>
      </c>
      <c r="F248" s="162">
        <v>0.75434270000000003</v>
      </c>
      <c r="G248" s="173">
        <v>0.80858989999999997</v>
      </c>
      <c r="H248" s="173">
        <v>0.80735939741134644</v>
      </c>
      <c r="I248" s="173">
        <v>0.81249570846557617</v>
      </c>
      <c r="J248" s="173">
        <v>0.81042790412902832</v>
      </c>
      <c r="K248" s="315">
        <v>0.95976245403289795</v>
      </c>
      <c r="L248" s="315">
        <v>0.95310039999999996</v>
      </c>
    </row>
    <row r="249" spans="1:12" s="23" customFormat="1" ht="13.7" customHeight="1">
      <c r="A249" s="23" t="s">
        <v>248</v>
      </c>
      <c r="C249" s="173">
        <v>0.55421555042266846</v>
      </c>
      <c r="D249" s="162">
        <v>0.5799328088760376</v>
      </c>
      <c r="E249" s="173">
        <v>0.57485449314117432</v>
      </c>
      <c r="F249" s="162">
        <v>0.53634999999999999</v>
      </c>
      <c r="G249" s="173">
        <v>0.54817959999999999</v>
      </c>
      <c r="H249" s="173">
        <v>0.55287981033325195</v>
      </c>
      <c r="I249" s="173">
        <v>0.54676675796508789</v>
      </c>
      <c r="J249" s="173">
        <v>0.55154317617416382</v>
      </c>
      <c r="K249" s="315">
        <v>0.25330263376235962</v>
      </c>
      <c r="L249" s="315">
        <v>0.26735530000000002</v>
      </c>
    </row>
    <row r="250" spans="1:12" s="23" customFormat="1" ht="13.7" customHeight="1">
      <c r="A250" s="23" t="s">
        <v>250</v>
      </c>
      <c r="C250" s="173">
        <v>0.9500046968460083</v>
      </c>
      <c r="D250" s="162">
        <v>0.95005571842193604</v>
      </c>
      <c r="E250" s="173">
        <v>0.95262962579727173</v>
      </c>
      <c r="F250" s="162">
        <v>0.94812759999999996</v>
      </c>
      <c r="G250" s="173">
        <v>0.93431169999999997</v>
      </c>
      <c r="H250" s="173">
        <v>0.93372368812561035</v>
      </c>
      <c r="I250" s="173">
        <v>0.93398356437683105</v>
      </c>
      <c r="J250" s="173">
        <v>0.93340015411376953</v>
      </c>
      <c r="K250" s="315">
        <v>0.55027127265930176</v>
      </c>
      <c r="L250" s="315">
        <v>0.60036769999999995</v>
      </c>
    </row>
    <row r="251" spans="1:12" s="23" customFormat="1" ht="13.7" customHeight="1">
      <c r="A251" s="23" t="s">
        <v>252</v>
      </c>
      <c r="C251" s="173">
        <v>0.77973455190658569</v>
      </c>
      <c r="D251" s="162">
        <v>0.9081883430480957</v>
      </c>
      <c r="E251" s="173">
        <v>0.93313425779342651</v>
      </c>
      <c r="F251" s="162">
        <v>0.78076619999999997</v>
      </c>
      <c r="G251" s="173">
        <v>0.90224179999999998</v>
      </c>
      <c r="H251" s="173">
        <v>0.90344703197479248</v>
      </c>
      <c r="I251" s="173">
        <v>0.90180283784866333</v>
      </c>
      <c r="J251" s="173">
        <v>0.90303361415863037</v>
      </c>
      <c r="K251" s="315">
        <v>0.50356125831604004</v>
      </c>
      <c r="L251" s="315">
        <v>0.55845089999999997</v>
      </c>
    </row>
    <row r="252" spans="1:12" s="23" customFormat="1" ht="13.7" customHeight="1">
      <c r="A252" s="23" t="s">
        <v>254</v>
      </c>
      <c r="C252" s="173">
        <v>0.59397321939468384</v>
      </c>
      <c r="D252" s="162">
        <v>0.66490530967712402</v>
      </c>
      <c r="E252" s="173">
        <v>0.65507429838180542</v>
      </c>
      <c r="F252" s="162">
        <v>0.5799569</v>
      </c>
      <c r="G252" s="173">
        <v>0.64371330000000004</v>
      </c>
      <c r="H252" s="173">
        <v>0.64462655782699585</v>
      </c>
      <c r="I252" s="173">
        <v>0.64283227920532227</v>
      </c>
      <c r="J252" s="173">
        <v>0.64380288124084473</v>
      </c>
      <c r="K252" s="315">
        <v>0.36380600929260254</v>
      </c>
      <c r="L252" s="315">
        <v>0.4070222</v>
      </c>
    </row>
    <row r="253" spans="1:12" s="23" customFormat="1" ht="13.7" customHeight="1">
      <c r="A253" s="23" t="s">
        <v>256</v>
      </c>
      <c r="C253" s="173">
        <v>0.83282804489135742</v>
      </c>
      <c r="D253" s="162">
        <v>0.92350560426712036</v>
      </c>
      <c r="E253" s="173">
        <v>0.93568634986877441</v>
      </c>
      <c r="F253" s="162">
        <v>0.87289070000000002</v>
      </c>
      <c r="G253" s="173">
        <v>0.94250820000000002</v>
      </c>
      <c r="H253" s="173">
        <v>0.93806427717208862</v>
      </c>
      <c r="I253" s="173">
        <v>0.94446277618408203</v>
      </c>
      <c r="J253" s="173">
        <v>0.94007182121276855</v>
      </c>
      <c r="K253" s="315">
        <v>0.96456140279769897</v>
      </c>
      <c r="L253" s="315">
        <v>0.96778339999999996</v>
      </c>
    </row>
    <row r="254" spans="1:12" s="23" customFormat="1" ht="13.7" customHeight="1">
      <c r="A254" s="23" t="s">
        <v>258</v>
      </c>
      <c r="C254" s="173">
        <v>0.63391780853271484</v>
      </c>
      <c r="D254" s="162">
        <v>0.74067676067352295</v>
      </c>
      <c r="E254" s="173">
        <v>0.72041183710098267</v>
      </c>
      <c r="F254" s="162">
        <v>0.58188949999999995</v>
      </c>
      <c r="G254" s="173">
        <v>0.66802589999999995</v>
      </c>
      <c r="H254" s="173">
        <v>0.67743015289306641</v>
      </c>
      <c r="I254" s="173">
        <v>0.66337406635284424</v>
      </c>
      <c r="J254" s="173">
        <v>0.6732143759727478</v>
      </c>
      <c r="K254" s="315">
        <v>0.12866112589836121</v>
      </c>
      <c r="L254" s="315">
        <v>0.13949839999999999</v>
      </c>
    </row>
    <row r="256" spans="1:12" s="4" customFormat="1" ht="13.7" customHeight="1">
      <c r="A256" s="2" t="s">
        <v>996</v>
      </c>
      <c r="C256" s="5"/>
      <c r="D256" s="5"/>
      <c r="E256" s="5"/>
      <c r="F256" s="6"/>
      <c r="G256" s="6"/>
      <c r="H256" s="5"/>
      <c r="I256" s="5"/>
      <c r="J256" s="5"/>
      <c r="K256" s="5"/>
      <c r="L256" s="5"/>
    </row>
    <row r="258" spans="1:12" ht="13.7" customHeight="1">
      <c r="A258" s="92"/>
      <c r="B258" s="32"/>
      <c r="C258" s="117"/>
    </row>
    <row r="259" spans="1:12" ht="13.7" customHeight="1">
      <c r="B259" s="25"/>
      <c r="C259" s="117"/>
    </row>
    <row r="260" spans="1:12" ht="13.7" customHeight="1">
      <c r="B260" s="180"/>
      <c r="C260" s="117"/>
    </row>
    <row r="261" spans="1:12" ht="13.7" customHeight="1">
      <c r="B261" s="197"/>
      <c r="C261" s="117"/>
    </row>
    <row r="262" spans="1:12" ht="13.7" customHeight="1">
      <c r="C262" s="24" t="s">
        <v>271</v>
      </c>
    </row>
    <row r="263" spans="1:12" s="23" customFormat="1" ht="13.7" customHeight="1">
      <c r="A263" s="24" t="s">
        <v>233</v>
      </c>
      <c r="C263" s="269">
        <v>12</v>
      </c>
      <c r="D263" s="25" t="s">
        <v>274</v>
      </c>
      <c r="E263" s="25" t="s">
        <v>276</v>
      </c>
      <c r="F263" s="252">
        <v>16</v>
      </c>
      <c r="G263" s="252">
        <v>17</v>
      </c>
      <c r="H263" s="252">
        <v>18</v>
      </c>
      <c r="I263" s="252">
        <v>19</v>
      </c>
      <c r="J263" s="252">
        <v>20</v>
      </c>
      <c r="K263" s="316">
        <f>K241</f>
        <v>21</v>
      </c>
      <c r="L263" s="316">
        <f>L241</f>
        <v>22</v>
      </c>
    </row>
    <row r="264" spans="1:12" s="23" customFormat="1" ht="13.7" customHeight="1">
      <c r="A264" s="23" t="s">
        <v>234</v>
      </c>
      <c r="C264" s="174">
        <v>0</v>
      </c>
      <c r="D264" s="42">
        <v>0</v>
      </c>
      <c r="E264" s="174">
        <v>0</v>
      </c>
      <c r="F264" s="42">
        <v>1</v>
      </c>
      <c r="G264" s="174">
        <v>1</v>
      </c>
      <c r="H264" s="174">
        <v>0</v>
      </c>
      <c r="I264" s="174">
        <v>1</v>
      </c>
      <c r="J264" s="174">
        <v>0</v>
      </c>
      <c r="K264" s="317">
        <v>1</v>
      </c>
      <c r="L264" s="317">
        <v>1</v>
      </c>
    </row>
    <row r="265" spans="1:12" s="23" customFormat="1" ht="13.7" customHeight="1">
      <c r="A265" s="23" t="s">
        <v>236</v>
      </c>
      <c r="C265" s="174">
        <v>1</v>
      </c>
      <c r="D265" s="42">
        <v>1</v>
      </c>
      <c r="E265" s="174">
        <v>1</v>
      </c>
      <c r="F265" s="42">
        <v>1</v>
      </c>
      <c r="G265" s="174">
        <v>1</v>
      </c>
      <c r="H265" s="174">
        <v>1</v>
      </c>
      <c r="I265" s="174">
        <v>1</v>
      </c>
      <c r="J265" s="174">
        <v>1</v>
      </c>
      <c r="K265" s="317">
        <v>1</v>
      </c>
      <c r="L265" s="317">
        <v>1</v>
      </c>
    </row>
    <row r="266" spans="1:12" s="23" customFormat="1" ht="13.7" customHeight="1">
      <c r="A266" s="23" t="s">
        <v>238</v>
      </c>
      <c r="C266" s="174">
        <v>1</v>
      </c>
      <c r="D266" s="42">
        <v>1</v>
      </c>
      <c r="E266" s="174">
        <v>1</v>
      </c>
      <c r="F266" s="42">
        <v>1</v>
      </c>
      <c r="G266" s="174">
        <v>1</v>
      </c>
      <c r="H266" s="174">
        <v>1</v>
      </c>
      <c r="I266" s="174">
        <v>1</v>
      </c>
      <c r="J266" s="174">
        <v>1</v>
      </c>
      <c r="K266" s="317">
        <v>1</v>
      </c>
      <c r="L266" s="317">
        <v>1</v>
      </c>
    </row>
    <row r="267" spans="1:12" s="23" customFormat="1" ht="13.7" customHeight="1">
      <c r="A267" s="23" t="s">
        <v>240</v>
      </c>
      <c r="C267" s="174">
        <v>1</v>
      </c>
      <c r="D267" s="42">
        <v>1</v>
      </c>
      <c r="E267" s="174">
        <v>1</v>
      </c>
      <c r="F267" s="42">
        <v>1</v>
      </c>
      <c r="G267" s="174">
        <v>1</v>
      </c>
      <c r="H267" s="174">
        <v>1</v>
      </c>
      <c r="I267" s="174">
        <v>1</v>
      </c>
      <c r="J267" s="174">
        <v>1</v>
      </c>
      <c r="K267" s="317">
        <v>1</v>
      </c>
      <c r="L267" s="317">
        <v>1</v>
      </c>
    </row>
    <row r="268" spans="1:12" s="23" customFormat="1" ht="13.7" customHeight="1">
      <c r="A268" s="23" t="s">
        <v>242</v>
      </c>
      <c r="C268" s="174">
        <v>1</v>
      </c>
      <c r="D268" s="42">
        <v>1</v>
      </c>
      <c r="E268" s="174">
        <v>1</v>
      </c>
      <c r="F268" s="42">
        <v>1</v>
      </c>
      <c r="G268" s="174">
        <v>1</v>
      </c>
      <c r="H268" s="174">
        <v>1</v>
      </c>
      <c r="I268" s="174">
        <v>1</v>
      </c>
      <c r="J268" s="174">
        <v>1</v>
      </c>
      <c r="K268" s="317">
        <v>1</v>
      </c>
      <c r="L268" s="317">
        <v>1</v>
      </c>
    </row>
    <row r="269" spans="1:12" s="23" customFormat="1" ht="13.7" customHeight="1">
      <c r="A269" s="23" t="s">
        <v>244</v>
      </c>
      <c r="C269" s="174">
        <v>0</v>
      </c>
      <c r="D269" s="42">
        <v>0</v>
      </c>
      <c r="E269" s="174">
        <v>0</v>
      </c>
      <c r="F269" s="42">
        <v>0</v>
      </c>
      <c r="G269" s="174">
        <v>0</v>
      </c>
      <c r="H269" s="174">
        <v>0</v>
      </c>
      <c r="I269" s="174">
        <v>0</v>
      </c>
      <c r="J269" s="174">
        <v>0</v>
      </c>
      <c r="K269" s="317">
        <v>1</v>
      </c>
      <c r="L269" s="317">
        <v>1</v>
      </c>
    </row>
    <row r="270" spans="1:12" s="23" customFormat="1" ht="13.7" customHeight="1">
      <c r="A270" s="23" t="s">
        <v>246</v>
      </c>
      <c r="C270" s="174">
        <v>0</v>
      </c>
      <c r="D270" s="42">
        <v>0</v>
      </c>
      <c r="E270" s="174">
        <v>1</v>
      </c>
      <c r="F270" s="42">
        <v>0</v>
      </c>
      <c r="G270" s="174">
        <v>0</v>
      </c>
      <c r="H270" s="174">
        <v>0</v>
      </c>
      <c r="I270" s="174">
        <v>0</v>
      </c>
      <c r="J270" s="174">
        <v>0</v>
      </c>
      <c r="K270" s="317">
        <v>1</v>
      </c>
      <c r="L270" s="317">
        <v>1</v>
      </c>
    </row>
    <row r="271" spans="1:12" s="23" customFormat="1" ht="13.7" customHeight="1">
      <c r="A271" s="23" t="s">
        <v>248</v>
      </c>
      <c r="C271" s="174">
        <v>1</v>
      </c>
      <c r="D271" s="42">
        <v>1</v>
      </c>
      <c r="E271" s="174">
        <v>1</v>
      </c>
      <c r="F271" s="42">
        <v>1</v>
      </c>
      <c r="G271" s="174">
        <v>1</v>
      </c>
      <c r="H271" s="174">
        <v>1</v>
      </c>
      <c r="I271" s="174">
        <v>1</v>
      </c>
      <c r="J271" s="174">
        <v>1</v>
      </c>
      <c r="K271" s="317">
        <v>1</v>
      </c>
      <c r="L271" s="317">
        <v>1</v>
      </c>
    </row>
    <row r="272" spans="1:12" s="23" customFormat="1" ht="13.7" customHeight="1">
      <c r="A272" s="23" t="s">
        <v>250</v>
      </c>
      <c r="C272" s="174">
        <v>0</v>
      </c>
      <c r="D272" s="42">
        <v>1</v>
      </c>
      <c r="E272" s="174">
        <v>1</v>
      </c>
      <c r="F272" s="42">
        <v>1</v>
      </c>
      <c r="G272" s="174">
        <v>1</v>
      </c>
      <c r="H272" s="174">
        <v>1</v>
      </c>
      <c r="I272" s="174">
        <v>1</v>
      </c>
      <c r="J272" s="174">
        <v>1</v>
      </c>
      <c r="K272" s="317">
        <v>1</v>
      </c>
      <c r="L272" s="317">
        <v>1</v>
      </c>
    </row>
    <row r="273" spans="1:12" s="23" customFormat="1" ht="13.7" customHeight="1">
      <c r="A273" s="23" t="s">
        <v>252</v>
      </c>
      <c r="C273" s="174">
        <v>0</v>
      </c>
      <c r="D273" s="42">
        <v>0</v>
      </c>
      <c r="E273" s="174">
        <v>1</v>
      </c>
      <c r="F273" s="42">
        <v>1</v>
      </c>
      <c r="G273" s="174">
        <v>1</v>
      </c>
      <c r="H273" s="174">
        <v>1</v>
      </c>
      <c r="I273" s="174">
        <v>1</v>
      </c>
      <c r="J273" s="174">
        <v>1</v>
      </c>
      <c r="K273" s="317">
        <v>1</v>
      </c>
      <c r="L273" s="317">
        <v>1</v>
      </c>
    </row>
    <row r="274" spans="1:12" s="23" customFormat="1" ht="13.7" customHeight="1">
      <c r="A274" s="23" t="s">
        <v>254</v>
      </c>
      <c r="C274" s="174">
        <v>1</v>
      </c>
      <c r="D274" s="42">
        <v>1</v>
      </c>
      <c r="E274" s="174">
        <v>1</v>
      </c>
      <c r="F274" s="42">
        <v>1</v>
      </c>
      <c r="G274" s="174">
        <v>1</v>
      </c>
      <c r="H274" s="174">
        <v>1</v>
      </c>
      <c r="I274" s="174">
        <v>1</v>
      </c>
      <c r="J274" s="174">
        <v>1</v>
      </c>
      <c r="K274" s="317">
        <v>1</v>
      </c>
      <c r="L274" s="317">
        <v>1</v>
      </c>
    </row>
    <row r="275" spans="1:12" s="23" customFormat="1" ht="13.7" customHeight="1">
      <c r="A275" s="23" t="s">
        <v>256</v>
      </c>
      <c r="C275" s="174">
        <v>0</v>
      </c>
      <c r="D275" s="42">
        <v>0</v>
      </c>
      <c r="E275" s="174">
        <v>0</v>
      </c>
      <c r="F275" s="42">
        <v>0</v>
      </c>
      <c r="G275" s="174">
        <v>0</v>
      </c>
      <c r="H275" s="174">
        <v>0</v>
      </c>
      <c r="I275" s="174">
        <v>0</v>
      </c>
      <c r="J275" s="174">
        <v>0</v>
      </c>
      <c r="K275" s="317">
        <v>1</v>
      </c>
      <c r="L275" s="317">
        <v>1</v>
      </c>
    </row>
    <row r="276" spans="1:12" s="23" customFormat="1" ht="13.7" customHeight="1">
      <c r="A276" s="23" t="s">
        <v>258</v>
      </c>
      <c r="C276" s="174">
        <v>1</v>
      </c>
      <c r="D276" s="42">
        <v>1</v>
      </c>
      <c r="E276" s="174">
        <v>1</v>
      </c>
      <c r="F276" s="42">
        <v>1</v>
      </c>
      <c r="G276" s="174">
        <v>1</v>
      </c>
      <c r="H276" s="174">
        <v>1</v>
      </c>
      <c r="I276" s="174">
        <v>1</v>
      </c>
      <c r="J276" s="174">
        <v>1</v>
      </c>
      <c r="K276" s="317">
        <v>1</v>
      </c>
      <c r="L276" s="317">
        <v>1</v>
      </c>
    </row>
    <row r="277" spans="1:12" s="152" customFormat="1" ht="15">
      <c r="A277" s="24" t="s">
        <v>993</v>
      </c>
      <c r="C277" s="153">
        <f t="shared" ref="C277" si="2">SUM(C264:C276)</f>
        <v>7</v>
      </c>
      <c r="D277" s="161">
        <f t="shared" ref="D277:J277" si="3">SUM(D264:D276)</f>
        <v>8</v>
      </c>
      <c r="E277" s="161">
        <f t="shared" si="3"/>
        <v>10</v>
      </c>
      <c r="F277" s="161">
        <f t="shared" si="3"/>
        <v>10</v>
      </c>
      <c r="G277" s="161">
        <f t="shared" si="3"/>
        <v>10</v>
      </c>
      <c r="H277" s="161">
        <f t="shared" si="3"/>
        <v>9</v>
      </c>
      <c r="I277" s="161">
        <f t="shared" si="3"/>
        <v>10</v>
      </c>
      <c r="J277" s="161">
        <f t="shared" si="3"/>
        <v>9</v>
      </c>
      <c r="K277" s="161">
        <f t="shared" ref="K277:L277" si="4">SUM(K264:K276)</f>
        <v>13</v>
      </c>
      <c r="L277" s="161">
        <f t="shared" si="4"/>
        <v>13</v>
      </c>
    </row>
    <row r="278" spans="1:12">
      <c r="D278" s="160"/>
      <c r="E278" s="160"/>
    </row>
    <row r="279" spans="1:12" s="22" customFormat="1" ht="13.7" customHeight="1">
      <c r="A279" s="2" t="s">
        <v>227</v>
      </c>
      <c r="B279" s="4"/>
    </row>
  </sheetData>
  <hyperlinks>
    <hyperlink ref="A2" location="Index!A1" display="Index" xr:uid="{00000000-0004-0000-0800-000000000000}"/>
  </hyperlinks>
  <pageMargins left="0.7" right="0.7" top="0.75" bottom="0.75" header="0.3" footer="0.3"/>
  <pageSetup paperSize="9" orientation="portrait" r:id="rId1"/>
  <ignoredErrors>
    <ignoredError sqref="C277" formulaRange="1"/>
    <ignoredError sqref="C197" formulaRange="1" unlockedFormula="1"/>
    <ignoredError sqref="G32:G37 K32:K37 K39:K47 K61:K69 K77:K94 K96:K104 K118:K126 K153:K161 K175:K183 K197:K206 K214:K225 K233:K241 K255:K277"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85</vt:i4>
      </vt:variant>
    </vt:vector>
  </HeadingPairs>
  <TitlesOfParts>
    <vt:vector size="100" baseType="lpstr">
      <vt:lpstr>Index</vt:lpstr>
      <vt:lpstr>Lookup tables</vt:lpstr>
      <vt:lpstr>Data|EBRIN</vt:lpstr>
      <vt:lpstr>Data|OEFs - Short</vt:lpstr>
      <vt:lpstr>Data|OEFs - Long</vt:lpstr>
      <vt:lpstr>Data|CPI</vt:lpstr>
      <vt:lpstr>Data|Forecasts</vt:lpstr>
      <vt:lpstr>Input|Parameters</vt:lpstr>
      <vt:lpstr>Input|Econometrics - Short</vt:lpstr>
      <vt:lpstr>Input|Econometrics - Long</vt:lpstr>
      <vt:lpstr>Calc|Cost drivers</vt:lpstr>
      <vt:lpstr>Calc|Efficiency target</vt:lpstr>
      <vt:lpstr>Calc|Opex forecasts - Short</vt:lpstr>
      <vt:lpstr>Calc|Opex forecasts - Long</vt:lpstr>
      <vt:lpstr>Output|Summary</vt:lpstr>
      <vt:lpstr>Header_Table_Data_EBRIN</vt:lpstr>
      <vt:lpstr>Header_Table_Data_opex_proposed</vt:lpstr>
      <vt:lpstr>Header_Table_Econometrics</vt:lpstr>
      <vt:lpstr>Header_Table_Inflators_per_base_year</vt:lpstr>
      <vt:lpstr>Header_Table_OEF_capitalisation_long</vt:lpstr>
      <vt:lpstr>Header_Table_OEF_capitalisation_short</vt:lpstr>
      <vt:lpstr>Header_Table_Summary_long</vt:lpstr>
      <vt:lpstr>Header_Table_Summary_short</vt:lpstr>
      <vt:lpstr>List_Apply_fixed_growth_rate</vt:lpstr>
      <vt:lpstr>List_DNSP</vt:lpstr>
      <vt:lpstr>List_Include_OEFs</vt:lpstr>
      <vt:lpstr>List_Inflation_method</vt:lpstr>
      <vt:lpstr>List_Number_of_violations_Long_LSETLG</vt:lpstr>
      <vt:lpstr>List_Number_of_violations_Long_SFATLG</vt:lpstr>
      <vt:lpstr>List_Number_of_violations_Short_LSETLG</vt:lpstr>
      <vt:lpstr>List_Number_of_violations_Short_SFATLG</vt:lpstr>
      <vt:lpstr>List_OEF_capitalisation_basis</vt:lpstr>
      <vt:lpstr>List_Scenario</vt:lpstr>
      <vt:lpstr>Parameter_Apply_fixed_growth_rate</vt:lpstr>
      <vt:lpstr>Parameter_Base_year</vt:lpstr>
      <vt:lpstr>Parameter_Base_year_manual_override</vt:lpstr>
      <vt:lpstr>Parameter_DNSP</vt:lpstr>
      <vt:lpstr>Parameter_Efficiency_target</vt:lpstr>
      <vt:lpstr>Parameter_Include_OEFs</vt:lpstr>
      <vt:lpstr>Parameter_Inflator</vt:lpstr>
      <vt:lpstr>Parameter_OEF_capitalisation_basis_long</vt:lpstr>
      <vt:lpstr>Parameter_OEF_capitalisation_basis_short</vt:lpstr>
      <vt:lpstr>Parameter_OEF_capitalisation_long</vt:lpstr>
      <vt:lpstr>Parameter_OEF_capitalisation_long_manual_override</vt:lpstr>
      <vt:lpstr>Parameter_OEF_capitalisation_short</vt:lpstr>
      <vt:lpstr>Parameter_OEF_capitalisation_short_manual_override</vt:lpstr>
      <vt:lpstr>Parameter_OEF_Sapere_Merz_long</vt:lpstr>
      <vt:lpstr>Parameter_OEF_Sapere_Merz_short</vt:lpstr>
      <vt:lpstr>Parameter_OEF_total_long</vt:lpstr>
      <vt:lpstr>Parameter_OEF_total_short</vt:lpstr>
      <vt:lpstr>Parameter_OEF_vegetation_management_long</vt:lpstr>
      <vt:lpstr>Parameter_OEF_vegetation_management_short</vt:lpstr>
      <vt:lpstr>Parameter_Opex_forecast_error</vt:lpstr>
      <vt:lpstr>Parameter_Period_end</vt:lpstr>
      <vt:lpstr>Parameter_Period_start_long</vt:lpstr>
      <vt:lpstr>Parameter_Period_start_short</vt:lpstr>
      <vt:lpstr>Parameter_Results_dollar_basis</vt:lpstr>
      <vt:lpstr>Parameter_Scenario</vt:lpstr>
      <vt:lpstr>Parameter_Scenario_number</vt:lpstr>
      <vt:lpstr>Parameter_Technology_growth_rate</vt:lpstr>
      <vt:lpstr>Parameter_Victorian_or_non_Victorian</vt:lpstr>
      <vt:lpstr>Table_Base_year_default</vt:lpstr>
      <vt:lpstr>Table_Coefficients_long_LSECD</vt:lpstr>
      <vt:lpstr>Table_Coefficients_long_LSETLG</vt:lpstr>
      <vt:lpstr>Table_Coefficients_long_SFACD</vt:lpstr>
      <vt:lpstr>Table_Coefficients_long_SFATLG</vt:lpstr>
      <vt:lpstr>Table_Coefficients_short_LSECD</vt:lpstr>
      <vt:lpstr>Table_Coefficients_short_LSETLG</vt:lpstr>
      <vt:lpstr>Table_Coefficients_short_SFACD</vt:lpstr>
      <vt:lpstr>Table_Coefficients_short_SFATLG</vt:lpstr>
      <vt:lpstr>Table_Data_All_groups_CPI_Australia</vt:lpstr>
      <vt:lpstr>Table_Data_EBRIN</vt:lpstr>
      <vt:lpstr>Table_Data_forecast</vt:lpstr>
      <vt:lpstr>Table_Data_opex_alternative</vt:lpstr>
      <vt:lpstr>Table_Data_opex_selected</vt:lpstr>
      <vt:lpstr>Table_data_opexforecast_alternative</vt:lpstr>
      <vt:lpstr>Table_DNSP</vt:lpstr>
      <vt:lpstr>Table_Efficiency_scores_long_LSECD</vt:lpstr>
      <vt:lpstr>Table_Efficiency_scores_long_LSETLG</vt:lpstr>
      <vt:lpstr>Table_Efficiency_scores_long_SFACD</vt:lpstr>
      <vt:lpstr>Table_Efficiency_scores_long_SFATLG</vt:lpstr>
      <vt:lpstr>Table_Efficiency_scores_short_LSECD</vt:lpstr>
      <vt:lpstr>Table_Efficiency_scores_short_LSETLG</vt:lpstr>
      <vt:lpstr>Table_Efficiency_scores_short_SFACD</vt:lpstr>
      <vt:lpstr>Table_Efficiency_scores_short_SFATLG</vt:lpstr>
      <vt:lpstr>Table_Inflators_per_base_year</vt:lpstr>
      <vt:lpstr>Table_Monotonicity_violations_long_LSETLG</vt:lpstr>
      <vt:lpstr>Table_Monotonicity_violations_long_SFATLG</vt:lpstr>
      <vt:lpstr>Table_Monotonicity_violations_short_LSETLG</vt:lpstr>
      <vt:lpstr>Table_Monotonicity_violations_short_SFATLG</vt:lpstr>
      <vt:lpstr>Table_OEF_capitalisation_long</vt:lpstr>
      <vt:lpstr>Table_OEF_capitalisation_short</vt:lpstr>
      <vt:lpstr>Table_OEF_Sapere_Merz_long</vt:lpstr>
      <vt:lpstr>Table_OEF_Sapere_Merz_short</vt:lpstr>
      <vt:lpstr>Table_OEF_vegetation_management_long</vt:lpstr>
      <vt:lpstr>Table_OEF_vegetation_management_short</vt:lpstr>
      <vt:lpstr>Table_Scenario_number</vt:lpstr>
      <vt:lpstr>Table_Summary_long</vt:lpstr>
      <vt:lpstr>Table_Summary_short</vt:lpstr>
      <vt:lpstr>Table_Victorian_or_non_Victorian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2025-11-26T07:30:34Z</dcterms:created>
  <dcterms:modified xsi:type="dcterms:W3CDTF">2025-11-27T00:59:22Z</dcterms:modified>
  <cp:category/>
  <cp:contentStatus/>
</cp:coreProperties>
</file>