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lineeportal.sharepoint.com/sites/Teams_EDPR2026-2031/Shared Documents/General/4000 Submissions/4200 - Revised Proposal/06 - Final Revised Proposal Supporting Documents - Public/"/>
    </mc:Choice>
  </mc:AlternateContent>
  <xr:revisionPtr revIDLastSave="7" documentId="8_{6D4089D0-0449-4912-8ECF-80F5C9BF87B8}" xr6:coauthVersionLast="47" xr6:coauthVersionMax="47" xr10:uidLastSave="{D50FCDD8-49E5-4D25-932D-CF9D6A88116E}"/>
  <bookViews>
    <workbookView xWindow="-120" yWindow="-120" windowWidth="29040" windowHeight="15720" activeTab="1" xr2:uid="{0D0FCE5F-8FBB-44EF-9CAB-F961B016FABB}"/>
  </bookViews>
  <sheets>
    <sheet name="Home" sheetId="4" r:id="rId1"/>
    <sheet name="Input|Costs" sheetId="5" r:id="rId2"/>
    <sheet name="Input|Benefits" sheetId="7" r:id="rId3"/>
    <sheet name="Input|Transf_Failures" sheetId="6" r:id="rId4"/>
    <sheet name="Output|Tables" sheetId="9" r:id="rId5"/>
  </sheets>
  <definedNames>
    <definedName name="_Key1" hidden="1">#REF!</definedName>
    <definedName name="_Key2" hidden="1">#REF!</definedName>
    <definedName name="_Order1" hidden="1">255</definedName>
    <definedName name="_Order2" hidden="1">255</definedName>
    <definedName name="_Sort" hidden="1">#REF!</definedName>
    <definedName name="CBWorkbookPriority" hidden="1">-113365687</definedName>
    <definedName name="Check_Status_List">Home!$F$20:$F$24</definedName>
    <definedName name="Cust_Ben_over" localSheetId="2">'Input|Benefits'!$I$223</definedName>
    <definedName name="Cust_Ben_over">'Input|Costs'!#REF!</definedName>
    <definedName name="ID_Opex_Opt_End" localSheetId="2">'Input|Benefits'!$E$182</definedName>
    <definedName name="ID_Opex_Opt_End">'Input|Costs'!$E$41</definedName>
    <definedName name="ID_Opt_Opt_3">'Input|Costs'!$D$14</definedName>
    <definedName name="ID_Opt_Opt_4">'Input|Costs'!$D$15</definedName>
    <definedName name="ID_Opt_Opt_5">'Input|Costs'!$D$16</definedName>
    <definedName name="ID_Sensitivity_CBO_End" localSheetId="2">'Input|Benefits'!$B$224</definedName>
    <definedName name="ID_Sensitivity_CBO_End">'Input|Costs'!$B$83</definedName>
    <definedName name="ID_Sensitivity_CBO_Start" localSheetId="2">'Input|Benefits'!$B$219</definedName>
    <definedName name="ID_Sensitivity_CBO_Start">'Input|Costs'!#REF!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"04/15/2012 22:58:06"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odel_Name">Home!$D$2</definedName>
    <definedName name="Overall_Check">Home!$K$2</definedName>
    <definedName name="Proj_Name">Home!$E$10</definedName>
    <definedName name="Proj_No">Home!$E$12</definedName>
    <definedName name="sd" hidden="1">#REF!</definedName>
    <definedName name="Start_Date">Home!$E$14</definedName>
    <definedName name="Worksheet_List">Home!$C$20:$C$24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7" l="1"/>
  <c r="D55" i="7"/>
  <c r="J87" i="7"/>
  <c r="E87" i="7"/>
  <c r="F87" i="7"/>
  <c r="D87" i="7"/>
  <c r="J55" i="7"/>
  <c r="E55" i="7"/>
  <c r="F55" i="7" l="1"/>
  <c r="O50" i="7"/>
  <c r="J17" i="7"/>
  <c r="E16" i="7"/>
  <c r="E15" i="7"/>
  <c r="E17" i="7"/>
  <c r="I37" i="6"/>
  <c r="K37" i="6"/>
  <c r="K4" i="9" l="1"/>
  <c r="D2" i="9"/>
  <c r="C24" i="4" s="1"/>
  <c r="K1" i="9"/>
  <c r="F24" i="4" s="1"/>
  <c r="D1" i="9"/>
  <c r="L25" i="5"/>
  <c r="K25" i="5"/>
  <c r="Q81" i="5"/>
  <c r="P81" i="5"/>
  <c r="O81" i="5"/>
  <c r="N81" i="5"/>
  <c r="M81" i="5"/>
  <c r="L81" i="5"/>
  <c r="K81" i="5"/>
  <c r="E81" i="5"/>
  <c r="R79" i="5"/>
  <c r="G79" i="5"/>
  <c r="F79" i="5"/>
  <c r="E79" i="5"/>
  <c r="D79" i="5"/>
  <c r="Q25" i="5"/>
  <c r="P25" i="5"/>
  <c r="O25" i="5"/>
  <c r="N25" i="5"/>
  <c r="M25" i="5"/>
  <c r="R24" i="5"/>
  <c r="E25" i="5"/>
  <c r="E26" i="5"/>
  <c r="E24" i="5"/>
  <c r="G22" i="5"/>
  <c r="F22" i="5"/>
  <c r="E22" i="5"/>
  <c r="D22" i="5"/>
  <c r="R22" i="5"/>
  <c r="Q74" i="5"/>
  <c r="Q82" i="7" s="1"/>
  <c r="P74" i="5"/>
  <c r="P82" i="7" s="1"/>
  <c r="O74" i="5"/>
  <c r="O82" i="7" s="1"/>
  <c r="N74" i="5"/>
  <c r="N82" i="7" s="1"/>
  <c r="M74" i="5"/>
  <c r="M82" i="7" s="1"/>
  <c r="L74" i="5"/>
  <c r="L82" i="7" s="1"/>
  <c r="K74" i="5"/>
  <c r="K82" i="7" s="1"/>
  <c r="Q73" i="5"/>
  <c r="Q81" i="7" s="1"/>
  <c r="P73" i="5"/>
  <c r="P81" i="7" s="1"/>
  <c r="O73" i="5"/>
  <c r="O81" i="7" s="1"/>
  <c r="N73" i="5"/>
  <c r="N81" i="7" s="1"/>
  <c r="M73" i="5"/>
  <c r="L73" i="5"/>
  <c r="L81" i="7" s="1"/>
  <c r="K73" i="5"/>
  <c r="K81" i="7" s="1"/>
  <c r="Q72" i="5"/>
  <c r="Q80" i="7" s="1"/>
  <c r="P72" i="5"/>
  <c r="P80" i="7" s="1"/>
  <c r="O72" i="5"/>
  <c r="O80" i="7" s="1"/>
  <c r="N72" i="5"/>
  <c r="N80" i="7" s="1"/>
  <c r="M72" i="5"/>
  <c r="M80" i="7" s="1"/>
  <c r="L72" i="5"/>
  <c r="L80" i="7" s="1"/>
  <c r="K72" i="5"/>
  <c r="K80" i="7" s="1"/>
  <c r="Q71" i="5"/>
  <c r="Q79" i="7" s="1"/>
  <c r="P71" i="5"/>
  <c r="P79" i="7" s="1"/>
  <c r="O71" i="5"/>
  <c r="N71" i="5"/>
  <c r="N79" i="7" s="1"/>
  <c r="M71" i="5"/>
  <c r="M79" i="7" s="1"/>
  <c r="L71" i="5"/>
  <c r="L79" i="7" s="1"/>
  <c r="K71" i="5"/>
  <c r="K79" i="7" s="1"/>
  <c r="Q70" i="5"/>
  <c r="Q78" i="7" s="1"/>
  <c r="P70" i="5"/>
  <c r="P78" i="7" s="1"/>
  <c r="O70" i="5"/>
  <c r="O78" i="7" s="1"/>
  <c r="N70" i="5"/>
  <c r="N78" i="7" s="1"/>
  <c r="M70" i="5"/>
  <c r="L70" i="5"/>
  <c r="L78" i="7" s="1"/>
  <c r="K70" i="5"/>
  <c r="K78" i="7" s="1"/>
  <c r="Q69" i="5"/>
  <c r="P69" i="5"/>
  <c r="P77" i="7" s="1"/>
  <c r="O69" i="5"/>
  <c r="O77" i="7" s="1"/>
  <c r="N69" i="5"/>
  <c r="N77" i="7" s="1"/>
  <c r="M69" i="5"/>
  <c r="M77" i="7" s="1"/>
  <c r="L69" i="5"/>
  <c r="L77" i="7" s="1"/>
  <c r="K69" i="5"/>
  <c r="J70" i="5"/>
  <c r="J71" i="5"/>
  <c r="J72" i="5"/>
  <c r="J73" i="5"/>
  <c r="J74" i="5"/>
  <c r="J69" i="5"/>
  <c r="E65" i="5"/>
  <c r="E70" i="5"/>
  <c r="E71" i="5"/>
  <c r="E72" i="5"/>
  <c r="E73" i="5"/>
  <c r="E74" i="5"/>
  <c r="E75" i="5"/>
  <c r="E69" i="5"/>
  <c r="D75" i="5"/>
  <c r="G63" i="5"/>
  <c r="F63" i="5"/>
  <c r="E63" i="5"/>
  <c r="R67" i="5"/>
  <c r="G67" i="5"/>
  <c r="F67" i="5"/>
  <c r="E67" i="5"/>
  <c r="E90" i="7"/>
  <c r="E89" i="7"/>
  <c r="D51" i="7"/>
  <c r="E92" i="7"/>
  <c r="E91" i="7"/>
  <c r="E88" i="7"/>
  <c r="G85" i="7"/>
  <c r="F85" i="7"/>
  <c r="E85" i="7"/>
  <c r="F66" i="7"/>
  <c r="F67" i="7"/>
  <c r="F68" i="7"/>
  <c r="F69" i="7"/>
  <c r="F70" i="7"/>
  <c r="F71" i="7"/>
  <c r="F72" i="7"/>
  <c r="E83" i="7"/>
  <c r="D72" i="7"/>
  <c r="D83" i="7" s="1"/>
  <c r="H72" i="7"/>
  <c r="E51" i="5"/>
  <c r="E72" i="7" s="1"/>
  <c r="E82" i="7"/>
  <c r="E81" i="7"/>
  <c r="E80" i="7"/>
  <c r="E79" i="7"/>
  <c r="E78" i="7"/>
  <c r="E77" i="7"/>
  <c r="G75" i="7"/>
  <c r="F75" i="7"/>
  <c r="E75" i="7"/>
  <c r="H66" i="7"/>
  <c r="H67" i="7"/>
  <c r="H68" i="7"/>
  <c r="H69" i="7"/>
  <c r="H70" i="7"/>
  <c r="H71" i="7"/>
  <c r="J66" i="7"/>
  <c r="J77" i="7" s="1"/>
  <c r="J67" i="7"/>
  <c r="J78" i="7" s="1"/>
  <c r="J68" i="7"/>
  <c r="J79" i="7" s="1"/>
  <c r="J69" i="7"/>
  <c r="J80" i="7" s="1"/>
  <c r="J70" i="7"/>
  <c r="J81" i="7" s="1"/>
  <c r="J71" i="7"/>
  <c r="J82" i="7" s="1"/>
  <c r="J64" i="7"/>
  <c r="J75" i="7" s="1"/>
  <c r="K66" i="7"/>
  <c r="L66" i="7"/>
  <c r="M66" i="7"/>
  <c r="N66" i="7"/>
  <c r="O66" i="7"/>
  <c r="P66" i="7"/>
  <c r="Q66" i="7"/>
  <c r="K67" i="7"/>
  <c r="L67" i="7"/>
  <c r="M67" i="7"/>
  <c r="N67" i="7"/>
  <c r="O67" i="7"/>
  <c r="P67" i="7"/>
  <c r="Q67" i="7"/>
  <c r="K68" i="7"/>
  <c r="L68" i="7"/>
  <c r="M68" i="7"/>
  <c r="N68" i="7"/>
  <c r="O68" i="7"/>
  <c r="P68" i="7"/>
  <c r="Q68" i="7"/>
  <c r="K69" i="7"/>
  <c r="L69" i="7"/>
  <c r="M69" i="7"/>
  <c r="N69" i="7"/>
  <c r="O69" i="7"/>
  <c r="P69" i="7"/>
  <c r="Q69" i="7"/>
  <c r="K70" i="7"/>
  <c r="L70" i="7"/>
  <c r="M70" i="7"/>
  <c r="N70" i="7"/>
  <c r="O70" i="7"/>
  <c r="P70" i="7"/>
  <c r="Q70" i="7"/>
  <c r="K71" i="7"/>
  <c r="L71" i="7"/>
  <c r="M71" i="7"/>
  <c r="N71" i="7"/>
  <c r="O71" i="7"/>
  <c r="P71" i="7"/>
  <c r="Q71" i="7"/>
  <c r="G64" i="7"/>
  <c r="F64" i="7"/>
  <c r="E64" i="7"/>
  <c r="E59" i="7"/>
  <c r="E58" i="7"/>
  <c r="E60" i="7"/>
  <c r="E57" i="7"/>
  <c r="G53" i="7"/>
  <c r="F53" i="7"/>
  <c r="E53" i="7"/>
  <c r="E56" i="7"/>
  <c r="E51" i="7"/>
  <c r="K50" i="7"/>
  <c r="L50" i="7"/>
  <c r="M50" i="7"/>
  <c r="N50" i="7"/>
  <c r="J50" i="7"/>
  <c r="E50" i="7"/>
  <c r="E44" i="7"/>
  <c r="E49" i="7"/>
  <c r="E48" i="7"/>
  <c r="G46" i="7"/>
  <c r="F46" i="7"/>
  <c r="E46" i="7"/>
  <c r="E37" i="7"/>
  <c r="E36" i="7"/>
  <c r="E35" i="7"/>
  <c r="G33" i="7"/>
  <c r="F33" i="7"/>
  <c r="E33" i="7"/>
  <c r="E43" i="7"/>
  <c r="E42" i="7"/>
  <c r="E41" i="7"/>
  <c r="G39" i="7"/>
  <c r="F39" i="7"/>
  <c r="E39" i="7"/>
  <c r="K31" i="7"/>
  <c r="K30" i="7"/>
  <c r="L30" i="7" s="1"/>
  <c r="K29" i="7"/>
  <c r="L29" i="7" s="1"/>
  <c r="E31" i="7"/>
  <c r="E30" i="7"/>
  <c r="E29" i="7"/>
  <c r="G27" i="7"/>
  <c r="F27" i="7"/>
  <c r="E27" i="7"/>
  <c r="E25" i="7"/>
  <c r="J25" i="7"/>
  <c r="A25" i="7" s="1"/>
  <c r="K1" i="7" s="1"/>
  <c r="F22" i="4" s="1"/>
  <c r="E23" i="7"/>
  <c r="E24" i="7"/>
  <c r="E22" i="7"/>
  <c r="G20" i="7"/>
  <c r="F20" i="7"/>
  <c r="E20" i="7"/>
  <c r="E18" i="7"/>
  <c r="E14" i="7"/>
  <c r="G12" i="7"/>
  <c r="F12" i="7"/>
  <c r="E12" i="7"/>
  <c r="G223" i="7"/>
  <c r="F223" i="7"/>
  <c r="G221" i="7"/>
  <c r="F221" i="7"/>
  <c r="E221" i="7"/>
  <c r="R206" i="7"/>
  <c r="E206" i="7"/>
  <c r="R205" i="7"/>
  <c r="E205" i="7"/>
  <c r="R204" i="7"/>
  <c r="E204" i="7"/>
  <c r="R203" i="7"/>
  <c r="E203" i="7"/>
  <c r="R202" i="7"/>
  <c r="E202" i="7"/>
  <c r="R200" i="7"/>
  <c r="G200" i="7"/>
  <c r="F200" i="7"/>
  <c r="E200" i="7"/>
  <c r="D200" i="7"/>
  <c r="Q196" i="7"/>
  <c r="P196" i="7"/>
  <c r="O196" i="7"/>
  <c r="N196" i="7"/>
  <c r="M196" i="7"/>
  <c r="L196" i="7"/>
  <c r="K196" i="7"/>
  <c r="R195" i="7"/>
  <c r="H195" i="7"/>
  <c r="E195" i="7"/>
  <c r="D195" i="7"/>
  <c r="R194" i="7"/>
  <c r="H194" i="7"/>
  <c r="E194" i="7"/>
  <c r="D194" i="7"/>
  <c r="R193" i="7"/>
  <c r="H193" i="7"/>
  <c r="E193" i="7"/>
  <c r="D193" i="7"/>
  <c r="R192" i="7"/>
  <c r="H192" i="7"/>
  <c r="E192" i="7"/>
  <c r="D192" i="7"/>
  <c r="R191" i="7"/>
  <c r="H191" i="7"/>
  <c r="E191" i="7"/>
  <c r="D191" i="7"/>
  <c r="R190" i="7"/>
  <c r="H190" i="7"/>
  <c r="E190" i="7"/>
  <c r="D190" i="7"/>
  <c r="R189" i="7"/>
  <c r="H189" i="7"/>
  <c r="E189" i="7"/>
  <c r="D189" i="7"/>
  <c r="R188" i="7"/>
  <c r="H188" i="7"/>
  <c r="E188" i="7"/>
  <c r="D188" i="7"/>
  <c r="R187" i="7"/>
  <c r="H187" i="7"/>
  <c r="E187" i="7"/>
  <c r="D187" i="7"/>
  <c r="R186" i="7"/>
  <c r="H186" i="7"/>
  <c r="E186" i="7"/>
  <c r="D186" i="7"/>
  <c r="R184" i="7"/>
  <c r="G184" i="7"/>
  <c r="F184" i="7"/>
  <c r="E184" i="7"/>
  <c r="D184" i="7"/>
  <c r="E180" i="7"/>
  <c r="E179" i="7"/>
  <c r="E178" i="7"/>
  <c r="E177" i="7"/>
  <c r="E176" i="7"/>
  <c r="E175" i="7"/>
  <c r="E174" i="7"/>
  <c r="E173" i="7"/>
  <c r="E172" i="7"/>
  <c r="E171" i="7"/>
  <c r="G169" i="7"/>
  <c r="F169" i="7"/>
  <c r="E169" i="7"/>
  <c r="K4" i="7"/>
  <c r="L4" i="7" s="1"/>
  <c r="D2" i="7"/>
  <c r="D1" i="7"/>
  <c r="J14" i="7"/>
  <c r="J16" i="7" s="1"/>
  <c r="J18" i="7" s="1"/>
  <c r="C10" i="6"/>
  <c r="K4" i="6"/>
  <c r="L4" i="6" s="1"/>
  <c r="D2" i="6"/>
  <c r="C23" i="4" s="1"/>
  <c r="K1" i="6"/>
  <c r="F23" i="4" s="1"/>
  <c r="D1" i="6"/>
  <c r="E57" i="5"/>
  <c r="R57" i="5"/>
  <c r="R55" i="5"/>
  <c r="G55" i="5"/>
  <c r="F55" i="5"/>
  <c r="E55" i="5"/>
  <c r="D55" i="5"/>
  <c r="K51" i="5"/>
  <c r="K72" i="7" s="1"/>
  <c r="L51" i="5"/>
  <c r="L72" i="7" s="1"/>
  <c r="M51" i="5"/>
  <c r="M72" i="7" s="1"/>
  <c r="N51" i="5"/>
  <c r="N72" i="7" s="1"/>
  <c r="O51" i="5"/>
  <c r="O72" i="7" s="1"/>
  <c r="P51" i="5"/>
  <c r="P72" i="7" s="1"/>
  <c r="Q51" i="5"/>
  <c r="Q72" i="7" s="1"/>
  <c r="R46" i="5"/>
  <c r="R67" i="7" s="1"/>
  <c r="R47" i="5"/>
  <c r="R68" i="7" s="1"/>
  <c r="R48" i="5"/>
  <c r="R69" i="7" s="1"/>
  <c r="R49" i="5"/>
  <c r="R70" i="7" s="1"/>
  <c r="R50" i="5"/>
  <c r="R71" i="7" s="1"/>
  <c r="R45" i="5"/>
  <c r="R66" i="7" s="1"/>
  <c r="R43" i="5"/>
  <c r="R64" i="7" s="1"/>
  <c r="R75" i="7" s="1"/>
  <c r="H50" i="5"/>
  <c r="H49" i="5"/>
  <c r="H48" i="5"/>
  <c r="H47" i="5"/>
  <c r="H46" i="5"/>
  <c r="H45" i="5"/>
  <c r="D45" i="5"/>
  <c r="D66" i="7" s="1"/>
  <c r="D77" i="7" s="1"/>
  <c r="D46" i="5"/>
  <c r="D67" i="7" s="1"/>
  <c r="D78" i="7" s="1"/>
  <c r="D47" i="5"/>
  <c r="D68" i="7" s="1"/>
  <c r="D79" i="7" s="1"/>
  <c r="D48" i="5"/>
  <c r="D69" i="7" s="1"/>
  <c r="D80" i="7" s="1"/>
  <c r="D49" i="5"/>
  <c r="D70" i="7" s="1"/>
  <c r="D81" i="7" s="1"/>
  <c r="D50" i="5"/>
  <c r="D71" i="7" s="1"/>
  <c r="D82" i="7" s="1"/>
  <c r="E50" i="5"/>
  <c r="E71" i="7" s="1"/>
  <c r="E49" i="5"/>
  <c r="E70" i="7" s="1"/>
  <c r="E48" i="5"/>
  <c r="E69" i="7" s="1"/>
  <c r="E47" i="5"/>
  <c r="E68" i="7" s="1"/>
  <c r="E46" i="5"/>
  <c r="E67" i="7" s="1"/>
  <c r="E45" i="5"/>
  <c r="E66" i="7" s="1"/>
  <c r="G43" i="5"/>
  <c r="F43" i="5"/>
  <c r="E43" i="5"/>
  <c r="D43" i="5"/>
  <c r="D32" i="5"/>
  <c r="J32" i="5"/>
  <c r="E35" i="5"/>
  <c r="E36" i="5"/>
  <c r="E37" i="5"/>
  <c r="E38" i="5"/>
  <c r="E39" i="5"/>
  <c r="E34" i="5"/>
  <c r="K4" i="5"/>
  <c r="G32" i="5"/>
  <c r="F32" i="5"/>
  <c r="E32" i="5"/>
  <c r="D16" i="5"/>
  <c r="D15" i="5"/>
  <c r="D14" i="5"/>
  <c r="C62" i="7" s="1"/>
  <c r="D13" i="5"/>
  <c r="B28" i="5" s="1"/>
  <c r="D12" i="5"/>
  <c r="D24" i="5" s="1"/>
  <c r="G10" i="5"/>
  <c r="F10" i="5"/>
  <c r="E10" i="5"/>
  <c r="D2" i="5"/>
  <c r="C21" i="4" s="1"/>
  <c r="D1" i="5"/>
  <c r="E21" i="4"/>
  <c r="E22" i="4" s="1"/>
  <c r="E24" i="4" s="1"/>
  <c r="H4" i="4"/>
  <c r="G4" i="4"/>
  <c r="F4" i="4"/>
  <c r="E4" i="4"/>
  <c r="D4" i="4"/>
  <c r="C20" i="4" s="1"/>
  <c r="C22" i="4" l="1"/>
  <c r="J51" i="7"/>
  <c r="J89" i="7" s="1"/>
  <c r="E23" i="4"/>
  <c r="L4" i="9"/>
  <c r="K26" i="5"/>
  <c r="Q26" i="5"/>
  <c r="L26" i="5"/>
  <c r="M26" i="5"/>
  <c r="N26" i="5"/>
  <c r="R25" i="5"/>
  <c r="E14" i="9" s="1"/>
  <c r="O26" i="5"/>
  <c r="R81" i="5"/>
  <c r="P26" i="5"/>
  <c r="L75" i="5"/>
  <c r="L83" i="7" s="1"/>
  <c r="D72" i="5"/>
  <c r="K77" i="7"/>
  <c r="D26" i="5"/>
  <c r="D25" i="5"/>
  <c r="D71" i="5"/>
  <c r="R71" i="5"/>
  <c r="R79" i="7" s="1"/>
  <c r="R73" i="5"/>
  <c r="R81" i="7" s="1"/>
  <c r="R70" i="5"/>
  <c r="R78" i="7" s="1"/>
  <c r="M78" i="7"/>
  <c r="O79" i="7"/>
  <c r="D73" i="5"/>
  <c r="N75" i="5"/>
  <c r="N83" i="7" s="1"/>
  <c r="M81" i="7"/>
  <c r="D74" i="5"/>
  <c r="R74" i="5"/>
  <c r="R82" i="7" s="1"/>
  <c r="Q75" i="5"/>
  <c r="Q83" i="7" s="1"/>
  <c r="K75" i="5"/>
  <c r="K83" i="7" s="1"/>
  <c r="P75" i="5"/>
  <c r="P83" i="7" s="1"/>
  <c r="R72" i="5"/>
  <c r="R80" i="7" s="1"/>
  <c r="D69" i="5"/>
  <c r="Q77" i="7"/>
  <c r="D70" i="5"/>
  <c r="R69" i="5"/>
  <c r="R77" i="7" s="1"/>
  <c r="O75" i="5"/>
  <c r="O83" i="7" s="1"/>
  <c r="M75" i="5"/>
  <c r="M83" i="7" s="1"/>
  <c r="B59" i="5"/>
  <c r="C10" i="7"/>
  <c r="D169" i="7" s="1"/>
  <c r="J42" i="7"/>
  <c r="K42" i="7" s="1"/>
  <c r="L31" i="7"/>
  <c r="R196" i="7"/>
  <c r="M4" i="7"/>
  <c r="L3" i="7" s="1"/>
  <c r="K3" i="7"/>
  <c r="M4" i="6"/>
  <c r="L3" i="6" s="1"/>
  <c r="K3" i="6"/>
  <c r="R51" i="5"/>
  <c r="R72" i="7" s="1"/>
  <c r="L4" i="5"/>
  <c r="J57" i="7" l="1"/>
  <c r="J41" i="7"/>
  <c r="K41" i="7" s="1"/>
  <c r="M4" i="9"/>
  <c r="K3" i="9"/>
  <c r="R26" i="5"/>
  <c r="E15" i="9" s="1"/>
  <c r="R75" i="5"/>
  <c r="R83" i="7" s="1"/>
  <c r="J43" i="7"/>
  <c r="K43" i="7" s="1"/>
  <c r="K44" i="7" s="1"/>
  <c r="J169" i="7"/>
  <c r="L200" i="7"/>
  <c r="L184" i="7"/>
  <c r="K200" i="7"/>
  <c r="K184" i="7"/>
  <c r="N4" i="7"/>
  <c r="M3" i="7" s="1"/>
  <c r="N4" i="6"/>
  <c r="M3" i="6" s="1"/>
  <c r="M4" i="5"/>
  <c r="L3" i="5" s="1"/>
  <c r="L79" i="5" s="1"/>
  <c r="K3" i="5"/>
  <c r="K79" i="5" s="1"/>
  <c r="N4" i="9" l="1"/>
  <c r="L3" i="9"/>
  <c r="K67" i="5"/>
  <c r="K22" i="5"/>
  <c r="L67" i="5"/>
  <c r="L22" i="5"/>
  <c r="J58" i="7"/>
  <c r="J60" i="7" s="1"/>
  <c r="F14" i="9" s="1"/>
  <c r="J90" i="7"/>
  <c r="J92" i="7" s="1"/>
  <c r="F15" i="9" s="1"/>
  <c r="M200" i="7"/>
  <c r="M184" i="7"/>
  <c r="O4" i="7"/>
  <c r="N3" i="7" s="1"/>
  <c r="O4" i="6"/>
  <c r="N3" i="6" s="1"/>
  <c r="L55" i="5"/>
  <c r="L43" i="5"/>
  <c r="L64" i="7" s="1"/>
  <c r="L75" i="7" s="1"/>
  <c r="K55" i="5"/>
  <c r="K43" i="5"/>
  <c r="K64" i="7" s="1"/>
  <c r="K75" i="7" s="1"/>
  <c r="N4" i="5"/>
  <c r="M3" i="5" s="1"/>
  <c r="M79" i="5" s="1"/>
  <c r="O4" i="9" l="1"/>
  <c r="M3" i="9"/>
  <c r="M67" i="5"/>
  <c r="M22" i="5"/>
  <c r="N200" i="7"/>
  <c r="N184" i="7"/>
  <c r="P4" i="7"/>
  <c r="O3" i="7" s="1"/>
  <c r="P4" i="6"/>
  <c r="M55" i="5"/>
  <c r="M43" i="5"/>
  <c r="M64" i="7" s="1"/>
  <c r="M75" i="7" s="1"/>
  <c r="O4" i="5"/>
  <c r="N3" i="5" s="1"/>
  <c r="N79" i="5" s="1"/>
  <c r="P4" i="9" l="1"/>
  <c r="N3" i="9"/>
  <c r="N67" i="5"/>
  <c r="N22" i="5"/>
  <c r="O200" i="7"/>
  <c r="O184" i="7"/>
  <c r="Q4" i="7"/>
  <c r="P3" i="7" s="1"/>
  <c r="Q4" i="6"/>
  <c r="O3" i="6"/>
  <c r="N55" i="5"/>
  <c r="N43" i="5"/>
  <c r="N64" i="7" s="1"/>
  <c r="N75" i="7" s="1"/>
  <c r="P4" i="5"/>
  <c r="O3" i="5" s="1"/>
  <c r="O79" i="5" s="1"/>
  <c r="Q4" i="9" l="1"/>
  <c r="O3" i="9"/>
  <c r="O67" i="5"/>
  <c r="O22" i="5"/>
  <c r="R4" i="7"/>
  <c r="Q3" i="7" s="1"/>
  <c r="P200" i="7"/>
  <c r="P184" i="7"/>
  <c r="R4" i="6"/>
  <c r="Q3" i="6" s="1"/>
  <c r="P3" i="6"/>
  <c r="O55" i="5"/>
  <c r="O43" i="5"/>
  <c r="O64" i="7" s="1"/>
  <c r="O75" i="7" s="1"/>
  <c r="Q4" i="5"/>
  <c r="P3" i="5" s="1"/>
  <c r="P79" i="5" s="1"/>
  <c r="K1" i="5"/>
  <c r="F21" i="4" s="1"/>
  <c r="R4" i="9" l="1"/>
  <c r="Q3" i="9" s="1"/>
  <c r="P3" i="9"/>
  <c r="P67" i="5"/>
  <c r="P22" i="5"/>
  <c r="Q200" i="7"/>
  <c r="Q184" i="7"/>
  <c r="P43" i="5"/>
  <c r="P64" i="7" s="1"/>
  <c r="P75" i="7" s="1"/>
  <c r="P55" i="5"/>
  <c r="R4" i="5"/>
  <c r="Q3" i="5" s="1"/>
  <c r="Q79" i="5" s="1"/>
  <c r="Q67" i="5" l="1"/>
  <c r="Q22" i="5"/>
  <c r="Q43" i="5"/>
  <c r="Q64" i="7" s="1"/>
  <c r="Q75" i="7" s="1"/>
  <c r="Q55" i="5"/>
  <c r="K2" i="4" l="1"/>
  <c r="N1" i="9" s="1"/>
  <c r="N1" i="6" l="1"/>
  <c r="N1" i="7"/>
  <c r="N1" i="5"/>
</calcChain>
</file>

<file path=xl/sharedStrings.xml><?xml version="1.0" encoding="utf-8"?>
<sst xmlns="http://schemas.openxmlformats.org/spreadsheetml/2006/main" count="943" uniqueCount="374">
  <si>
    <t>Cost Benefit Analysis</t>
  </si>
  <si>
    <t>Overall check:</t>
  </si>
  <si>
    <t xml:space="preserve"> Copyright Jemena Limited. Jemena is not liable for any loss caused by reliance on this document.</t>
  </si>
  <si>
    <t>Project Details</t>
  </si>
  <si>
    <t>Project Name:</t>
  </si>
  <si>
    <t>Project No:</t>
  </si>
  <si>
    <t>[Please insert project number here]</t>
  </si>
  <si>
    <t>Start Date:</t>
  </si>
  <si>
    <t xml:space="preserve">Table Of Contents &amp; Checks </t>
  </si>
  <si>
    <t>Worksheet</t>
  </si>
  <si>
    <t>Ref</t>
  </si>
  <si>
    <t>Check</t>
  </si>
  <si>
    <t>Description</t>
  </si>
  <si>
    <t>Ok</t>
  </si>
  <si>
    <t>Outlines project details, model checks and model structure</t>
  </si>
  <si>
    <t>Inputs project cost and benefit information</t>
  </si>
  <si>
    <t>Outputs the summary of costs and benefits of each option</t>
  </si>
  <si>
    <t>Outputs the options analysis for the business case</t>
  </si>
  <si>
    <t>Model Key Legend</t>
  </si>
  <si>
    <t>Model key</t>
  </si>
  <si>
    <t>Input</t>
  </si>
  <si>
    <t>---------&gt;</t>
  </si>
  <si>
    <t>Input assumption (hardcode)</t>
  </si>
  <si>
    <t>Internal link</t>
  </si>
  <si>
    <t>Internal link (different sheet within the model)</t>
  </si>
  <si>
    <t>Drop-down</t>
  </si>
  <si>
    <t>Choose from a drop-down list</t>
  </si>
  <si>
    <t>Calculation</t>
  </si>
  <si>
    <t>Calculation (general formula driven)</t>
  </si>
  <si>
    <t>Version control</t>
  </si>
  <si>
    <t>Version</t>
  </si>
  <si>
    <t>Person</t>
  </si>
  <si>
    <t>Date</t>
  </si>
  <si>
    <t>Sheet</t>
  </si>
  <si>
    <t>Comment</t>
  </si>
  <si>
    <t>v1.0</t>
  </si>
  <si>
    <t>George Tziokas</t>
  </si>
  <si>
    <t>All</t>
  </si>
  <si>
    <t>Initial model development</t>
  </si>
  <si>
    <t>v2.0</t>
  </si>
  <si>
    <t>v3.0</t>
  </si>
  <si>
    <t>v4.0</t>
  </si>
  <si>
    <t>v4.1</t>
  </si>
  <si>
    <t>End</t>
  </si>
  <si>
    <t>Section Check:</t>
  </si>
  <si>
    <t>Overall Check:</t>
  </si>
  <si>
    <t>Legend:</t>
  </si>
  <si>
    <t>Internal</t>
  </si>
  <si>
    <t>Select</t>
  </si>
  <si>
    <t>Year Display</t>
  </si>
  <si>
    <t>EDPR Total</t>
  </si>
  <si>
    <t>Option</t>
  </si>
  <si>
    <t>Unit</t>
  </si>
  <si>
    <t>Basis</t>
  </si>
  <si>
    <t>Asset</t>
  </si>
  <si>
    <t>Start Year</t>
  </si>
  <si>
    <t>Copyright Jemena Limited. All rights reserved. Jemena is not liable for any loss caused by reliance on this document.</t>
  </si>
  <si>
    <t>Input | Options</t>
  </si>
  <si>
    <t>Short description</t>
  </si>
  <si>
    <t>Detailed Description / Objectives</t>
  </si>
  <si>
    <t>Benefits Delivered</t>
  </si>
  <si>
    <t>Option 1</t>
  </si>
  <si>
    <t>n/a</t>
  </si>
  <si>
    <t>Do nothing</t>
  </si>
  <si>
    <t>[Insert description of status quo]</t>
  </si>
  <si>
    <t>Option 2</t>
  </si>
  <si>
    <t>Replacement based on historical trend</t>
  </si>
  <si>
    <t>Replacement levels to maintain network performance and reliability and meet compliance obligations</t>
  </si>
  <si>
    <t>Option 3</t>
  </si>
  <si>
    <t>Option 2 plus additional 20% opportunistic replacement</t>
  </si>
  <si>
    <t>Replacement levels to increase network performance and reliability</t>
  </si>
  <si>
    <t>Option 4</t>
  </si>
  <si>
    <t>[Insert short option description]</t>
  </si>
  <si>
    <t>[Insert detailed option description or objectives]</t>
  </si>
  <si>
    <t>[Describe benefits delivered through this option]</t>
  </si>
  <si>
    <t>Option 5</t>
  </si>
  <si>
    <t>Summary</t>
  </si>
  <si>
    <t>Forecast Capex</t>
  </si>
  <si>
    <t>Code</t>
  </si>
  <si>
    <t>Source</t>
  </si>
  <si>
    <t>Volume</t>
  </si>
  <si>
    <t>Calculated</t>
  </si>
  <si>
    <t>Capex model submitted to the AER</t>
  </si>
  <si>
    <t>Unit Costs</t>
  </si>
  <si>
    <t>MATT code</t>
  </si>
  <si>
    <t>Kiosk Refurbishment</t>
  </si>
  <si>
    <t>Dollars</t>
  </si>
  <si>
    <t>Real 2024</t>
  </si>
  <si>
    <t>RHM</t>
  </si>
  <si>
    <t>Trans Ground/Indoor Repl</t>
  </si>
  <si>
    <t>RHD</t>
  </si>
  <si>
    <t>Trans Pole Mounted Repl</t>
  </si>
  <si>
    <t>RHA</t>
  </si>
  <si>
    <t>Transformer/Subs Kiosk Repl</t>
  </si>
  <si>
    <t>RHK</t>
  </si>
  <si>
    <t>Indoor/Kiosk Switch Repl</t>
  </si>
  <si>
    <t>RHE</t>
  </si>
  <si>
    <t>[Spare]</t>
  </si>
  <si>
    <t>Historical Volumes</t>
  </si>
  <si>
    <t>Unique code</t>
  </si>
  <si>
    <t>A108</t>
  </si>
  <si>
    <t>A243</t>
  </si>
  <si>
    <t>A140</t>
  </si>
  <si>
    <t>A148</t>
  </si>
  <si>
    <t>A143</t>
  </si>
  <si>
    <t>Total</t>
  </si>
  <si>
    <t>Replacement Expenditure</t>
  </si>
  <si>
    <t>Replace Metal Trifurcating Boxes</t>
  </si>
  <si>
    <t>Option 3 Adjustment Factor</t>
  </si>
  <si>
    <t>%</t>
  </si>
  <si>
    <t>Volumes</t>
  </si>
  <si>
    <t>Benefits</t>
  </si>
  <si>
    <t>Category</t>
  </si>
  <si>
    <t>Average of Outage Duration (minutes)</t>
  </si>
  <si>
    <t>Minutes</t>
  </si>
  <si>
    <t>Minutes in Hour</t>
  </si>
  <si>
    <t>Average of Outage Duration (Hours)</t>
  </si>
  <si>
    <t>Average number of customers per outage caused by S/S fault</t>
  </si>
  <si>
    <t>#</t>
  </si>
  <si>
    <t>Total Duration (Hours)</t>
  </si>
  <si>
    <t>Hours</t>
  </si>
  <si>
    <t>% Split between Categories</t>
  </si>
  <si>
    <t>% Split</t>
  </si>
  <si>
    <t>Residential</t>
  </si>
  <si>
    <t>Commercial</t>
  </si>
  <si>
    <t>Industrial</t>
  </si>
  <si>
    <t>Total %</t>
  </si>
  <si>
    <t>kW per Hour</t>
  </si>
  <si>
    <t>kWh p.a.</t>
  </si>
  <si>
    <t>Hours per Year</t>
  </si>
  <si>
    <t>Mixed</t>
  </si>
  <si>
    <t xml:space="preserve">2025 VCR - $/kWh  </t>
  </si>
  <si>
    <t>$/kWh</t>
  </si>
  <si>
    <t>AER VCR Final Report</t>
  </si>
  <si>
    <t>Check Dollar Basis</t>
  </si>
  <si>
    <t>VCR Calculation</t>
  </si>
  <si>
    <t>kWh</t>
  </si>
  <si>
    <t>VCR per Outage</t>
  </si>
  <si>
    <t>Total VCR per Outage</t>
  </si>
  <si>
    <t>$</t>
  </si>
  <si>
    <t>Historical Fault Levels</t>
  </si>
  <si>
    <t>Pole Transformer Failures</t>
  </si>
  <si>
    <t>Non-pole Sub Failures</t>
  </si>
  <si>
    <t>Total Fault Levels</t>
  </si>
  <si>
    <t>Fault levels based on historical inspection / condition replacement</t>
  </si>
  <si>
    <t>Estimated Fault Levels &amp; Savings</t>
  </si>
  <si>
    <t>% Averted</t>
  </si>
  <si>
    <t>Option 2: Assume that we will avert 2/5 of faults due to continuing replacement at historical inspection / condition replacement levels</t>
  </si>
  <si>
    <t>Estimated number of faults averted pa</t>
  </si>
  <si>
    <t>Estimated Fault Levels</t>
  </si>
  <si>
    <t>Cost of expected unserved energy pa</t>
  </si>
  <si>
    <t>Reg Period</t>
  </si>
  <si>
    <t>Years</t>
  </si>
  <si>
    <t>Cost of expected unserved energy over 5 years</t>
  </si>
  <si>
    <t>Historical Volume</t>
  </si>
  <si>
    <t>Risks identified and quantified per scenario  (include the assumptions used and show formula in calculating the risks)</t>
  </si>
  <si>
    <t>Sometimes kiosks are taken out of service before end of life,e.g. due to customer request for capacity increase. In this case they may be refurbished and returned to the store to be used for other projects. The alternative option is to scrap these and buy new ones instead, which is a higher cost option. Need to know refurbishment cost vs cost of new kiosk to compare these options.</t>
  </si>
  <si>
    <t>These often supply single large customers like factories or apartment towers and can't be back-fed. These customers would be permanently off supply. Not an option, this is a loss of licence situation.</t>
  </si>
  <si>
    <t>Typically these are run to failure and replaced once they have failed. LV networks are designed without redundancy. We may be able to backfeed some customers at times of lower demand but many customers would be off supply during high demand periods. This would assume we had the resources for the switching required to change network configuration depending on the weather. Not replacing failed pole mounted tx is not really a feasible option. Absolute best case scenario assume 100 customers per sub off for 12 hours per day on the 10 hottest days of the year. 4.5kW per cust. $2.6M cost of unserved energy per year, every year for each failed transformer. Plus GSL penalty costs. And likely loss of licence.</t>
  </si>
  <si>
    <t>Same as pole subs above</t>
  </si>
  <si>
    <t>Same as for subs above, if this is failed then we can't supply customers from the sub. Must be replaced.</t>
  </si>
  <si>
    <t xml:space="preserve">Volume for option 3 (20% more than option 2) </t>
  </si>
  <si>
    <t>Option 3: Assume that we will avert 2/5 of transformer failures due to continuing replacement at historical inspection / condition replacement levels</t>
  </si>
  <si>
    <t>Estimated number of  faults averted pa</t>
  </si>
  <si>
    <t>Period</t>
  </si>
  <si>
    <t>Cost of expected unserved energy is captured over 4 years to refelect the additional time required for replacement</t>
  </si>
  <si>
    <t>HV U/G Cable Replacement</t>
  </si>
  <si>
    <t>RUA</t>
  </si>
  <si>
    <t>LV U/G Cable Replacement</t>
  </si>
  <si>
    <t>RUC</t>
  </si>
  <si>
    <t>Pillar to Pillar</t>
  </si>
  <si>
    <t>RUF</t>
  </si>
  <si>
    <t>HV U/G Termination Replacement</t>
  </si>
  <si>
    <t>RUH</t>
  </si>
  <si>
    <t>LV U/G Termination Replacement</t>
  </si>
  <si>
    <t>RUL</t>
  </si>
  <si>
    <t>[Select from list]</t>
  </si>
  <si>
    <t>A208</t>
  </si>
  <si>
    <t>A210</t>
  </si>
  <si>
    <t>A211</t>
  </si>
  <si>
    <t>A239</t>
  </si>
  <si>
    <t>A213</t>
  </si>
  <si>
    <t>A209</t>
  </si>
  <si>
    <t>Inputs | Sensitivity (Apply to all options)</t>
  </si>
  <si>
    <t>Customer | Customer benefits overestimate</t>
  </si>
  <si>
    <t>Customer benefits overestimate (%)</t>
  </si>
  <si>
    <t>Sensitivity</t>
  </si>
  <si>
    <t>Overestimate by</t>
  </si>
  <si>
    <t>Transformer Failures</t>
  </si>
  <si>
    <t>displayID</t>
  </si>
  <si>
    <t>feeder</t>
  </si>
  <si>
    <t>Feeder with no space</t>
  </si>
  <si>
    <t>jcf_primary_cause</t>
  </si>
  <si>
    <t>Average of CMOS</t>
  </si>
  <si>
    <t>Sum of voltage</t>
  </si>
  <si>
    <t>Average of totalAffected</t>
  </si>
  <si>
    <t>substation</t>
  </si>
  <si>
    <t>nominalFeeder</t>
  </si>
  <si>
    <t>jobtypeText</t>
  </si>
  <si>
    <t>addr</t>
  </si>
  <si>
    <t>jcf_deviceAffected</t>
  </si>
  <si>
    <t>jcf_equipment</t>
  </si>
  <si>
    <t>jcf_interrupting_device</t>
  </si>
  <si>
    <t>networkModelExternalID</t>
  </si>
  <si>
    <t>networkModelName</t>
  </si>
  <si>
    <t>nominalSubstation</t>
  </si>
  <si>
    <t>notes</t>
  </si>
  <si>
    <t>Sum of totalAffectedLoads</t>
  </si>
  <si>
    <t>J.21.0036662</t>
  </si>
  <si>
    <t>SBY23</t>
  </si>
  <si>
    <t>Asset - Electrical Failure</t>
  </si>
  <si>
    <t>Sunbury (SBY)</t>
  </si>
  <si>
    <t>Outage</t>
  </si>
  <si>
    <t>105 SPAVIN DRIVE SUNBURY VIC 3429</t>
  </si>
  <si>
    <t>Distr - Transformer</t>
  </si>
  <si>
    <t>HV Fuse Operation</t>
  </si>
  <si>
    <t>HVSW_36440610</t>
  </si>
  <si>
    <t>SUSPECT SPAVIN DVE P12 TX HAS FAILED, REPLACED WITH 100KVA S/STN (LIKE FOR LIKE). OSI PM NUMBER DID NOT WORK OUT SO RAISED IN SAP PM # 5174596  a/p 81373 issued by kevin karash @ 2050 CANCELLED 2215. see OIW 75274</t>
  </si>
  <si>
    <t>J.22.0065283</t>
  </si>
  <si>
    <t>PTN11</t>
  </si>
  <si>
    <t>Preston (PTN)</t>
  </si>
  <si>
    <t>U 1 , 27 SYLVESTER GROVE PRESTON VIC 3072</t>
  </si>
  <si>
    <t>HVSW_30193724</t>
  </si>
  <si>
    <t>REPLACING 500KVA 22KV KITCHENER-MURRAY S/STN- LEAKING SIGNIFICANT AMOUNT OF OIL. 
@ 09:30 SUB PLACED UNDER LV // 1. SYLVERSTER EAST PLENTY 2. KITCHENER NTH SYLVESTER 3. MURRAY WEST DEAN. 4. HILL NTH GOWER IN HAND WITH M.BODDY TO CLEAN UP.
SAFE TO REPLACE WITH OUT ISOLATING HV
LV EAP #95001 ISSUED BY TIM SCHIPPER @10:45
@10:40 KITCHENER-MURRY S/STN - KITCHENER N GREGORY E &amp; KITCHENER S MURRY S CCT LV BUS FUSE OPEN TO ALLOW ACCESS TO BUS FOR TX REPLACEMENT
LV EAP #95001 CANCELLED BY PAUL JORDAN @13:00
HV FUSES @ KITCHENER-MURRY S/STN CLOSED @ 13:15
TEST VLOTS @ 13:20
POL @ 13:22
REMOVE LV // @ 13:46
CR-001680 TX CHANGED LIKE FOR LIKE</t>
  </si>
  <si>
    <t>J.22.0066040</t>
  </si>
  <si>
    <t>FW 05</t>
  </si>
  <si>
    <t>FW05</t>
  </si>
  <si>
    <t>24799.429633333333</t>
  </si>
  <si>
    <t>Footscray West (FW)</t>
  </si>
  <si>
    <t>37 URWIN STREET YARRAVILLE VIC 3013</t>
  </si>
  <si>
    <t>Emergency Switching</t>
  </si>
  <si>
    <t>HVSW_10673104</t>
  </si>
  <si>
    <t>Crew found blue phase LV lead at Angliss-Adeney burnt out. White phase is showing signs of heat also. Sub has an oil leak and in need of some TLC.
LV //s installed and substation isolated LV and HV to  confirm damage. Crew to split bus and install //'s.
LV //'s - 1. Francis West Urwin, 2.Adeney West Urwin, 3. Urwin Nth Adeney, 4. Ballard Nth Adeney. Tie bus again.
DAO contacted and substation will be replaced in next couple of days.
OI 79562 WRITTEN FOR THIS.</t>
  </si>
  <si>
    <t>J.22.0070222</t>
  </si>
  <si>
    <t>NH 08</t>
  </si>
  <si>
    <t>NH08</t>
  </si>
  <si>
    <t>36593.70341666667</t>
  </si>
  <si>
    <t>North Heidelberg (NH)</t>
  </si>
  <si>
    <t>14 FAIRBANK WAY VIEW BANK VIC 3084</t>
  </si>
  <si>
    <t>HVSW_11081236</t>
  </si>
  <si>
    <t>Operator Sam Sozzi reports 3 x HV 15A BA fuses operated at #17222 to The Glade 15-Sherlowe s/stn. 
Also found LV fuses operated on the blue &amp; white phases on the "Fairbank S Martins SW" street cct. 
D/O arranging U/G Crew &amp; bucket for earthing to issue SFT on cable. **We will need to organise Testers**
LV //'s installed (customers on @ 10:56am) &amp; dressed in GIS -
1. Eugene sth Lower Plenty
2. Castleton cnr Bannockburn
3. Martins east Henderson
4. Rainsford west Eugene
Transformer kiosk appears ok, so potential HV cable fault. 
Sub isolated LV &amp; HV.
Tester will organise another tested to be in attendance Mon 21/11
to be done under faults
teester to attend 23/11/22 to do SFT on cable. A/P# 91563 @ 2235. CANCELLED 2320
M.BLESZCZ OPENED 10439 AT 1700 23/11/22 FOR EARTHING AND WILL CALL WITH A SFT# 6124 @ 18:00. Cancelled @ 20:00.
M.Bleszcz advised that the HV cable &amp; TX needs replacing. In hand with D/O.
24/11/22 - M. Bleszcz has issued AP 91565 @17:40. Cancelled AT 1525
3x Xarms replaced line still isolated due to u/g cable fault and tx fault
job with maintenace planners to replace kiosk</t>
  </si>
  <si>
    <t>J.23.0072354</t>
  </si>
  <si>
    <t>FF 96</t>
  </si>
  <si>
    <t>FF96</t>
  </si>
  <si>
    <t>Fairfield (FF)</t>
  </si>
  <si>
    <t>116A FULHAM ROAD ALPHINGTON VIC 3078</t>
  </si>
  <si>
    <t>HVSW_10659546</t>
  </si>
  <si>
    <t>40E - Crew found 2x HV fuses blown, // installed to restore customers @14:00
Operator inspected transformer and it looked okay. Changed 2 x blown fuses and activated substation. Substation failed and fuses operated again. Substation was isolated HV and DAO advised. OI 80464 PM1334415</t>
  </si>
  <si>
    <t>J.23.0073166</t>
  </si>
  <si>
    <t>KLO22</t>
  </si>
  <si>
    <t>1892.1511333333333</t>
  </si>
  <si>
    <t>Kalkallo (KLO)</t>
  </si>
  <si>
    <t>10 KINLOCH COURT CRAIGIEBURN VIC 3064</t>
  </si>
  <si>
    <t>HVSW_10588102</t>
  </si>
  <si>
    <t>CREW FOUND SPUR FUSE 17337 OPERATED AS WELL AS BLUE PH HV FUSE @ KINLOCH CRT-P3 S/STN.
@10:15 CREW REPLACED 15E BA SPUR FUSE 17337 AND TESTED TX. TX REQUIRES REPLACEMENT POSSIBLY CAUSE FROM COO STRESS TESTING YESTERDAY 20/01/23
@10:20 KINLOCH CRT-P3 S/STN ISOLATED HV &amp; LV TO REPLACE TX
@13:40 EAP #88922 ISSUED BY GEORGE TIOULIS TO REPLACE TX
@15:00 EAP #88922 CANCELLED
@15:15   KINLOCH SRT-P3 S/STN - ACTIVATED, PH ROTATION &amp; POL
NOTE: KINLOCH SRT-P3 S/STN UPGRADED FROM 63KVA TO 100KVA AS NO 63KVA TX AVAILABLE...... CR--001942
PM ORDER #5189178</t>
  </si>
  <si>
    <t>J.23.0075727</t>
  </si>
  <si>
    <t>PV 22</t>
  </si>
  <si>
    <t>PV22</t>
  </si>
  <si>
    <t>12273.391883333334</t>
  </si>
  <si>
    <t>Pascoe Vale (PV)</t>
  </si>
  <si>
    <t>31 LEBANON STREET ESSENDON NORTH VIC 3041</t>
  </si>
  <si>
    <t>HVSW_10549960</t>
  </si>
  <si>
    <t>LV leads on transformer are melted and need replacing. LV//'s installed to restore customers while making repairs. 1. Lebanon cnr Roslyn 2. Roslyn anr Peck 3. Wilonga N/W Lebanon. 4. Melissa S/W Mascoma  @2214
LV Bus was isolated as it needs to be rehashed. Cust at #48 Lebanon is shown as being connected pole to pit outside bus, but is actually inside the bus and was off supply from approx. 2303 to 0119 East side bus isols closed to energise.
LEBANON-FENACRE S/STN needs to be replaced. 
HV earth has been  left on and connected to the bottom contacts of the hv fuse units. 
INSTRUCTION 81006
Crew replaced S/stn with New 500 KVA sub and installed N 40 E ba fuses.
Change Request raised CR-002031</t>
  </si>
  <si>
    <t>J.24.0090571</t>
  </si>
  <si>
    <t>COO12</t>
  </si>
  <si>
    <t>47917.643533333336</t>
  </si>
  <si>
    <t>Coolaroo (COO)</t>
  </si>
  <si>
    <t>COO12 FDR CB - COO12 -   - MICKLEHAM, SUNBURY, BULLA, YUROKE, DIGGERS REST, OAKLANDS JUNCTION, CLARKEFIELD, ATTWOOD, WILDWOOD, GREENVALE, MELBOURNE AIRPORT, WESTMEADOWS,</t>
  </si>
  <si>
    <t>CB Reclose &amp; Open to Lockout</t>
  </si>
  <si>
    <t>STSW_10328609</t>
  </si>
  <si>
    <t>COO12 FDR CB</t>
  </si>
  <si>
    <t>COO12 OPENED TO LOCKOUT AT 1808.
ALL CUSTOMERS RESTORED AT 1858
SEE INSTR 83349
CAUSE = AT OAKLANDS RD-P32E2 THE S/STN HAD FAILED. WHEN THE CREW ATTEMPTED TO CLOSE IN THE HV FUSES COO12 OPENED TO LOCKOUT. 
IN HAND TO HAVE S/STN REPLACED BY KEITH FRASER 5198282</t>
  </si>
  <si>
    <t>J.24.0093890</t>
  </si>
  <si>
    <t>SHM21</t>
  </si>
  <si>
    <t>597603.2333333333</t>
  </si>
  <si>
    <t>Sydenham (SHM)</t>
  </si>
  <si>
    <t>SHM21 FDR CB - SHM21 -   - TAYLORS LAKES, HILLSIDE, CAROLINE SPRINGS, SYDENHAM, TAYLORS HILL,</t>
  </si>
  <si>
    <t>STSW_20344369</t>
  </si>
  <si>
    <t>SHM21 FDR CB</t>
  </si>
  <si>
    <t>SUSPECT CABLE FAULT. THIS PROVED TO BE WRONG AND DUNDEE-MEADE TRANSFORMER HAS FAILED. SECTION ISOLATED AND CUSTOMERS RESTORED VIA LV // FOR DUNDEE-MEADE. ALL OTHER CUSTOMERS OFF SHM21 RESTORED VIA FAULT SWITCHING. SEE OI 83833</t>
  </si>
  <si>
    <t>J.24.0094045</t>
  </si>
  <si>
    <t>FW 13</t>
  </si>
  <si>
    <t>FW13</t>
  </si>
  <si>
    <t>11302 - FW 13 -   - YARRAVILLE,</t>
  </si>
  <si>
    <t>HVSW_20705690</t>
  </si>
  <si>
    <t>UGC was repaired and pressure tested, but Transformer need replacing. Blew two 31.5A PF fuses on energising Trans  a/p 95162 issued  @1407 by M Bleszcz gas swich 11302 checked open and tagged.
A/P 95162 cancelled at 2135, 
SFT 7752 issued at 2140 and cancelled at 2305.
A/P 95164 issued at 2310 and cancelled at 2340..</t>
  </si>
  <si>
    <t>J.24.0094391</t>
  </si>
  <si>
    <t>2307.733333333333</t>
  </si>
  <si>
    <t>11293 - COO12 -   - BULLA, GREENVALE, OAKLANDS JUNCTION,</t>
  </si>
  <si>
    <t>HVSW_30871084</t>
  </si>
  <si>
    <t>emergency switching to repair VT leads at ACR 18077 in somerton rd.</t>
  </si>
  <si>
    <t>J.24.0095711</t>
  </si>
  <si>
    <t>BD 16</t>
  </si>
  <si>
    <t>BD16</t>
  </si>
  <si>
    <t>12870.605966666666</t>
  </si>
  <si>
    <t>Broadmeadows (BD)</t>
  </si>
  <si>
    <t>54 BLACKWOOD CRESCENT CAMPBELLFIELD VIC 3061</t>
  </si>
  <si>
    <t>HVSW_10597184</t>
  </si>
  <si>
    <t>x3 BA FUSES AT BLACKWOOD-SYCAMORE HAVE OPERATED. CREW SUSPECT THE TRANSFORMER MAY BE FAULTY, BUT HARD TO TELL IN THE DARK. CREW HAVE INSTALLED X5 LV //S TO GET THE CUSTOMERS BACK ON. DAY CREW TO INSEPCT TRANSFORMER TO CONFIRM IF FAULTY
LV //S 
1. LV ISOLS CHESTNUT ST [~48M N OF MYRTLE ST, A155733]
2. LV ISOLS SYCAMORE CRES [~46M NW OF CHESTNUT ST, A032647
3. LV ISOLS WARATAH ST [~25M W OF GUMTREE CT, A086388]
4. LV ISOLS BLACKWOOD CRES [~38M S OF POPLAR ST, A086398]
5. LV ISOLS SYCAMORE CRES [~35M N OF MYRTLE ST, A032654]
16/4/24 UPDATE
Spoke to and emailed Martin Boddy.
OI 84098</t>
  </si>
  <si>
    <t>J.24.0097006</t>
  </si>
  <si>
    <t>CS 09</t>
  </si>
  <si>
    <t>CS09</t>
  </si>
  <si>
    <t>8870.033333333333</t>
  </si>
  <si>
    <t>Coburg South (CS)</t>
  </si>
  <si>
    <t>44 COBURG STREET COBURG VIC 3058</t>
  </si>
  <si>
    <t>HVSW_23220712</t>
  </si>
  <si>
    <t>Crew found transformer has failed catastrophically. All 3 HV fuses had operated. Crew to isolate trans LV and open East and West Bus isols. then install LV parallels to restore customers.
1. Sheffield West Coburg. 2. Coburg N Hardwick. 3. Barrow N Hardwick. 4. Barrow N Harding. 5. Harding East Patterson. West CCT @2059 and East CCT @2107. 
Crew tested volts, Red phase was low, so CCTs tied at LV parallel point 6. Barrow cnr Walsh.
EAP #J73425 on issue at 0020 by B Hawtin.
EAP cancelled at 01:45 (10/05) by Damien.
Sub act &amp; POL with LV //'s removed. CR-002767</t>
  </si>
  <si>
    <t>J.24.0097089</t>
  </si>
  <si>
    <t>SHM11</t>
  </si>
  <si>
    <t>84463.18565000001</t>
  </si>
  <si>
    <t>SHM11 FDR CB - SHM11 -   - PLUMPTON, CALDER PARK, DIGGERS REST, BULLA, KEILOR NORTH, SYDENHAM, SUNBURY,</t>
  </si>
  <si>
    <t>STSW_10329678</t>
  </si>
  <si>
    <t>SHM11 FDR CB</t>
  </si>
  <si>
    <t>PATROL FOUND FAILED TRANSFORMER A150617 AT PLUMTON S-HOLDEN P3 10KVA S/S. ISOLATED SUB RESTORED SHM11 FDR</t>
  </si>
  <si>
    <t>J.24.0097663</t>
  </si>
  <si>
    <t>SBY13</t>
  </si>
  <si>
    <t>504220 - SBY13 -   - GISBORNE SOUTH,</t>
  </si>
  <si>
    <t>HVSW_10553164</t>
  </si>
  <si>
    <t>faulty trans being replaced under AP #94203 issued 2200
PERMIT CANCELLED 23 45
TX PLACED ON LOAD AT 00:00 , VOLTS TESTED ALL OKAY.
71 DUGGAN HAS BEEN RECONNECTED
NO ACCCESS TO 28 6001204254  AND 38 6001204253</t>
  </si>
  <si>
    <t>J.24.0101246</t>
  </si>
  <si>
    <t>YVE22</t>
  </si>
  <si>
    <t>15068.866666666667</t>
  </si>
  <si>
    <t>Yarraville (YVE)</t>
  </si>
  <si>
    <t>301160 - YVE22 -   - MARIBYRNONG,</t>
  </si>
  <si>
    <t>LV Fuse Operation</t>
  </si>
  <si>
    <t>HVSW_10666326</t>
  </si>
  <si>
    <t>Crew have advised HV fuse footpath side has operated, crew observe of oil on TX and on Ground. PFF. LV// installed Nth cct  Cust on 2025. Sth CCt Cust On 2031.  Upon Closer Look Crew have observed that HV Fuse has not operated but significant damage  Blue Ph  HV dropper insulator falling off , Subsidary Arm is rotten,  Top of Tx covered in oil, no oil in TX and Oil all over ground  oil contained. Old fuse units, LV bushings white ph Hot spot and bushing cover melted off. TX to be replaced. Tx isolated HV and LV. Burnt out Bus Fuse on Blue Ph. replaced 355 Amp LV fuse. all other fuses OK.
PM#  5203856</t>
  </si>
  <si>
    <t>J.24.0101876</t>
  </si>
  <si>
    <t>2886.3166666666666</t>
  </si>
  <si>
    <t>95 BULLA ROAD BULLA VIC 3428</t>
  </si>
  <si>
    <t>HVSW_30913369</t>
  </si>
  <si>
    <t>TRANSFORMER AT GREEN-BOURKE S/STN FAULTED DURING REFCL TESTING. S/STN ISOLATED HV AND LV AND 4 LV //'S CLOSED. ASR AT 12:02. CUSTOMER'S WERE OFF AT 11:07. REFER TO SWITCHING INSTRUCTION 84809 FOR DETIALS.
Keith Fraser has created job number 5204036 for this job and for the week,</t>
  </si>
  <si>
    <t>J.24.0102975</t>
  </si>
  <si>
    <t>SHM14</t>
  </si>
  <si>
    <t>6199.216666666666</t>
  </si>
  <si>
    <t>53412 - SHM14 -   - SYDENHAM, FRASER RISE,</t>
  </si>
  <si>
    <t>HVSW_36333207</t>
  </si>
  <si>
    <t>Transformer Beattys rd-P8 replaced
Change request raised CR-002945
This outage has been created due to the outage for Tx replacement BEATTYS RD - P8 refer to 
J.24.012924
Large EPV required to replace 2X HV fuses - shift to attend
25kVA Tx, 6K Fuses required. No Cause found, New fuses installed and both operated. LAs cut away, reinstated fuses. Fuses held ,  red ph faulty giving wrong readings.
Closed HV fuses LV isols tested - White and blue phase testing Faulty. 
Rob advises transformer faulty to be replaced. isolated HV and LV 20:09</t>
  </si>
  <si>
    <t>J.24.0103384</t>
  </si>
  <si>
    <t>168569.55936666668</t>
  </si>
  <si>
    <t>51070 - SBY13 -   - GISBORNE SOUTH, DIGGERS REST, TOOLERN VALE, GISBORNE, SUNBURY,</t>
  </si>
  <si>
    <t>ACR Reclose &amp; Lockout</t>
  </si>
  <si>
    <t>HVSW_11087477</t>
  </si>
  <si>
    <t>UNSUCC RECLOSE ACR 51070.
HV FUSE OPERATED AT WATERSONS RD P6E1 &amp; GISB-MELTON RD P24E2N2. WATERSONS RD RESTORED OKAY, GISB-MELTON RD P24E2N2 HAS FAILED AND NEEDS TO BE REPLACED. 63KVA 3 PHASE.
SEE INSTRUCTION 85018
DEBROAH - 0419 117 681. CREW TO CALL WHEN ATTENDING IF THEY HAVE ACCESS ISSUES
EAP ISSUE 96907 ISSUED BY MARK AT 1400.
CANCELLATION -  1435 Cust on 1448</t>
  </si>
  <si>
    <t>J.24.0109184</t>
  </si>
  <si>
    <t>CS 02</t>
  </si>
  <si>
    <t>CS02</t>
  </si>
  <si>
    <t>13167.952066666667</t>
  </si>
  <si>
    <t>5 OBERON STREET COBURG VIC 3058</t>
  </si>
  <si>
    <t>HVSW_22054654</t>
  </si>
  <si>
    <t>Crew found all 3x HV BA fuses operated. Sub isolated HV and LV , bus split and 5 LV //'s installed. Suspect faulty transformer. 
All supply restored 04:49.
PM ORDER: 5207653</t>
  </si>
  <si>
    <t>J.25.0110341</t>
  </si>
  <si>
    <t>26104.433333333334</t>
  </si>
  <si>
    <t>59797 - SHM14 -   - FRASER RISE,</t>
  </si>
  <si>
    <t>HVSW_35262633</t>
  </si>
  <si>
    <t>EMERGENCY SWITCHING TO REPLACE MODEN-FLORESTA S/STN. REFER TO INSTR 85689</t>
  </si>
  <si>
    <t>J.25.0110997</t>
  </si>
  <si>
    <t>ST 24</t>
  </si>
  <si>
    <t>ST24</t>
  </si>
  <si>
    <t>745.0166666666667</t>
  </si>
  <si>
    <t>Somerton (ST)</t>
  </si>
  <si>
    <t>L4, CLIFFORDS ROAD SOMERTON VIC 3062</t>
  </si>
  <si>
    <t>HVSW_10784014</t>
  </si>
  <si>
    <t>boral. Mick found 2 x 15E B/Acid fuses have operated. Crew to isolate LV and replace fuses.
2 X HV BUSHINGS HAVE SUSTAINED DAMAGE AND TRANSFORMER NEEDS TO BE REPLACED.
TRANS REPLACED AND SUPPLY RESTORED.</t>
  </si>
  <si>
    <t>Average</t>
  </si>
  <si>
    <t>Underground Cable Replacement Business Case</t>
  </si>
  <si>
    <t>Table 1: Credible options and summary of economic analysis &amp; Table 8: Costs of Options</t>
  </si>
  <si>
    <t>Total capital expenditure ($m)</t>
  </si>
  <si>
    <t>Value of Customer Reliability ($m over 5 years)</t>
  </si>
  <si>
    <t>Ranking</t>
  </si>
  <si>
    <r>
      <t>Option 1</t>
    </r>
    <r>
      <rPr>
        <sz val="9"/>
        <color rgb="FF000000"/>
        <rFont val="Arial"/>
        <family val="2"/>
      </rPr>
      <t xml:space="preserve"> – Do nothing </t>
    </r>
  </si>
  <si>
    <r>
      <t>Option 2</t>
    </r>
    <r>
      <rPr>
        <sz val="9"/>
        <color rgb="FF000000"/>
        <rFont val="Arial"/>
        <family val="2"/>
      </rPr>
      <t xml:space="preserve"> - Replacement levels to maintain network performance and reliability and meet compliance obligations</t>
    </r>
  </si>
  <si>
    <r>
      <t>Option 3</t>
    </r>
    <r>
      <rPr>
        <sz val="9"/>
        <color rgb="FF000000"/>
        <rFont val="Arial"/>
        <family val="2"/>
      </rPr>
      <t xml:space="preserve"> - Replacement levels to increase network performance and reliability</t>
    </r>
  </si>
  <si>
    <t>Distribution Transformer Replacement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</si>
</sst>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4" formatCode="_-&quot;$&quot;* #,##0.00_-;\-&quot;$&quot;* #,##0.00_-;_-&quot;$&quot;* &quot;-&quot;??_-;_-@_-"/>
    <numFmt numFmtId="164" formatCode="_(* #,##0.00_);_(* \(#,##0.00\);_(* &quot;-&quot;??_);_(@_)"/>
    <numFmt numFmtId="165" formatCode="_-* #,##0_-;\-* #,##0_-;_-* &quot;-&quot;??_-;_-@_-"/>
    <numFmt numFmtId="166" formatCode="_-&quot;$&quot;* #,##0_-;\-&quot;$&quot;* #,##0_-;_-&quot;$&quot;* &quot;-&quot;??_-;_-@_-"/>
    <numFmt numFmtId="167" formatCode="[$-C09]mmmm\ yyyy;@"/>
    <numFmt numFmtId="168" formatCode="[Red]\●;[Red]\●;[Color10]\●"/>
    <numFmt numFmtId="169" formatCode="_(#,##0_);\(#,##0\);_(&quot;-&quot;_)"/>
    <numFmt numFmtId="170" formatCode="mmm\-yyyy"/>
    <numFmt numFmtId="171" formatCode="_(#,##0.00_);\(#,##0.00\);_(&quot;-&quot;_)"/>
    <numFmt numFmtId="172" formatCode="_(#,##0.0_);\(#,##0.0\);_(&quot;-&quot;_)"/>
    <numFmt numFmtId="173" formatCode="0.0%"/>
  </numFmts>
  <fonts count="3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rgb="FF0070C0"/>
      <name val="Aptos Narrow"/>
      <family val="2"/>
      <scheme val="minor"/>
    </font>
    <font>
      <sz val="8"/>
      <name val="Arial"/>
      <family val="2"/>
    </font>
    <font>
      <b/>
      <sz val="8"/>
      <color rgb="FF3B3C3E"/>
      <name val="Arial"/>
      <family val="2"/>
    </font>
    <font>
      <sz val="8"/>
      <color rgb="FF3B3C3E"/>
      <name val="Arial"/>
      <family val="2"/>
    </font>
    <font>
      <sz val="14"/>
      <color theme="1" tint="0.34998626667073579"/>
      <name val="Arial"/>
      <family val="2"/>
    </font>
    <font>
      <b/>
      <sz val="14"/>
      <color rgb="FF3B3C3E"/>
      <name val="Arial"/>
      <family val="2"/>
    </font>
    <font>
      <sz val="8"/>
      <color theme="1" tint="0.34998626667073579"/>
      <name val="Arial"/>
      <family val="2"/>
    </font>
    <font>
      <b/>
      <sz val="8"/>
      <name val="Arial"/>
      <family val="2"/>
    </font>
    <font>
      <b/>
      <sz val="11"/>
      <color theme="1" tint="0.34998626667073579"/>
      <name val="Arial"/>
      <family val="2"/>
    </font>
    <font>
      <u/>
      <sz val="11"/>
      <color theme="1" tint="0.34998626667073579"/>
      <name val="Calibri"/>
      <family val="2"/>
    </font>
    <font>
      <u/>
      <sz val="11"/>
      <color rgb="FF3B3C3E"/>
      <name val="Calibri"/>
      <family val="2"/>
    </font>
    <font>
      <b/>
      <sz val="8"/>
      <color indexed="9"/>
      <name val="Arial"/>
      <family val="2"/>
    </font>
    <font>
      <b/>
      <sz val="10"/>
      <color indexed="9"/>
      <name val="Arial"/>
      <family val="2"/>
    </font>
    <font>
      <sz val="8"/>
      <color indexed="9"/>
      <name val="Arial"/>
      <family val="2"/>
    </font>
    <font>
      <b/>
      <sz val="8"/>
      <color theme="1" tint="0.34998626667073579"/>
      <name val="Arial"/>
      <family val="2"/>
    </font>
    <font>
      <u/>
      <sz val="8"/>
      <color theme="10"/>
      <name val="Arial"/>
      <family val="2"/>
    </font>
    <font>
      <sz val="8"/>
      <color rgb="FFFF0000"/>
      <name val="Arial"/>
      <family val="2"/>
    </font>
    <font>
      <u/>
      <sz val="12"/>
      <color theme="10"/>
      <name val="Arial"/>
      <family val="2"/>
    </font>
    <font>
      <b/>
      <sz val="12"/>
      <color theme="1" tint="0.34998626667073579"/>
      <name val="Arial"/>
      <family val="2"/>
    </font>
    <font>
      <b/>
      <sz val="14"/>
      <color theme="1" tint="0.34998626667073579"/>
      <name val="Aptos Narrow"/>
      <family val="2"/>
      <scheme val="minor"/>
    </font>
    <font>
      <b/>
      <sz val="8"/>
      <color theme="0"/>
      <name val="Arial"/>
      <family val="2"/>
    </font>
    <font>
      <sz val="8"/>
      <color theme="1" tint="0.249977111117893"/>
      <name val="Arial"/>
      <family val="2"/>
    </font>
    <font>
      <b/>
      <sz val="12"/>
      <color theme="1" tint="0.249977111117893"/>
      <name val="Arial"/>
      <family val="2"/>
    </font>
    <font>
      <u/>
      <sz val="10"/>
      <color indexed="12"/>
      <name val="Arial"/>
      <family val="2"/>
    </font>
    <font>
      <u/>
      <sz val="10"/>
      <color theme="1" tint="0.249977111117893"/>
      <name val="Arial"/>
      <family val="2"/>
    </font>
    <font>
      <b/>
      <sz val="12"/>
      <color theme="0"/>
      <name val="Arial"/>
      <family val="2"/>
    </font>
    <font>
      <sz val="8"/>
      <color theme="0"/>
      <name val="Arial"/>
      <family val="2"/>
    </font>
    <font>
      <sz val="8"/>
      <name val="Helvetica"/>
      <family val="2"/>
    </font>
    <font>
      <sz val="9"/>
      <color theme="1" tint="0.34998626667073579"/>
      <name val="Helvetica"/>
      <family val="2"/>
    </font>
    <font>
      <b/>
      <sz val="8"/>
      <color rgb="FFFF0000"/>
      <name val="Arial"/>
      <family val="2"/>
    </font>
    <font>
      <i/>
      <sz val="8"/>
      <name val="Arial"/>
      <family val="2"/>
    </font>
    <font>
      <sz val="9"/>
      <color rgb="FF000000"/>
      <name val="Arial"/>
      <family val="2"/>
    </font>
    <font>
      <b/>
      <sz val="9"/>
      <color rgb="FF26BCD7"/>
      <name val="Arial"/>
      <family val="2"/>
    </font>
    <font>
      <b/>
      <sz val="9"/>
      <color rgb="FF000000"/>
      <name val="Arial"/>
      <family val="2"/>
    </font>
  </fonts>
  <fills count="12">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rgb="FF026CB6"/>
        <bgColor indexed="64"/>
      </patternFill>
    </fill>
    <fill>
      <patternFill patternType="solid">
        <fgColor rgb="FFF8F5A4"/>
        <bgColor indexed="64"/>
      </patternFill>
    </fill>
    <fill>
      <patternFill patternType="solid">
        <fgColor rgb="FFFCDBAE"/>
        <bgColor indexed="64"/>
      </patternFill>
    </fill>
    <fill>
      <patternFill patternType="solid">
        <fgColor rgb="FFCCFFCC"/>
        <bgColor indexed="64"/>
      </patternFill>
    </fill>
    <fill>
      <patternFill patternType="solid">
        <fgColor rgb="FF3366FF"/>
        <bgColor indexed="64"/>
      </patternFill>
    </fill>
    <fill>
      <patternFill patternType="solid">
        <fgColor rgb="FF26BCD7"/>
        <bgColor indexed="64"/>
      </patternFill>
    </fill>
  </fills>
  <borders count="51">
    <border>
      <left/>
      <right/>
      <top/>
      <bottom/>
      <diagonal/>
    </border>
    <border>
      <left style="hair">
        <color theme="0"/>
      </left>
      <right/>
      <top style="hair">
        <color theme="0"/>
      </top>
      <bottom style="hair">
        <color theme="0"/>
      </bottom>
      <diagonal/>
    </border>
    <border>
      <left/>
      <right/>
      <top style="hair">
        <color theme="0"/>
      </top>
      <bottom style="hair">
        <color theme="0"/>
      </bottom>
      <diagonal/>
    </border>
    <border>
      <left/>
      <right/>
      <top/>
      <bottom style="medium">
        <color theme="1" tint="0.34998626667073579"/>
      </bottom>
      <diagonal/>
    </border>
    <border>
      <left/>
      <right style="thick">
        <color theme="0"/>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theme="0"/>
      </left>
      <right style="thin">
        <color theme="0"/>
      </right>
      <top style="thin">
        <color theme="0"/>
      </top>
      <bottom style="thin">
        <color theme="0"/>
      </bottom>
      <diagonal/>
    </border>
    <border>
      <left/>
      <right/>
      <top style="medium">
        <color theme="0"/>
      </top>
      <bottom/>
      <diagonal/>
    </border>
    <border>
      <left/>
      <right/>
      <top/>
      <bottom style="thin">
        <color rgb="FF3B3C3E"/>
      </bottom>
      <diagonal/>
    </border>
    <border>
      <left style="thick">
        <color theme="0"/>
      </left>
      <right/>
      <top/>
      <bottom style="thin">
        <color rgb="FF3B3C3E"/>
      </bottom>
      <diagonal/>
    </border>
    <border>
      <left style="thick">
        <color theme="0"/>
      </left>
      <right/>
      <top/>
      <bottom style="thin">
        <color indexed="64"/>
      </bottom>
      <diagonal/>
    </border>
    <border>
      <left/>
      <right/>
      <top/>
      <bottom style="thin">
        <color indexed="64"/>
      </bottom>
      <diagonal/>
    </border>
    <border>
      <left style="thick">
        <color theme="0"/>
      </left>
      <right/>
      <top/>
      <bottom/>
      <diagonal/>
    </border>
    <border>
      <left style="thin">
        <color theme="0"/>
      </left>
      <right/>
      <top style="thin">
        <color theme="0"/>
      </top>
      <bottom style="thin">
        <color theme="0"/>
      </bottom>
      <diagonal/>
    </border>
    <border>
      <left style="thick">
        <color theme="0"/>
      </left>
      <right/>
      <top style="thin">
        <color theme="0"/>
      </top>
      <bottom style="thin">
        <color theme="0"/>
      </bottom>
      <diagonal/>
    </border>
    <border>
      <left/>
      <right/>
      <top style="thin">
        <color theme="0"/>
      </top>
      <bottom style="thin">
        <color theme="0"/>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right style="thin">
        <color theme="0"/>
      </right>
      <top style="thin">
        <color theme="0"/>
      </top>
      <bottom style="thin">
        <color theme="0"/>
      </bottom>
      <diagonal/>
    </border>
    <border>
      <left/>
      <right style="thick">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bottom style="thin">
        <color rgb="FF3B3C3E"/>
      </bottom>
      <diagonal/>
    </border>
    <border>
      <left style="thin">
        <color theme="0"/>
      </left>
      <right style="dotted">
        <color theme="1"/>
      </right>
      <top style="thin">
        <color theme="0"/>
      </top>
      <bottom style="thin">
        <color theme="0"/>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top/>
      <bottom/>
      <diagonal/>
    </border>
    <border>
      <left style="thin">
        <color indexed="64"/>
      </left>
      <right/>
      <top style="thin">
        <color indexed="64"/>
      </top>
      <bottom/>
      <diagonal/>
    </border>
    <border>
      <left/>
      <right style="dotted">
        <color auto="1"/>
      </right>
      <top/>
      <bottom/>
      <diagonal/>
    </border>
    <border>
      <left/>
      <right style="dotted">
        <color auto="1"/>
      </right>
      <top style="thin">
        <color indexed="64"/>
      </top>
      <bottom/>
      <diagonal/>
    </border>
    <border>
      <left/>
      <right style="dotted">
        <color auto="1"/>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dotted">
        <color theme="1"/>
      </right>
      <top style="thin">
        <color theme="0"/>
      </top>
      <bottom/>
      <diagonal/>
    </border>
    <border>
      <left/>
      <right/>
      <top style="thin">
        <color theme="0"/>
      </top>
      <bottom/>
      <diagonal/>
    </border>
    <border>
      <left style="thin">
        <color indexed="64"/>
      </left>
      <right style="thin">
        <color theme="0"/>
      </right>
      <top style="thin">
        <color theme="0"/>
      </top>
      <bottom/>
      <diagonal/>
    </border>
    <border>
      <left style="thin">
        <color theme="0"/>
      </left>
      <right style="dotted">
        <color theme="1"/>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medium">
        <color rgb="FF7DCCE0"/>
      </right>
      <top style="medium">
        <color rgb="FF7DCCE0"/>
      </top>
      <bottom style="thick">
        <color rgb="FF7DCCE0"/>
      </bottom>
      <diagonal/>
    </border>
    <border>
      <left/>
      <right style="medium">
        <color rgb="FF7DCCE0"/>
      </right>
      <top/>
      <bottom style="medium">
        <color rgb="FF7DCCE0"/>
      </bottom>
      <diagonal/>
    </border>
    <border>
      <left style="medium">
        <color rgb="FF7DCCE0"/>
      </left>
      <right style="medium">
        <color rgb="FF7DCCE0"/>
      </right>
      <top style="medium">
        <color rgb="FF7DCCE0"/>
      </top>
      <bottom style="thick">
        <color rgb="FF7DCCE0"/>
      </bottom>
      <diagonal/>
    </border>
    <border>
      <left style="medium">
        <color rgb="FF7DCCE0"/>
      </left>
      <right style="medium">
        <color rgb="FF7DCCE0"/>
      </right>
      <top/>
      <bottom style="medium">
        <color rgb="FF7DCCE0"/>
      </bottom>
      <diagonal/>
    </border>
  </borders>
  <cellStyleXfs count="6">
    <xf numFmtId="0" fontId="0" fillId="0" borderId="0"/>
    <xf numFmtId="44" fontId="1" fillId="0" borderId="0" applyFont="0" applyFill="0" applyBorder="0" applyAlignment="0" applyProtection="0"/>
    <xf numFmtId="0" fontId="7" fillId="0" borderId="0"/>
    <xf numFmtId="0" fontId="19" fillId="0" borderId="0" applyNumberFormat="0" applyFill="0" applyBorder="0" applyAlignment="0" applyProtection="0"/>
    <xf numFmtId="0" fontId="27" fillId="0" borderId="0" applyNumberFormat="0" applyFill="0" applyBorder="0" applyAlignment="0" applyProtection="0">
      <alignment vertical="top"/>
      <protection locked="0"/>
    </xf>
    <xf numFmtId="168" fontId="31" fillId="0" borderId="0">
      <alignment horizontal="center" vertical="center"/>
    </xf>
  </cellStyleXfs>
  <cellXfs count="173">
    <xf numFmtId="0" fontId="0" fillId="0" borderId="0" xfId="0"/>
    <xf numFmtId="0" fontId="3" fillId="0" borderId="0" xfId="0" applyFont="1"/>
    <xf numFmtId="165" fontId="0" fillId="0" borderId="0" xfId="0" applyNumberFormat="1"/>
    <xf numFmtId="166" fontId="3" fillId="0" borderId="0" xfId="0" applyNumberFormat="1" applyFont="1"/>
    <xf numFmtId="0" fontId="2" fillId="2" borderId="0" xfId="0" applyFont="1" applyFill="1"/>
    <xf numFmtId="9" fontId="0" fillId="0" borderId="0" xfId="0" applyNumberFormat="1"/>
    <xf numFmtId="8" fontId="0" fillId="0" borderId="0" xfId="0" applyNumberFormat="1"/>
    <xf numFmtId="166" fontId="0" fillId="0" borderId="0" xfId="1" applyNumberFormat="1" applyFont="1" applyFill="1"/>
    <xf numFmtId="0" fontId="7" fillId="0" borderId="0" xfId="2"/>
    <xf numFmtId="165" fontId="9" fillId="5" borderId="0" xfId="2" applyNumberFormat="1" applyFont="1" applyFill="1" applyAlignment="1">
      <alignment vertical="center"/>
    </xf>
    <xf numFmtId="0" fontId="10" fillId="0" borderId="0" xfId="2" applyFont="1" applyAlignment="1">
      <alignment horizontal="right" vertical="center"/>
    </xf>
    <xf numFmtId="164" fontId="11" fillId="0" borderId="0" xfId="2" applyNumberFormat="1" applyFont="1" applyAlignment="1">
      <alignment horizontal="center" vertical="center"/>
    </xf>
    <xf numFmtId="164" fontId="11" fillId="0" borderId="0" xfId="2" applyNumberFormat="1" applyFont="1" applyAlignment="1">
      <alignment vertical="center"/>
    </xf>
    <xf numFmtId="0" fontId="10" fillId="0" borderId="0" xfId="2" applyFont="1"/>
    <xf numFmtId="165" fontId="12" fillId="5" borderId="0" xfId="2" applyNumberFormat="1" applyFont="1" applyFill="1"/>
    <xf numFmtId="0" fontId="13" fillId="0" borderId="0" xfId="2" applyFont="1"/>
    <xf numFmtId="0" fontId="14" fillId="0" borderId="0" xfId="2" applyFont="1"/>
    <xf numFmtId="165" fontId="10" fillId="5" borderId="0" xfId="2" applyNumberFormat="1" applyFont="1" applyFill="1"/>
    <xf numFmtId="165" fontId="15" fillId="6" borderId="0" xfId="2" applyNumberFormat="1" applyFont="1" applyFill="1" applyAlignment="1">
      <alignment vertical="center"/>
    </xf>
    <xf numFmtId="165" fontId="16" fillId="6" borderId="0" xfId="2" applyNumberFormat="1" applyFont="1" applyFill="1"/>
    <xf numFmtId="165" fontId="17" fillId="6" borderId="0" xfId="2" applyNumberFormat="1" applyFont="1" applyFill="1"/>
    <xf numFmtId="0" fontId="6" fillId="0" borderId="0" xfId="2" applyFont="1" applyAlignment="1">
      <alignment horizontal="left" vertical="center"/>
    </xf>
    <xf numFmtId="0" fontId="7" fillId="0" borderId="0" xfId="2" applyAlignment="1">
      <alignment horizontal="left" vertical="center"/>
    </xf>
    <xf numFmtId="0" fontId="10" fillId="0" borderId="0" xfId="2" applyFont="1" applyAlignment="1" applyProtection="1">
      <alignment horizontal="left" indent="1"/>
      <protection locked="0"/>
    </xf>
    <xf numFmtId="0" fontId="7" fillId="0" borderId="0" xfId="2" applyAlignment="1">
      <alignment horizontal="left" vertical="center" indent="1"/>
    </xf>
    <xf numFmtId="0" fontId="20" fillId="0" borderId="0" xfId="2" applyFont="1" applyAlignment="1">
      <alignment horizontal="left" vertical="center"/>
    </xf>
    <xf numFmtId="165" fontId="16" fillId="6" borderId="0" xfId="2" applyNumberFormat="1" applyFont="1" applyFill="1" applyAlignment="1">
      <alignment vertical="center"/>
    </xf>
    <xf numFmtId="165" fontId="17" fillId="6" borderId="0" xfId="2" applyNumberFormat="1" applyFont="1" applyFill="1" applyAlignment="1">
      <alignment vertical="center"/>
    </xf>
    <xf numFmtId="0" fontId="21" fillId="0" borderId="0" xfId="2" applyFont="1"/>
    <xf numFmtId="0" fontId="22" fillId="0" borderId="3" xfId="2" applyFont="1" applyBorder="1" applyAlignment="1">
      <alignment horizontal="left" vertical="center"/>
    </xf>
    <xf numFmtId="0" fontId="22" fillId="0" borderId="3" xfId="2" applyFont="1" applyBorder="1" applyAlignment="1">
      <alignment horizontal="center" vertical="center"/>
    </xf>
    <xf numFmtId="0" fontId="23" fillId="0" borderId="3" xfId="2" applyFont="1" applyBorder="1" applyAlignment="1">
      <alignment horizontal="center" vertical="center"/>
    </xf>
    <xf numFmtId="0" fontId="23" fillId="0" borderId="3" xfId="2" applyFont="1" applyBorder="1"/>
    <xf numFmtId="0" fontId="4" fillId="0" borderId="3" xfId="2" applyFont="1" applyBorder="1"/>
    <xf numFmtId="169" fontId="7" fillId="0" borderId="0" xfId="2" applyNumberFormat="1" applyAlignment="1">
      <alignment horizontal="center" vertical="center"/>
    </xf>
    <xf numFmtId="165" fontId="19" fillId="0" borderId="0" xfId="3" applyNumberFormat="1" applyAlignment="1" applyProtection="1"/>
    <xf numFmtId="0" fontId="10" fillId="0" borderId="0" xfId="2" applyFont="1" applyAlignment="1">
      <alignment horizontal="center" vertical="center"/>
    </xf>
    <xf numFmtId="164" fontId="24" fillId="0" borderId="4" xfId="2" applyNumberFormat="1" applyFont="1" applyBorder="1" applyAlignment="1">
      <alignment horizontal="center" vertical="center"/>
    </xf>
    <xf numFmtId="0" fontId="10" fillId="0" borderId="0" xfId="2" applyFont="1" applyAlignment="1">
      <alignment horizontal="left" vertical="center" indent="1"/>
    </xf>
    <xf numFmtId="0" fontId="22" fillId="0" borderId="3" xfId="2" applyFont="1" applyBorder="1"/>
    <xf numFmtId="0" fontId="7" fillId="0" borderId="0" xfId="2" quotePrefix="1" applyAlignment="1">
      <alignment horizontal="center" vertical="center"/>
    </xf>
    <xf numFmtId="0" fontId="14" fillId="0" borderId="0" xfId="2" applyFont="1" applyAlignment="1">
      <alignment horizontal="left" indent="1"/>
    </xf>
    <xf numFmtId="0" fontId="25" fillId="0" borderId="0" xfId="2" applyFont="1"/>
    <xf numFmtId="0" fontId="26" fillId="0" borderId="3" xfId="2" applyFont="1" applyBorder="1" applyAlignment="1">
      <alignment horizontal="center" vertical="center"/>
    </xf>
    <xf numFmtId="0" fontId="26" fillId="0" borderId="3" xfId="2" applyFont="1" applyBorder="1" applyAlignment="1">
      <alignment horizontal="centerContinuous" vertical="center"/>
    </xf>
    <xf numFmtId="0" fontId="26" fillId="0" borderId="3" xfId="2" applyFont="1" applyBorder="1" applyAlignment="1">
      <alignment horizontal="left" vertical="center"/>
    </xf>
    <xf numFmtId="0" fontId="28" fillId="0" borderId="0" xfId="4" applyFont="1" applyFill="1" applyAlignment="1" applyProtection="1"/>
    <xf numFmtId="15" fontId="25" fillId="0" borderId="7" xfId="2" applyNumberFormat="1" applyFont="1" applyBorder="1" applyAlignment="1">
      <alignment horizontal="center" vertical="center"/>
    </xf>
    <xf numFmtId="170" fontId="25" fillId="0" borderId="7" xfId="2" applyNumberFormat="1" applyFont="1" applyBorder="1" applyAlignment="1">
      <alignment horizontal="center" vertical="center"/>
    </xf>
    <xf numFmtId="15" fontId="25" fillId="8" borderId="7" xfId="2" applyNumberFormat="1" applyFont="1" applyFill="1" applyBorder="1" applyAlignment="1">
      <alignment horizontal="center" vertical="center"/>
    </xf>
    <xf numFmtId="15" fontId="25" fillId="0" borderId="0" xfId="2" applyNumberFormat="1" applyFont="1" applyAlignment="1">
      <alignment horizontal="center" vertical="center"/>
    </xf>
    <xf numFmtId="15" fontId="25" fillId="0" borderId="0" xfId="2" applyNumberFormat="1" applyFont="1" applyAlignment="1">
      <alignment horizontal="left" vertical="center" indent="1"/>
    </xf>
    <xf numFmtId="0" fontId="7" fillId="6" borderId="0" xfId="2" applyFill="1" applyAlignment="1">
      <alignment vertical="center"/>
    </xf>
    <xf numFmtId="0" fontId="29" fillId="6" borderId="0" xfId="2" applyFont="1" applyFill="1" applyAlignment="1">
      <alignment horizontal="left" vertical="center" indent="5"/>
    </xf>
    <xf numFmtId="0" fontId="10" fillId="6" borderId="0" xfId="2" applyFont="1" applyFill="1" applyAlignment="1">
      <alignment horizontal="center" vertical="center"/>
    </xf>
    <xf numFmtId="0" fontId="7" fillId="6" borderId="0" xfId="2" applyFill="1" applyAlignment="1">
      <alignment horizontal="center" vertical="center"/>
    </xf>
    <xf numFmtId="0" fontId="20" fillId="6" borderId="0" xfId="2" applyFont="1" applyFill="1" applyAlignment="1">
      <alignment horizontal="center" vertical="center"/>
    </xf>
    <xf numFmtId="0" fontId="30" fillId="6" borderId="0" xfId="2" applyFont="1" applyFill="1" applyAlignment="1">
      <alignment horizontal="right" vertical="center"/>
    </xf>
    <xf numFmtId="164" fontId="24" fillId="10" borderId="0" xfId="2" applyNumberFormat="1" applyFont="1" applyFill="1" applyAlignment="1">
      <alignment horizontal="center" vertical="center"/>
    </xf>
    <xf numFmtId="164" fontId="11" fillId="10" borderId="0" xfId="2" applyNumberFormat="1" applyFont="1" applyFill="1" applyAlignment="1">
      <alignment horizontal="center" vertical="center"/>
    </xf>
    <xf numFmtId="0" fontId="10" fillId="7" borderId="9" xfId="2" applyFont="1" applyFill="1" applyBorder="1" applyAlignment="1">
      <alignment horizontal="center" vertical="center"/>
    </xf>
    <xf numFmtId="0" fontId="10" fillId="9" borderId="9" xfId="2" applyFont="1" applyFill="1" applyBorder="1" applyAlignment="1">
      <alignment horizontal="center" vertical="center"/>
    </xf>
    <xf numFmtId="0" fontId="10" fillId="8" borderId="9" xfId="2" applyFont="1" applyFill="1" applyBorder="1" applyAlignment="1">
      <alignment horizontal="center" vertical="center"/>
    </xf>
    <xf numFmtId="0" fontId="10" fillId="0" borderId="9" xfId="2" applyFont="1" applyBorder="1" applyAlignment="1">
      <alignment horizontal="center" vertical="center"/>
    </xf>
    <xf numFmtId="0" fontId="24" fillId="6" borderId="0" xfId="2" applyFont="1" applyFill="1" applyAlignment="1">
      <alignment horizontal="left" vertical="center" indent="5"/>
    </xf>
    <xf numFmtId="0" fontId="20" fillId="6" borderId="10" xfId="2" applyFont="1" applyFill="1" applyBorder="1" applyAlignment="1">
      <alignment horizontal="center" vertical="center"/>
    </xf>
    <xf numFmtId="0" fontId="30" fillId="6" borderId="10" xfId="2" applyFont="1" applyFill="1" applyBorder="1" applyAlignment="1">
      <alignment horizontal="center" vertical="center"/>
    </xf>
    <xf numFmtId="0" fontId="15" fillId="6" borderId="10" xfId="2" applyFont="1" applyFill="1" applyBorder="1" applyAlignment="1">
      <alignment horizontal="right" indent="1"/>
    </xf>
    <xf numFmtId="0" fontId="18" fillId="9" borderId="10" xfId="2" quotePrefix="1" applyFont="1" applyFill="1" applyBorder="1" applyAlignment="1">
      <alignment horizontal="center"/>
    </xf>
    <xf numFmtId="0" fontId="24" fillId="6" borderId="10" xfId="2" applyFont="1" applyFill="1" applyBorder="1" applyAlignment="1">
      <alignment horizontal="center"/>
    </xf>
    <xf numFmtId="0" fontId="20" fillId="0" borderId="0" xfId="2" applyFont="1" applyAlignment="1">
      <alignment horizontal="center" vertical="center"/>
    </xf>
    <xf numFmtId="165" fontId="10" fillId="5" borderId="0" xfId="2" applyNumberFormat="1" applyFont="1" applyFill="1" applyAlignment="1">
      <alignment vertical="center"/>
    </xf>
    <xf numFmtId="0" fontId="24" fillId="6" borderId="0" xfId="2" applyFont="1" applyFill="1"/>
    <xf numFmtId="0" fontId="30" fillId="6" borderId="0" xfId="2" applyFont="1" applyFill="1" applyAlignment="1">
      <alignment horizontal="left" vertical="center"/>
    </xf>
    <xf numFmtId="0" fontId="18" fillId="0" borderId="11" xfId="2" applyFont="1" applyBorder="1" applyAlignment="1">
      <alignment horizontal="left" vertical="center" indent="1"/>
    </xf>
    <xf numFmtId="0" fontId="18" fillId="0" borderId="11" xfId="2" applyFont="1" applyBorder="1" applyAlignment="1">
      <alignment horizontal="center" vertical="center"/>
    </xf>
    <xf numFmtId="0" fontId="18" fillId="0" borderId="12" xfId="2" applyFont="1" applyBorder="1" applyAlignment="1">
      <alignment horizontal="centerContinuous" vertical="center"/>
    </xf>
    <xf numFmtId="0" fontId="18" fillId="0" borderId="11" xfId="2" applyFont="1" applyBorder="1" applyAlignment="1">
      <alignment horizontal="centerContinuous" vertical="center"/>
    </xf>
    <xf numFmtId="0" fontId="18" fillId="0" borderId="13" xfId="2" applyFont="1" applyBorder="1" applyAlignment="1">
      <alignment horizontal="centerContinuous" vertical="center"/>
    </xf>
    <xf numFmtId="0" fontId="18" fillId="0" borderId="14" xfId="2" applyFont="1" applyBorder="1" applyAlignment="1">
      <alignment horizontal="centerContinuous" vertical="center"/>
    </xf>
    <xf numFmtId="0" fontId="20" fillId="0" borderId="15" xfId="2" applyFont="1" applyBorder="1" applyAlignment="1">
      <alignment horizontal="center" vertical="center"/>
    </xf>
    <xf numFmtId="0" fontId="10" fillId="0" borderId="16" xfId="2" applyFont="1" applyBorder="1" applyAlignment="1">
      <alignment horizontal="center" vertical="center"/>
    </xf>
    <xf numFmtId="0" fontId="10" fillId="7" borderId="16" xfId="2" applyFont="1" applyFill="1" applyBorder="1" applyAlignment="1" applyProtection="1">
      <alignment horizontal="center" vertical="center" wrapText="1"/>
      <protection locked="0"/>
    </xf>
    <xf numFmtId="168" fontId="32" fillId="0" borderId="0" xfId="5" applyFont="1">
      <alignment horizontal="center" vertical="center"/>
    </xf>
    <xf numFmtId="0" fontId="20" fillId="0" borderId="0" xfId="2" applyFont="1" applyAlignment="1" applyProtection="1">
      <alignment horizontal="center" vertical="center"/>
      <protection locked="0"/>
    </xf>
    <xf numFmtId="0" fontId="20" fillId="11" borderId="0" xfId="2" applyFont="1" applyFill="1" applyAlignment="1">
      <alignment horizontal="center" vertical="center"/>
    </xf>
    <xf numFmtId="0" fontId="24" fillId="11" borderId="0" xfId="2" applyFont="1" applyFill="1" applyAlignment="1">
      <alignment vertical="center"/>
    </xf>
    <xf numFmtId="0" fontId="33" fillId="11" borderId="0" xfId="2" applyFont="1" applyFill="1" applyAlignment="1">
      <alignment horizontal="center" vertical="center"/>
    </xf>
    <xf numFmtId="0" fontId="18" fillId="0" borderId="14" xfId="2" applyFont="1" applyBorder="1" applyAlignment="1">
      <alignment horizontal="center" vertical="center"/>
    </xf>
    <xf numFmtId="0" fontId="10" fillId="7" borderId="24" xfId="2" applyFont="1" applyFill="1" applyBorder="1" applyAlignment="1" applyProtection="1">
      <alignment horizontal="left" vertical="center" wrapText="1" indent="1"/>
      <protection locked="0"/>
    </xf>
    <xf numFmtId="165" fontId="10" fillId="0" borderId="0" xfId="2" applyNumberFormat="1" applyFont="1" applyAlignment="1">
      <alignment horizontal="center"/>
    </xf>
    <xf numFmtId="171" fontId="10" fillId="7" borderId="22" xfId="2" applyNumberFormat="1" applyFont="1" applyFill="1" applyBorder="1" applyAlignment="1" applyProtection="1">
      <alignment horizontal="center" vertical="center"/>
      <protection locked="0"/>
    </xf>
    <xf numFmtId="0" fontId="18" fillId="0" borderId="25" xfId="2" applyFont="1" applyBorder="1" applyAlignment="1">
      <alignment horizontal="center" vertical="center"/>
    </xf>
    <xf numFmtId="10" fontId="10" fillId="7" borderId="9" xfId="2" applyNumberFormat="1" applyFont="1" applyFill="1" applyBorder="1" applyAlignment="1" applyProtection="1">
      <alignment horizontal="center" vertical="center"/>
      <protection locked="0"/>
    </xf>
    <xf numFmtId="0" fontId="18" fillId="0" borderId="11" xfId="2" applyFont="1" applyBorder="1" applyAlignment="1">
      <alignment horizontal="left" vertical="center"/>
    </xf>
    <xf numFmtId="169" fontId="10" fillId="7" borderId="22" xfId="2" applyNumberFormat="1" applyFont="1" applyFill="1" applyBorder="1" applyAlignment="1" applyProtection="1">
      <alignment horizontal="center" vertical="center"/>
      <protection locked="0"/>
    </xf>
    <xf numFmtId="169" fontId="18" fillId="0" borderId="9" xfId="0" applyNumberFormat="1" applyFont="1" applyBorder="1" applyAlignment="1">
      <alignment horizontal="center" vertical="center"/>
    </xf>
    <xf numFmtId="169" fontId="18" fillId="0" borderId="22" xfId="0" applyNumberFormat="1" applyFont="1" applyBorder="1" applyAlignment="1">
      <alignment horizontal="center" vertical="center"/>
    </xf>
    <xf numFmtId="169" fontId="10" fillId="7" borderId="26" xfId="2" applyNumberFormat="1" applyFont="1" applyFill="1" applyBorder="1" applyAlignment="1" applyProtection="1">
      <alignment horizontal="center" vertical="center"/>
      <protection locked="0"/>
    </xf>
    <xf numFmtId="169" fontId="18" fillId="0" borderId="26" xfId="0" applyNumberFormat="1" applyFont="1" applyBorder="1" applyAlignment="1">
      <alignment horizontal="center" vertical="center"/>
    </xf>
    <xf numFmtId="0" fontId="7" fillId="0" borderId="27" xfId="2" applyBorder="1"/>
    <xf numFmtId="169" fontId="18" fillId="0" borderId="28" xfId="0" applyNumberFormat="1" applyFont="1" applyBorder="1" applyAlignment="1">
      <alignment horizontal="center" vertical="center"/>
    </xf>
    <xf numFmtId="169" fontId="10" fillId="0" borderId="0" xfId="0" applyNumberFormat="1" applyFont="1" applyAlignment="1">
      <alignment horizontal="center" vertical="center"/>
    </xf>
    <xf numFmtId="173" fontId="10" fillId="7" borderId="9" xfId="2" applyNumberFormat="1" applyFont="1" applyFill="1" applyBorder="1" applyAlignment="1" applyProtection="1">
      <alignment horizontal="center" vertical="center"/>
      <protection locked="0"/>
    </xf>
    <xf numFmtId="173" fontId="10" fillId="7" borderId="31" xfId="2" applyNumberFormat="1" applyFont="1" applyFill="1" applyBorder="1" applyAlignment="1" applyProtection="1">
      <alignment horizontal="center" vertical="center"/>
      <protection locked="0"/>
    </xf>
    <xf numFmtId="173" fontId="11" fillId="0" borderId="30" xfId="2" applyNumberFormat="1" applyFont="1" applyBorder="1" applyAlignment="1">
      <alignment horizontal="center" vertical="center"/>
    </xf>
    <xf numFmtId="168" fontId="31" fillId="0" borderId="0" xfId="5">
      <alignment horizontal="center" vertical="center"/>
    </xf>
    <xf numFmtId="172" fontId="10" fillId="0" borderId="0" xfId="0" applyNumberFormat="1" applyFont="1" applyAlignment="1">
      <alignment horizontal="center" vertical="center"/>
    </xf>
    <xf numFmtId="171" fontId="10" fillId="0" borderId="0" xfId="0" applyNumberFormat="1" applyFont="1" applyAlignment="1">
      <alignment horizontal="center" vertical="center"/>
    </xf>
    <xf numFmtId="169" fontId="10" fillId="0" borderId="30" xfId="0" applyNumberFormat="1" applyFont="1" applyBorder="1" applyAlignment="1">
      <alignment horizontal="center" vertical="center"/>
    </xf>
    <xf numFmtId="169" fontId="18" fillId="0" borderId="30" xfId="0" applyNumberFormat="1" applyFont="1" applyBorder="1" applyAlignment="1">
      <alignment horizontal="center" vertical="center"/>
    </xf>
    <xf numFmtId="169" fontId="18" fillId="0" borderId="0" xfId="0" applyNumberFormat="1" applyFont="1" applyAlignment="1">
      <alignment horizontal="center" vertical="center"/>
    </xf>
    <xf numFmtId="165" fontId="10" fillId="3" borderId="0" xfId="2" applyNumberFormat="1" applyFont="1" applyFill="1" applyAlignment="1">
      <alignment horizontal="center"/>
    </xf>
    <xf numFmtId="165" fontId="20" fillId="3" borderId="0" xfId="2" applyNumberFormat="1" applyFont="1" applyFill="1" applyAlignment="1">
      <alignment horizontal="left"/>
    </xf>
    <xf numFmtId="0" fontId="20" fillId="3" borderId="0" xfId="2" applyFont="1" applyFill="1"/>
    <xf numFmtId="169" fontId="18" fillId="0" borderId="29" xfId="0" applyNumberFormat="1" applyFont="1" applyBorder="1" applyAlignment="1">
      <alignment horizontal="center" vertical="center"/>
    </xf>
    <xf numFmtId="0" fontId="34" fillId="0" borderId="0" xfId="2" applyFont="1" applyAlignment="1">
      <alignment horizontal="left" vertical="center"/>
    </xf>
    <xf numFmtId="169" fontId="10" fillId="7" borderId="32" xfId="2" applyNumberFormat="1" applyFont="1" applyFill="1" applyBorder="1" applyAlignment="1" applyProtection="1">
      <alignment horizontal="center" vertical="center"/>
      <protection locked="0"/>
    </xf>
    <xf numFmtId="169" fontId="18" fillId="4" borderId="29" xfId="0" applyNumberFormat="1" applyFont="1" applyFill="1" applyBorder="1" applyAlignment="1">
      <alignment horizontal="center" vertical="center"/>
    </xf>
    <xf numFmtId="165" fontId="10" fillId="0" borderId="0" xfId="2" applyNumberFormat="1" applyFont="1" applyAlignment="1">
      <alignment horizontal="left"/>
    </xf>
    <xf numFmtId="169" fontId="10" fillId="0" borderId="33" xfId="0" applyNumberFormat="1" applyFont="1" applyBorder="1" applyAlignment="1">
      <alignment horizontal="center" vertical="center"/>
    </xf>
    <xf numFmtId="169" fontId="10" fillId="0" borderId="34" xfId="0" applyNumberFormat="1" applyFont="1" applyBorder="1" applyAlignment="1">
      <alignment horizontal="center" vertical="center"/>
    </xf>
    <xf numFmtId="169" fontId="10" fillId="0" borderId="35" xfId="0" applyNumberFormat="1" applyFont="1" applyBorder="1" applyAlignment="1">
      <alignment horizontal="center" vertical="center"/>
    </xf>
    <xf numFmtId="169" fontId="10" fillId="0" borderId="36" xfId="0" applyNumberFormat="1" applyFont="1" applyBorder="1" applyAlignment="1">
      <alignment horizontal="center" vertical="center"/>
    </xf>
    <xf numFmtId="0" fontId="10" fillId="7" borderId="24" xfId="2" applyFont="1" applyFill="1" applyBorder="1" applyAlignment="1" applyProtection="1">
      <alignment horizontal="center" vertical="center" wrapText="1"/>
      <protection locked="0"/>
    </xf>
    <xf numFmtId="169" fontId="10" fillId="7" borderId="37" xfId="2" applyNumberFormat="1" applyFont="1" applyFill="1" applyBorder="1" applyAlignment="1" applyProtection="1">
      <alignment horizontal="center" vertical="center"/>
      <protection locked="0"/>
    </xf>
    <xf numFmtId="169" fontId="10" fillId="7" borderId="18" xfId="2" applyNumberFormat="1" applyFont="1" applyFill="1" applyBorder="1" applyAlignment="1" applyProtection="1">
      <alignment horizontal="center" vertical="center"/>
      <protection locked="0"/>
    </xf>
    <xf numFmtId="169" fontId="18" fillId="0" borderId="38" xfId="0" applyNumberFormat="1" applyFont="1" applyBorder="1" applyAlignment="1">
      <alignment horizontal="center" vertical="center"/>
    </xf>
    <xf numFmtId="169" fontId="10" fillId="7" borderId="40" xfId="2" applyNumberFormat="1" applyFont="1" applyFill="1" applyBorder="1" applyAlignment="1" applyProtection="1">
      <alignment horizontal="center" vertical="center"/>
      <protection locked="0"/>
    </xf>
    <xf numFmtId="169" fontId="10" fillId="7" borderId="41" xfId="2" applyNumberFormat="1" applyFont="1" applyFill="1" applyBorder="1" applyAlignment="1" applyProtection="1">
      <alignment horizontal="center" vertical="center"/>
      <protection locked="0"/>
    </xf>
    <xf numFmtId="169" fontId="18" fillId="0" borderId="42" xfId="0" applyNumberFormat="1" applyFont="1" applyBorder="1" applyAlignment="1">
      <alignment horizontal="center" vertical="center"/>
    </xf>
    <xf numFmtId="169" fontId="18" fillId="0" borderId="39" xfId="0" applyNumberFormat="1" applyFont="1" applyBorder="1" applyAlignment="1">
      <alignment horizontal="center" vertical="center"/>
    </xf>
    <xf numFmtId="169" fontId="18" fillId="0" borderId="43" xfId="0" applyNumberFormat="1" applyFont="1" applyBorder="1" applyAlignment="1">
      <alignment horizontal="center" vertical="center"/>
    </xf>
    <xf numFmtId="169" fontId="18" fillId="0" borderId="44" xfId="0" applyNumberFormat="1" applyFont="1" applyBorder="1" applyAlignment="1">
      <alignment horizontal="center" vertical="center"/>
    </xf>
    <xf numFmtId="169" fontId="18" fillId="0" borderId="45" xfId="0" applyNumberFormat="1" applyFont="1" applyBorder="1" applyAlignment="1">
      <alignment horizontal="center" vertical="center"/>
    </xf>
    <xf numFmtId="169" fontId="18" fillId="0" borderId="46" xfId="0" applyNumberFormat="1" applyFont="1" applyBorder="1" applyAlignment="1">
      <alignment horizontal="center" vertical="center"/>
    </xf>
    <xf numFmtId="169" fontId="18" fillId="4" borderId="38" xfId="0" applyNumberFormat="1" applyFont="1" applyFill="1" applyBorder="1" applyAlignment="1">
      <alignment horizontal="center" vertical="center"/>
    </xf>
    <xf numFmtId="0" fontId="36" fillId="0" borderId="47" xfId="0" applyFont="1" applyBorder="1" applyAlignment="1">
      <alignment horizontal="center" vertical="center" wrapText="1"/>
    </xf>
    <xf numFmtId="0" fontId="36" fillId="0" borderId="49" xfId="0" applyFont="1" applyBorder="1" applyAlignment="1">
      <alignment vertical="center" wrapText="1"/>
    </xf>
    <xf numFmtId="0" fontId="37" fillId="0" borderId="50" xfId="0" applyFont="1" applyBorder="1" applyAlignment="1">
      <alignment vertical="center" wrapText="1"/>
    </xf>
    <xf numFmtId="169" fontId="35" fillId="0" borderId="48" xfId="0" applyNumberFormat="1" applyFont="1" applyBorder="1" applyAlignment="1">
      <alignment horizontal="center" vertical="center" wrapText="1"/>
    </xf>
    <xf numFmtId="171" fontId="35" fillId="0" borderId="48" xfId="0" applyNumberFormat="1" applyFont="1" applyBorder="1" applyAlignment="1">
      <alignment horizontal="center" vertical="center" wrapText="1"/>
    </xf>
    <xf numFmtId="0" fontId="18" fillId="0" borderId="11" xfId="2" applyFont="1" applyBorder="1" applyAlignment="1">
      <alignment horizontal="center" vertical="center" wrapText="1"/>
    </xf>
    <xf numFmtId="0" fontId="20" fillId="0" borderId="27" xfId="2" applyFont="1" applyBorder="1" applyAlignment="1">
      <alignment horizontal="center" vertical="center"/>
    </xf>
    <xf numFmtId="15" fontId="25" fillId="0" borderId="5" xfId="2" applyNumberFormat="1" applyFont="1" applyBorder="1" applyAlignment="1">
      <alignment horizontal="center" vertical="center"/>
    </xf>
    <xf numFmtId="15" fontId="25" fillId="0" borderId="6" xfId="2" applyNumberFormat="1" applyFont="1" applyBorder="1" applyAlignment="1">
      <alignment horizontal="center" vertical="center"/>
    </xf>
    <xf numFmtId="15" fontId="25" fillId="0" borderId="5" xfId="2" applyNumberFormat="1" applyFont="1" applyBorder="1" applyAlignment="1">
      <alignment horizontal="left" vertical="center" wrapText="1" indent="1"/>
    </xf>
    <xf numFmtId="15" fontId="25" fillId="0" borderId="8" xfId="2" applyNumberFormat="1" applyFont="1" applyBorder="1" applyAlignment="1">
      <alignment horizontal="left" vertical="center" wrapText="1" indent="1"/>
    </xf>
    <xf numFmtId="15" fontId="25" fillId="0" borderId="6" xfId="2" applyNumberFormat="1" applyFont="1" applyBorder="1" applyAlignment="1">
      <alignment horizontal="left" vertical="center" wrapText="1" indent="1"/>
    </xf>
    <xf numFmtId="15" fontId="25" fillId="0" borderId="5" xfId="2" applyNumberFormat="1" applyFont="1" applyBorder="1" applyAlignment="1">
      <alignment horizontal="left" vertical="center" indent="1"/>
    </xf>
    <xf numFmtId="15" fontId="25" fillId="0" borderId="8" xfId="2" applyNumberFormat="1" applyFont="1" applyBorder="1" applyAlignment="1">
      <alignment horizontal="left" vertical="center" indent="1"/>
    </xf>
    <xf numFmtId="15" fontId="25" fillId="0" borderId="6" xfId="2" applyNumberFormat="1" applyFont="1" applyBorder="1" applyAlignment="1">
      <alignment horizontal="left" vertical="center" indent="1"/>
    </xf>
    <xf numFmtId="0" fontId="5" fillId="7" borderId="5" xfId="2" applyFont="1" applyFill="1" applyBorder="1" applyAlignment="1">
      <alignment horizontal="center" vertical="center"/>
    </xf>
    <xf numFmtId="0" fontId="5" fillId="7" borderId="6" xfId="2" applyFont="1" applyFill="1" applyBorder="1" applyAlignment="1">
      <alignment horizontal="center" vertical="center"/>
    </xf>
    <xf numFmtId="165" fontId="8" fillId="5" borderId="0" xfId="2" applyNumberFormat="1" applyFont="1" applyFill="1" applyAlignment="1">
      <alignment horizontal="left" indent="3"/>
    </xf>
    <xf numFmtId="0" fontId="7" fillId="0" borderId="0" xfId="2"/>
    <xf numFmtId="0" fontId="18" fillId="7" borderId="1" xfId="2" applyFont="1" applyFill="1" applyBorder="1" applyAlignment="1" applyProtection="1">
      <alignment horizontal="left" vertical="center" wrapText="1" indent="1"/>
      <protection locked="0"/>
    </xf>
    <xf numFmtId="0" fontId="18" fillId="7" borderId="2" xfId="2" applyFont="1" applyFill="1" applyBorder="1" applyAlignment="1" applyProtection="1">
      <alignment horizontal="left" vertical="center" wrapText="1" indent="1"/>
      <protection locked="0"/>
    </xf>
    <xf numFmtId="167" fontId="18" fillId="7" borderId="1" xfId="2" applyNumberFormat="1" applyFont="1" applyFill="1" applyBorder="1" applyAlignment="1" applyProtection="1">
      <alignment horizontal="left" vertical="center" wrapText="1" indent="1"/>
      <protection locked="0"/>
    </xf>
    <xf numFmtId="167" fontId="18" fillId="7" borderId="2" xfId="2" applyNumberFormat="1" applyFont="1" applyFill="1" applyBorder="1" applyAlignment="1" applyProtection="1">
      <alignment horizontal="left" vertical="center" wrapText="1" indent="1"/>
      <protection locked="0"/>
    </xf>
    <xf numFmtId="0" fontId="5" fillId="9" borderId="5" xfId="2" applyFont="1" applyFill="1" applyBorder="1" applyAlignment="1">
      <alignment horizontal="center" vertical="center"/>
    </xf>
    <xf numFmtId="0" fontId="5" fillId="9" borderId="6" xfId="2" applyFont="1" applyFill="1" applyBorder="1" applyAlignment="1">
      <alignment horizontal="center" vertical="center"/>
    </xf>
    <xf numFmtId="0" fontId="5" fillId="8" borderId="5" xfId="2" applyFont="1" applyFill="1" applyBorder="1" applyAlignment="1">
      <alignment horizontal="center" vertical="center"/>
    </xf>
    <xf numFmtId="0" fontId="5" fillId="8" borderId="6" xfId="2" applyFont="1" applyFill="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10" fillId="7" borderId="17" xfId="2" applyFont="1" applyFill="1" applyBorder="1" applyAlignment="1" applyProtection="1">
      <alignment horizontal="left" vertical="top" wrapText="1" indent="1"/>
      <protection locked="0"/>
    </xf>
    <xf numFmtId="0" fontId="10" fillId="7" borderId="18" xfId="2" applyFont="1" applyFill="1" applyBorder="1" applyAlignment="1" applyProtection="1">
      <alignment horizontal="left" vertical="top" wrapText="1" indent="1"/>
      <protection locked="0"/>
    </xf>
    <xf numFmtId="0" fontId="10" fillId="7" borderId="22" xfId="2" applyFont="1" applyFill="1" applyBorder="1" applyAlignment="1" applyProtection="1">
      <alignment horizontal="left" vertical="top" wrapText="1" indent="1"/>
      <protection locked="0"/>
    </xf>
    <xf numFmtId="0" fontId="10" fillId="7" borderId="23" xfId="2" applyFont="1" applyFill="1" applyBorder="1" applyAlignment="1" applyProtection="1">
      <alignment horizontal="left" vertical="top" wrapText="1" indent="1"/>
      <protection locked="0"/>
    </xf>
    <xf numFmtId="0" fontId="10" fillId="0" borderId="19" xfId="2" applyFont="1" applyBorder="1" applyAlignment="1">
      <alignment horizontal="center" vertical="top" wrapText="1"/>
    </xf>
    <xf numFmtId="0" fontId="10" fillId="0" borderId="20" xfId="2" applyFont="1" applyBorder="1" applyAlignment="1">
      <alignment horizontal="center" vertical="top" wrapText="1"/>
    </xf>
    <xf numFmtId="0" fontId="10" fillId="0" borderId="21" xfId="2" applyFont="1" applyBorder="1" applyAlignment="1">
      <alignment horizontal="center" vertical="top" wrapText="1"/>
    </xf>
  </cellXfs>
  <cellStyles count="6">
    <cellStyle name="Check RedRedGreen" xfId="5" xr:uid="{46DBC03A-D28F-442B-8FD7-89B9887790FC}"/>
    <cellStyle name="Currency" xfId="1" builtinId="4"/>
    <cellStyle name="Hyperlink 2" xfId="3" xr:uid="{229DF80C-04DE-4303-992F-A53B355704B2}"/>
    <cellStyle name="Hyperlink 2 2" xfId="4" xr:uid="{B4495C87-F898-45C8-A02F-4DE8B295CBA9}"/>
    <cellStyle name="Normal" xfId="0" builtinId="0"/>
    <cellStyle name="Normal 2" xfId="2" xr:uid="{2C0D854E-D085-41A7-BDB5-44BDAD48CD4C}"/>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3</xdr:col>
      <xdr:colOff>55909</xdr:colOff>
      <xdr:row>5</xdr:row>
      <xdr:rowOff>59154</xdr:rowOff>
    </xdr:to>
    <xdr:pic>
      <xdr:nvPicPr>
        <xdr:cNvPr id="2" name="Picture 1">
          <a:extLst>
            <a:ext uri="{FF2B5EF4-FFF2-40B4-BE49-F238E27FC236}">
              <a16:creationId xmlns:a16="http://schemas.microsoft.com/office/drawing/2014/main" id="{2F3C7991-2B71-4318-B9E6-986B4AA99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1094134" cy="754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7DF4F4A0-2B38-4BE0-9E5C-5282528EB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93BFCF78-C812-490D-9675-D3C07A79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twoCellAnchor editAs="oneCell">
    <xdr:from>
      <xdr:col>18</xdr:col>
      <xdr:colOff>545600</xdr:colOff>
      <xdr:row>11</xdr:row>
      <xdr:rowOff>0</xdr:rowOff>
    </xdr:from>
    <xdr:to>
      <xdr:col>27</xdr:col>
      <xdr:colOff>0</xdr:colOff>
      <xdr:row>39</xdr:row>
      <xdr:rowOff>110075</xdr:rowOff>
    </xdr:to>
    <xdr:pic>
      <xdr:nvPicPr>
        <xdr:cNvPr id="3" name="Picture 2">
          <a:extLst>
            <a:ext uri="{FF2B5EF4-FFF2-40B4-BE49-F238E27FC236}">
              <a16:creationId xmlns:a16="http://schemas.microsoft.com/office/drawing/2014/main" id="{D7DBCC53-5623-4D36-9EA5-BE92F17EDB74}"/>
            </a:ext>
          </a:extLst>
        </xdr:cNvPr>
        <xdr:cNvPicPr>
          <a:picLocks noChangeAspect="1"/>
        </xdr:cNvPicPr>
      </xdr:nvPicPr>
      <xdr:blipFill>
        <a:blip xmlns:r="http://schemas.openxmlformats.org/officeDocument/2006/relationships" r:embed="rId2"/>
        <a:stretch>
          <a:fillRect/>
        </a:stretch>
      </xdr:blipFill>
      <xdr:spPr>
        <a:xfrm>
          <a:off x="16747625" y="1647825"/>
          <a:ext cx="5026525" cy="4110575"/>
        </a:xfrm>
        <a:prstGeom prst="rect">
          <a:avLst/>
        </a:prstGeom>
      </xdr:spPr>
    </xdr:pic>
    <xdr:clientData/>
  </xdr:twoCellAnchor>
  <xdr:twoCellAnchor editAs="oneCell">
    <xdr:from>
      <xdr:col>27</xdr:col>
      <xdr:colOff>24873</xdr:colOff>
      <xdr:row>11</xdr:row>
      <xdr:rowOff>0</xdr:rowOff>
    </xdr:from>
    <xdr:to>
      <xdr:col>36</xdr:col>
      <xdr:colOff>0</xdr:colOff>
      <xdr:row>38</xdr:row>
      <xdr:rowOff>125433</xdr:rowOff>
    </xdr:to>
    <xdr:pic>
      <xdr:nvPicPr>
        <xdr:cNvPr id="4" name="Picture 3">
          <a:extLst>
            <a:ext uri="{FF2B5EF4-FFF2-40B4-BE49-F238E27FC236}">
              <a16:creationId xmlns:a16="http://schemas.microsoft.com/office/drawing/2014/main" id="{C4E37C32-2BFA-404E-BEE5-7BE881F94587}"/>
            </a:ext>
          </a:extLst>
        </xdr:cNvPr>
        <xdr:cNvPicPr>
          <a:picLocks noChangeAspect="1"/>
        </xdr:cNvPicPr>
      </xdr:nvPicPr>
      <xdr:blipFill>
        <a:blip xmlns:r="http://schemas.openxmlformats.org/officeDocument/2006/relationships" r:embed="rId3"/>
        <a:stretch>
          <a:fillRect/>
        </a:stretch>
      </xdr:blipFill>
      <xdr:spPr>
        <a:xfrm>
          <a:off x="21799023" y="1647825"/>
          <a:ext cx="5547252" cy="3983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F4587FF9-9965-41FD-AFFF-65B4524F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F3E7AC7C-3E16-418F-A961-C48D72849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8CCD-7919-481B-B32C-168DA7DFB754}">
  <sheetPr codeName="Sheet2">
    <tabColor theme="2" tint="-0.89999084444715716"/>
  </sheetPr>
  <dimension ref="A1:N45"/>
  <sheetViews>
    <sheetView showGridLines="0" zoomScaleNormal="100" workbookViewId="0">
      <pane ySplit="7" topLeftCell="A8" activePane="bottomLeft" state="frozen"/>
      <selection pane="bottomLeft" activeCell="I22" sqref="I22"/>
    </sheetView>
  </sheetViews>
  <sheetFormatPr defaultColWidth="0" defaultRowHeight="11.25" customHeight="1" x14ac:dyDescent="0.2"/>
  <cols>
    <col min="1" max="2" width="1.85546875" style="8" customWidth="1"/>
    <col min="3" max="3" width="13.42578125" style="8" customWidth="1"/>
    <col min="4" max="4" width="11.140625" style="8" customWidth="1"/>
    <col min="5" max="6" width="9.140625" style="8" customWidth="1"/>
    <col min="7" max="7" width="14.7109375" style="8" customWidth="1"/>
    <col min="8" max="8" width="25.42578125" style="8" customWidth="1"/>
    <col min="9" max="11" width="9.140625" style="8" customWidth="1"/>
    <col min="12" max="12" width="7.5703125" style="8" customWidth="1"/>
    <col min="13" max="13" width="2.7109375" style="8" customWidth="1"/>
    <col min="14" max="14" width="9.7109375" style="8" hidden="1" customWidth="1"/>
    <col min="15" max="16384" width="9.140625" style="8" hidden="1"/>
  </cols>
  <sheetData>
    <row r="1" spans="2:12" ht="15" customHeight="1" x14ac:dyDescent="0.2"/>
    <row r="2" spans="2:12" ht="18" x14ac:dyDescent="0.25">
      <c r="D2" s="154" t="s">
        <v>0</v>
      </c>
      <c r="E2" s="154"/>
      <c r="F2" s="154"/>
      <c r="G2" s="154"/>
      <c r="H2" s="154"/>
      <c r="I2" s="9"/>
      <c r="J2" s="10" t="s">
        <v>1</v>
      </c>
      <c r="K2" s="11" t="str">
        <f>IF(COUNTA(Check_Status_List)=COUNTIF(Check_Status_List,"Ok"),"Ok","Check")</f>
        <v>Ok</v>
      </c>
      <c r="L2" s="12"/>
    </row>
    <row r="3" spans="2:12" ht="4.5" customHeight="1" x14ac:dyDescent="0.25">
      <c r="D3" s="13"/>
      <c r="E3" s="14"/>
      <c r="F3" s="15"/>
      <c r="G3" s="15"/>
      <c r="H3" s="15"/>
      <c r="I3" s="16"/>
      <c r="J3" s="13"/>
    </row>
    <row r="4" spans="2:12" ht="15" customHeight="1" x14ac:dyDescent="0.25">
      <c r="D4" s="154" t="str">
        <f ca="1">RIGHT(CELL("filename",D3),LEN(CELL("filename",D3))-FIND("]",CELL("filename",D3)))</f>
        <v>Home</v>
      </c>
      <c r="E4" s="154" t="str">
        <f ca="1">RIGHT(CELL("filename",E3),LEN(CELL("filename",E3))-FIND("]",CELL("filename",E3)))</f>
        <v>Home</v>
      </c>
      <c r="F4" s="154" t="str">
        <f ca="1">RIGHT(CELL("filename",F3),LEN(CELL("filename",F3))-FIND("]",CELL("filename",F3)))</f>
        <v>Home</v>
      </c>
      <c r="G4" s="154" t="str">
        <f ca="1">RIGHT(CELL("filename",G3),LEN(CELL("filename",G3))-FIND("]",CELL("filename",G3)))</f>
        <v>Home</v>
      </c>
      <c r="H4" s="154" t="str">
        <f ca="1">RIGHT(CELL("filename",H3),LEN(CELL("filename",H3))-FIND("]",CELL("filename",H3)))</f>
        <v>Home</v>
      </c>
    </row>
    <row r="5" spans="2:12" ht="5.25" customHeight="1" x14ac:dyDescent="0.2"/>
    <row r="6" spans="2:12" ht="10.5" customHeight="1" x14ac:dyDescent="0.2">
      <c r="B6" s="155"/>
      <c r="C6" s="155"/>
      <c r="D6" s="155"/>
      <c r="E6" s="17" t="s">
        <v>2</v>
      </c>
    </row>
    <row r="7" spans="2:12" ht="3.75" customHeight="1" x14ac:dyDescent="0.2"/>
    <row r="8" spans="2:12" s="20" customFormat="1" ht="11.25" customHeight="1" x14ac:dyDescent="0.2">
      <c r="B8" s="18" t="s">
        <v>3</v>
      </c>
      <c r="C8" s="19"/>
    </row>
    <row r="10" spans="2:12" ht="15" customHeight="1" x14ac:dyDescent="0.2">
      <c r="C10" s="21" t="s">
        <v>4</v>
      </c>
      <c r="E10" s="156" t="s">
        <v>373</v>
      </c>
      <c r="F10" s="157"/>
      <c r="G10" s="157"/>
      <c r="H10" s="157"/>
    </row>
    <row r="11" spans="2:12" ht="3.75" customHeight="1" x14ac:dyDescent="0.2">
      <c r="C11" s="22"/>
      <c r="E11" s="23"/>
      <c r="F11" s="23"/>
      <c r="G11" s="23"/>
      <c r="H11" s="23"/>
    </row>
    <row r="12" spans="2:12" ht="15" customHeight="1" x14ac:dyDescent="0.2">
      <c r="C12" s="21" t="s">
        <v>5</v>
      </c>
      <c r="E12" s="156" t="s">
        <v>6</v>
      </c>
      <c r="F12" s="157"/>
      <c r="G12" s="157"/>
      <c r="H12" s="157"/>
    </row>
    <row r="13" spans="2:12" ht="3.75" customHeight="1" x14ac:dyDescent="0.2">
      <c r="C13" s="22"/>
      <c r="E13" s="23"/>
      <c r="F13" s="23"/>
      <c r="G13" s="23"/>
      <c r="H13" s="23"/>
    </row>
    <row r="14" spans="2:12" ht="15" customHeight="1" x14ac:dyDescent="0.2">
      <c r="C14" s="21" t="s">
        <v>7</v>
      </c>
      <c r="E14" s="158">
        <v>45292</v>
      </c>
      <c r="F14" s="159"/>
      <c r="G14" s="159"/>
      <c r="H14" s="159"/>
    </row>
    <row r="15" spans="2:12" ht="3.75" customHeight="1" x14ac:dyDescent="0.2">
      <c r="C15" s="22"/>
      <c r="E15" s="23"/>
      <c r="F15" s="23"/>
      <c r="G15" s="23"/>
      <c r="H15" s="23"/>
    </row>
    <row r="16" spans="2:12" s="27" customFormat="1" ht="11.25" customHeight="1" x14ac:dyDescent="0.25">
      <c r="B16" s="18" t="s">
        <v>8</v>
      </c>
      <c r="C16" s="26"/>
    </row>
    <row r="18" spans="2:13" ht="16.7" customHeight="1" thickBot="1" x14ac:dyDescent="0.35">
      <c r="B18" s="28"/>
      <c r="C18" s="29" t="s">
        <v>9</v>
      </c>
      <c r="D18" s="30"/>
      <c r="E18" s="30" t="s">
        <v>10</v>
      </c>
      <c r="F18" s="29" t="s">
        <v>11</v>
      </c>
      <c r="G18" s="29" t="s">
        <v>12</v>
      </c>
      <c r="H18" s="31"/>
      <c r="I18" s="32"/>
      <c r="J18" s="32"/>
      <c r="K18" s="32"/>
      <c r="L18" s="33"/>
    </row>
    <row r="19" spans="2:13" ht="10.5" customHeight="1" x14ac:dyDescent="0.2"/>
    <row r="20" spans="2:13" ht="15" customHeight="1" x14ac:dyDescent="0.2">
      <c r="B20" s="34"/>
      <c r="C20" s="35" t="str">
        <f ca="1">D4</f>
        <v>Home</v>
      </c>
      <c r="D20" s="24"/>
      <c r="E20" s="36">
        <v>1</v>
      </c>
      <c r="F20" s="37" t="s">
        <v>13</v>
      </c>
      <c r="G20" s="38" t="s">
        <v>14</v>
      </c>
      <c r="H20" s="24"/>
      <c r="I20" s="24"/>
      <c r="J20" s="24"/>
      <c r="K20" s="24"/>
      <c r="L20" s="24"/>
    </row>
    <row r="21" spans="2:13" ht="15" customHeight="1" x14ac:dyDescent="0.2">
      <c r="B21" s="34"/>
      <c r="C21" s="35" t="str">
        <f ca="1">'Input|Costs'!$D$2</f>
        <v>Input|Costs</v>
      </c>
      <c r="D21" s="24"/>
      <c r="E21" s="36">
        <f>E20+1</f>
        <v>2</v>
      </c>
      <c r="F21" s="37" t="str">
        <f>'Input|Costs'!$K$1</f>
        <v>Ok</v>
      </c>
      <c r="G21" s="38" t="s">
        <v>15</v>
      </c>
      <c r="H21" s="24"/>
      <c r="I21" s="24"/>
      <c r="J21" s="24"/>
      <c r="K21" s="24"/>
      <c r="L21" s="24"/>
    </row>
    <row r="22" spans="2:13" ht="15" customHeight="1" x14ac:dyDescent="0.2">
      <c r="B22" s="34"/>
      <c r="C22" s="35" t="str">
        <f ca="1">'Input|Benefits'!$D$2</f>
        <v>Input|Benefits</v>
      </c>
      <c r="D22" s="24"/>
      <c r="E22" s="36">
        <f t="shared" ref="E22" si="0">E21+1</f>
        <v>3</v>
      </c>
      <c r="F22" s="37" t="str">
        <f>'Input|Benefits'!$K$1</f>
        <v>Ok</v>
      </c>
      <c r="G22" s="38" t="s">
        <v>16</v>
      </c>
      <c r="H22" s="24"/>
      <c r="I22" s="24"/>
      <c r="J22" s="24"/>
      <c r="K22" s="24"/>
      <c r="L22" s="24"/>
    </row>
    <row r="23" spans="2:13" ht="15" customHeight="1" x14ac:dyDescent="0.2">
      <c r="B23" s="34"/>
      <c r="C23" s="35" t="str">
        <f ca="1">'Input|Transf_Failures'!$D$2</f>
        <v>Input|Transf_Failures</v>
      </c>
      <c r="D23" s="24"/>
      <c r="E23" s="36">
        <f t="shared" ref="E23" si="1">E22+1</f>
        <v>4</v>
      </c>
      <c r="F23" s="37" t="str">
        <f>'Input|Transf_Failures'!$K$1</f>
        <v>Ok</v>
      </c>
      <c r="G23" s="38" t="s">
        <v>16</v>
      </c>
      <c r="H23" s="24"/>
      <c r="I23" s="24"/>
      <c r="J23" s="24"/>
      <c r="K23" s="24"/>
      <c r="L23" s="24"/>
    </row>
    <row r="24" spans="2:13" ht="15" customHeight="1" x14ac:dyDescent="0.2">
      <c r="B24" s="34"/>
      <c r="C24" s="35" t="str">
        <f ca="1">'Output|Tables'!$D$2</f>
        <v>Output|Tables</v>
      </c>
      <c r="D24" s="24"/>
      <c r="E24" s="36">
        <f>E22+1</f>
        <v>4</v>
      </c>
      <c r="F24" s="37" t="str">
        <f>'Output|Tables'!$K$1</f>
        <v>Ok</v>
      </c>
      <c r="G24" s="38" t="s">
        <v>17</v>
      </c>
      <c r="H24" s="24"/>
      <c r="I24" s="24"/>
      <c r="J24" s="24"/>
      <c r="K24" s="24"/>
      <c r="L24" s="24"/>
    </row>
    <row r="25" spans="2:13" ht="10.9" customHeight="1" x14ac:dyDescent="0.2"/>
    <row r="26" spans="2:13" s="27" customFormat="1" ht="11.25" customHeight="1" x14ac:dyDescent="0.25">
      <c r="B26" s="18" t="s">
        <v>18</v>
      </c>
      <c r="C26" s="26"/>
    </row>
    <row r="28" spans="2:13" ht="16.7" customHeight="1" thickBot="1" x14ac:dyDescent="0.35">
      <c r="C28" s="39" t="s">
        <v>19</v>
      </c>
      <c r="D28" s="39"/>
      <c r="E28" s="39"/>
      <c r="F28" s="39" t="s">
        <v>12</v>
      </c>
      <c r="G28" s="39"/>
      <c r="H28" s="32"/>
      <c r="I28" s="32"/>
      <c r="J28" s="32"/>
      <c r="K28" s="32"/>
      <c r="L28" s="32"/>
      <c r="M28" s="13"/>
    </row>
    <row r="30" spans="2:13" ht="15" x14ac:dyDescent="0.25">
      <c r="C30" s="152" t="s">
        <v>20</v>
      </c>
      <c r="D30" s="153"/>
      <c r="E30" s="40" t="s">
        <v>21</v>
      </c>
      <c r="F30" s="24" t="s">
        <v>22</v>
      </c>
      <c r="G30" s="41"/>
    </row>
    <row r="31" spans="2:13" ht="15" x14ac:dyDescent="0.25">
      <c r="C31" s="160" t="s">
        <v>23</v>
      </c>
      <c r="D31" s="161"/>
      <c r="E31" s="40" t="s">
        <v>21</v>
      </c>
      <c r="F31" s="24" t="s">
        <v>24</v>
      </c>
      <c r="G31" s="41"/>
    </row>
    <row r="32" spans="2:13" ht="15" x14ac:dyDescent="0.25">
      <c r="C32" s="162" t="s">
        <v>25</v>
      </c>
      <c r="D32" s="163"/>
      <c r="E32" s="40" t="s">
        <v>21</v>
      </c>
      <c r="F32" s="24" t="s">
        <v>26</v>
      </c>
      <c r="G32" s="41"/>
    </row>
    <row r="33" spans="2:11" ht="15" x14ac:dyDescent="0.25">
      <c r="C33" s="164" t="s">
        <v>27</v>
      </c>
      <c r="D33" s="165"/>
      <c r="E33" s="40" t="s">
        <v>21</v>
      </c>
      <c r="F33" s="24" t="s">
        <v>28</v>
      </c>
      <c r="G33" s="41"/>
    </row>
    <row r="34" spans="2:11" ht="14.45" customHeight="1" x14ac:dyDescent="0.2"/>
    <row r="35" spans="2:11" s="20" customFormat="1" ht="11.25" customHeight="1" x14ac:dyDescent="0.2">
      <c r="B35" s="18" t="s">
        <v>29</v>
      </c>
      <c r="C35" s="19"/>
    </row>
    <row r="36" spans="2:11" ht="15" customHeight="1" x14ac:dyDescent="0.2">
      <c r="C36" s="42"/>
      <c r="D36" s="42"/>
      <c r="E36" s="42"/>
      <c r="F36" s="42"/>
      <c r="G36" s="42"/>
      <c r="H36" s="42"/>
      <c r="I36" s="42"/>
      <c r="J36" s="42"/>
      <c r="K36" s="42"/>
    </row>
    <row r="37" spans="2:11" ht="15" customHeight="1" thickBot="1" x14ac:dyDescent="0.25">
      <c r="C37" s="43" t="s">
        <v>30</v>
      </c>
      <c r="D37" s="44" t="s">
        <v>31</v>
      </c>
      <c r="E37" s="44"/>
      <c r="F37" s="43" t="s">
        <v>32</v>
      </c>
      <c r="G37" s="43" t="s">
        <v>33</v>
      </c>
      <c r="H37" s="45" t="s">
        <v>34</v>
      </c>
      <c r="I37" s="45"/>
      <c r="J37" s="45"/>
      <c r="K37" s="45"/>
    </row>
    <row r="38" spans="2:11" ht="15" customHeight="1" x14ac:dyDescent="0.2">
      <c r="C38" s="46"/>
      <c r="D38" s="46"/>
      <c r="E38" s="46"/>
      <c r="F38" s="46"/>
      <c r="G38" s="46"/>
      <c r="H38" s="46"/>
      <c r="I38" s="46"/>
      <c r="J38" s="46"/>
      <c r="K38" s="46"/>
    </row>
    <row r="39" spans="2:11" ht="15" customHeight="1" x14ac:dyDescent="0.2">
      <c r="C39" s="47" t="s">
        <v>35</v>
      </c>
      <c r="D39" s="144" t="s">
        <v>36</v>
      </c>
      <c r="E39" s="145"/>
      <c r="F39" s="48">
        <v>45979</v>
      </c>
      <c r="G39" s="49" t="s">
        <v>37</v>
      </c>
      <c r="H39" s="149" t="s">
        <v>38</v>
      </c>
      <c r="I39" s="150"/>
      <c r="J39" s="150"/>
      <c r="K39" s="151"/>
    </row>
    <row r="40" spans="2:11" ht="15" customHeight="1" x14ac:dyDescent="0.2">
      <c r="C40" s="47" t="s">
        <v>39</v>
      </c>
      <c r="D40" s="144"/>
      <c r="E40" s="145"/>
      <c r="F40" s="48"/>
      <c r="G40" s="49"/>
      <c r="H40" s="149"/>
      <c r="I40" s="150"/>
      <c r="J40" s="150"/>
      <c r="K40" s="151"/>
    </row>
    <row r="41" spans="2:11" ht="25.5" customHeight="1" x14ac:dyDescent="0.2">
      <c r="C41" s="47" t="s">
        <v>40</v>
      </c>
      <c r="D41" s="144"/>
      <c r="E41" s="145"/>
      <c r="F41" s="48"/>
      <c r="G41" s="49"/>
      <c r="H41" s="146"/>
      <c r="I41" s="147"/>
      <c r="J41" s="147"/>
      <c r="K41" s="148"/>
    </row>
    <row r="42" spans="2:11" ht="15" customHeight="1" x14ac:dyDescent="0.2">
      <c r="C42" s="47" t="s">
        <v>41</v>
      </c>
      <c r="D42" s="144"/>
      <c r="E42" s="145"/>
      <c r="F42" s="48"/>
      <c r="G42" s="49"/>
      <c r="H42" s="146"/>
      <c r="I42" s="147"/>
      <c r="J42" s="147"/>
      <c r="K42" s="148"/>
    </row>
    <row r="43" spans="2:11" ht="15" customHeight="1" x14ac:dyDescent="0.2">
      <c r="C43" s="47" t="s">
        <v>42</v>
      </c>
      <c r="D43" s="144"/>
      <c r="E43" s="145"/>
      <c r="F43" s="48"/>
      <c r="G43" s="49"/>
      <c r="H43" s="146"/>
      <c r="I43" s="147"/>
      <c r="J43" s="147"/>
      <c r="K43" s="148"/>
    </row>
    <row r="44" spans="2:11" ht="15" customHeight="1" x14ac:dyDescent="0.2">
      <c r="C44" s="50"/>
      <c r="D44" s="50"/>
      <c r="E44" s="50"/>
      <c r="F44" s="50"/>
      <c r="G44" s="42"/>
      <c r="H44" s="51"/>
      <c r="I44" s="51"/>
      <c r="J44" s="51"/>
      <c r="K44" s="51"/>
    </row>
    <row r="45" spans="2:11" s="20" customFormat="1" ht="11.25" customHeight="1" x14ac:dyDescent="0.2">
      <c r="B45" s="18" t="s">
        <v>43</v>
      </c>
      <c r="C45" s="19"/>
    </row>
  </sheetData>
  <sheetProtection formatCells="0" formatColumns="0" formatRows="0"/>
  <mergeCells count="20">
    <mergeCell ref="D40:E40"/>
    <mergeCell ref="H40:K40"/>
    <mergeCell ref="C30:D30"/>
    <mergeCell ref="D2:H2"/>
    <mergeCell ref="D4:H4"/>
    <mergeCell ref="B6:D6"/>
    <mergeCell ref="E10:H10"/>
    <mergeCell ref="E12:H12"/>
    <mergeCell ref="E14:H14"/>
    <mergeCell ref="C31:D31"/>
    <mergeCell ref="C32:D32"/>
    <mergeCell ref="C33:D33"/>
    <mergeCell ref="D39:E39"/>
    <mergeCell ref="H39:K39"/>
    <mergeCell ref="D41:E41"/>
    <mergeCell ref="H41:K41"/>
    <mergeCell ref="D42:E42"/>
    <mergeCell ref="H42:K42"/>
    <mergeCell ref="D43:E43"/>
    <mergeCell ref="H43:K43"/>
  </mergeCells>
  <conditionalFormatting sqref="K2 F20:F24">
    <cfRule type="cellIs" dxfId="17" priority="1" operator="equal">
      <formula>"Check"</formula>
    </cfRule>
    <cfRule type="cellIs" dxfId="16" priority="2" operator="equal">
      <formula>"Ok"</formula>
    </cfRule>
  </conditionalFormatting>
  <dataValidations count="3">
    <dataValidation type="list" allowBlank="1" showInputMessage="1" showErrorMessage="1" sqref="G39 G41:G43" xr:uid="{BD2D09C9-D4AD-47BF-9D01-DBDA05013CB9}">
      <formula1>Worksheet_List</formula1>
    </dataValidation>
    <dataValidation allowBlank="1" showInputMessage="1" showErrorMessage="1" promptTitle="Project number" prompt="Please enter the project number in this cell (if applicable)" sqref="E12:H12" xr:uid="{EF21B62B-E34D-4E4B-A339-7B3D39CC6AED}"/>
    <dataValidation allowBlank="1" showInputMessage="1" showErrorMessage="1" promptTitle="Project Name" prompt="Please enter the project name in this cell" sqref="E10:H10" xr:uid="{4E1CFC94-6C99-44BB-90B8-D84EA2600190}"/>
  </dataValidations>
  <hyperlinks>
    <hyperlink ref="B6" location="Contents!A1" display="Back to contents" xr:uid="{17B90FFC-00A8-4A66-9600-39446021A39C}"/>
    <hyperlink ref="C20" location="Home!A1" display="Home!A1" xr:uid="{6EADE84F-1310-4D86-9B92-7284D93D6C16}"/>
    <hyperlink ref="C21" location="'Input|Costs'!A1" display="'Input|Costs'!A1" xr:uid="{7486EA95-EAF4-49BA-BC0E-DB13272C78F2}"/>
    <hyperlink ref="C22" location="'Input|Benefits'!A1" display="'Input|Benefits'!A1" xr:uid="{5564A696-3710-4282-93F4-90CF61306E0B}"/>
    <hyperlink ref="C24" location="'Output|Tables'!A1" display="'Output|Tables'!A1" xr:uid="{D11C3749-5053-4589-BF45-6D044E8EBE21}"/>
    <hyperlink ref="C23" location="'Input|Transf_Failures'!A1" display="'Input|Transf_Failures'!A1" xr:uid="{EE52122D-899C-4839-980C-B49EF4995A2C}"/>
  </hyperlinks>
  <pageMargins left="0.7" right="0.7" top="0.75" bottom="0.7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E3C8-EC11-4B85-83D0-CEEB6C5239D1}">
  <sheetPr codeName="Sheet1">
    <tabColor rgb="FFF8F5A4"/>
  </sheetPr>
  <dimension ref="A1:CK84"/>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I14" sqref="I14"/>
    </sheetView>
  </sheetViews>
  <sheetFormatPr defaultColWidth="0" defaultRowHeight="11.25" x14ac:dyDescent="0.2"/>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17" width="9.28515625" style="8" customWidth="1"/>
    <col min="18" max="18" width="12.7109375" style="8" customWidth="1"/>
    <col min="19"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75" x14ac:dyDescent="0.2">
      <c r="A1" s="52"/>
      <c r="B1" s="52"/>
      <c r="C1" s="52"/>
      <c r="D1" s="53" t="str">
        <f>Model_Name</f>
        <v>Cost Benefit Analysis</v>
      </c>
      <c r="E1" s="54"/>
      <c r="F1" s="55"/>
      <c r="G1" s="56"/>
      <c r="H1" s="56"/>
      <c r="I1" s="56"/>
      <c r="J1" s="57" t="s">
        <v>44</v>
      </c>
      <c r="K1" s="58" t="str">
        <f>IF(COUNTA($A$8:$A$84)=COUNTIF($A$8:$A$84,0),"Ok","Check")</f>
        <v>Ok</v>
      </c>
      <c r="L1" s="56"/>
      <c r="M1" s="57" t="s">
        <v>45</v>
      </c>
      <c r="N1" s="59" t="str">
        <f>Overall_Check</f>
        <v>Ok</v>
      </c>
      <c r="O1" s="56"/>
      <c r="P1" s="57" t="s">
        <v>46</v>
      </c>
      <c r="Q1" s="60" t="s">
        <v>20</v>
      </c>
      <c r="R1" s="61" t="s">
        <v>47</v>
      </c>
      <c r="S1" s="62" t="s">
        <v>48</v>
      </c>
      <c r="T1" s="63" t="s">
        <v>27</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2" thickBot="1" x14ac:dyDescent="0.25">
      <c r="A2" s="56"/>
      <c r="B2" s="56"/>
      <c r="C2" s="56"/>
      <c r="D2" s="64" t="str">
        <f ca="1">RIGHT(CELL("filename",D1),LEN(CELL("filename",D1))-FIND("]",CELL("filename",D1)))</f>
        <v>Input|Costs</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2" thickBot="1" x14ac:dyDescent="0.25">
      <c r="A3" s="65"/>
      <c r="B3" s="65"/>
      <c r="C3" s="65"/>
      <c r="D3" s="65"/>
      <c r="E3" s="66"/>
      <c r="F3" s="66"/>
      <c r="G3" s="66"/>
      <c r="H3" s="66"/>
      <c r="I3" s="65"/>
      <c r="J3" s="67" t="s">
        <v>49</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50</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x14ac:dyDescent="0.2">
      <c r="A4" s="65"/>
      <c r="B4" s="65"/>
      <c r="C4" s="65"/>
      <c r="D4" s="65"/>
      <c r="E4" s="66" t="s">
        <v>51</v>
      </c>
      <c r="F4" s="66" t="s">
        <v>52</v>
      </c>
      <c r="G4" s="66" t="s">
        <v>53</v>
      </c>
      <c r="H4" s="66" t="s">
        <v>54</v>
      </c>
      <c r="I4" s="65"/>
      <c r="J4" s="67" t="s">
        <v>55</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x14ac:dyDescent="0.2">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x14ac:dyDescent="0.2">
      <c r="A6" s="70"/>
      <c r="B6" s="71" t="s">
        <v>56</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x14ac:dyDescent="0.2">
      <c r="A8" s="56"/>
      <c r="B8" s="72" t="s">
        <v>57</v>
      </c>
      <c r="C8" s="56"/>
      <c r="D8" s="56"/>
      <c r="E8" s="73"/>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x14ac:dyDescent="0.2">
      <c r="A10" s="70"/>
      <c r="B10" s="70"/>
      <c r="C10" s="70"/>
      <c r="D10" s="74" t="s">
        <v>51</v>
      </c>
      <c r="E10" s="75" t="str">
        <f>E$4</f>
        <v>Option</v>
      </c>
      <c r="F10" s="75" t="str">
        <f>F$4</f>
        <v>Unit</v>
      </c>
      <c r="G10" s="75" t="str">
        <f>G$4</f>
        <v>Basis</v>
      </c>
      <c r="H10" s="70"/>
      <c r="I10" s="75" t="s">
        <v>58</v>
      </c>
      <c r="J10" s="76" t="s">
        <v>59</v>
      </c>
      <c r="K10" s="77"/>
      <c r="L10" s="77"/>
      <c r="M10" s="77"/>
      <c r="N10" s="77"/>
      <c r="O10" s="78" t="s">
        <v>60</v>
      </c>
      <c r="P10" s="79"/>
      <c r="Q10" s="79"/>
      <c r="R10" s="79"/>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row>
    <row r="11" spans="1:89" ht="12" thickBot="1" x14ac:dyDescent="0.25">
      <c r="A11" s="70"/>
      <c r="B11" s="70"/>
      <c r="C11" s="70"/>
      <c r="D11" s="70"/>
      <c r="E11" s="70"/>
      <c r="F11" s="70"/>
      <c r="G11" s="70"/>
      <c r="H11" s="70"/>
      <c r="I11" s="70"/>
      <c r="J11" s="80"/>
      <c r="K11" s="70"/>
      <c r="L11" s="70"/>
      <c r="M11" s="70"/>
      <c r="N11" s="70"/>
      <c r="O11" s="8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12" thickTop="1" x14ac:dyDescent="0.2">
      <c r="A12" s="70"/>
      <c r="B12" s="70"/>
      <c r="C12" s="70"/>
      <c r="D12" s="38" t="str">
        <f t="shared" ref="D12:D16" si="2">E12&amp;" - "&amp;I12</f>
        <v>Option 1 - Do nothing</v>
      </c>
      <c r="E12" s="36" t="s">
        <v>61</v>
      </c>
      <c r="F12" s="36" t="s">
        <v>62</v>
      </c>
      <c r="G12" s="36" t="s">
        <v>62</v>
      </c>
      <c r="H12" s="70"/>
      <c r="I12" s="81" t="s">
        <v>63</v>
      </c>
      <c r="J12" s="166" t="s">
        <v>64</v>
      </c>
      <c r="K12" s="167"/>
      <c r="L12" s="167"/>
      <c r="M12" s="167"/>
      <c r="N12" s="167"/>
      <c r="O12" s="170" t="s">
        <v>62</v>
      </c>
      <c r="P12" s="171"/>
      <c r="Q12" s="171"/>
      <c r="R12" s="172"/>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ht="12" x14ac:dyDescent="0.2">
      <c r="A13" s="70"/>
      <c r="B13" s="70"/>
      <c r="C13" s="70"/>
      <c r="D13" s="38" t="str">
        <f t="shared" si="2"/>
        <v>Option 2 - Replacement based on historical trend</v>
      </c>
      <c r="E13" s="36" t="s">
        <v>65</v>
      </c>
      <c r="F13" s="36" t="s">
        <v>62</v>
      </c>
      <c r="G13" s="36" t="s">
        <v>62</v>
      </c>
      <c r="H13" s="70"/>
      <c r="I13" s="82" t="s">
        <v>66</v>
      </c>
      <c r="J13" s="166" t="s">
        <v>67</v>
      </c>
      <c r="K13" s="167"/>
      <c r="L13" s="167"/>
      <c r="M13" s="167"/>
      <c r="N13" s="168"/>
      <c r="O13" s="166" t="s">
        <v>67</v>
      </c>
      <c r="P13" s="167"/>
      <c r="Q13" s="167"/>
      <c r="R13" s="169"/>
      <c r="S13" s="70"/>
      <c r="T13" s="83"/>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ht="22.5" x14ac:dyDescent="0.2">
      <c r="A14" s="70"/>
      <c r="B14" s="70"/>
      <c r="C14" s="70"/>
      <c r="D14" s="38" t="str">
        <f t="shared" si="2"/>
        <v>Option 3 - Option 2 plus additional 20% opportunistic replacement</v>
      </c>
      <c r="E14" s="36" t="s">
        <v>68</v>
      </c>
      <c r="F14" s="36" t="s">
        <v>62</v>
      </c>
      <c r="G14" s="36" t="s">
        <v>62</v>
      </c>
      <c r="H14" s="70"/>
      <c r="I14" s="82" t="s">
        <v>69</v>
      </c>
      <c r="J14" s="166" t="s">
        <v>70</v>
      </c>
      <c r="K14" s="167"/>
      <c r="L14" s="167"/>
      <c r="M14" s="167"/>
      <c r="N14" s="168"/>
      <c r="O14" s="166" t="s">
        <v>70</v>
      </c>
      <c r="P14" s="167"/>
      <c r="Q14" s="167"/>
      <c r="R14" s="169"/>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x14ac:dyDescent="0.2">
      <c r="A15" s="70"/>
      <c r="B15" s="70"/>
      <c r="C15" s="70"/>
      <c r="D15" s="38" t="str">
        <f t="shared" si="2"/>
        <v>Option 4 - [Insert short option description]</v>
      </c>
      <c r="E15" s="36" t="s">
        <v>71</v>
      </c>
      <c r="F15" s="36" t="s">
        <v>62</v>
      </c>
      <c r="G15" s="36" t="s">
        <v>62</v>
      </c>
      <c r="H15" s="70"/>
      <c r="I15" s="82" t="s">
        <v>72</v>
      </c>
      <c r="J15" s="166" t="s">
        <v>73</v>
      </c>
      <c r="K15" s="167"/>
      <c r="L15" s="167"/>
      <c r="M15" s="167"/>
      <c r="N15" s="168"/>
      <c r="O15" s="166" t="s">
        <v>74</v>
      </c>
      <c r="P15" s="167"/>
      <c r="Q15" s="167"/>
      <c r="R15" s="169"/>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x14ac:dyDescent="0.2">
      <c r="A16" s="70"/>
      <c r="B16" s="70"/>
      <c r="C16" s="70"/>
      <c r="D16" s="38" t="str">
        <f t="shared" si="2"/>
        <v>Option 5 - [Insert short option description]</v>
      </c>
      <c r="E16" s="36" t="s">
        <v>75</v>
      </c>
      <c r="F16" s="36" t="s">
        <v>62</v>
      </c>
      <c r="G16" s="36" t="s">
        <v>62</v>
      </c>
      <c r="H16" s="70"/>
      <c r="I16" s="82" t="s">
        <v>72</v>
      </c>
      <c r="J16" s="166" t="s">
        <v>73</v>
      </c>
      <c r="K16" s="167"/>
      <c r="L16" s="167"/>
      <c r="M16" s="167"/>
      <c r="N16" s="168"/>
      <c r="O16" s="166" t="s">
        <v>74</v>
      </c>
      <c r="P16" s="167"/>
      <c r="Q16" s="167"/>
      <c r="R16" s="169"/>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x14ac:dyDescent="0.2">
      <c r="A18" s="56"/>
      <c r="B18" s="72" t="s">
        <v>76</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row>
    <row r="19" spans="1:89"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row>
    <row r="20" spans="1:89" x14ac:dyDescent="0.2">
      <c r="A20" s="85"/>
      <c r="B20" s="85"/>
      <c r="C20" s="86" t="s">
        <v>77</v>
      </c>
      <c r="D20" s="85"/>
      <c r="E20" s="85"/>
      <c r="F20" s="87"/>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row>
    <row r="21" spans="1:89"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row>
    <row r="22" spans="1:89" x14ac:dyDescent="0.2">
      <c r="A22" s="70"/>
      <c r="B22" s="70"/>
      <c r="C22" s="70"/>
      <c r="D22" s="74" t="str">
        <f>C20</f>
        <v>Forecast Capex</v>
      </c>
      <c r="E22" s="75" t="str">
        <f>E$4</f>
        <v>Option</v>
      </c>
      <c r="F22" s="75" t="str">
        <f>F$4</f>
        <v>Unit</v>
      </c>
      <c r="G22" s="75" t="str">
        <f>G$4</f>
        <v>Basis</v>
      </c>
      <c r="H22" s="94" t="s">
        <v>78</v>
      </c>
      <c r="I22" s="94" t="s">
        <v>79</v>
      </c>
      <c r="J22" s="70"/>
      <c r="K22" s="88" t="str">
        <f>K$3</f>
        <v>2024-25</v>
      </c>
      <c r="L22" s="88" t="str">
        <f t="shared" ref="L22:R22" si="3">L$3</f>
        <v>2025-26</v>
      </c>
      <c r="M22" s="88" t="str">
        <f t="shared" si="3"/>
        <v>2026-27</v>
      </c>
      <c r="N22" s="88" t="str">
        <f t="shared" si="3"/>
        <v>2027-28</v>
      </c>
      <c r="O22" s="88" t="str">
        <f t="shared" si="3"/>
        <v>2028-29</v>
      </c>
      <c r="P22" s="88" t="str">
        <f t="shared" si="3"/>
        <v>2029-30</v>
      </c>
      <c r="Q22" s="88" t="str">
        <f t="shared" si="3"/>
        <v>2030-31</v>
      </c>
      <c r="R22" s="88" t="str">
        <f t="shared" si="3"/>
        <v>EDPR Total</v>
      </c>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row>
    <row r="23" spans="1:89" x14ac:dyDescent="0.2">
      <c r="A23" s="70"/>
      <c r="B23" s="70"/>
      <c r="C23" s="70"/>
      <c r="D23" s="70"/>
      <c r="E23" s="70"/>
      <c r="F23" s="70"/>
      <c r="G23" s="70"/>
      <c r="H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row>
    <row r="24" spans="1:89" x14ac:dyDescent="0.2">
      <c r="A24" s="70"/>
      <c r="B24" s="70"/>
      <c r="C24" s="70"/>
      <c r="D24" s="38" t="str">
        <f>D12</f>
        <v>Option 1 - Do nothing</v>
      </c>
      <c r="E24" s="36" t="str">
        <f>$E12</f>
        <v>Option 1</v>
      </c>
      <c r="F24" s="90" t="s">
        <v>80</v>
      </c>
      <c r="G24" s="90" t="s">
        <v>62</v>
      </c>
      <c r="H24" s="38" t="s">
        <v>62</v>
      </c>
      <c r="I24" s="8" t="s">
        <v>81</v>
      </c>
      <c r="J24" s="70"/>
      <c r="K24" s="95">
        <v>0</v>
      </c>
      <c r="L24" s="125">
        <v>0</v>
      </c>
      <c r="M24" s="95">
        <v>0</v>
      </c>
      <c r="N24" s="95">
        <v>0</v>
      </c>
      <c r="O24" s="95">
        <v>0</v>
      </c>
      <c r="P24" s="95">
        <v>0</v>
      </c>
      <c r="Q24" s="126">
        <v>0</v>
      </c>
      <c r="R24" s="136">
        <f t="shared" ref="R24:R26" si="4">SUM(M24:Q24)</f>
        <v>0</v>
      </c>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row>
    <row r="25" spans="1:89" x14ac:dyDescent="0.2">
      <c r="A25" s="70"/>
      <c r="B25" s="70"/>
      <c r="C25" s="70"/>
      <c r="D25" s="38" t="str">
        <f t="shared" ref="D25:D26" si="5">D13</f>
        <v>Option 2 - Replacement based on historical trend</v>
      </c>
      <c r="E25" s="36" t="str">
        <f t="shared" ref="E25:E26" si="6">$E13</f>
        <v>Option 2</v>
      </c>
      <c r="F25" s="90" t="s">
        <v>80</v>
      </c>
      <c r="G25" s="90" t="s">
        <v>62</v>
      </c>
      <c r="H25" s="38" t="s">
        <v>62</v>
      </c>
      <c r="I25" s="8" t="s">
        <v>82</v>
      </c>
      <c r="J25" s="70"/>
      <c r="K25" s="102">
        <f t="shared" ref="K25:L25" si="7">SUMPRODUCT($J$34:$J$39,K45:K50)
+K57</f>
        <v>1552366.0509087068</v>
      </c>
      <c r="L25" s="122">
        <f t="shared" si="7"/>
        <v>1495364.2608182495</v>
      </c>
      <c r="M25" s="102">
        <f>SUMPRODUCT($J$34:$J$39,M45:M50)
+M57</f>
        <v>1954659.0912570076</v>
      </c>
      <c r="N25" s="102">
        <f t="shared" ref="N25:Q25" si="8">SUMPRODUCT($J$34:$J$39,N45:N50)
+N57</f>
        <v>2056981.2975020662</v>
      </c>
      <c r="O25" s="102">
        <f t="shared" si="8"/>
        <v>2056981.2975020662</v>
      </c>
      <c r="P25" s="102">
        <f t="shared" si="8"/>
        <v>2056981.2975020662</v>
      </c>
      <c r="Q25" s="102">
        <f t="shared" si="8"/>
        <v>2056981.2975020662</v>
      </c>
      <c r="R25" s="136">
        <f t="shared" si="4"/>
        <v>10182584.281265272</v>
      </c>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row>
    <row r="26" spans="1:89" x14ac:dyDescent="0.2">
      <c r="A26" s="70"/>
      <c r="B26" s="70"/>
      <c r="C26" s="70"/>
      <c r="D26" s="38" t="str">
        <f t="shared" si="5"/>
        <v>Option 3 - Option 2 plus additional 20% opportunistic replacement</v>
      </c>
      <c r="E26" s="36" t="str">
        <f t="shared" si="6"/>
        <v>Option 3</v>
      </c>
      <c r="F26" s="90" t="s">
        <v>80</v>
      </c>
      <c r="G26" s="90" t="s">
        <v>62</v>
      </c>
      <c r="H26" s="38" t="s">
        <v>62</v>
      </c>
      <c r="I26" s="8" t="s">
        <v>82</v>
      </c>
      <c r="J26" s="70"/>
      <c r="K26" s="102">
        <f>SUMPRODUCT($J$34:$J$39,K69:K74)
+K81</f>
        <v>1862839.2610904479</v>
      </c>
      <c r="L26" s="122">
        <f t="shared" ref="L26:Q26" si="9">SUMPRODUCT($J$34:$J$39,L69:L74)
+L81</f>
        <v>1794437.1129818992</v>
      </c>
      <c r="M26" s="102">
        <f t="shared" si="9"/>
        <v>2345590.909508409</v>
      </c>
      <c r="N26" s="102">
        <f t="shared" si="9"/>
        <v>2468377.5570024792</v>
      </c>
      <c r="O26" s="102">
        <f t="shared" si="9"/>
        <v>2468377.5570024792</v>
      </c>
      <c r="P26" s="102">
        <f t="shared" si="9"/>
        <v>2468377.5570024792</v>
      </c>
      <c r="Q26" s="102">
        <f t="shared" si="9"/>
        <v>2468377.5570024792</v>
      </c>
      <c r="R26" s="136">
        <f t="shared" si="4"/>
        <v>12219101.137518326</v>
      </c>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row>
    <row r="27" spans="1:89"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row>
    <row r="28" spans="1:89" x14ac:dyDescent="0.2">
      <c r="A28" s="56"/>
      <c r="B28" s="72" t="str">
        <f>D13</f>
        <v>Option 2 - Replacement based on historical trend</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row>
    <row r="29" spans="1:89"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
      <c r="A30" s="85"/>
      <c r="B30" s="85"/>
      <c r="C30" s="86" t="s">
        <v>83</v>
      </c>
      <c r="D30" s="85"/>
      <c r="E30" s="85"/>
      <c r="F30" s="87"/>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row>
    <row r="31" spans="1:89"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x14ac:dyDescent="0.2">
      <c r="A32" s="70"/>
      <c r="B32" s="70"/>
      <c r="C32" s="70"/>
      <c r="D32" s="74" t="str">
        <f>C30</f>
        <v>Unit Costs</v>
      </c>
      <c r="E32" s="75" t="str">
        <f>E$4</f>
        <v>Option</v>
      </c>
      <c r="F32" s="75" t="str">
        <f>F$4</f>
        <v>Unit</v>
      </c>
      <c r="G32" s="75" t="str">
        <f>G$4</f>
        <v>Basis</v>
      </c>
      <c r="H32" s="94" t="s">
        <v>84</v>
      </c>
      <c r="J32" s="88" t="str">
        <f>C30</f>
        <v>Unit Costs</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row>
    <row r="33" spans="1:89" x14ac:dyDescent="0.2">
      <c r="A33" s="70"/>
      <c r="B33" s="70"/>
      <c r="C33" s="70"/>
      <c r="D33" s="70"/>
      <c r="E33" s="70"/>
      <c r="F33" s="70"/>
      <c r="G33" s="70"/>
      <c r="H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row>
    <row r="34" spans="1:89" x14ac:dyDescent="0.2">
      <c r="A34" s="70"/>
      <c r="B34" s="70"/>
      <c r="C34" s="70"/>
      <c r="D34" s="89" t="s">
        <v>85</v>
      </c>
      <c r="E34" s="36" t="str">
        <f>$E$13</f>
        <v>Option 2</v>
      </c>
      <c r="F34" s="90" t="s">
        <v>86</v>
      </c>
      <c r="G34" s="90" t="s">
        <v>87</v>
      </c>
      <c r="H34" s="89" t="s">
        <v>88</v>
      </c>
      <c r="J34" s="95">
        <v>11367.046456068801</v>
      </c>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row>
    <row r="35" spans="1:89" x14ac:dyDescent="0.2">
      <c r="A35" s="70"/>
      <c r="B35" s="70"/>
      <c r="C35" s="70"/>
      <c r="D35" s="89" t="s">
        <v>89</v>
      </c>
      <c r="E35" s="36" t="str">
        <f t="shared" ref="E35:E39" si="10">$E$13</f>
        <v>Option 2</v>
      </c>
      <c r="F35" s="90" t="s">
        <v>86</v>
      </c>
      <c r="G35" s="90" t="s">
        <v>87</v>
      </c>
      <c r="H35" s="89" t="s">
        <v>90</v>
      </c>
      <c r="J35" s="95">
        <v>44600.040841892725</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
      <c r="A36" s="70"/>
      <c r="B36" s="70"/>
      <c r="C36" s="70"/>
      <c r="D36" s="89" t="s">
        <v>91</v>
      </c>
      <c r="E36" s="36" t="str">
        <f t="shared" si="10"/>
        <v>Option 2</v>
      </c>
      <c r="F36" s="90" t="s">
        <v>86</v>
      </c>
      <c r="G36" s="90" t="s">
        <v>87</v>
      </c>
      <c r="H36" s="89" t="s">
        <v>92</v>
      </c>
      <c r="J36" s="95">
        <v>25280.930797281198</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
      <c r="A37" s="70"/>
      <c r="B37" s="70"/>
      <c r="C37" s="70"/>
      <c r="D37" s="89" t="s">
        <v>93</v>
      </c>
      <c r="E37" s="36" t="str">
        <f t="shared" si="10"/>
        <v>Option 2</v>
      </c>
      <c r="F37" s="90" t="s">
        <v>86</v>
      </c>
      <c r="G37" s="90" t="s">
        <v>87</v>
      </c>
      <c r="H37" s="89" t="s">
        <v>94</v>
      </c>
      <c r="J37" s="95">
        <v>118945.70445186074</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
      <c r="A38" s="70"/>
      <c r="B38" s="70"/>
      <c r="C38" s="70"/>
      <c r="D38" s="89" t="s">
        <v>95</v>
      </c>
      <c r="E38" s="36" t="str">
        <f t="shared" si="10"/>
        <v>Option 2</v>
      </c>
      <c r="F38" s="90" t="s">
        <v>86</v>
      </c>
      <c r="G38" s="90" t="s">
        <v>87</v>
      </c>
      <c r="H38" s="89" t="s">
        <v>96</v>
      </c>
      <c r="J38" s="95">
        <v>102322.20624505867</v>
      </c>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
      <c r="A39" s="70"/>
      <c r="B39" s="70"/>
      <c r="C39" s="70"/>
      <c r="D39" s="89" t="s">
        <v>97</v>
      </c>
      <c r="E39" s="36" t="str">
        <f t="shared" si="10"/>
        <v>Option 2</v>
      </c>
      <c r="F39" s="90" t="s">
        <v>86</v>
      </c>
      <c r="G39" s="90" t="s">
        <v>87</v>
      </c>
      <c r="H39" s="89" t="s">
        <v>97</v>
      </c>
      <c r="J39" s="95">
        <v>0</v>
      </c>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
      <c r="A40" s="70"/>
      <c r="B40" s="70"/>
      <c r="C40" s="70"/>
      <c r="D40" s="84"/>
      <c r="E40" s="70"/>
      <c r="F40" s="70"/>
      <c r="G40" s="70"/>
      <c r="H40" s="70"/>
      <c r="I40" s="70"/>
      <c r="J40" s="70"/>
      <c r="K40" s="70"/>
      <c r="L40" s="70"/>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70"/>
      <c r="BT40" s="70"/>
      <c r="BU40" s="70"/>
      <c r="BV40" s="70"/>
      <c r="BW40" s="70"/>
      <c r="BX40" s="70"/>
      <c r="BY40" s="70"/>
      <c r="BZ40" s="70"/>
      <c r="CA40" s="70"/>
      <c r="CB40" s="70"/>
      <c r="CC40" s="70"/>
      <c r="CD40" s="70"/>
      <c r="CE40" s="70"/>
      <c r="CF40" s="70"/>
      <c r="CG40" s="70"/>
      <c r="CH40" s="70"/>
      <c r="CI40" s="70"/>
      <c r="CJ40" s="70"/>
      <c r="CK40" s="70"/>
    </row>
    <row r="41" spans="1:89" x14ac:dyDescent="0.2">
      <c r="A41" s="85"/>
      <c r="B41" s="85"/>
      <c r="C41" s="86" t="s">
        <v>98</v>
      </c>
      <c r="D41" s="85"/>
      <c r="E41" s="85"/>
      <c r="F41" s="87"/>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row>
    <row r="42" spans="1:89"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
      <c r="A43" s="70"/>
      <c r="B43" s="70"/>
      <c r="C43" s="70"/>
      <c r="D43" s="74" t="str">
        <f>C41</f>
        <v>Historical Volumes</v>
      </c>
      <c r="E43" s="75" t="str">
        <f>E$4</f>
        <v>Option</v>
      </c>
      <c r="F43" s="75" t="str">
        <f>F$4</f>
        <v>Unit</v>
      </c>
      <c r="G43" s="75" t="str">
        <f>G$4</f>
        <v>Basis</v>
      </c>
      <c r="H43" s="94" t="s">
        <v>78</v>
      </c>
      <c r="I43" s="94" t="s">
        <v>79</v>
      </c>
      <c r="J43" s="88" t="s">
        <v>99</v>
      </c>
      <c r="K43" s="88" t="str">
        <f>K$3</f>
        <v>2024-25</v>
      </c>
      <c r="L43" s="88" t="str">
        <f t="shared" ref="L43:R43" si="11">L$3</f>
        <v>2025-26</v>
      </c>
      <c r="M43" s="88" t="str">
        <f t="shared" si="11"/>
        <v>2026-27</v>
      </c>
      <c r="N43" s="88" t="str">
        <f t="shared" si="11"/>
        <v>2027-28</v>
      </c>
      <c r="O43" s="88" t="str">
        <f t="shared" si="11"/>
        <v>2028-29</v>
      </c>
      <c r="P43" s="88" t="str">
        <f t="shared" si="11"/>
        <v>2029-30</v>
      </c>
      <c r="Q43" s="88" t="str">
        <f t="shared" si="11"/>
        <v>2030-31</v>
      </c>
      <c r="R43" s="88" t="str">
        <f t="shared" si="11"/>
        <v>EDPR Total</v>
      </c>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
      <c r="A44" s="70"/>
      <c r="B44" s="70"/>
      <c r="C44" s="70"/>
      <c r="D44" s="70"/>
      <c r="E44" s="70"/>
      <c r="F44" s="70"/>
      <c r="G44" s="70"/>
      <c r="H44" s="70"/>
      <c r="K44" s="70"/>
      <c r="L44" s="70"/>
      <c r="M44" s="70"/>
      <c r="N44" s="70"/>
      <c r="O44" s="70"/>
      <c r="P44" s="70"/>
      <c r="Q44" s="70"/>
      <c r="R44" s="70"/>
      <c r="S44" s="70"/>
      <c r="T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
      <c r="A45" s="70"/>
      <c r="B45" s="70"/>
      <c r="C45" s="70"/>
      <c r="D45" s="38" t="str">
        <f t="shared" ref="D45:D50" si="12">D34</f>
        <v>Kiosk Refurbishment</v>
      </c>
      <c r="E45" s="36" t="str">
        <f>$E$13</f>
        <v>Option 2</v>
      </c>
      <c r="F45" s="90" t="s">
        <v>80</v>
      </c>
      <c r="G45" s="90" t="s">
        <v>62</v>
      </c>
      <c r="H45" s="38" t="str">
        <f t="shared" ref="H45:H50" si="13">H34</f>
        <v>RHM</v>
      </c>
      <c r="I45" s="8" t="s">
        <v>82</v>
      </c>
      <c r="J45" s="124" t="s">
        <v>100</v>
      </c>
      <c r="K45" s="95">
        <v>6.0728571428571438</v>
      </c>
      <c r="L45" s="98">
        <v>6</v>
      </c>
      <c r="M45" s="95">
        <v>6</v>
      </c>
      <c r="N45" s="95">
        <v>6</v>
      </c>
      <c r="O45" s="95">
        <v>6</v>
      </c>
      <c r="P45" s="95">
        <v>6</v>
      </c>
      <c r="Q45" s="126">
        <v>6</v>
      </c>
      <c r="R45" s="127">
        <f>SUM(M45:Q45)</f>
        <v>30</v>
      </c>
      <c r="S45" s="70"/>
      <c r="T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
      <c r="A46" s="70"/>
      <c r="B46" s="70"/>
      <c r="C46" s="70"/>
      <c r="D46" s="38" t="str">
        <f t="shared" si="12"/>
        <v>Trans Ground/Indoor Repl</v>
      </c>
      <c r="E46" s="36" t="str">
        <f t="shared" ref="E46:E51" si="14">$E$13</f>
        <v>Option 2</v>
      </c>
      <c r="F46" s="90" t="s">
        <v>80</v>
      </c>
      <c r="G46" s="90" t="s">
        <v>62</v>
      </c>
      <c r="H46" s="38" t="str">
        <f t="shared" si="13"/>
        <v>RHD</v>
      </c>
      <c r="I46" s="8" t="s">
        <v>82</v>
      </c>
      <c r="J46" s="124" t="s">
        <v>101</v>
      </c>
      <c r="K46" s="95">
        <v>9.6092857142857149</v>
      </c>
      <c r="L46" s="98">
        <v>8.3020000000000014</v>
      </c>
      <c r="M46" s="95">
        <v>9</v>
      </c>
      <c r="N46" s="95">
        <v>9</v>
      </c>
      <c r="O46" s="95">
        <v>9</v>
      </c>
      <c r="P46" s="95">
        <v>9</v>
      </c>
      <c r="Q46" s="126">
        <v>9</v>
      </c>
      <c r="R46" s="127">
        <f t="shared" ref="R46:R50" si="15">SUM(M46:Q46)</f>
        <v>45</v>
      </c>
      <c r="S46" s="70"/>
      <c r="T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
      <c r="A47" s="70"/>
      <c r="B47" s="70"/>
      <c r="C47" s="70"/>
      <c r="D47" s="38" t="str">
        <f t="shared" si="12"/>
        <v>Trans Pole Mounted Repl</v>
      </c>
      <c r="E47" s="36" t="str">
        <f t="shared" si="14"/>
        <v>Option 2</v>
      </c>
      <c r="F47" s="90" t="s">
        <v>80</v>
      </c>
      <c r="G47" s="90" t="s">
        <v>62</v>
      </c>
      <c r="H47" s="38" t="str">
        <f t="shared" si="13"/>
        <v>RHA</v>
      </c>
      <c r="I47" s="8" t="s">
        <v>82</v>
      </c>
      <c r="J47" s="124" t="s">
        <v>102</v>
      </c>
      <c r="K47" s="95">
        <v>28.264285714285723</v>
      </c>
      <c r="L47" s="98">
        <v>32.396000000000001</v>
      </c>
      <c r="M47" s="95">
        <v>31.999999999999996</v>
      </c>
      <c r="N47" s="95">
        <v>31.999999999999996</v>
      </c>
      <c r="O47" s="95">
        <v>31.999999999999996</v>
      </c>
      <c r="P47" s="95">
        <v>31.999999999999996</v>
      </c>
      <c r="Q47" s="126">
        <v>31.999999999999996</v>
      </c>
      <c r="R47" s="127">
        <f t="shared" si="15"/>
        <v>159.99999999999997</v>
      </c>
      <c r="S47" s="70"/>
      <c r="T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
      <c r="A48" s="70"/>
      <c r="B48" s="70"/>
      <c r="C48" s="70"/>
      <c r="D48" s="38" t="str">
        <f t="shared" si="12"/>
        <v>Transformer/Subs Kiosk Repl</v>
      </c>
      <c r="E48" s="36" t="str">
        <f t="shared" si="14"/>
        <v>Option 2</v>
      </c>
      <c r="F48" s="90" t="s">
        <v>80</v>
      </c>
      <c r="G48" s="90" t="s">
        <v>62</v>
      </c>
      <c r="H48" s="38" t="str">
        <f t="shared" si="13"/>
        <v>RHK</v>
      </c>
      <c r="I48" s="8" t="s">
        <v>82</v>
      </c>
      <c r="J48" s="124" t="s">
        <v>103</v>
      </c>
      <c r="K48" s="95">
        <v>2</v>
      </c>
      <c r="L48" s="98">
        <v>2</v>
      </c>
      <c r="M48" s="95">
        <v>3.9633398205753361</v>
      </c>
      <c r="N48" s="95">
        <v>3.9633398205753361</v>
      </c>
      <c r="O48" s="95">
        <v>3.9633398205753361</v>
      </c>
      <c r="P48" s="95">
        <v>3.9633398205753361</v>
      </c>
      <c r="Q48" s="126">
        <v>3.9633398205753361</v>
      </c>
      <c r="R48" s="127">
        <f t="shared" si="15"/>
        <v>19.816699102876679</v>
      </c>
      <c r="S48" s="70"/>
      <c r="T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89" x14ac:dyDescent="0.2">
      <c r="A49" s="70"/>
      <c r="B49" s="70"/>
      <c r="C49" s="70"/>
      <c r="D49" s="38" t="str">
        <f t="shared" si="12"/>
        <v>Indoor/Kiosk Switch Repl</v>
      </c>
      <c r="E49" s="36" t="str">
        <f t="shared" si="14"/>
        <v>Option 2</v>
      </c>
      <c r="F49" s="90" t="s">
        <v>80</v>
      </c>
      <c r="G49" s="90" t="s">
        <v>62</v>
      </c>
      <c r="H49" s="38" t="str">
        <f t="shared" si="13"/>
        <v>RHE</v>
      </c>
      <c r="I49" s="8" t="s">
        <v>82</v>
      </c>
      <c r="J49" s="124" t="s">
        <v>104</v>
      </c>
      <c r="K49" s="95">
        <v>1</v>
      </c>
      <c r="L49" s="98">
        <v>0</v>
      </c>
      <c r="M49" s="95">
        <v>2</v>
      </c>
      <c r="N49" s="95">
        <v>3</v>
      </c>
      <c r="O49" s="95">
        <v>3</v>
      </c>
      <c r="P49" s="95">
        <v>3</v>
      </c>
      <c r="Q49" s="126">
        <v>3</v>
      </c>
      <c r="R49" s="127">
        <f t="shared" si="15"/>
        <v>14</v>
      </c>
      <c r="S49" s="70"/>
      <c r="T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89" x14ac:dyDescent="0.2">
      <c r="A50" s="70"/>
      <c r="B50" s="70"/>
      <c r="C50" s="70"/>
      <c r="D50" s="38" t="str">
        <f t="shared" si="12"/>
        <v>[Spare]</v>
      </c>
      <c r="E50" s="36" t="str">
        <f t="shared" si="14"/>
        <v>Option 2</v>
      </c>
      <c r="F50" s="90" t="s">
        <v>80</v>
      </c>
      <c r="G50" s="90" t="s">
        <v>62</v>
      </c>
      <c r="H50" s="38" t="str">
        <f t="shared" si="13"/>
        <v>[Spare]</v>
      </c>
      <c r="I50" s="8" t="s">
        <v>82</v>
      </c>
      <c r="J50" s="124" t="s">
        <v>97</v>
      </c>
      <c r="K50" s="117">
        <v>0</v>
      </c>
      <c r="L50" s="128">
        <v>0</v>
      </c>
      <c r="M50" s="117">
        <v>0</v>
      </c>
      <c r="N50" s="117">
        <v>0</v>
      </c>
      <c r="O50" s="117">
        <v>0</v>
      </c>
      <c r="P50" s="117">
        <v>0</v>
      </c>
      <c r="Q50" s="129">
        <v>0</v>
      </c>
      <c r="R50" s="130">
        <f t="shared" si="15"/>
        <v>0</v>
      </c>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89" x14ac:dyDescent="0.2">
      <c r="A51" s="70"/>
      <c r="B51" s="70"/>
      <c r="C51" s="70"/>
      <c r="D51" s="38" t="s">
        <v>105</v>
      </c>
      <c r="E51" s="36" t="str">
        <f t="shared" si="14"/>
        <v>Option 2</v>
      </c>
      <c r="F51" s="90" t="s">
        <v>80</v>
      </c>
      <c r="G51" s="90" t="s">
        <v>62</v>
      </c>
      <c r="H51" s="38" t="s">
        <v>62</v>
      </c>
      <c r="I51" s="8" t="s">
        <v>81</v>
      </c>
      <c r="J51" s="70"/>
      <c r="K51" s="131">
        <f t="shared" ref="K51:R51" si="16">SUM(K45:K50)</f>
        <v>46.946428571428584</v>
      </c>
      <c r="L51" s="132">
        <f t="shared" si="16"/>
        <v>48.698</v>
      </c>
      <c r="M51" s="133">
        <f t="shared" si="16"/>
        <v>52.963339820575335</v>
      </c>
      <c r="N51" s="131">
        <f t="shared" si="16"/>
        <v>53.963339820575335</v>
      </c>
      <c r="O51" s="131">
        <f t="shared" si="16"/>
        <v>53.963339820575335</v>
      </c>
      <c r="P51" s="131">
        <f t="shared" si="16"/>
        <v>53.963339820575335</v>
      </c>
      <c r="Q51" s="134">
        <f t="shared" si="16"/>
        <v>53.963339820575335</v>
      </c>
      <c r="R51" s="135">
        <f t="shared" si="16"/>
        <v>268.81669910287667</v>
      </c>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89"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89" x14ac:dyDescent="0.2">
      <c r="A53" s="85"/>
      <c r="B53" s="85"/>
      <c r="C53" s="86" t="s">
        <v>106</v>
      </c>
      <c r="D53" s="85"/>
      <c r="E53" s="85"/>
      <c r="F53" s="87"/>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row>
    <row r="54" spans="1:89"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89" x14ac:dyDescent="0.2">
      <c r="A55" s="70"/>
      <c r="B55" s="70"/>
      <c r="C55" s="70"/>
      <c r="D55" s="74" t="str">
        <f>C53</f>
        <v>Replacement Expenditure</v>
      </c>
      <c r="E55" s="75" t="str">
        <f>E$4</f>
        <v>Option</v>
      </c>
      <c r="F55" s="75" t="str">
        <f>F$4</f>
        <v>Unit</v>
      </c>
      <c r="G55" s="75" t="str">
        <f>G$4</f>
        <v>Basis</v>
      </c>
      <c r="H55" s="94" t="s">
        <v>78</v>
      </c>
      <c r="I55" s="94" t="s">
        <v>79</v>
      </c>
      <c r="J55" s="70"/>
      <c r="K55" s="88" t="str">
        <f>K$3</f>
        <v>2024-25</v>
      </c>
      <c r="L55" s="88" t="str">
        <f t="shared" ref="L55:R55" si="17">L$3</f>
        <v>2025-26</v>
      </c>
      <c r="M55" s="88" t="str">
        <f t="shared" si="17"/>
        <v>2026-27</v>
      </c>
      <c r="N55" s="88" t="str">
        <f t="shared" si="17"/>
        <v>2027-28</v>
      </c>
      <c r="O55" s="88" t="str">
        <f t="shared" si="17"/>
        <v>2028-29</v>
      </c>
      <c r="P55" s="88" t="str">
        <f t="shared" si="17"/>
        <v>2029-30</v>
      </c>
      <c r="Q55" s="88" t="str">
        <f t="shared" si="17"/>
        <v>2030-31</v>
      </c>
      <c r="R55" s="88" t="str">
        <f t="shared" si="17"/>
        <v>EDPR Total</v>
      </c>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89" x14ac:dyDescent="0.2">
      <c r="A56" s="70"/>
      <c r="B56" s="70"/>
      <c r="C56" s="70"/>
      <c r="D56" s="70"/>
      <c r="E56" s="70"/>
      <c r="F56" s="70"/>
      <c r="G56" s="70"/>
      <c r="H56" s="70"/>
      <c r="J56" s="70"/>
      <c r="K56" s="70"/>
      <c r="L56" s="70"/>
      <c r="M56" s="70"/>
      <c r="N56" s="70"/>
      <c r="O56" s="70"/>
      <c r="P56" s="70"/>
      <c r="Q56" s="70"/>
      <c r="R56" s="70"/>
      <c r="S56" s="70"/>
      <c r="T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89" x14ac:dyDescent="0.2">
      <c r="A57" s="70"/>
      <c r="B57" s="70"/>
      <c r="C57" s="70"/>
      <c r="D57" s="89" t="s">
        <v>107</v>
      </c>
      <c r="E57" s="36" t="str">
        <f>$E$13</f>
        <v>Option 2</v>
      </c>
      <c r="F57" s="90" t="s">
        <v>86</v>
      </c>
      <c r="G57" s="90" t="s">
        <v>87</v>
      </c>
      <c r="H57" s="38" t="s">
        <v>62</v>
      </c>
      <c r="I57" s="8" t="s">
        <v>82</v>
      </c>
      <c r="J57" s="70"/>
      <c r="K57" s="95">
        <v>0</v>
      </c>
      <c r="L57" s="98">
        <v>0</v>
      </c>
      <c r="M57" s="95">
        <v>0</v>
      </c>
      <c r="N57" s="95">
        <v>0</v>
      </c>
      <c r="O57" s="95">
        <v>0</v>
      </c>
      <c r="P57" s="95">
        <v>0</v>
      </c>
      <c r="Q57" s="126">
        <v>0</v>
      </c>
      <c r="R57" s="127">
        <f>SUM(M57:Q57)</f>
        <v>0</v>
      </c>
      <c r="S57" s="70"/>
      <c r="T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89"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89" x14ac:dyDescent="0.2">
      <c r="A59" s="56"/>
      <c r="B59" s="72" t="str">
        <f>ID_Opt_Opt_3</f>
        <v>Option 3 - Option 2 plus additional 20% opportunistic replacement</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row>
    <row r="60" spans="1:89"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89" x14ac:dyDescent="0.2">
      <c r="A61" s="85"/>
      <c r="B61" s="85"/>
      <c r="C61" s="86" t="s">
        <v>98</v>
      </c>
      <c r="D61" s="85"/>
      <c r="E61" s="85"/>
      <c r="F61" s="87"/>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row>
    <row r="62" spans="1:89"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89" x14ac:dyDescent="0.2">
      <c r="D63" s="74" t="s">
        <v>108</v>
      </c>
      <c r="E63" s="75" t="str">
        <f>E$4</f>
        <v>Option</v>
      </c>
      <c r="F63" s="75" t="str">
        <f>F$4</f>
        <v>Unit</v>
      </c>
      <c r="G63" s="75" t="str">
        <f>G$4</f>
        <v>Basis</v>
      </c>
      <c r="H63" s="94" t="s">
        <v>78</v>
      </c>
      <c r="I63" s="94" t="s">
        <v>79</v>
      </c>
    </row>
    <row r="65" spans="1:89" x14ac:dyDescent="0.2">
      <c r="A65" s="70"/>
      <c r="B65" s="70"/>
      <c r="C65" s="70"/>
      <c r="D65" s="38" t="s">
        <v>108</v>
      </c>
      <c r="E65" s="36" t="str">
        <f>$E$14</f>
        <v>Option 3</v>
      </c>
      <c r="F65" s="90" t="s">
        <v>109</v>
      </c>
      <c r="G65" s="90" t="s">
        <v>62</v>
      </c>
      <c r="H65" s="38" t="s">
        <v>62</v>
      </c>
      <c r="I65" s="114" t="s">
        <v>79</v>
      </c>
      <c r="J65" s="103">
        <v>0.2</v>
      </c>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89"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89" x14ac:dyDescent="0.2">
      <c r="A67" s="70"/>
      <c r="B67" s="70"/>
      <c r="C67" s="70"/>
      <c r="D67" s="74" t="s">
        <v>110</v>
      </c>
      <c r="E67" s="75" t="str">
        <f>E$4</f>
        <v>Option</v>
      </c>
      <c r="F67" s="75" t="str">
        <f>F$4</f>
        <v>Unit</v>
      </c>
      <c r="G67" s="75" t="str">
        <f>G$4</f>
        <v>Basis</v>
      </c>
      <c r="H67" s="94" t="s">
        <v>78</v>
      </c>
      <c r="I67" s="94" t="s">
        <v>79</v>
      </c>
      <c r="J67" s="88" t="s">
        <v>99</v>
      </c>
      <c r="K67" s="88" t="str">
        <f>K$3</f>
        <v>2024-25</v>
      </c>
      <c r="L67" s="88" t="str">
        <f t="shared" ref="L67:R67" si="18">L$3</f>
        <v>2025-26</v>
      </c>
      <c r="M67" s="88" t="str">
        <f t="shared" si="18"/>
        <v>2026-27</v>
      </c>
      <c r="N67" s="88" t="str">
        <f t="shared" si="18"/>
        <v>2027-28</v>
      </c>
      <c r="O67" s="88" t="str">
        <f t="shared" si="18"/>
        <v>2028-29</v>
      </c>
      <c r="P67" s="88" t="str">
        <f t="shared" si="18"/>
        <v>2029-30</v>
      </c>
      <c r="Q67" s="88" t="str">
        <f t="shared" si="18"/>
        <v>2030-31</v>
      </c>
      <c r="R67" s="88" t="str">
        <f t="shared" si="18"/>
        <v>EDPR Total</v>
      </c>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89" x14ac:dyDescent="0.2">
      <c r="A68" s="70"/>
      <c r="B68" s="70"/>
      <c r="C68" s="70"/>
      <c r="D68" s="70"/>
      <c r="E68" s="70"/>
      <c r="F68" s="70"/>
      <c r="G68" s="70"/>
      <c r="H68" s="70"/>
      <c r="K68" s="70"/>
      <c r="L68" s="70"/>
      <c r="M68" s="70"/>
      <c r="N68" s="70"/>
      <c r="O68" s="70"/>
      <c r="P68" s="70"/>
      <c r="Q68" s="70"/>
      <c r="R68" s="70"/>
      <c r="S68" s="70"/>
      <c r="T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89" x14ac:dyDescent="0.2">
      <c r="A69" s="70"/>
      <c r="B69" s="70"/>
      <c r="C69" s="70"/>
      <c r="D69" s="38" t="str">
        <f t="shared" ref="D69:D75" si="19">D45</f>
        <v>Kiosk Refurbishment</v>
      </c>
      <c r="E69" s="36" t="str">
        <f>$E$14</f>
        <v>Option 3</v>
      </c>
      <c r="F69" s="90" t="s">
        <v>80</v>
      </c>
      <c r="G69" s="90" t="s">
        <v>62</v>
      </c>
      <c r="H69" s="38" t="s">
        <v>62</v>
      </c>
      <c r="I69" s="8" t="s">
        <v>82</v>
      </c>
      <c r="J69" s="102" t="str">
        <f>J45</f>
        <v>A108</v>
      </c>
      <c r="K69" s="102">
        <f t="shared" ref="K69:Q74" si="20">K45*(1+$J$65)</f>
        <v>7.2874285714285723</v>
      </c>
      <c r="L69" s="122">
        <f t="shared" si="20"/>
        <v>7.1999999999999993</v>
      </c>
      <c r="M69" s="102">
        <f t="shared" si="20"/>
        <v>7.1999999999999993</v>
      </c>
      <c r="N69" s="102">
        <f t="shared" si="20"/>
        <v>7.1999999999999993</v>
      </c>
      <c r="O69" s="102">
        <f t="shared" si="20"/>
        <v>7.1999999999999993</v>
      </c>
      <c r="P69" s="102">
        <f t="shared" si="20"/>
        <v>7.1999999999999993</v>
      </c>
      <c r="Q69" s="102">
        <f t="shared" si="20"/>
        <v>7.1999999999999993</v>
      </c>
      <c r="R69" s="120">
        <f>SUM(M69:Q69)</f>
        <v>36</v>
      </c>
      <c r="S69" s="70"/>
      <c r="T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89" x14ac:dyDescent="0.2">
      <c r="A70" s="70"/>
      <c r="B70" s="70"/>
      <c r="C70" s="70"/>
      <c r="D70" s="38" t="str">
        <f t="shared" si="19"/>
        <v>Trans Ground/Indoor Repl</v>
      </c>
      <c r="E70" s="36" t="str">
        <f t="shared" ref="E70:E75" si="21">$E$14</f>
        <v>Option 3</v>
      </c>
      <c r="F70" s="90" t="s">
        <v>80</v>
      </c>
      <c r="G70" s="90" t="s">
        <v>62</v>
      </c>
      <c r="H70" s="38" t="s">
        <v>62</v>
      </c>
      <c r="I70" s="8" t="s">
        <v>82</v>
      </c>
      <c r="J70" s="102" t="str">
        <f t="shared" ref="J70:J74" si="22">J46</f>
        <v>A243</v>
      </c>
      <c r="K70" s="102">
        <f t="shared" si="20"/>
        <v>11.531142857142857</v>
      </c>
      <c r="L70" s="122">
        <f t="shared" si="20"/>
        <v>9.9624000000000006</v>
      </c>
      <c r="M70" s="102">
        <f t="shared" si="20"/>
        <v>10.799999999999999</v>
      </c>
      <c r="N70" s="102">
        <f t="shared" si="20"/>
        <v>10.799999999999999</v>
      </c>
      <c r="O70" s="102">
        <f t="shared" si="20"/>
        <v>10.799999999999999</v>
      </c>
      <c r="P70" s="102">
        <f t="shared" si="20"/>
        <v>10.799999999999999</v>
      </c>
      <c r="Q70" s="102">
        <f t="shared" si="20"/>
        <v>10.799999999999999</v>
      </c>
      <c r="R70" s="120">
        <f t="shared" ref="R70:R74" si="23">SUM(M70:Q70)</f>
        <v>53.999999999999993</v>
      </c>
      <c r="S70" s="70"/>
      <c r="T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89" x14ac:dyDescent="0.2">
      <c r="A71" s="70"/>
      <c r="B71" s="70"/>
      <c r="C71" s="70"/>
      <c r="D71" s="38" t="str">
        <f t="shared" si="19"/>
        <v>Trans Pole Mounted Repl</v>
      </c>
      <c r="E71" s="36" t="str">
        <f t="shared" si="21"/>
        <v>Option 3</v>
      </c>
      <c r="F71" s="90" t="s">
        <v>80</v>
      </c>
      <c r="G71" s="90" t="s">
        <v>62</v>
      </c>
      <c r="H71" s="38" t="s">
        <v>62</v>
      </c>
      <c r="I71" s="8" t="s">
        <v>82</v>
      </c>
      <c r="J71" s="102" t="str">
        <f t="shared" si="22"/>
        <v>A140</v>
      </c>
      <c r="K71" s="102">
        <f t="shared" si="20"/>
        <v>33.917142857142863</v>
      </c>
      <c r="L71" s="122">
        <f t="shared" si="20"/>
        <v>38.8752</v>
      </c>
      <c r="M71" s="102">
        <f t="shared" si="20"/>
        <v>38.399999999999991</v>
      </c>
      <c r="N71" s="102">
        <f t="shared" si="20"/>
        <v>38.399999999999991</v>
      </c>
      <c r="O71" s="102">
        <f t="shared" si="20"/>
        <v>38.399999999999991</v>
      </c>
      <c r="P71" s="102">
        <f t="shared" si="20"/>
        <v>38.399999999999991</v>
      </c>
      <c r="Q71" s="102">
        <f t="shared" si="20"/>
        <v>38.399999999999991</v>
      </c>
      <c r="R71" s="120">
        <f t="shared" si="23"/>
        <v>191.99999999999994</v>
      </c>
      <c r="S71" s="70"/>
      <c r="T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89" x14ac:dyDescent="0.2">
      <c r="A72" s="70"/>
      <c r="B72" s="70"/>
      <c r="C72" s="70"/>
      <c r="D72" s="38" t="str">
        <f t="shared" si="19"/>
        <v>Transformer/Subs Kiosk Repl</v>
      </c>
      <c r="E72" s="36" t="str">
        <f t="shared" si="21"/>
        <v>Option 3</v>
      </c>
      <c r="F72" s="90" t="s">
        <v>80</v>
      </c>
      <c r="G72" s="90" t="s">
        <v>62</v>
      </c>
      <c r="H72" s="38" t="s">
        <v>62</v>
      </c>
      <c r="I72" s="8" t="s">
        <v>82</v>
      </c>
      <c r="J72" s="102" t="str">
        <f t="shared" si="22"/>
        <v>A148</v>
      </c>
      <c r="K72" s="102">
        <f t="shared" si="20"/>
        <v>2.4</v>
      </c>
      <c r="L72" s="122">
        <f t="shared" si="20"/>
        <v>2.4</v>
      </c>
      <c r="M72" s="102">
        <f t="shared" si="20"/>
        <v>4.7560077846904028</v>
      </c>
      <c r="N72" s="102">
        <f t="shared" si="20"/>
        <v>4.7560077846904028</v>
      </c>
      <c r="O72" s="102">
        <f t="shared" si="20"/>
        <v>4.7560077846904028</v>
      </c>
      <c r="P72" s="102">
        <f t="shared" si="20"/>
        <v>4.7560077846904028</v>
      </c>
      <c r="Q72" s="102">
        <f t="shared" si="20"/>
        <v>4.7560077846904028</v>
      </c>
      <c r="R72" s="120">
        <f t="shared" si="23"/>
        <v>23.780038923452015</v>
      </c>
      <c r="S72" s="70"/>
      <c r="T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89" x14ac:dyDescent="0.2">
      <c r="A73" s="70"/>
      <c r="B73" s="70"/>
      <c r="C73" s="70"/>
      <c r="D73" s="38" t="str">
        <f t="shared" si="19"/>
        <v>Indoor/Kiosk Switch Repl</v>
      </c>
      <c r="E73" s="36" t="str">
        <f t="shared" si="21"/>
        <v>Option 3</v>
      </c>
      <c r="F73" s="90" t="s">
        <v>80</v>
      </c>
      <c r="G73" s="90" t="s">
        <v>62</v>
      </c>
      <c r="H73" s="38" t="s">
        <v>62</v>
      </c>
      <c r="I73" s="8" t="s">
        <v>82</v>
      </c>
      <c r="J73" s="102" t="str">
        <f t="shared" si="22"/>
        <v>A143</v>
      </c>
      <c r="K73" s="102">
        <f t="shared" si="20"/>
        <v>1.2</v>
      </c>
      <c r="L73" s="122">
        <f t="shared" si="20"/>
        <v>0</v>
      </c>
      <c r="M73" s="102">
        <f t="shared" si="20"/>
        <v>2.4</v>
      </c>
      <c r="N73" s="102">
        <f t="shared" si="20"/>
        <v>3.5999999999999996</v>
      </c>
      <c r="O73" s="102">
        <f t="shared" si="20"/>
        <v>3.5999999999999996</v>
      </c>
      <c r="P73" s="102">
        <f t="shared" si="20"/>
        <v>3.5999999999999996</v>
      </c>
      <c r="Q73" s="102">
        <f t="shared" si="20"/>
        <v>3.5999999999999996</v>
      </c>
      <c r="R73" s="120">
        <f t="shared" si="23"/>
        <v>16.799999999999997</v>
      </c>
      <c r="S73" s="70"/>
      <c r="T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89" x14ac:dyDescent="0.2">
      <c r="A74" s="70"/>
      <c r="B74" s="70"/>
      <c r="C74" s="70"/>
      <c r="D74" s="38" t="str">
        <f t="shared" si="19"/>
        <v>[Spare]</v>
      </c>
      <c r="E74" s="36" t="str">
        <f t="shared" si="21"/>
        <v>Option 3</v>
      </c>
      <c r="F74" s="90" t="s">
        <v>80</v>
      </c>
      <c r="G74" s="90" t="s">
        <v>62</v>
      </c>
      <c r="H74" s="38" t="s">
        <v>62</v>
      </c>
      <c r="I74" s="8" t="s">
        <v>82</v>
      </c>
      <c r="J74" s="102" t="str">
        <f t="shared" si="22"/>
        <v>[Spare]</v>
      </c>
      <c r="K74" s="102">
        <f t="shared" si="20"/>
        <v>0</v>
      </c>
      <c r="L74" s="122">
        <f t="shared" si="20"/>
        <v>0</v>
      </c>
      <c r="M74" s="102">
        <f t="shared" si="20"/>
        <v>0</v>
      </c>
      <c r="N74" s="102">
        <f t="shared" si="20"/>
        <v>0</v>
      </c>
      <c r="O74" s="102">
        <f t="shared" si="20"/>
        <v>0</v>
      </c>
      <c r="P74" s="102">
        <f t="shared" si="20"/>
        <v>0</v>
      </c>
      <c r="Q74" s="102">
        <f t="shared" si="20"/>
        <v>0</v>
      </c>
      <c r="R74" s="120">
        <f t="shared" si="23"/>
        <v>0</v>
      </c>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89" x14ac:dyDescent="0.2">
      <c r="A75" s="70"/>
      <c r="B75" s="70"/>
      <c r="C75" s="70"/>
      <c r="D75" s="38" t="str">
        <f t="shared" si="19"/>
        <v>Total</v>
      </c>
      <c r="E75" s="36" t="str">
        <f t="shared" si="21"/>
        <v>Option 3</v>
      </c>
      <c r="F75" s="90" t="s">
        <v>80</v>
      </c>
      <c r="G75" s="90" t="s">
        <v>62</v>
      </c>
      <c r="H75" s="38" t="s">
        <v>62</v>
      </c>
      <c r="I75" s="8" t="s">
        <v>81</v>
      </c>
      <c r="J75" s="70"/>
      <c r="K75" s="109">
        <f t="shared" ref="K75:Q75" si="24">SUM(K69:K74)</f>
        <v>56.335714285714296</v>
      </c>
      <c r="L75" s="123">
        <f t="shared" si="24"/>
        <v>58.437599999999996</v>
      </c>
      <c r="M75" s="109">
        <f t="shared" si="24"/>
        <v>63.556007784690394</v>
      </c>
      <c r="N75" s="109">
        <f t="shared" si="24"/>
        <v>64.756007784690397</v>
      </c>
      <c r="O75" s="109">
        <f t="shared" si="24"/>
        <v>64.756007784690397</v>
      </c>
      <c r="P75" s="109">
        <f t="shared" si="24"/>
        <v>64.756007784690397</v>
      </c>
      <c r="Q75" s="109">
        <f t="shared" si="24"/>
        <v>64.756007784690397</v>
      </c>
      <c r="R75" s="121">
        <f>SUM(R69:R74)</f>
        <v>322.58003892345198</v>
      </c>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89"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89" x14ac:dyDescent="0.2">
      <c r="A77" s="85"/>
      <c r="B77" s="85"/>
      <c r="C77" s="86" t="s">
        <v>106</v>
      </c>
      <c r="D77" s="85"/>
      <c r="E77" s="85"/>
      <c r="F77" s="87"/>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row>
    <row r="78" spans="1:89"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89" x14ac:dyDescent="0.2">
      <c r="A79" s="70"/>
      <c r="B79" s="70"/>
      <c r="C79" s="70"/>
      <c r="D79" s="74" t="str">
        <f>C77</f>
        <v>Replacement Expenditure</v>
      </c>
      <c r="E79" s="75" t="str">
        <f>E$4</f>
        <v>Option</v>
      </c>
      <c r="F79" s="75" t="str">
        <f>F$4</f>
        <v>Unit</v>
      </c>
      <c r="G79" s="75" t="str">
        <f>G$4</f>
        <v>Basis</v>
      </c>
      <c r="H79" s="94" t="s">
        <v>78</v>
      </c>
      <c r="I79" s="94" t="s">
        <v>79</v>
      </c>
      <c r="J79" s="70"/>
      <c r="K79" s="88" t="str">
        <f>K$3</f>
        <v>2024-25</v>
      </c>
      <c r="L79" s="88" t="str">
        <f t="shared" ref="L79:R79" si="25">L$3</f>
        <v>2025-26</v>
      </c>
      <c r="M79" s="88" t="str">
        <f t="shared" si="25"/>
        <v>2026-27</v>
      </c>
      <c r="N79" s="88" t="str">
        <f t="shared" si="25"/>
        <v>2027-28</v>
      </c>
      <c r="O79" s="88" t="str">
        <f t="shared" si="25"/>
        <v>2028-29</v>
      </c>
      <c r="P79" s="88" t="str">
        <f t="shared" si="25"/>
        <v>2029-30</v>
      </c>
      <c r="Q79" s="88" t="str">
        <f t="shared" si="25"/>
        <v>2030-31</v>
      </c>
      <c r="R79" s="88" t="str">
        <f t="shared" si="25"/>
        <v>EDPR Total</v>
      </c>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89" x14ac:dyDescent="0.2">
      <c r="A80" s="70"/>
      <c r="B80" s="70"/>
      <c r="C80" s="70"/>
      <c r="D80" s="70"/>
      <c r="E80" s="70"/>
      <c r="F80" s="70"/>
      <c r="G80" s="70"/>
      <c r="H80" s="70"/>
      <c r="J80" s="70"/>
      <c r="K80" s="70"/>
      <c r="L80" s="70"/>
      <c r="M80" s="70"/>
      <c r="N80" s="70"/>
      <c r="O80" s="70"/>
      <c r="P80" s="70"/>
      <c r="Q80" s="70"/>
      <c r="R80" s="70"/>
      <c r="S80" s="70"/>
      <c r="T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89" x14ac:dyDescent="0.2">
      <c r="A81" s="70"/>
      <c r="B81" s="70"/>
      <c r="C81" s="70"/>
      <c r="D81" s="89" t="s">
        <v>107</v>
      </c>
      <c r="E81" s="36" t="str">
        <f>$E$13</f>
        <v>Option 2</v>
      </c>
      <c r="F81" s="90" t="s">
        <v>86</v>
      </c>
      <c r="G81" s="90" t="s">
        <v>87</v>
      </c>
      <c r="H81" s="38" t="s">
        <v>62</v>
      </c>
      <c r="I81" s="8" t="s">
        <v>82</v>
      </c>
      <c r="J81" s="70"/>
      <c r="K81" s="102">
        <f t="shared" ref="K81:Q81" si="26">K57*(1+$J$65)</f>
        <v>0</v>
      </c>
      <c r="L81" s="122">
        <f t="shared" si="26"/>
        <v>0</v>
      </c>
      <c r="M81" s="102">
        <f t="shared" si="26"/>
        <v>0</v>
      </c>
      <c r="N81" s="102">
        <f t="shared" si="26"/>
        <v>0</v>
      </c>
      <c r="O81" s="102">
        <f t="shared" si="26"/>
        <v>0</v>
      </c>
      <c r="P81" s="102">
        <f t="shared" si="26"/>
        <v>0</v>
      </c>
      <c r="Q81" s="102">
        <f t="shared" si="26"/>
        <v>0</v>
      </c>
      <c r="R81" s="127">
        <f>SUM(M81:Q81)</f>
        <v>0</v>
      </c>
      <c r="S81" s="70"/>
      <c r="T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89"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89"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89" x14ac:dyDescent="0.2">
      <c r="A84" s="56"/>
      <c r="B84" s="72" t="s">
        <v>43</v>
      </c>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row>
  </sheetData>
  <sheetProtection formatCells="0" formatColumns="0" formatRows="0"/>
  <mergeCells count="10">
    <mergeCell ref="J15:N15"/>
    <mergeCell ref="O15:R15"/>
    <mergeCell ref="J16:N16"/>
    <mergeCell ref="O16:R16"/>
    <mergeCell ref="J12:N12"/>
    <mergeCell ref="O12:R12"/>
    <mergeCell ref="J13:N13"/>
    <mergeCell ref="O13:R13"/>
    <mergeCell ref="J14:N14"/>
    <mergeCell ref="O14:R14"/>
  </mergeCells>
  <conditionalFormatting sqref="K1">
    <cfRule type="cellIs" dxfId="15" priority="3" operator="equal">
      <formula>"Check"</formula>
    </cfRule>
    <cfRule type="cellIs" dxfId="14" priority="4" operator="equal">
      <formula>"Ok"</formula>
    </cfRule>
  </conditionalFormatting>
  <conditionalFormatting sqref="N1">
    <cfRule type="cellIs" dxfId="13" priority="1" operator="equal">
      <formula>"Check"</formula>
    </cfRule>
    <cfRule type="cellIs" dxfId="12" priority="2" operator="equal">
      <formula>"Ok"</formula>
    </cfRule>
  </conditionalFormatting>
  <dataValidations count="4">
    <dataValidation allowBlank="1" showInputMessage="1" showErrorMessage="1" promptTitle="Dollar Basis" prompt="&quot;Nominal&quot;: no inflation escalation will be added to the costs in the calculation._x000a_&quot;Real&quot;: costs will be escalated by inflation in the calculation." sqref="G32 G43 G55 G67 G63 G22 G79" xr:uid="{F31A3C2B-BD54-4E59-B9EC-70079FBF49D2}"/>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40:BR40" xr:uid="{E2D23654-14E0-47AA-B4D2-E04D1F905967}">
      <formula1>0</formula1>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J34:J39 K45:Q50 K57:Q57 K24:Q24 K81:Q81" xr:uid="{CFB488E7-276B-4BA5-B4B9-E5C808402547}">
      <formula1>0</formula1>
    </dataValidation>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J65" xr:uid="{C400E273-79AA-43A1-8BAF-E0A98AF17CBC}">
      <formula1>0</formula1>
      <formula2>1</formula2>
    </dataValidation>
  </dataValidations>
  <pageMargins left="0.7" right="0.7" top="0.75" bottom="0.75" header="0.3" footer="0.3"/>
  <pageSetup paperSize="9" orientation="portrait" horizontalDpi="300" verticalDpi="300" r:id="rId1"/>
  <ignoredErrors>
    <ignoredError sqref="R45:R50 R57" formulaRange="1"/>
    <ignoredError sqref="K81:Q8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DFBD-D7D6-4555-B214-85DFE3B957FA}">
  <sheetPr codeName="Sheet4">
    <tabColor rgb="FFF8F5A4"/>
  </sheetPr>
  <dimension ref="A1:CK225"/>
  <sheetViews>
    <sheetView showGridLines="0" zoomScaleNormal="100" workbookViewId="0">
      <pane xSplit="4" ySplit="4" topLeftCell="E52" activePane="bottomRight" state="frozen"/>
      <selection pane="topRight" activeCell="E1" sqref="E1"/>
      <selection pane="bottomLeft" activeCell="A5" sqref="A5"/>
      <selection pane="bottomRight" activeCell="K79" sqref="K79"/>
    </sheetView>
  </sheetViews>
  <sheetFormatPr defaultColWidth="0" defaultRowHeight="11.25" x14ac:dyDescent="0.2"/>
  <cols>
    <col min="1" max="1" width="2.7109375" style="8" customWidth="1"/>
    <col min="2" max="3" width="0.85546875" style="8" customWidth="1"/>
    <col min="4" max="4" width="47.140625" style="8" customWidth="1"/>
    <col min="5" max="8" width="10.7109375" style="8" customWidth="1"/>
    <col min="9" max="9" width="34.140625" style="8" customWidth="1"/>
    <col min="10" max="18" width="12.7109375" style="8" customWidth="1"/>
    <col min="19"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75" x14ac:dyDescent="0.2">
      <c r="A1" s="52"/>
      <c r="B1" s="52"/>
      <c r="C1" s="52"/>
      <c r="D1" s="53" t="str">
        <f>Model_Name</f>
        <v>Cost Benefit Analysis</v>
      </c>
      <c r="E1" s="54"/>
      <c r="F1" s="55"/>
      <c r="G1" s="56"/>
      <c r="H1" s="56"/>
      <c r="I1" s="56"/>
      <c r="J1" s="57" t="s">
        <v>44</v>
      </c>
      <c r="K1" s="58" t="str">
        <f>IF(COUNTA($A$8:$A$225)=COUNTIF($A$8:$A$225,0),"Ok","Check")</f>
        <v>Ok</v>
      </c>
      <c r="L1" s="56"/>
      <c r="M1" s="57" t="s">
        <v>45</v>
      </c>
      <c r="N1" s="59" t="str">
        <f>Overall_Check</f>
        <v>Ok</v>
      </c>
      <c r="O1" s="56"/>
      <c r="P1" s="57" t="s">
        <v>46</v>
      </c>
      <c r="Q1" s="60" t="s">
        <v>20</v>
      </c>
      <c r="R1" s="61" t="s">
        <v>47</v>
      </c>
      <c r="S1" s="62" t="s">
        <v>48</v>
      </c>
      <c r="T1" s="63" t="s">
        <v>27</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2" thickBot="1" x14ac:dyDescent="0.25">
      <c r="A2" s="56"/>
      <c r="B2" s="56"/>
      <c r="C2" s="56"/>
      <c r="D2" s="64" t="str">
        <f ca="1">RIGHT(CELL("filename",D1),LEN(CELL("filename",D1))-FIND("]",CELL("filename",D1)))</f>
        <v>Input|Benefits</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2" thickBot="1" x14ac:dyDescent="0.25">
      <c r="A3" s="65"/>
      <c r="B3" s="65"/>
      <c r="C3" s="65"/>
      <c r="D3" s="65"/>
      <c r="E3" s="66"/>
      <c r="F3" s="66"/>
      <c r="G3" s="66"/>
      <c r="H3" s="66"/>
      <c r="I3" s="65"/>
      <c r="J3" s="67" t="s">
        <v>49</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50</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x14ac:dyDescent="0.2">
      <c r="A4" s="65"/>
      <c r="B4" s="65"/>
      <c r="C4" s="65"/>
      <c r="D4" s="65"/>
      <c r="E4" s="66" t="s">
        <v>51</v>
      </c>
      <c r="F4" s="66" t="s">
        <v>52</v>
      </c>
      <c r="G4" s="66" t="s">
        <v>53</v>
      </c>
      <c r="H4" s="66" t="s">
        <v>54</v>
      </c>
      <c r="I4" s="65"/>
      <c r="J4" s="67" t="s">
        <v>55</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x14ac:dyDescent="0.2">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x14ac:dyDescent="0.2">
      <c r="A6" s="70"/>
      <c r="B6" s="71" t="s">
        <v>56</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x14ac:dyDescent="0.2">
      <c r="A8" s="56"/>
      <c r="B8" s="72" t="s">
        <v>111</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x14ac:dyDescent="0.2">
      <c r="A10" s="85"/>
      <c r="B10" s="85"/>
      <c r="C10" s="86" t="str">
        <f>'Input|Costs'!$D$13</f>
        <v>Option 2 - Replacement based on historical trend</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x14ac:dyDescent="0.2">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x14ac:dyDescent="0.2">
      <c r="A12" s="70"/>
      <c r="B12" s="70"/>
      <c r="C12" s="70"/>
      <c r="D12" s="74" t="s">
        <v>112</v>
      </c>
      <c r="E12" s="75" t="str">
        <f>E$4</f>
        <v>Option</v>
      </c>
      <c r="F12" s="75" t="str">
        <f>F$4</f>
        <v>Unit</v>
      </c>
      <c r="G12" s="75" t="str">
        <f>G$4</f>
        <v>Basis</v>
      </c>
      <c r="H12" s="75" t="s">
        <v>79</v>
      </c>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x14ac:dyDescent="0.2">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x14ac:dyDescent="0.2">
      <c r="A14" s="70"/>
      <c r="B14" s="70"/>
      <c r="C14" s="70"/>
      <c r="D14" s="38" t="s">
        <v>113</v>
      </c>
      <c r="E14" s="36" t="str">
        <f>'Input|Costs'!$E$13</f>
        <v>Option 2</v>
      </c>
      <c r="F14" s="90" t="s">
        <v>114</v>
      </c>
      <c r="G14" s="90" t="s">
        <v>62</v>
      </c>
      <c r="H14" s="114" t="s">
        <v>79</v>
      </c>
      <c r="I14" s="70"/>
      <c r="J14" s="102">
        <f>'Input|Transf_Failures'!$I$37</f>
        <v>333.23842424242389</v>
      </c>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x14ac:dyDescent="0.2">
      <c r="A15" s="70"/>
      <c r="B15" s="70"/>
      <c r="C15" s="70"/>
      <c r="D15" s="38" t="s">
        <v>115</v>
      </c>
      <c r="E15" s="36" t="str">
        <f>'Input|Costs'!$E$13</f>
        <v>Option 2</v>
      </c>
      <c r="F15" s="90" t="s">
        <v>114</v>
      </c>
      <c r="G15" s="90" t="s">
        <v>62</v>
      </c>
      <c r="H15" s="119" t="s">
        <v>62</v>
      </c>
      <c r="I15" s="70"/>
      <c r="J15" s="95">
        <v>60</v>
      </c>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x14ac:dyDescent="0.2">
      <c r="A16" s="70"/>
      <c r="B16" s="70"/>
      <c r="C16" s="70"/>
      <c r="D16" s="38" t="s">
        <v>116</v>
      </c>
      <c r="E16" s="36" t="str">
        <f>'Input|Costs'!$E$13</f>
        <v>Option 2</v>
      </c>
      <c r="F16" s="90" t="s">
        <v>114</v>
      </c>
      <c r="G16" s="90" t="s">
        <v>62</v>
      </c>
      <c r="H16" s="114" t="s">
        <v>79</v>
      </c>
      <c r="I16" s="70"/>
      <c r="J16" s="107">
        <f>J14/J15</f>
        <v>5.5539737373737319</v>
      </c>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x14ac:dyDescent="0.2">
      <c r="A17" s="70"/>
      <c r="B17" s="70"/>
      <c r="C17" s="70"/>
      <c r="D17" s="38" t="s">
        <v>117</v>
      </c>
      <c r="E17" s="36" t="str">
        <f>'Input|Costs'!$E$13</f>
        <v>Option 2</v>
      </c>
      <c r="F17" s="90" t="s">
        <v>118</v>
      </c>
      <c r="G17" s="90" t="s">
        <v>62</v>
      </c>
      <c r="H17" s="114" t="s">
        <v>79</v>
      </c>
      <c r="I17" s="70"/>
      <c r="J17" s="102">
        <f>'Input|Transf_Failures'!$K$37</f>
        <v>436.27272727272725</v>
      </c>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x14ac:dyDescent="0.2">
      <c r="A18" s="70"/>
      <c r="B18" s="70"/>
      <c r="C18" s="70"/>
      <c r="D18" s="38" t="s">
        <v>119</v>
      </c>
      <c r="E18" s="36" t="str">
        <f>'Input|Costs'!$E$13</f>
        <v>Option 2</v>
      </c>
      <c r="F18" s="90" t="s">
        <v>120</v>
      </c>
      <c r="G18" s="90" t="s">
        <v>62</v>
      </c>
      <c r="H18" s="114" t="s">
        <v>79</v>
      </c>
      <c r="I18" s="70"/>
      <c r="J18" s="102">
        <f>J16*J17</f>
        <v>2423.0472696051397</v>
      </c>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row>
    <row r="19" spans="1:89"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row>
    <row r="20" spans="1:89" x14ac:dyDescent="0.2">
      <c r="A20" s="70"/>
      <c r="B20" s="70"/>
      <c r="C20" s="70"/>
      <c r="D20" s="74" t="s">
        <v>121</v>
      </c>
      <c r="E20" s="75" t="str">
        <f>E$4</f>
        <v>Option</v>
      </c>
      <c r="F20" s="75" t="str">
        <f>F$4</f>
        <v>Unit</v>
      </c>
      <c r="G20" s="75" t="str">
        <f>G$4</f>
        <v>Basis</v>
      </c>
      <c r="H20" s="75" t="s">
        <v>79</v>
      </c>
      <c r="I20" s="70"/>
      <c r="J20" s="75" t="s">
        <v>122</v>
      </c>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row>
    <row r="21" spans="1:89"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row>
    <row r="22" spans="1:89" x14ac:dyDescent="0.2">
      <c r="A22" s="70"/>
      <c r="B22" s="70"/>
      <c r="C22" s="70"/>
      <c r="D22" s="38" t="s">
        <v>123</v>
      </c>
      <c r="E22" s="36" t="str">
        <f>'Input|Costs'!$E$13</f>
        <v>Option 2</v>
      </c>
      <c r="F22" s="90" t="s">
        <v>109</v>
      </c>
      <c r="G22" s="90" t="s">
        <v>62</v>
      </c>
      <c r="H22" s="114" t="s">
        <v>79</v>
      </c>
      <c r="I22" s="70"/>
      <c r="J22" s="103">
        <v>0.8</v>
      </c>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row>
    <row r="23" spans="1:89" x14ac:dyDescent="0.2">
      <c r="A23" s="70"/>
      <c r="B23" s="70"/>
      <c r="C23" s="70"/>
      <c r="D23" s="38" t="s">
        <v>124</v>
      </c>
      <c r="E23" s="36" t="str">
        <f>'Input|Costs'!$E$13</f>
        <v>Option 2</v>
      </c>
      <c r="F23" s="90" t="s">
        <v>109</v>
      </c>
      <c r="G23" s="90" t="s">
        <v>62</v>
      </c>
      <c r="H23" s="114" t="s">
        <v>79</v>
      </c>
      <c r="I23" s="70"/>
      <c r="J23" s="103">
        <v>0.15</v>
      </c>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row>
    <row r="24" spans="1:89" x14ac:dyDescent="0.2">
      <c r="A24" s="70"/>
      <c r="B24" s="70"/>
      <c r="C24" s="70"/>
      <c r="D24" s="38" t="s">
        <v>125</v>
      </c>
      <c r="E24" s="36" t="str">
        <f>'Input|Costs'!$E$13</f>
        <v>Option 2</v>
      </c>
      <c r="F24" s="90" t="s">
        <v>109</v>
      </c>
      <c r="G24" s="90" t="s">
        <v>62</v>
      </c>
      <c r="H24" s="114" t="s">
        <v>79</v>
      </c>
      <c r="I24" s="70"/>
      <c r="J24" s="104">
        <v>0.05</v>
      </c>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row>
    <row r="25" spans="1:89" x14ac:dyDescent="0.2">
      <c r="A25" s="106">
        <f>IF(ROUND(J25,2)&lt;&gt;1,1,0)</f>
        <v>0</v>
      </c>
      <c r="B25" s="70"/>
      <c r="C25" s="70"/>
      <c r="D25" s="38" t="s">
        <v>126</v>
      </c>
      <c r="E25" s="36" t="str">
        <f>'Input|Costs'!$E$13</f>
        <v>Option 2</v>
      </c>
      <c r="F25" s="90" t="s">
        <v>109</v>
      </c>
      <c r="G25" s="90" t="s">
        <v>62</v>
      </c>
      <c r="H25" s="114" t="s">
        <v>79</v>
      </c>
      <c r="I25" s="70"/>
      <c r="J25" s="105">
        <f>SUM(J22:J24)</f>
        <v>1</v>
      </c>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row>
    <row r="26" spans="1:89"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row>
    <row r="27" spans="1:89" x14ac:dyDescent="0.2">
      <c r="A27" s="70"/>
      <c r="B27" s="70"/>
      <c r="C27" s="70"/>
      <c r="D27" s="74" t="s">
        <v>127</v>
      </c>
      <c r="E27" s="75" t="str">
        <f>E$4</f>
        <v>Option</v>
      </c>
      <c r="F27" s="75" t="str">
        <f>F$4</f>
        <v>Unit</v>
      </c>
      <c r="G27" s="75" t="str">
        <f>G$4</f>
        <v>Basis</v>
      </c>
      <c r="H27" s="75" t="s">
        <v>79</v>
      </c>
      <c r="I27" s="70"/>
      <c r="J27" s="75" t="s">
        <v>128</v>
      </c>
      <c r="K27" s="75" t="s">
        <v>129</v>
      </c>
      <c r="L27" s="75" t="s">
        <v>127</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row>
    <row r="28" spans="1:89"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row>
    <row r="29" spans="1:89" x14ac:dyDescent="0.2">
      <c r="A29" s="70"/>
      <c r="B29" s="70"/>
      <c r="C29" s="70"/>
      <c r="D29" s="38" t="s">
        <v>123</v>
      </c>
      <c r="E29" s="36" t="str">
        <f>'Input|Costs'!$E$13</f>
        <v>Option 2</v>
      </c>
      <c r="F29" s="90" t="s">
        <v>130</v>
      </c>
      <c r="G29" s="90" t="s">
        <v>62</v>
      </c>
      <c r="H29" s="114" t="s">
        <v>79</v>
      </c>
      <c r="I29" s="70"/>
      <c r="J29" s="95">
        <v>6100</v>
      </c>
      <c r="K29" s="95">
        <f t="shared" ref="K29:K31" si="2">365*24</f>
        <v>8760</v>
      </c>
      <c r="L29" s="108">
        <f>J29/K29</f>
        <v>0.69634703196347036</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
      <c r="A30" s="70"/>
      <c r="B30" s="70"/>
      <c r="C30" s="70"/>
      <c r="D30" s="38" t="s">
        <v>124</v>
      </c>
      <c r="E30" s="36" t="str">
        <f>'Input|Costs'!$E$13</f>
        <v>Option 2</v>
      </c>
      <c r="F30" s="90" t="s">
        <v>130</v>
      </c>
      <c r="G30" s="90" t="s">
        <v>62</v>
      </c>
      <c r="H30" s="114" t="s">
        <v>79</v>
      </c>
      <c r="I30" s="70"/>
      <c r="J30" s="95">
        <v>14600</v>
      </c>
      <c r="K30" s="95">
        <f t="shared" si="2"/>
        <v>8760</v>
      </c>
      <c r="L30" s="108">
        <f t="shared" ref="L30:L31" si="3">J30/K30</f>
        <v>1.6666666666666667</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
      <c r="A31" s="70"/>
      <c r="B31" s="70"/>
      <c r="C31" s="70"/>
      <c r="D31" s="38" t="s">
        <v>125</v>
      </c>
      <c r="E31" s="36" t="str">
        <f>'Input|Costs'!$E$13</f>
        <v>Option 2</v>
      </c>
      <c r="F31" s="90" t="s">
        <v>130</v>
      </c>
      <c r="G31" s="90" t="s">
        <v>62</v>
      </c>
      <c r="H31" s="114" t="s">
        <v>79</v>
      </c>
      <c r="I31" s="70"/>
      <c r="J31" s="95">
        <f>J30*10</f>
        <v>146000</v>
      </c>
      <c r="K31" s="95">
        <f t="shared" si="2"/>
        <v>8760</v>
      </c>
      <c r="L31" s="108">
        <f t="shared" si="3"/>
        <v>16.666666666666668</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row>
    <row r="33" spans="1:89" x14ac:dyDescent="0.2">
      <c r="A33" s="70"/>
      <c r="B33" s="70"/>
      <c r="C33" s="70"/>
      <c r="D33" s="74" t="s">
        <v>131</v>
      </c>
      <c r="E33" s="75" t="str">
        <f>E$4</f>
        <v>Option</v>
      </c>
      <c r="F33" s="75" t="str">
        <f>F$4</f>
        <v>Unit</v>
      </c>
      <c r="G33" s="75" t="str">
        <f>G$4</f>
        <v>Basis</v>
      </c>
      <c r="H33" s="75" t="s">
        <v>79</v>
      </c>
      <c r="I33" s="70"/>
      <c r="J33" s="75" t="s">
        <v>132</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row>
    <row r="34" spans="1:89"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row>
    <row r="35" spans="1:89" x14ac:dyDescent="0.2">
      <c r="A35" s="70"/>
      <c r="B35" s="70"/>
      <c r="C35" s="70"/>
      <c r="D35" s="38" t="s">
        <v>123</v>
      </c>
      <c r="E35" s="36" t="str">
        <f>'Input|Costs'!$E$13</f>
        <v>Option 2</v>
      </c>
      <c r="F35" s="90" t="s">
        <v>132</v>
      </c>
      <c r="G35" s="112" t="s">
        <v>87</v>
      </c>
      <c r="H35" s="8" t="s">
        <v>133</v>
      </c>
      <c r="I35" s="70"/>
      <c r="J35" s="91">
        <v>54.408417496501805</v>
      </c>
      <c r="K35" s="70"/>
      <c r="L35" s="113" t="s">
        <v>134</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
      <c r="A36" s="70"/>
      <c r="B36" s="70"/>
      <c r="C36" s="70"/>
      <c r="D36" s="38" t="s">
        <v>124</v>
      </c>
      <c r="E36" s="36" t="str">
        <f>'Input|Costs'!$E$13</f>
        <v>Option 2</v>
      </c>
      <c r="F36" s="90" t="s">
        <v>132</v>
      </c>
      <c r="G36" s="112" t="s">
        <v>87</v>
      </c>
      <c r="H36" s="8" t="s">
        <v>133</v>
      </c>
      <c r="I36" s="70"/>
      <c r="J36" s="91">
        <v>34.39</v>
      </c>
      <c r="K36" s="70"/>
      <c r="L36" s="113" t="s">
        <v>134</v>
      </c>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
      <c r="A37" s="70"/>
      <c r="B37" s="70"/>
      <c r="C37" s="70"/>
      <c r="D37" s="38" t="s">
        <v>125</v>
      </c>
      <c r="E37" s="36" t="str">
        <f>'Input|Costs'!$E$13</f>
        <v>Option 2</v>
      </c>
      <c r="F37" s="90" t="s">
        <v>132</v>
      </c>
      <c r="G37" s="112" t="s">
        <v>87</v>
      </c>
      <c r="H37" s="8" t="s">
        <v>133</v>
      </c>
      <c r="I37" s="70"/>
      <c r="J37" s="91">
        <v>33.49</v>
      </c>
      <c r="K37" s="70"/>
      <c r="L37" s="113" t="s">
        <v>134</v>
      </c>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
      <c r="A39" s="70"/>
      <c r="B39" s="70"/>
      <c r="C39" s="70"/>
      <c r="D39" s="74" t="s">
        <v>135</v>
      </c>
      <c r="E39" s="75" t="str">
        <f>E$4</f>
        <v>Option</v>
      </c>
      <c r="F39" s="75" t="str">
        <f>F$4</f>
        <v>Unit</v>
      </c>
      <c r="G39" s="75" t="str">
        <f>G$4</f>
        <v>Basis</v>
      </c>
      <c r="H39" s="75" t="s">
        <v>79</v>
      </c>
      <c r="I39" s="70"/>
      <c r="J39" s="75" t="s">
        <v>136</v>
      </c>
      <c r="K39" s="75" t="s">
        <v>137</v>
      </c>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
      <c r="A41" s="70"/>
      <c r="B41" s="70"/>
      <c r="C41" s="70"/>
      <c r="D41" s="38" t="s">
        <v>123</v>
      </c>
      <c r="E41" s="36" t="str">
        <f>'Input|Costs'!$E$13</f>
        <v>Option 2</v>
      </c>
      <c r="F41" s="90" t="s">
        <v>130</v>
      </c>
      <c r="G41" s="90" t="s">
        <v>62</v>
      </c>
      <c r="H41" s="114" t="s">
        <v>79</v>
      </c>
      <c r="I41" s="70"/>
      <c r="J41" s="102">
        <f>J$18*J22*L29</f>
        <v>1349.8254195973839</v>
      </c>
      <c r="K41" s="102">
        <f>J41*J35</f>
        <v>73441.864976845187</v>
      </c>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
      <c r="A42" s="70"/>
      <c r="B42" s="70"/>
      <c r="C42" s="70"/>
      <c r="D42" s="38" t="s">
        <v>124</v>
      </c>
      <c r="E42" s="36" t="str">
        <f>'Input|Costs'!$E$13</f>
        <v>Option 2</v>
      </c>
      <c r="F42" s="90" t="s">
        <v>130</v>
      </c>
      <c r="G42" s="90" t="s">
        <v>62</v>
      </c>
      <c r="H42" s="114" t="s">
        <v>79</v>
      </c>
      <c r="I42" s="70"/>
      <c r="J42" s="102">
        <f>J$18*J23*L30</f>
        <v>605.76181740128493</v>
      </c>
      <c r="K42" s="102">
        <f t="shared" ref="K42:K43" si="4">J42*J36</f>
        <v>20832.148900430187</v>
      </c>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
      <c r="A43" s="70"/>
      <c r="B43" s="70"/>
      <c r="C43" s="70"/>
      <c r="D43" s="38" t="s">
        <v>125</v>
      </c>
      <c r="E43" s="36" t="str">
        <f>'Input|Costs'!$E$13</f>
        <v>Option 2</v>
      </c>
      <c r="F43" s="90" t="s">
        <v>130</v>
      </c>
      <c r="G43" s="90" t="s">
        <v>62</v>
      </c>
      <c r="H43" s="114" t="s">
        <v>79</v>
      </c>
      <c r="I43" s="70"/>
      <c r="J43" s="102">
        <f>J$18*J24*L31</f>
        <v>2019.2060580042835</v>
      </c>
      <c r="K43" s="102">
        <f t="shared" si="4"/>
        <v>67623.210882563464</v>
      </c>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
      <c r="A44" s="70"/>
      <c r="B44" s="70"/>
      <c r="C44" s="70"/>
      <c r="D44" s="38" t="s">
        <v>138</v>
      </c>
      <c r="E44" s="36" t="str">
        <f>'Input|Costs'!$E$13</f>
        <v>Option 2</v>
      </c>
      <c r="F44" s="90" t="s">
        <v>139</v>
      </c>
      <c r="G44" s="90" t="s">
        <v>87</v>
      </c>
      <c r="H44" s="8" t="s">
        <v>81</v>
      </c>
      <c r="I44" s="70"/>
      <c r="J44" s="70"/>
      <c r="K44" s="110">
        <f>SUM(K41:K43)</f>
        <v>161897.22475983883</v>
      </c>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
      <c r="A45" s="70"/>
      <c r="B45" s="70"/>
      <c r="C45" s="70"/>
      <c r="D45" s="70"/>
      <c r="E45" s="70"/>
      <c r="F45" s="70"/>
      <c r="G45" s="70"/>
      <c r="H45" s="70"/>
      <c r="I45" s="70"/>
      <c r="J45" s="70"/>
      <c r="K45" s="11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
      <c r="A46" s="70"/>
      <c r="B46" s="70"/>
      <c r="C46" s="70"/>
      <c r="D46" s="74" t="s">
        <v>140</v>
      </c>
      <c r="E46" s="75" t="str">
        <f>E$4</f>
        <v>Option</v>
      </c>
      <c r="F46" s="75" t="str">
        <f>F$4</f>
        <v>Unit</v>
      </c>
      <c r="G46" s="75" t="str">
        <f>G$4</f>
        <v>Basis</v>
      </c>
      <c r="H46" s="75" t="s">
        <v>79</v>
      </c>
      <c r="I46" s="70"/>
      <c r="J46" s="75">
        <v>2019</v>
      </c>
      <c r="K46" s="75">
        <v>2020</v>
      </c>
      <c r="L46" s="75">
        <v>2021</v>
      </c>
      <c r="M46" s="75">
        <v>2022</v>
      </c>
      <c r="N46" s="75">
        <v>2023</v>
      </c>
      <c r="O46" s="75">
        <v>2023</v>
      </c>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
      <c r="A47" s="70"/>
      <c r="B47" s="70"/>
      <c r="C47" s="70"/>
      <c r="D47" s="70"/>
      <c r="E47" s="70"/>
      <c r="F47" s="70"/>
      <c r="G47" s="70"/>
      <c r="H47" s="70"/>
      <c r="I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
      <c r="A48" s="70"/>
      <c r="B48" s="70"/>
      <c r="C48" s="70"/>
      <c r="D48" s="38" t="s">
        <v>141</v>
      </c>
      <c r="E48" s="36" t="str">
        <f>'Input|Costs'!$E$13</f>
        <v>Option 2</v>
      </c>
      <c r="F48" s="90" t="s">
        <v>118</v>
      </c>
      <c r="G48" s="90" t="s">
        <v>62</v>
      </c>
      <c r="H48" s="114" t="s">
        <v>79</v>
      </c>
      <c r="I48" s="70"/>
      <c r="J48" s="95">
        <v>12</v>
      </c>
      <c r="K48" s="95">
        <v>15</v>
      </c>
      <c r="L48" s="95">
        <v>15</v>
      </c>
      <c r="M48" s="95">
        <v>7</v>
      </c>
      <c r="N48" s="95">
        <v>14</v>
      </c>
      <c r="O48" s="95">
        <v>20</v>
      </c>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89" x14ac:dyDescent="0.2">
      <c r="A49" s="70"/>
      <c r="B49" s="70"/>
      <c r="C49" s="70"/>
      <c r="D49" s="38" t="s">
        <v>142</v>
      </c>
      <c r="E49" s="36" t="str">
        <f>'Input|Costs'!$E$13</f>
        <v>Option 2</v>
      </c>
      <c r="F49" s="90" t="s">
        <v>118</v>
      </c>
      <c r="G49" s="90" t="s">
        <v>62</v>
      </c>
      <c r="H49" s="114" t="s">
        <v>79</v>
      </c>
      <c r="I49" s="70"/>
      <c r="J49" s="95">
        <v>7</v>
      </c>
      <c r="K49" s="95">
        <v>4</v>
      </c>
      <c r="L49" s="95">
        <v>9</v>
      </c>
      <c r="M49" s="95">
        <v>0</v>
      </c>
      <c r="N49" s="95">
        <v>1</v>
      </c>
      <c r="O49" s="95">
        <v>10</v>
      </c>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89" x14ac:dyDescent="0.2">
      <c r="A50" s="70"/>
      <c r="B50" s="70"/>
      <c r="C50" s="70"/>
      <c r="D50" s="38" t="s">
        <v>143</v>
      </c>
      <c r="E50" s="36" t="str">
        <f>'Input|Costs'!$E$13</f>
        <v>Option 2</v>
      </c>
      <c r="F50" s="90" t="s">
        <v>118</v>
      </c>
      <c r="G50" s="90" t="s">
        <v>62</v>
      </c>
      <c r="H50" s="8" t="s">
        <v>81</v>
      </c>
      <c r="I50" s="70"/>
      <c r="J50" s="111">
        <f>SUM(J48:J49)</f>
        <v>19</v>
      </c>
      <c r="K50" s="111">
        <f t="shared" ref="K50:N50" si="5">SUM(K48:K49)</f>
        <v>19</v>
      </c>
      <c r="L50" s="111">
        <f t="shared" si="5"/>
        <v>24</v>
      </c>
      <c r="M50" s="111">
        <f t="shared" si="5"/>
        <v>7</v>
      </c>
      <c r="N50" s="111">
        <f t="shared" si="5"/>
        <v>15</v>
      </c>
      <c r="O50" s="111">
        <f t="shared" ref="O50" si="6">SUM(O48:O49)</f>
        <v>30</v>
      </c>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89" x14ac:dyDescent="0.2">
      <c r="A51" s="70"/>
      <c r="B51" s="70"/>
      <c r="C51" s="70"/>
      <c r="D51" s="38" t="str">
        <f>"Average Fault Levels "&amp;K46&amp;"-"&amp;N46</f>
        <v>Average Fault Levels 2020-2023</v>
      </c>
      <c r="E51" s="36" t="str">
        <f>'Input|Costs'!$E$13</f>
        <v>Option 2</v>
      </c>
      <c r="F51" s="90" t="s">
        <v>118</v>
      </c>
      <c r="G51" s="90" t="s">
        <v>62</v>
      </c>
      <c r="H51" s="8" t="s">
        <v>81</v>
      </c>
      <c r="I51" s="70"/>
      <c r="J51" s="115">
        <f>AVERAGE(J50:O50)</f>
        <v>19</v>
      </c>
      <c r="K51" s="116" t="s">
        <v>144</v>
      </c>
      <c r="L51" s="70"/>
      <c r="M51" s="70"/>
      <c r="N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89" x14ac:dyDescent="0.2">
      <c r="A52" s="70"/>
      <c r="B52" s="70"/>
      <c r="C52" s="70"/>
      <c r="D52" s="38"/>
      <c r="E52" s="36"/>
      <c r="F52" s="90"/>
      <c r="G52" s="90"/>
      <c r="I52" s="70"/>
      <c r="J52" s="111"/>
      <c r="K52" s="116"/>
      <c r="L52" s="70"/>
      <c r="M52" s="70"/>
      <c r="N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89" x14ac:dyDescent="0.2">
      <c r="A53" s="70"/>
      <c r="B53" s="70"/>
      <c r="C53" s="70"/>
      <c r="D53" s="74" t="s">
        <v>145</v>
      </c>
      <c r="E53" s="75" t="str">
        <f>E$4</f>
        <v>Option</v>
      </c>
      <c r="F53" s="75" t="str">
        <f>F$4</f>
        <v>Unit</v>
      </c>
      <c r="G53" s="75" t="str">
        <f>G$4</f>
        <v>Basis</v>
      </c>
      <c r="H53" s="75" t="s">
        <v>79</v>
      </c>
      <c r="I53" s="70"/>
      <c r="J53" s="70"/>
      <c r="K53" s="116"/>
      <c r="L53" s="70"/>
      <c r="M53" s="70"/>
      <c r="N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89" x14ac:dyDescent="0.2">
      <c r="A54" s="70"/>
      <c r="B54" s="70"/>
      <c r="C54" s="70"/>
      <c r="D54" s="38"/>
      <c r="E54" s="36"/>
      <c r="F54" s="90"/>
      <c r="G54" s="90"/>
      <c r="I54" s="70"/>
      <c r="J54" s="111"/>
      <c r="L54" s="70"/>
      <c r="M54" s="70"/>
      <c r="N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89" x14ac:dyDescent="0.2">
      <c r="A55" s="70"/>
      <c r="B55" s="70"/>
      <c r="C55" s="70"/>
      <c r="D55" s="38" t="str">
        <f>"Option 2 "&amp;'Input|Costs'!$N$43&amp;" Volume"</f>
        <v>Option 2 2027-28 Volume</v>
      </c>
      <c r="E55" s="36" t="str">
        <f>'Input|Costs'!$E$13</f>
        <v>Option 2</v>
      </c>
      <c r="F55" s="90" t="str">
        <f>'Input|Costs'!$F$75</f>
        <v>Volume</v>
      </c>
      <c r="G55" s="90" t="s">
        <v>62</v>
      </c>
      <c r="H55" s="114" t="s">
        <v>79</v>
      </c>
      <c r="I55" s="70"/>
      <c r="J55" s="107">
        <f>'Input|Costs'!$N$51</f>
        <v>53.963339820575335</v>
      </c>
      <c r="K55" s="116"/>
      <c r="L55" s="70"/>
      <c r="M55" s="70"/>
      <c r="N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89" x14ac:dyDescent="0.2">
      <c r="A56" s="70"/>
      <c r="B56" s="70"/>
      <c r="C56" s="70"/>
      <c r="D56" s="38" t="s">
        <v>146</v>
      </c>
      <c r="E56" s="36" t="str">
        <f>'Input|Costs'!$E$13</f>
        <v>Option 2</v>
      </c>
      <c r="F56" s="90" t="s">
        <v>109</v>
      </c>
      <c r="G56" s="90" t="s">
        <v>62</v>
      </c>
      <c r="H56" s="114" t="s">
        <v>79</v>
      </c>
      <c r="I56" s="70"/>
      <c r="J56" s="103">
        <v>0.4</v>
      </c>
      <c r="K56" s="116" t="s">
        <v>147</v>
      </c>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89" x14ac:dyDescent="0.2">
      <c r="A57" s="70"/>
      <c r="B57" s="70"/>
      <c r="C57" s="70"/>
      <c r="D57" s="38" t="s">
        <v>148</v>
      </c>
      <c r="E57" s="36" t="str">
        <f>'Input|Costs'!$E$13</f>
        <v>Option 2</v>
      </c>
      <c r="F57" s="90" t="s">
        <v>118</v>
      </c>
      <c r="G57" s="90" t="s">
        <v>62</v>
      </c>
      <c r="H57" s="8" t="s">
        <v>81</v>
      </c>
      <c r="I57" s="70"/>
      <c r="J57" s="107">
        <f>(J55-J51)*J56</f>
        <v>13.985335928230135</v>
      </c>
      <c r="K57" s="116" t="s">
        <v>149</v>
      </c>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89" x14ac:dyDescent="0.2">
      <c r="A58" s="70"/>
      <c r="B58" s="70"/>
      <c r="C58" s="70"/>
      <c r="D58" s="38" t="s">
        <v>150</v>
      </c>
      <c r="E58" s="36" t="str">
        <f>'Input|Costs'!$E$13</f>
        <v>Option 2</v>
      </c>
      <c r="F58" s="90" t="s">
        <v>139</v>
      </c>
      <c r="G58" s="90" t="s">
        <v>87</v>
      </c>
      <c r="H58" s="8" t="s">
        <v>81</v>
      </c>
      <c r="I58" s="70"/>
      <c r="J58" s="102">
        <f>$K$44*J57</f>
        <v>2264187.0741145234</v>
      </c>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89" x14ac:dyDescent="0.2">
      <c r="A59" s="70"/>
      <c r="B59" s="70"/>
      <c r="C59" s="70"/>
      <c r="D59" s="38" t="s">
        <v>151</v>
      </c>
      <c r="E59" s="36" t="str">
        <f>'Input|Costs'!$E$13</f>
        <v>Option 2</v>
      </c>
      <c r="F59" s="90" t="s">
        <v>152</v>
      </c>
      <c r="G59" s="90" t="s">
        <v>62</v>
      </c>
      <c r="H59" s="8" t="s">
        <v>20</v>
      </c>
      <c r="I59" s="70"/>
      <c r="J59" s="117">
        <v>5</v>
      </c>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89" x14ac:dyDescent="0.2">
      <c r="A60" s="70"/>
      <c r="B60" s="70"/>
      <c r="C60" s="70"/>
      <c r="D60" s="38" t="s">
        <v>153</v>
      </c>
      <c r="E60" s="36" t="str">
        <f>'Input|Costs'!$E$13</f>
        <v>Option 2</v>
      </c>
      <c r="F60" s="90" t="s">
        <v>139</v>
      </c>
      <c r="G60" s="90" t="s">
        <v>87</v>
      </c>
      <c r="H60" s="8" t="s">
        <v>81</v>
      </c>
      <c r="I60" s="70"/>
      <c r="J60" s="118">
        <f>J58*J59</f>
        <v>11320935.370572617</v>
      </c>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89"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89" x14ac:dyDescent="0.2">
      <c r="A62" s="85"/>
      <c r="B62" s="85"/>
      <c r="C62" s="86" t="str">
        <f>'Input|Costs'!$D$14</f>
        <v>Option 3 - Option 2 plus additional 20% opportunistic replacement</v>
      </c>
      <c r="D62" s="85"/>
      <c r="E62" s="85"/>
      <c r="F62" s="87"/>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row>
    <row r="63" spans="1:89"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89" ht="15" x14ac:dyDescent="0.25">
      <c r="A64" s="70"/>
      <c r="B64" s="70"/>
      <c r="C64" s="70"/>
      <c r="D64" s="74" t="s">
        <v>154</v>
      </c>
      <c r="E64" s="75" t="str">
        <f>E$4</f>
        <v>Option</v>
      </c>
      <c r="F64" s="75" t="str">
        <f>F$4</f>
        <v>Unit</v>
      </c>
      <c r="G64" s="75" t="str">
        <f>G$4</f>
        <v>Basis</v>
      </c>
      <c r="H64" s="75" t="s">
        <v>79</v>
      </c>
      <c r="I64" s="70"/>
      <c r="J64" s="88" t="str">
        <f>'Input|Costs'!J43</f>
        <v>Unique code</v>
      </c>
      <c r="K64" s="88" t="str">
        <f>'Input|Costs'!K43</f>
        <v>2024-25</v>
      </c>
      <c r="L64" s="88" t="str">
        <f>'Input|Costs'!L43</f>
        <v>2025-26</v>
      </c>
      <c r="M64" s="88" t="str">
        <f>'Input|Costs'!M43</f>
        <v>2026-27</v>
      </c>
      <c r="N64" s="88" t="str">
        <f>'Input|Costs'!N43</f>
        <v>2027-28</v>
      </c>
      <c r="O64" s="88" t="str">
        <f>'Input|Costs'!O43</f>
        <v>2028-29</v>
      </c>
      <c r="P64" s="88" t="str">
        <f>'Input|Costs'!P43</f>
        <v>2029-30</v>
      </c>
      <c r="Q64" s="88" t="str">
        <f>'Input|Costs'!Q43</f>
        <v>2030-31</v>
      </c>
      <c r="R64" s="88" t="str">
        <f>'Input|Costs'!R43</f>
        <v>EDPR Total</v>
      </c>
      <c r="S64" s="70"/>
      <c r="T64" s="4" t="s">
        <v>155</v>
      </c>
      <c r="U64" s="4"/>
      <c r="V64" s="4"/>
      <c r="W64" s="4"/>
      <c r="X64" s="4"/>
      <c r="Y64" s="4"/>
      <c r="Z64" s="4"/>
      <c r="AA64" s="4"/>
      <c r="AB64" s="4"/>
      <c r="AC64" s="4"/>
      <c r="AD64" s="4"/>
      <c r="AE64" s="4"/>
      <c r="AF64" s="4"/>
      <c r="AG64" s="4"/>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89" x14ac:dyDescent="0.2">
      <c r="A65" s="70"/>
      <c r="B65" s="70"/>
      <c r="C65" s="70"/>
      <c r="D65" s="70"/>
      <c r="E65" s="70"/>
      <c r="F65" s="70"/>
      <c r="G65" s="70"/>
      <c r="H65" s="70"/>
      <c r="I65" s="70"/>
      <c r="J65" s="70"/>
      <c r="K65" s="70"/>
      <c r="L65" s="70"/>
      <c r="M65" s="70"/>
      <c r="N65" s="70"/>
      <c r="O65" s="70"/>
      <c r="P65" s="70"/>
      <c r="Q65" s="70"/>
      <c r="R65" s="70"/>
      <c r="S65" s="70"/>
      <c r="T65" s="25"/>
      <c r="U65" s="25"/>
      <c r="V65" s="25"/>
      <c r="W65" s="25"/>
      <c r="X65" s="25"/>
      <c r="Y65" s="25"/>
      <c r="Z65" s="25"/>
      <c r="AA65" s="25"/>
      <c r="AB65" s="25"/>
      <c r="AC65" s="25"/>
      <c r="AD65" s="25"/>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89" x14ac:dyDescent="0.2">
      <c r="A66" s="70"/>
      <c r="B66" s="70"/>
      <c r="C66" s="70"/>
      <c r="D66" s="38" t="str">
        <f>'Input|Costs'!D45</f>
        <v>Kiosk Refurbishment</v>
      </c>
      <c r="E66" s="36" t="str">
        <f>'Input|Costs'!E45</f>
        <v>Option 2</v>
      </c>
      <c r="F66" s="90" t="str">
        <f>'Input|Costs'!F45</f>
        <v>Volume</v>
      </c>
      <c r="G66" s="90" t="s">
        <v>62</v>
      </c>
      <c r="H66" s="8" t="str">
        <f>'Input|Costs'!$I$45</f>
        <v>Capex model submitted to the AER</v>
      </c>
      <c r="I66" s="70"/>
      <c r="J66" s="119" t="str">
        <f>'Input|Costs'!J45</f>
        <v>A108</v>
      </c>
      <c r="K66" s="102">
        <f>'Input|Costs'!K45</f>
        <v>6.0728571428571438</v>
      </c>
      <c r="L66" s="122">
        <f>'Input|Costs'!L45</f>
        <v>6</v>
      </c>
      <c r="M66" s="102">
        <f>'Input|Costs'!M45</f>
        <v>6</v>
      </c>
      <c r="N66" s="102">
        <f>'Input|Costs'!N45</f>
        <v>6</v>
      </c>
      <c r="O66" s="102">
        <f>'Input|Costs'!O45</f>
        <v>6</v>
      </c>
      <c r="P66" s="102">
        <f>'Input|Costs'!P45</f>
        <v>6</v>
      </c>
      <c r="Q66" s="102">
        <f>'Input|Costs'!Q45</f>
        <v>6</v>
      </c>
      <c r="R66" s="120">
        <f>'Input|Costs'!R45</f>
        <v>30</v>
      </c>
      <c r="S66" s="70"/>
      <c r="T66" s="116" t="s">
        <v>156</v>
      </c>
      <c r="U66" s="25"/>
      <c r="V66" s="25"/>
      <c r="W66" s="25"/>
      <c r="X66" s="25"/>
      <c r="Y66" s="25"/>
      <c r="Z66" s="25"/>
      <c r="AA66" s="25"/>
      <c r="AB66" s="25"/>
      <c r="AC66" s="25"/>
      <c r="AD66" s="25"/>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89" x14ac:dyDescent="0.2">
      <c r="A67" s="70"/>
      <c r="B67" s="70"/>
      <c r="C67" s="70"/>
      <c r="D67" s="38" t="str">
        <f>'Input|Costs'!D46</f>
        <v>Trans Ground/Indoor Repl</v>
      </c>
      <c r="E67" s="36" t="str">
        <f>'Input|Costs'!E46</f>
        <v>Option 2</v>
      </c>
      <c r="F67" s="90" t="str">
        <f>'Input|Costs'!F46</f>
        <v>Volume</v>
      </c>
      <c r="G67" s="90" t="s">
        <v>62</v>
      </c>
      <c r="H67" s="8" t="str">
        <f>'Input|Costs'!$I$45</f>
        <v>Capex model submitted to the AER</v>
      </c>
      <c r="I67" s="70"/>
      <c r="J67" s="119" t="str">
        <f>'Input|Costs'!J46</f>
        <v>A243</v>
      </c>
      <c r="K67" s="102">
        <f>'Input|Costs'!K46</f>
        <v>9.6092857142857149</v>
      </c>
      <c r="L67" s="122">
        <f>'Input|Costs'!L46</f>
        <v>8.3020000000000014</v>
      </c>
      <c r="M67" s="102">
        <f>'Input|Costs'!M46</f>
        <v>9</v>
      </c>
      <c r="N67" s="102">
        <f>'Input|Costs'!N46</f>
        <v>9</v>
      </c>
      <c r="O67" s="102">
        <f>'Input|Costs'!O46</f>
        <v>9</v>
      </c>
      <c r="P67" s="102">
        <f>'Input|Costs'!P46</f>
        <v>9</v>
      </c>
      <c r="Q67" s="102">
        <f>'Input|Costs'!Q46</f>
        <v>9</v>
      </c>
      <c r="R67" s="120">
        <f>'Input|Costs'!R46</f>
        <v>45</v>
      </c>
      <c r="S67" s="70"/>
      <c r="T67" s="116" t="s">
        <v>157</v>
      </c>
      <c r="U67" s="25"/>
      <c r="V67" s="25"/>
      <c r="W67" s="25"/>
      <c r="X67" s="25"/>
      <c r="Y67" s="25"/>
      <c r="Z67" s="25"/>
      <c r="AA67" s="25"/>
      <c r="AB67" s="25"/>
      <c r="AC67" s="25"/>
      <c r="AD67" s="25"/>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89" x14ac:dyDescent="0.2">
      <c r="A68" s="70"/>
      <c r="B68" s="70"/>
      <c r="C68" s="70"/>
      <c r="D68" s="38" t="str">
        <f>'Input|Costs'!D47</f>
        <v>Trans Pole Mounted Repl</v>
      </c>
      <c r="E68" s="36" t="str">
        <f>'Input|Costs'!E47</f>
        <v>Option 2</v>
      </c>
      <c r="F68" s="90" t="str">
        <f>'Input|Costs'!F47</f>
        <v>Volume</v>
      </c>
      <c r="G68" s="90" t="s">
        <v>62</v>
      </c>
      <c r="H68" s="8" t="str">
        <f>'Input|Costs'!$I$45</f>
        <v>Capex model submitted to the AER</v>
      </c>
      <c r="I68" s="70"/>
      <c r="J68" s="119" t="str">
        <f>'Input|Costs'!J47</f>
        <v>A140</v>
      </c>
      <c r="K68" s="102">
        <f>'Input|Costs'!K47</f>
        <v>28.264285714285723</v>
      </c>
      <c r="L68" s="122">
        <f>'Input|Costs'!L47</f>
        <v>32.396000000000001</v>
      </c>
      <c r="M68" s="102">
        <f>'Input|Costs'!M47</f>
        <v>31.999999999999996</v>
      </c>
      <c r="N68" s="102">
        <f>'Input|Costs'!N47</f>
        <v>31.999999999999996</v>
      </c>
      <c r="O68" s="102">
        <f>'Input|Costs'!O47</f>
        <v>31.999999999999996</v>
      </c>
      <c r="P68" s="102">
        <f>'Input|Costs'!P47</f>
        <v>31.999999999999996</v>
      </c>
      <c r="Q68" s="102">
        <f>'Input|Costs'!Q47</f>
        <v>31.999999999999996</v>
      </c>
      <c r="R68" s="120">
        <f>'Input|Costs'!R47</f>
        <v>159.99999999999997</v>
      </c>
      <c r="S68" s="70"/>
      <c r="T68" s="116" t="s">
        <v>158</v>
      </c>
      <c r="U68" s="25"/>
      <c r="V68" s="25"/>
      <c r="W68" s="25"/>
      <c r="X68" s="25"/>
      <c r="Y68" s="25"/>
      <c r="Z68" s="25"/>
      <c r="AA68" s="25"/>
      <c r="AB68" s="25"/>
      <c r="AC68" s="25"/>
      <c r="AD68" s="25"/>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89" x14ac:dyDescent="0.2">
      <c r="A69" s="70"/>
      <c r="B69" s="70"/>
      <c r="C69" s="70"/>
      <c r="D69" s="38" t="str">
        <f>'Input|Costs'!D48</f>
        <v>Transformer/Subs Kiosk Repl</v>
      </c>
      <c r="E69" s="36" t="str">
        <f>'Input|Costs'!E48</f>
        <v>Option 2</v>
      </c>
      <c r="F69" s="90" t="str">
        <f>'Input|Costs'!F48</f>
        <v>Volume</v>
      </c>
      <c r="G69" s="90" t="s">
        <v>62</v>
      </c>
      <c r="H69" s="8" t="str">
        <f>'Input|Costs'!$I$45</f>
        <v>Capex model submitted to the AER</v>
      </c>
      <c r="I69" s="70"/>
      <c r="J69" s="119" t="str">
        <f>'Input|Costs'!J48</f>
        <v>A148</v>
      </c>
      <c r="K69" s="102">
        <f>'Input|Costs'!K48</f>
        <v>2</v>
      </c>
      <c r="L69" s="122">
        <f>'Input|Costs'!L48</f>
        <v>2</v>
      </c>
      <c r="M69" s="102">
        <f>'Input|Costs'!M48</f>
        <v>3.9633398205753361</v>
      </c>
      <c r="N69" s="102">
        <f>'Input|Costs'!N48</f>
        <v>3.9633398205753361</v>
      </c>
      <c r="O69" s="102">
        <f>'Input|Costs'!O48</f>
        <v>3.9633398205753361</v>
      </c>
      <c r="P69" s="102">
        <f>'Input|Costs'!P48</f>
        <v>3.9633398205753361</v>
      </c>
      <c r="Q69" s="102">
        <f>'Input|Costs'!Q48</f>
        <v>3.9633398205753361</v>
      </c>
      <c r="R69" s="120">
        <f>'Input|Costs'!R48</f>
        <v>19.816699102876679</v>
      </c>
      <c r="S69" s="70"/>
      <c r="T69" s="116" t="s">
        <v>159</v>
      </c>
      <c r="U69" s="25"/>
      <c r="V69" s="25"/>
      <c r="W69" s="25"/>
      <c r="X69" s="25"/>
      <c r="Y69" s="25"/>
      <c r="Z69" s="25"/>
      <c r="AA69" s="25"/>
      <c r="AB69" s="25"/>
      <c r="AC69" s="25"/>
      <c r="AD69" s="25"/>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89" x14ac:dyDescent="0.2">
      <c r="A70" s="70"/>
      <c r="B70" s="70"/>
      <c r="C70" s="70"/>
      <c r="D70" s="38" t="str">
        <f>'Input|Costs'!D49</f>
        <v>Indoor/Kiosk Switch Repl</v>
      </c>
      <c r="E70" s="36" t="str">
        <f>'Input|Costs'!E49</f>
        <v>Option 2</v>
      </c>
      <c r="F70" s="90" t="str">
        <f>'Input|Costs'!F49</f>
        <v>Volume</v>
      </c>
      <c r="G70" s="90" t="s">
        <v>62</v>
      </c>
      <c r="H70" s="8" t="str">
        <f>'Input|Costs'!$I$45</f>
        <v>Capex model submitted to the AER</v>
      </c>
      <c r="I70" s="70"/>
      <c r="J70" s="119" t="str">
        <f>'Input|Costs'!J49</f>
        <v>A143</v>
      </c>
      <c r="K70" s="102">
        <f>'Input|Costs'!K49</f>
        <v>1</v>
      </c>
      <c r="L70" s="122">
        <f>'Input|Costs'!L49</f>
        <v>0</v>
      </c>
      <c r="M70" s="102">
        <f>'Input|Costs'!M49</f>
        <v>2</v>
      </c>
      <c r="N70" s="102">
        <f>'Input|Costs'!N49</f>
        <v>3</v>
      </c>
      <c r="O70" s="102">
        <f>'Input|Costs'!O49</f>
        <v>3</v>
      </c>
      <c r="P70" s="102">
        <f>'Input|Costs'!P49</f>
        <v>3</v>
      </c>
      <c r="Q70" s="102">
        <f>'Input|Costs'!Q49</f>
        <v>3</v>
      </c>
      <c r="R70" s="120">
        <f>'Input|Costs'!R49</f>
        <v>14</v>
      </c>
      <c r="S70" s="70"/>
      <c r="T70" s="116" t="s">
        <v>160</v>
      </c>
      <c r="U70" s="25"/>
      <c r="V70" s="25"/>
      <c r="W70" s="25"/>
      <c r="X70" s="25"/>
      <c r="Y70" s="25"/>
      <c r="Z70" s="25"/>
      <c r="AA70" s="25"/>
      <c r="AB70" s="25"/>
      <c r="AC70" s="25"/>
      <c r="AD70" s="25"/>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89" x14ac:dyDescent="0.2">
      <c r="A71" s="70"/>
      <c r="B71" s="70"/>
      <c r="C71" s="70"/>
      <c r="D71" s="38" t="str">
        <f>'Input|Costs'!D50</f>
        <v>[Spare]</v>
      </c>
      <c r="E71" s="36" t="str">
        <f>'Input|Costs'!E50</f>
        <v>Option 2</v>
      </c>
      <c r="F71" s="90" t="str">
        <f>'Input|Costs'!F50</f>
        <v>Volume</v>
      </c>
      <c r="G71" s="90" t="s">
        <v>62</v>
      </c>
      <c r="H71" s="8" t="str">
        <f>'Input|Costs'!$I$45</f>
        <v>Capex model submitted to the AER</v>
      </c>
      <c r="I71" s="70"/>
      <c r="J71" s="119" t="str">
        <f>'Input|Costs'!J50</f>
        <v>[Spare]</v>
      </c>
      <c r="K71" s="102">
        <f>'Input|Costs'!K50</f>
        <v>0</v>
      </c>
      <c r="L71" s="122">
        <f>'Input|Costs'!L50</f>
        <v>0</v>
      </c>
      <c r="M71" s="102">
        <f>'Input|Costs'!M50</f>
        <v>0</v>
      </c>
      <c r="N71" s="102">
        <f>'Input|Costs'!N50</f>
        <v>0</v>
      </c>
      <c r="O71" s="102">
        <f>'Input|Costs'!O50</f>
        <v>0</v>
      </c>
      <c r="P71" s="102">
        <f>'Input|Costs'!P50</f>
        <v>0</v>
      </c>
      <c r="Q71" s="102">
        <f>'Input|Costs'!Q50</f>
        <v>0</v>
      </c>
      <c r="R71" s="120">
        <f>'Input|Costs'!R50</f>
        <v>0</v>
      </c>
      <c r="S71" s="70"/>
      <c r="T71" s="116"/>
      <c r="U71" s="25"/>
      <c r="V71" s="25"/>
      <c r="W71" s="25"/>
      <c r="X71" s="25"/>
      <c r="Y71" s="25"/>
      <c r="Z71" s="25"/>
      <c r="AA71" s="25"/>
      <c r="AB71" s="25"/>
      <c r="AC71" s="25"/>
      <c r="AD71" s="25"/>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89" x14ac:dyDescent="0.2">
      <c r="A72" s="70"/>
      <c r="B72" s="70"/>
      <c r="C72" s="70"/>
      <c r="D72" s="38" t="str">
        <f>'Input|Costs'!D51</f>
        <v>Total</v>
      </c>
      <c r="E72" s="36" t="str">
        <f>'Input|Costs'!E51</f>
        <v>Option 2</v>
      </c>
      <c r="F72" s="90" t="str">
        <f>'Input|Costs'!F51</f>
        <v>Volume</v>
      </c>
      <c r="G72" s="90" t="s">
        <v>62</v>
      </c>
      <c r="H72" s="8" t="str">
        <f>'Input|Costs'!$I$45</f>
        <v>Capex model submitted to the AER</v>
      </c>
      <c r="I72" s="70"/>
      <c r="J72" s="70"/>
      <c r="K72" s="109">
        <f>'Input|Costs'!K51</f>
        <v>46.946428571428584</v>
      </c>
      <c r="L72" s="123">
        <f>'Input|Costs'!L51</f>
        <v>48.698</v>
      </c>
      <c r="M72" s="109">
        <f>'Input|Costs'!M51</f>
        <v>52.963339820575335</v>
      </c>
      <c r="N72" s="109">
        <f>'Input|Costs'!N51</f>
        <v>53.963339820575335</v>
      </c>
      <c r="O72" s="109">
        <f>'Input|Costs'!O51</f>
        <v>53.963339820575335</v>
      </c>
      <c r="P72" s="109">
        <f>'Input|Costs'!P51</f>
        <v>53.963339820575335</v>
      </c>
      <c r="Q72" s="109">
        <f>'Input|Costs'!Q51</f>
        <v>53.963339820575335</v>
      </c>
      <c r="R72" s="121">
        <f>'Input|Costs'!R51</f>
        <v>268.81669910287667</v>
      </c>
      <c r="S72" s="70"/>
      <c r="T72" s="116"/>
      <c r="U72" s="25"/>
      <c r="V72" s="25"/>
      <c r="W72" s="25"/>
      <c r="X72" s="25"/>
      <c r="Y72" s="25"/>
      <c r="Z72" s="25"/>
      <c r="AA72" s="25"/>
      <c r="AB72" s="25"/>
      <c r="AC72" s="25"/>
      <c r="AD72" s="25"/>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89"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89"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89" x14ac:dyDescent="0.2">
      <c r="A75" s="70"/>
      <c r="B75" s="70"/>
      <c r="C75" s="70"/>
      <c r="D75" s="74" t="s">
        <v>161</v>
      </c>
      <c r="E75" s="75" t="str">
        <f>E$4</f>
        <v>Option</v>
      </c>
      <c r="F75" s="75" t="str">
        <f>F$4</f>
        <v>Unit</v>
      </c>
      <c r="G75" s="75" t="str">
        <f>G$4</f>
        <v>Basis</v>
      </c>
      <c r="H75" s="75" t="s">
        <v>79</v>
      </c>
      <c r="I75" s="70"/>
      <c r="J75" s="88" t="str">
        <f>J64</f>
        <v>Unique code</v>
      </c>
      <c r="K75" s="88" t="str">
        <f t="shared" ref="K75:R75" si="7">K64</f>
        <v>2024-25</v>
      </c>
      <c r="L75" s="88" t="str">
        <f t="shared" si="7"/>
        <v>2025-26</v>
      </c>
      <c r="M75" s="88" t="str">
        <f t="shared" si="7"/>
        <v>2026-27</v>
      </c>
      <c r="N75" s="88" t="str">
        <f t="shared" si="7"/>
        <v>2027-28</v>
      </c>
      <c r="O75" s="88" t="str">
        <f t="shared" si="7"/>
        <v>2028-29</v>
      </c>
      <c r="P75" s="88" t="str">
        <f t="shared" si="7"/>
        <v>2029-30</v>
      </c>
      <c r="Q75" s="88" t="str">
        <f t="shared" si="7"/>
        <v>2030-31</v>
      </c>
      <c r="R75" s="88" t="str">
        <f t="shared" si="7"/>
        <v>EDPR Total</v>
      </c>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89"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89" x14ac:dyDescent="0.2">
      <c r="A77" s="70"/>
      <c r="B77" s="70"/>
      <c r="C77" s="70"/>
      <c r="D77" s="38" t="str">
        <f>D66</f>
        <v>Kiosk Refurbishment</v>
      </c>
      <c r="E77" s="36" t="str">
        <f>'Input|Costs'!$E$14</f>
        <v>Option 3</v>
      </c>
      <c r="F77" s="90" t="s">
        <v>80</v>
      </c>
      <c r="G77" s="90" t="s">
        <v>62</v>
      </c>
      <c r="H77" s="8" t="s">
        <v>81</v>
      </c>
      <c r="I77" s="70"/>
      <c r="J77" s="119" t="str">
        <f>J66</f>
        <v>A108</v>
      </c>
      <c r="K77" s="102">
        <f>'Input|Costs'!K69</f>
        <v>7.2874285714285723</v>
      </c>
      <c r="L77" s="122">
        <f>'Input|Costs'!L69</f>
        <v>7.1999999999999993</v>
      </c>
      <c r="M77" s="102">
        <f>'Input|Costs'!M69</f>
        <v>7.1999999999999993</v>
      </c>
      <c r="N77" s="102">
        <f>'Input|Costs'!N69</f>
        <v>7.1999999999999993</v>
      </c>
      <c r="O77" s="102">
        <f>'Input|Costs'!O69</f>
        <v>7.1999999999999993</v>
      </c>
      <c r="P77" s="102">
        <f>'Input|Costs'!P69</f>
        <v>7.1999999999999993</v>
      </c>
      <c r="Q77" s="102">
        <f>'Input|Costs'!Q69</f>
        <v>7.1999999999999993</v>
      </c>
      <c r="R77" s="120">
        <f>'Input|Costs'!R69</f>
        <v>36</v>
      </c>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89" x14ac:dyDescent="0.2">
      <c r="A78" s="70"/>
      <c r="B78" s="70"/>
      <c r="C78" s="70"/>
      <c r="D78" s="38" t="str">
        <f t="shared" ref="D78:D83" si="8">D67</f>
        <v>Trans Ground/Indoor Repl</v>
      </c>
      <c r="E78" s="36" t="str">
        <f>'Input|Costs'!$E$14</f>
        <v>Option 3</v>
      </c>
      <c r="F78" s="90" t="s">
        <v>80</v>
      </c>
      <c r="G78" s="90" t="s">
        <v>62</v>
      </c>
      <c r="H78" s="8" t="s">
        <v>81</v>
      </c>
      <c r="I78" s="70"/>
      <c r="J78" s="119" t="str">
        <f t="shared" ref="J78:J82" si="9">J67</f>
        <v>A243</v>
      </c>
      <c r="K78" s="102">
        <f>'Input|Costs'!K70</f>
        <v>11.531142857142857</v>
      </c>
      <c r="L78" s="122">
        <f>'Input|Costs'!L70</f>
        <v>9.9624000000000006</v>
      </c>
      <c r="M78" s="102">
        <f>'Input|Costs'!M70</f>
        <v>10.799999999999999</v>
      </c>
      <c r="N78" s="102">
        <f>'Input|Costs'!N70</f>
        <v>10.799999999999999</v>
      </c>
      <c r="O78" s="102">
        <f>'Input|Costs'!O70</f>
        <v>10.799999999999999</v>
      </c>
      <c r="P78" s="102">
        <f>'Input|Costs'!P70</f>
        <v>10.799999999999999</v>
      </c>
      <c r="Q78" s="102">
        <f>'Input|Costs'!Q70</f>
        <v>10.799999999999999</v>
      </c>
      <c r="R78" s="120">
        <f>'Input|Costs'!R70</f>
        <v>53.999999999999993</v>
      </c>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89" x14ac:dyDescent="0.2">
      <c r="A79" s="70"/>
      <c r="B79" s="70"/>
      <c r="C79" s="70"/>
      <c r="D79" s="38" t="str">
        <f t="shared" si="8"/>
        <v>Trans Pole Mounted Repl</v>
      </c>
      <c r="E79" s="36" t="str">
        <f>'Input|Costs'!$E$14</f>
        <v>Option 3</v>
      </c>
      <c r="F79" s="90" t="s">
        <v>80</v>
      </c>
      <c r="G79" s="90" t="s">
        <v>62</v>
      </c>
      <c r="H79" s="8" t="s">
        <v>81</v>
      </c>
      <c r="I79" s="70"/>
      <c r="J79" s="119" t="str">
        <f t="shared" si="9"/>
        <v>A140</v>
      </c>
      <c r="K79" s="102">
        <f>'Input|Costs'!K71</f>
        <v>33.917142857142863</v>
      </c>
      <c r="L79" s="122">
        <f>'Input|Costs'!L71</f>
        <v>38.8752</v>
      </c>
      <c r="M79" s="102">
        <f>'Input|Costs'!M71</f>
        <v>38.399999999999991</v>
      </c>
      <c r="N79" s="102">
        <f>'Input|Costs'!N71</f>
        <v>38.399999999999991</v>
      </c>
      <c r="O79" s="102">
        <f>'Input|Costs'!O71</f>
        <v>38.399999999999991</v>
      </c>
      <c r="P79" s="102">
        <f>'Input|Costs'!P71</f>
        <v>38.399999999999991</v>
      </c>
      <c r="Q79" s="102">
        <f>'Input|Costs'!Q71</f>
        <v>38.399999999999991</v>
      </c>
      <c r="R79" s="120">
        <f>'Input|Costs'!R71</f>
        <v>191.99999999999994</v>
      </c>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89" x14ac:dyDescent="0.2">
      <c r="A80" s="70"/>
      <c r="B80" s="70"/>
      <c r="C80" s="70"/>
      <c r="D80" s="38" t="str">
        <f t="shared" si="8"/>
        <v>Transformer/Subs Kiosk Repl</v>
      </c>
      <c r="E80" s="36" t="str">
        <f>'Input|Costs'!$E$14</f>
        <v>Option 3</v>
      </c>
      <c r="F80" s="90" t="s">
        <v>80</v>
      </c>
      <c r="G80" s="90" t="s">
        <v>62</v>
      </c>
      <c r="H80" s="8" t="s">
        <v>81</v>
      </c>
      <c r="I80" s="70"/>
      <c r="J80" s="119" t="str">
        <f t="shared" si="9"/>
        <v>A148</v>
      </c>
      <c r="K80" s="102">
        <f>'Input|Costs'!K72</f>
        <v>2.4</v>
      </c>
      <c r="L80" s="122">
        <f>'Input|Costs'!L72</f>
        <v>2.4</v>
      </c>
      <c r="M80" s="102">
        <f>'Input|Costs'!M72</f>
        <v>4.7560077846904028</v>
      </c>
      <c r="N80" s="102">
        <f>'Input|Costs'!N72</f>
        <v>4.7560077846904028</v>
      </c>
      <c r="O80" s="102">
        <f>'Input|Costs'!O72</f>
        <v>4.7560077846904028</v>
      </c>
      <c r="P80" s="102">
        <f>'Input|Costs'!P72</f>
        <v>4.7560077846904028</v>
      </c>
      <c r="Q80" s="102">
        <f>'Input|Costs'!Q72</f>
        <v>4.7560077846904028</v>
      </c>
      <c r="R80" s="120">
        <f>'Input|Costs'!R72</f>
        <v>23.780038923452015</v>
      </c>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89" x14ac:dyDescent="0.2">
      <c r="A81" s="70"/>
      <c r="B81" s="70"/>
      <c r="C81" s="70"/>
      <c r="D81" s="38" t="str">
        <f t="shared" si="8"/>
        <v>Indoor/Kiosk Switch Repl</v>
      </c>
      <c r="E81" s="36" t="str">
        <f>'Input|Costs'!$E$14</f>
        <v>Option 3</v>
      </c>
      <c r="F81" s="90" t="s">
        <v>80</v>
      </c>
      <c r="G81" s="90" t="s">
        <v>62</v>
      </c>
      <c r="H81" s="8" t="s">
        <v>81</v>
      </c>
      <c r="I81" s="70"/>
      <c r="J81" s="119" t="str">
        <f t="shared" si="9"/>
        <v>A143</v>
      </c>
      <c r="K81" s="102">
        <f>'Input|Costs'!K73</f>
        <v>1.2</v>
      </c>
      <c r="L81" s="122">
        <f>'Input|Costs'!L73</f>
        <v>0</v>
      </c>
      <c r="M81" s="102">
        <f>'Input|Costs'!M73</f>
        <v>2.4</v>
      </c>
      <c r="N81" s="102">
        <f>'Input|Costs'!N73</f>
        <v>3.5999999999999996</v>
      </c>
      <c r="O81" s="102">
        <f>'Input|Costs'!O73</f>
        <v>3.5999999999999996</v>
      </c>
      <c r="P81" s="102">
        <f>'Input|Costs'!P73</f>
        <v>3.5999999999999996</v>
      </c>
      <c r="Q81" s="102">
        <f>'Input|Costs'!Q73</f>
        <v>3.5999999999999996</v>
      </c>
      <c r="R81" s="120">
        <f>'Input|Costs'!R73</f>
        <v>16.799999999999997</v>
      </c>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89" x14ac:dyDescent="0.2">
      <c r="A82" s="70"/>
      <c r="B82" s="70"/>
      <c r="C82" s="70"/>
      <c r="D82" s="38" t="str">
        <f t="shared" si="8"/>
        <v>[Spare]</v>
      </c>
      <c r="E82" s="36" t="str">
        <f>'Input|Costs'!$E$14</f>
        <v>Option 3</v>
      </c>
      <c r="F82" s="90" t="s">
        <v>80</v>
      </c>
      <c r="G82" s="90" t="s">
        <v>62</v>
      </c>
      <c r="H82" s="8" t="s">
        <v>81</v>
      </c>
      <c r="I82" s="70"/>
      <c r="J82" s="119" t="str">
        <f t="shared" si="9"/>
        <v>[Spare]</v>
      </c>
      <c r="K82" s="102">
        <f>'Input|Costs'!K74</f>
        <v>0</v>
      </c>
      <c r="L82" s="122">
        <f>'Input|Costs'!L74</f>
        <v>0</v>
      </c>
      <c r="M82" s="102">
        <f>'Input|Costs'!M74</f>
        <v>0</v>
      </c>
      <c r="N82" s="102">
        <f>'Input|Costs'!N74</f>
        <v>0</v>
      </c>
      <c r="O82" s="102">
        <f>'Input|Costs'!O74</f>
        <v>0</v>
      </c>
      <c r="P82" s="102">
        <f>'Input|Costs'!P74</f>
        <v>0</v>
      </c>
      <c r="Q82" s="102">
        <f>'Input|Costs'!Q74</f>
        <v>0</v>
      </c>
      <c r="R82" s="120">
        <f>'Input|Costs'!R74</f>
        <v>0</v>
      </c>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89" x14ac:dyDescent="0.2">
      <c r="A83" s="70"/>
      <c r="B83" s="70"/>
      <c r="C83" s="70"/>
      <c r="D83" s="38" t="str">
        <f t="shared" si="8"/>
        <v>Total</v>
      </c>
      <c r="E83" s="36" t="str">
        <f>'Input|Costs'!$E$14</f>
        <v>Option 3</v>
      </c>
      <c r="F83" s="90" t="s">
        <v>80</v>
      </c>
      <c r="G83" s="90" t="s">
        <v>62</v>
      </c>
      <c r="H83" s="8" t="s">
        <v>81</v>
      </c>
      <c r="I83" s="70"/>
      <c r="J83" s="70"/>
      <c r="K83" s="109">
        <f>'Input|Costs'!K75</f>
        <v>56.335714285714296</v>
      </c>
      <c r="L83" s="123">
        <f>'Input|Costs'!L75</f>
        <v>58.437599999999996</v>
      </c>
      <c r="M83" s="109">
        <f>'Input|Costs'!M75</f>
        <v>63.556007784690394</v>
      </c>
      <c r="N83" s="109">
        <f>'Input|Costs'!N75</f>
        <v>64.756007784690397</v>
      </c>
      <c r="O83" s="109">
        <f>'Input|Costs'!O75</f>
        <v>64.756007784690397</v>
      </c>
      <c r="P83" s="109">
        <f>'Input|Costs'!P75</f>
        <v>64.756007784690397</v>
      </c>
      <c r="Q83" s="109">
        <f>'Input|Costs'!Q75</f>
        <v>64.756007784690397</v>
      </c>
      <c r="R83" s="121">
        <f>'Input|Costs'!R75</f>
        <v>322.58003892345198</v>
      </c>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89"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89" x14ac:dyDescent="0.2">
      <c r="A85" s="70"/>
      <c r="B85" s="70"/>
      <c r="C85" s="70"/>
      <c r="D85" s="74" t="s">
        <v>145</v>
      </c>
      <c r="E85" s="75" t="str">
        <f>E$4</f>
        <v>Option</v>
      </c>
      <c r="F85" s="75" t="str">
        <f>F$4</f>
        <v>Unit</v>
      </c>
      <c r="G85" s="75" t="str">
        <f>G$4</f>
        <v>Basis</v>
      </c>
      <c r="H85" s="75" t="s">
        <v>79</v>
      </c>
      <c r="I85" s="70"/>
      <c r="J85" s="75" t="s">
        <v>146</v>
      </c>
      <c r="K85" s="116"/>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89" x14ac:dyDescent="0.2">
      <c r="A86" s="70"/>
      <c r="B86" s="70"/>
      <c r="C86" s="70"/>
      <c r="D86" s="38"/>
      <c r="E86" s="36"/>
      <c r="F86" s="90"/>
      <c r="G86" s="90"/>
      <c r="I86" s="70"/>
      <c r="J86" s="111"/>
      <c r="K86" s="116"/>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89" x14ac:dyDescent="0.2">
      <c r="A87" s="70"/>
      <c r="B87" s="70"/>
      <c r="C87" s="70"/>
      <c r="D87" s="38" t="str">
        <f>"Option 2 "&amp;'Input|Costs'!$N$67&amp;" Volume"</f>
        <v>Option 2 2027-28 Volume</v>
      </c>
      <c r="E87" s="36" t="str">
        <f>'Input|Costs'!$E$14</f>
        <v>Option 3</v>
      </c>
      <c r="F87" s="90" t="str">
        <f>'Input|Costs'!$F$75</f>
        <v>Volume</v>
      </c>
      <c r="G87" s="90" t="s">
        <v>62</v>
      </c>
      <c r="H87" s="114" t="s">
        <v>79</v>
      </c>
      <c r="I87" s="70"/>
      <c r="J87" s="107">
        <f>'Input|Costs'!$N$75</f>
        <v>64.756007784690397</v>
      </c>
      <c r="K87" s="116"/>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89" x14ac:dyDescent="0.2">
      <c r="A88" s="70"/>
      <c r="B88" s="70"/>
      <c r="C88" s="70"/>
      <c r="D88" s="38" t="s">
        <v>146</v>
      </c>
      <c r="E88" s="36" t="str">
        <f>'Input|Costs'!$E$14</f>
        <v>Option 3</v>
      </c>
      <c r="F88" s="90" t="s">
        <v>109</v>
      </c>
      <c r="G88" s="90" t="s">
        <v>62</v>
      </c>
      <c r="H88" s="114" t="s">
        <v>79</v>
      </c>
      <c r="I88" s="70"/>
      <c r="J88" s="103">
        <v>0.4</v>
      </c>
      <c r="K88" s="116" t="s">
        <v>162</v>
      </c>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89" x14ac:dyDescent="0.2">
      <c r="A89" s="70"/>
      <c r="B89" s="70"/>
      <c r="C89" s="70"/>
      <c r="D89" s="38" t="s">
        <v>163</v>
      </c>
      <c r="E89" s="36" t="str">
        <f>'Input|Costs'!$E$14</f>
        <v>Option 3</v>
      </c>
      <c r="F89" s="90" t="s">
        <v>118</v>
      </c>
      <c r="G89" s="90" t="s">
        <v>62</v>
      </c>
      <c r="H89" s="8" t="s">
        <v>81</v>
      </c>
      <c r="I89" s="70"/>
      <c r="J89" s="107">
        <f>(J87-J51)*J88</f>
        <v>18.30240311387616</v>
      </c>
      <c r="K89" s="116" t="s">
        <v>149</v>
      </c>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89" x14ac:dyDescent="0.2">
      <c r="A90" s="70"/>
      <c r="B90" s="70"/>
      <c r="C90" s="70"/>
      <c r="D90" s="38" t="s">
        <v>150</v>
      </c>
      <c r="E90" s="36" t="str">
        <f>'Input|Costs'!$E$14</f>
        <v>Option 3</v>
      </c>
      <c r="F90" s="90" t="s">
        <v>139</v>
      </c>
      <c r="G90" s="90" t="s">
        <v>87</v>
      </c>
      <c r="H90" s="8" t="s">
        <v>81</v>
      </c>
      <c r="I90" s="70"/>
      <c r="J90" s="102">
        <f>$K$44*J89</f>
        <v>2963108.270572383</v>
      </c>
      <c r="K90" s="116"/>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89" x14ac:dyDescent="0.2">
      <c r="A91" s="70"/>
      <c r="B91" s="70"/>
      <c r="C91" s="70"/>
      <c r="D91" s="38" t="s">
        <v>164</v>
      </c>
      <c r="E91" s="36" t="str">
        <f>'Input|Costs'!$E$14</f>
        <v>Option 3</v>
      </c>
      <c r="F91" s="90" t="s">
        <v>152</v>
      </c>
      <c r="G91" s="90" t="s">
        <v>62</v>
      </c>
      <c r="H91" s="8" t="s">
        <v>20</v>
      </c>
      <c r="I91" s="70"/>
      <c r="J91" s="117">
        <v>4</v>
      </c>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89" x14ac:dyDescent="0.2">
      <c r="A92" s="70"/>
      <c r="B92" s="70"/>
      <c r="C92" s="70"/>
      <c r="D92" s="38" t="s">
        <v>153</v>
      </c>
      <c r="E92" s="36" t="str">
        <f>'Input|Costs'!$E$14</f>
        <v>Option 3</v>
      </c>
      <c r="F92" s="90" t="s">
        <v>139</v>
      </c>
      <c r="G92" s="90" t="s">
        <v>87</v>
      </c>
      <c r="H92" s="8" t="s">
        <v>81</v>
      </c>
      <c r="I92" s="70"/>
      <c r="J92" s="118">
        <f>J90*J91</f>
        <v>11852433.082289532</v>
      </c>
      <c r="K92" s="116" t="s">
        <v>165</v>
      </c>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89"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89"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89" x14ac:dyDescent="0.2">
      <c r="A95" s="56"/>
      <c r="B95" s="72" t="s">
        <v>43</v>
      </c>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6"/>
    </row>
    <row r="96" spans="1:89"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89"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89"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89"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89"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row r="101" spans="1:89"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row>
    <row r="102" spans="1:89"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row>
    <row r="103" spans="1:89"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row>
    <row r="104" spans="1:89"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row>
    <row r="105" spans="1:89"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row>
    <row r="106" spans="1:89"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row>
    <row r="107" spans="1:89"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row>
    <row r="108" spans="1:89"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row>
    <row r="109" spans="1:89" ht="15" x14ac:dyDescent="0.25">
      <c r="A109" s="70"/>
      <c r="B109" s="70"/>
      <c r="C109" s="70"/>
      <c r="D109"/>
      <c r="E109"/>
      <c r="F109"/>
      <c r="G109"/>
      <c r="H109"/>
      <c r="I109"/>
      <c r="J109"/>
      <c r="K109"/>
      <c r="L109"/>
      <c r="M109"/>
      <c r="N109"/>
      <c r="O109"/>
      <c r="P109"/>
      <c r="Q109"/>
      <c r="R109" s="5"/>
      <c r="S109"/>
      <c r="T109"/>
      <c r="U109"/>
      <c r="V109"/>
      <c r="W109"/>
      <c r="X109"/>
      <c r="Y109"/>
      <c r="Z109"/>
      <c r="AA109"/>
      <c r="AB109"/>
      <c r="AC109"/>
      <c r="AD109"/>
      <c r="AE109"/>
      <c r="AF109"/>
      <c r="AG109"/>
      <c r="AH109"/>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row>
    <row r="110" spans="1:89" ht="15" x14ac:dyDescent="0.25">
      <c r="A110" s="70"/>
      <c r="B110" s="70"/>
      <c r="C110" s="70"/>
      <c r="D110"/>
      <c r="E110"/>
      <c r="F110"/>
      <c r="G110"/>
      <c r="H110"/>
      <c r="I110"/>
      <c r="J110"/>
      <c r="K110"/>
      <c r="L110"/>
      <c r="M110"/>
      <c r="N110"/>
      <c r="O110"/>
      <c r="P110"/>
      <c r="Q110"/>
      <c r="R110" s="5"/>
      <c r="S110"/>
      <c r="T110"/>
      <c r="U110"/>
      <c r="V110"/>
      <c r="W110"/>
      <c r="X110"/>
      <c r="Y110"/>
      <c r="Z110"/>
      <c r="AA110"/>
      <c r="AB110"/>
      <c r="AC110"/>
      <c r="AD110"/>
      <c r="AE110"/>
      <c r="AF110"/>
      <c r="AG110"/>
      <c r="AH11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row>
    <row r="111" spans="1:89" ht="15" x14ac:dyDescent="0.25">
      <c r="A111" s="70"/>
      <c r="B111" s="70"/>
      <c r="C111" s="70"/>
      <c r="D111"/>
      <c r="E111"/>
      <c r="F111"/>
      <c r="G111"/>
      <c r="H111"/>
      <c r="I111"/>
      <c r="J111"/>
      <c r="K111"/>
      <c r="L111"/>
      <c r="M111"/>
      <c r="N111"/>
      <c r="O111"/>
      <c r="P111"/>
      <c r="Q111"/>
      <c r="R111" s="1"/>
      <c r="S111" s="1"/>
      <c r="T111" s="1"/>
      <c r="U111" s="1"/>
      <c r="V111" s="1"/>
      <c r="W111" s="1"/>
      <c r="X111"/>
      <c r="Y111"/>
      <c r="Z111"/>
      <c r="AA111"/>
      <c r="AB111"/>
      <c r="AC111"/>
      <c r="AD111"/>
      <c r="AE111"/>
      <c r="AF111"/>
      <c r="AG111"/>
      <c r="AH111"/>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row>
    <row r="112" spans="1:89" ht="15" x14ac:dyDescent="0.25">
      <c r="A112" s="70"/>
      <c r="B112" s="70"/>
      <c r="C112" s="70"/>
      <c r="D112"/>
      <c r="E112"/>
      <c r="F112"/>
      <c r="G112"/>
      <c r="H112"/>
      <c r="I112"/>
      <c r="J112"/>
      <c r="K112"/>
      <c r="L112"/>
      <c r="M112"/>
      <c r="N112"/>
      <c r="O112"/>
      <c r="P112"/>
      <c r="Q112"/>
      <c r="R112"/>
      <c r="S112"/>
      <c r="T112"/>
      <c r="U112"/>
      <c r="V112"/>
      <c r="W112"/>
      <c r="X112"/>
      <c r="Y112"/>
      <c r="Z112"/>
      <c r="AA112"/>
      <c r="AB112"/>
      <c r="AC112"/>
      <c r="AD112"/>
      <c r="AE112"/>
      <c r="AF112"/>
      <c r="AG112"/>
      <c r="AH112"/>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row>
    <row r="113" spans="1:89" ht="15" x14ac:dyDescent="0.25">
      <c r="A113" s="70"/>
      <c r="B113" s="70"/>
      <c r="C113" s="70"/>
      <c r="D113"/>
      <c r="E113"/>
      <c r="F113"/>
      <c r="G113"/>
      <c r="H113"/>
      <c r="I113"/>
      <c r="J113"/>
      <c r="K113"/>
      <c r="L113"/>
      <c r="M113"/>
      <c r="N113"/>
      <c r="O113"/>
      <c r="P113"/>
      <c r="Q113"/>
      <c r="R113"/>
      <c r="S113"/>
      <c r="T113"/>
      <c r="U113"/>
      <c r="V113"/>
      <c r="W113"/>
      <c r="X113"/>
      <c r="Y113"/>
      <c r="Z113"/>
      <c r="AA113"/>
      <c r="AB113"/>
      <c r="AC113"/>
      <c r="AD113"/>
      <c r="AE113"/>
      <c r="AF113"/>
      <c r="AG113"/>
      <c r="AH113"/>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row>
    <row r="114" spans="1:89" ht="15" x14ac:dyDescent="0.25">
      <c r="A114" s="70"/>
      <c r="B114" s="70"/>
      <c r="C114" s="70"/>
      <c r="D114"/>
      <c r="E114"/>
      <c r="F114"/>
      <c r="G114"/>
      <c r="H114"/>
      <c r="I114"/>
      <c r="J114"/>
      <c r="K114"/>
      <c r="L114"/>
      <c r="M114"/>
      <c r="N114"/>
      <c r="O114"/>
      <c r="P114"/>
      <c r="Q114"/>
      <c r="R114"/>
      <c r="S114"/>
      <c r="T114"/>
      <c r="U114"/>
      <c r="V114"/>
      <c r="W114"/>
      <c r="X114"/>
      <c r="Y114"/>
      <c r="Z114"/>
      <c r="AA114"/>
      <c r="AB114"/>
      <c r="AC114"/>
      <c r="AD114"/>
      <c r="AE114"/>
      <c r="AF114"/>
      <c r="AG114"/>
      <c r="AH114"/>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row>
    <row r="115" spans="1:89" ht="15" x14ac:dyDescent="0.25">
      <c r="A115" s="70"/>
      <c r="B115" s="70"/>
      <c r="C115" s="70"/>
      <c r="D115"/>
      <c r="E115"/>
      <c r="F115"/>
      <c r="G115"/>
      <c r="H115"/>
      <c r="I115"/>
      <c r="J115"/>
      <c r="K115"/>
      <c r="L115"/>
      <c r="M115"/>
      <c r="N115"/>
      <c r="O115"/>
      <c r="P115"/>
      <c r="Q115"/>
      <c r="R115"/>
      <c r="S115"/>
      <c r="T115"/>
      <c r="U115"/>
      <c r="V115"/>
      <c r="W115"/>
      <c r="X115"/>
      <c r="Y115"/>
      <c r="Z115"/>
      <c r="AA115"/>
      <c r="AB115"/>
      <c r="AC115"/>
      <c r="AD115"/>
      <c r="AE115"/>
      <c r="AF115"/>
      <c r="AG115"/>
      <c r="AH115"/>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row>
    <row r="116" spans="1:89" ht="15" x14ac:dyDescent="0.25">
      <c r="A116" s="70"/>
      <c r="B116" s="70"/>
      <c r="C116" s="70"/>
      <c r="D116"/>
      <c r="E116"/>
      <c r="F116"/>
      <c r="G116"/>
      <c r="H116"/>
      <c r="I116"/>
      <c r="J116"/>
      <c r="K116"/>
      <c r="L116"/>
      <c r="M116"/>
      <c r="N116"/>
      <c r="O116"/>
      <c r="P116"/>
      <c r="Q116"/>
      <c r="R116" s="2"/>
      <c r="S116" s="6"/>
      <c r="T116" s="7"/>
      <c r="U116"/>
      <c r="V116"/>
      <c r="W116"/>
      <c r="X116"/>
      <c r="Y116"/>
      <c r="Z116"/>
      <c r="AA116"/>
      <c r="AB116"/>
      <c r="AC116"/>
      <c r="AD116"/>
      <c r="AE116"/>
      <c r="AF116"/>
      <c r="AG116"/>
      <c r="AH116"/>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row>
    <row r="117" spans="1:89" ht="15" x14ac:dyDescent="0.25">
      <c r="A117" s="70"/>
      <c r="B117" s="70"/>
      <c r="C117" s="70"/>
      <c r="D117"/>
      <c r="E117"/>
      <c r="F117"/>
      <c r="G117"/>
      <c r="H117"/>
      <c r="I117"/>
      <c r="J117"/>
      <c r="K117"/>
      <c r="L117"/>
      <c r="M117"/>
      <c r="N117"/>
      <c r="O117"/>
      <c r="P117"/>
      <c r="Q117"/>
      <c r="R117" s="2"/>
      <c r="S117" s="6"/>
      <c r="T117" s="7"/>
      <c r="U117"/>
      <c r="V117"/>
      <c r="W117"/>
      <c r="X117"/>
      <c r="Y117"/>
      <c r="Z117"/>
      <c r="AA117"/>
      <c r="AB117"/>
      <c r="AC117"/>
      <c r="AD117"/>
      <c r="AE117"/>
      <c r="AF117"/>
      <c r="AG117"/>
      <c r="AH117"/>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row>
    <row r="118" spans="1:89" ht="15" x14ac:dyDescent="0.25">
      <c r="A118" s="70"/>
      <c r="B118" s="70"/>
      <c r="C118" s="70"/>
      <c r="D118"/>
      <c r="E118"/>
      <c r="F118"/>
      <c r="G118"/>
      <c r="H118"/>
      <c r="I118"/>
      <c r="J118"/>
      <c r="K118"/>
      <c r="L118"/>
      <c r="M118"/>
      <c r="N118"/>
      <c r="O118"/>
      <c r="P118"/>
      <c r="Q118"/>
      <c r="R118" s="2"/>
      <c r="S118" s="6"/>
      <c r="T118" s="7"/>
      <c r="U118"/>
      <c r="V118"/>
      <c r="W118"/>
      <c r="X118"/>
      <c r="Y118"/>
      <c r="Z118"/>
      <c r="AA118"/>
      <c r="AB118"/>
      <c r="AC118"/>
      <c r="AD118"/>
      <c r="AE118"/>
      <c r="AF118"/>
      <c r="AG118"/>
      <c r="AH118"/>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row>
    <row r="119" spans="1:89" ht="15" x14ac:dyDescent="0.25">
      <c r="A119" s="70"/>
      <c r="B119" s="70"/>
      <c r="C119" s="70"/>
      <c r="D119"/>
      <c r="E119"/>
      <c r="F119"/>
      <c r="G119"/>
      <c r="H119"/>
      <c r="I119"/>
      <c r="J119"/>
      <c r="K119"/>
      <c r="L119"/>
      <c r="M119"/>
      <c r="N119"/>
      <c r="O119"/>
      <c r="P119"/>
      <c r="Q119"/>
      <c r="R119"/>
      <c r="S119"/>
      <c r="T119"/>
      <c r="U119"/>
      <c r="V119"/>
      <c r="W119"/>
      <c r="X119"/>
      <c r="Y119"/>
      <c r="Z119"/>
      <c r="AA119"/>
      <c r="AB119"/>
      <c r="AC119"/>
      <c r="AD119"/>
      <c r="AE119"/>
      <c r="AF119"/>
      <c r="AG119"/>
      <c r="AH119"/>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row>
    <row r="120" spans="1:89" ht="15" x14ac:dyDescent="0.25">
      <c r="A120" s="70"/>
      <c r="B120" s="70"/>
      <c r="C120" s="70"/>
      <c r="D120"/>
      <c r="E120"/>
      <c r="F120"/>
      <c r="G120"/>
      <c r="H120"/>
      <c r="I120"/>
      <c r="J120"/>
      <c r="K120"/>
      <c r="L120"/>
      <c r="M120"/>
      <c r="N120"/>
      <c r="O120"/>
      <c r="P120"/>
      <c r="Q120"/>
      <c r="R120"/>
      <c r="S120" s="1"/>
      <c r="T120" s="3"/>
      <c r="U120"/>
      <c r="V120"/>
      <c r="W120"/>
      <c r="X120"/>
      <c r="Y120"/>
      <c r="Z120"/>
      <c r="AA120"/>
      <c r="AB120"/>
      <c r="AC120"/>
      <c r="AD120"/>
      <c r="AE120"/>
      <c r="AF120"/>
      <c r="AG120"/>
      <c r="AH12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row>
    <row r="121" spans="1:89" ht="15" x14ac:dyDescent="0.25">
      <c r="A121" s="70"/>
      <c r="B121" s="70"/>
      <c r="C121" s="70"/>
      <c r="D121"/>
      <c r="E121"/>
      <c r="F121"/>
      <c r="G121"/>
      <c r="H121"/>
      <c r="I121"/>
      <c r="J121"/>
      <c r="K121"/>
      <c r="L121"/>
      <c r="M121"/>
      <c r="N121"/>
      <c r="O121"/>
      <c r="P121"/>
      <c r="Q121"/>
      <c r="R121" s="1"/>
      <c r="S121" s="1"/>
      <c r="T121" s="1"/>
      <c r="U121" s="1"/>
      <c r="V121" s="1"/>
      <c r="W121" s="1"/>
      <c r="X121"/>
      <c r="Y121"/>
      <c r="Z121"/>
      <c r="AA121"/>
      <c r="AB121"/>
      <c r="AC121"/>
      <c r="AD121"/>
      <c r="AE121"/>
      <c r="AF121"/>
      <c r="AG121"/>
      <c r="AH121"/>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row>
    <row r="122" spans="1:89" ht="15" x14ac:dyDescent="0.25">
      <c r="A122" s="70"/>
      <c r="B122" s="70"/>
      <c r="C122" s="70"/>
      <c r="D122"/>
      <c r="E122"/>
      <c r="F122"/>
      <c r="G122"/>
      <c r="H122"/>
      <c r="I122"/>
      <c r="J122"/>
      <c r="K122"/>
      <c r="L122"/>
      <c r="M122"/>
      <c r="N122"/>
      <c r="O122"/>
      <c r="P122"/>
      <c r="Q122"/>
      <c r="R122"/>
      <c r="S122"/>
      <c r="T122"/>
      <c r="U122"/>
      <c r="V122"/>
      <c r="W122"/>
      <c r="X122"/>
      <c r="Y122"/>
      <c r="Z122"/>
      <c r="AA122"/>
      <c r="AB122"/>
      <c r="AC122"/>
      <c r="AD122"/>
      <c r="AE122"/>
      <c r="AF122"/>
      <c r="AG122"/>
      <c r="AH122"/>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row>
    <row r="123" spans="1:89" ht="15" x14ac:dyDescent="0.25">
      <c r="A123" s="70"/>
      <c r="B123" s="70"/>
      <c r="C123" s="70"/>
      <c r="D123"/>
      <c r="E123"/>
      <c r="F123"/>
      <c r="G123"/>
      <c r="H123"/>
      <c r="I123"/>
      <c r="J123"/>
      <c r="K123"/>
      <c r="L123"/>
      <c r="M123"/>
      <c r="N123"/>
      <c r="O123"/>
      <c r="P123"/>
      <c r="Q123"/>
      <c r="R123"/>
      <c r="S123"/>
      <c r="T123"/>
      <c r="U123"/>
      <c r="V123"/>
      <c r="W123"/>
      <c r="X123"/>
      <c r="Y123"/>
      <c r="Z123"/>
      <c r="AA123"/>
      <c r="AB123"/>
      <c r="AC123"/>
      <c r="AD123"/>
      <c r="AE123"/>
      <c r="AF123"/>
      <c r="AG123"/>
      <c r="AH123"/>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row>
    <row r="124" spans="1:89" ht="15" x14ac:dyDescent="0.25">
      <c r="A124" s="70"/>
      <c r="B124" s="70"/>
      <c r="C124" s="70"/>
      <c r="D124"/>
      <c r="E124"/>
      <c r="F124"/>
      <c r="G124"/>
      <c r="H124"/>
      <c r="I124"/>
      <c r="J124"/>
      <c r="K124"/>
      <c r="L124"/>
      <c r="M124"/>
      <c r="N124"/>
      <c r="O124"/>
      <c r="P124"/>
      <c r="Q124"/>
      <c r="R124"/>
      <c r="S124"/>
      <c r="T124"/>
      <c r="U124"/>
      <c r="V124"/>
      <c r="W124"/>
      <c r="X124"/>
      <c r="Y124"/>
      <c r="Z124"/>
      <c r="AA124"/>
      <c r="AB124"/>
      <c r="AC124"/>
      <c r="AD124"/>
      <c r="AE124"/>
      <c r="AF124"/>
      <c r="AG124"/>
      <c r="AH124"/>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row>
    <row r="125" spans="1:89" ht="15" x14ac:dyDescent="0.25">
      <c r="A125" s="70"/>
      <c r="B125" s="70"/>
      <c r="C125" s="70"/>
      <c r="D125"/>
      <c r="E125"/>
      <c r="F125"/>
      <c r="G125"/>
      <c r="H125"/>
      <c r="I125"/>
      <c r="J125"/>
      <c r="K125"/>
      <c r="L125"/>
      <c r="M125"/>
      <c r="N125"/>
      <c r="O125"/>
      <c r="P125"/>
      <c r="Q125"/>
      <c r="R125"/>
      <c r="S125"/>
      <c r="T125"/>
      <c r="U125"/>
      <c r="V125"/>
      <c r="W125"/>
      <c r="X125"/>
      <c r="Y125"/>
      <c r="Z125"/>
      <c r="AA125"/>
      <c r="AB125"/>
      <c r="AC125"/>
      <c r="AD125"/>
      <c r="AE125"/>
      <c r="AF125"/>
      <c r="AG125"/>
      <c r="AH125"/>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row>
    <row r="126" spans="1:89" ht="15" x14ac:dyDescent="0.25">
      <c r="A126" s="70"/>
      <c r="B126" s="70"/>
      <c r="C126" s="70"/>
      <c r="D126"/>
      <c r="E126"/>
      <c r="F126"/>
      <c r="G126"/>
      <c r="H126"/>
      <c r="I126"/>
      <c r="J126"/>
      <c r="K126"/>
      <c r="L126"/>
      <c r="M126"/>
      <c r="N126"/>
      <c r="O126"/>
      <c r="P126"/>
      <c r="Q126"/>
      <c r="R126"/>
      <c r="S126"/>
      <c r="T126"/>
      <c r="U126"/>
      <c r="V126"/>
      <c r="W126"/>
      <c r="X126"/>
      <c r="Y126"/>
      <c r="Z126"/>
      <c r="AA126"/>
      <c r="AB126"/>
      <c r="AC126"/>
      <c r="AD126"/>
      <c r="AE126"/>
      <c r="AF126"/>
      <c r="AG126"/>
      <c r="AH126"/>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row>
    <row r="127" spans="1:89" ht="15" x14ac:dyDescent="0.25">
      <c r="A127" s="70"/>
      <c r="B127" s="70"/>
      <c r="C127" s="70"/>
      <c r="D127"/>
      <c r="E127"/>
      <c r="F127"/>
      <c r="G127"/>
      <c r="H127"/>
      <c r="I127"/>
      <c r="J127"/>
      <c r="K127"/>
      <c r="L127"/>
      <c r="M127"/>
      <c r="N127"/>
      <c r="O127"/>
      <c r="P127"/>
      <c r="Q127"/>
      <c r="R127"/>
      <c r="S127"/>
      <c r="T127"/>
      <c r="U127"/>
      <c r="V127"/>
      <c r="W127"/>
      <c r="X127"/>
      <c r="Y127"/>
      <c r="Z127"/>
      <c r="AA127"/>
      <c r="AB127"/>
      <c r="AC127"/>
      <c r="AD127"/>
      <c r="AE127"/>
      <c r="AF127"/>
      <c r="AG127"/>
      <c r="AH127"/>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row>
    <row r="128" spans="1:89" ht="15" x14ac:dyDescent="0.25">
      <c r="A128" s="70"/>
      <c r="B128" s="70"/>
      <c r="C128" s="70"/>
      <c r="D128"/>
      <c r="E128"/>
      <c r="F128"/>
      <c r="G128"/>
      <c r="H128"/>
      <c r="I128"/>
      <c r="J128"/>
      <c r="K128"/>
      <c r="L128"/>
      <c r="M128"/>
      <c r="N128"/>
      <c r="O128"/>
      <c r="P128"/>
      <c r="Q128"/>
      <c r="R128"/>
      <c r="S128"/>
      <c r="T128"/>
      <c r="U128"/>
      <c r="V128"/>
      <c r="W128"/>
      <c r="X128"/>
      <c r="Y128"/>
      <c r="Z128"/>
      <c r="AA128"/>
      <c r="AB128"/>
      <c r="AC128"/>
      <c r="AD128"/>
      <c r="AE128"/>
      <c r="AF128"/>
      <c r="AG128"/>
      <c r="AH128"/>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row>
    <row r="129" spans="1:89" ht="15" x14ac:dyDescent="0.25">
      <c r="A129" s="70"/>
      <c r="B129" s="70"/>
      <c r="C129" s="70"/>
      <c r="D129"/>
      <c r="E129"/>
      <c r="F129"/>
      <c r="G129"/>
      <c r="H129"/>
      <c r="I129"/>
      <c r="J129"/>
      <c r="K129"/>
      <c r="L129"/>
      <c r="M129"/>
      <c r="N129"/>
      <c r="O129"/>
      <c r="P129"/>
      <c r="Q129"/>
      <c r="R129"/>
      <c r="S129"/>
      <c r="T129"/>
      <c r="U129"/>
      <c r="V129"/>
      <c r="W129"/>
      <c r="X129"/>
      <c r="Y129"/>
      <c r="Z129"/>
      <c r="AA129"/>
      <c r="AB129"/>
      <c r="AC129"/>
      <c r="AD129"/>
      <c r="AE129"/>
      <c r="AF129"/>
      <c r="AG129"/>
      <c r="AH129"/>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row>
    <row r="130" spans="1:89" ht="15" x14ac:dyDescent="0.25">
      <c r="A130" s="70"/>
      <c r="B130" s="70"/>
      <c r="C130" s="70"/>
      <c r="D130"/>
      <c r="E130"/>
      <c r="F130"/>
      <c r="G130"/>
      <c r="H130"/>
      <c r="I130"/>
      <c r="J130"/>
      <c r="K130"/>
      <c r="L130"/>
      <c r="M130"/>
      <c r="N130"/>
      <c r="O130"/>
      <c r="P130"/>
      <c r="Q130"/>
      <c r="R130"/>
      <c r="S130"/>
      <c r="T130"/>
      <c r="U130"/>
      <c r="V130"/>
      <c r="W130"/>
      <c r="X130"/>
      <c r="Y130"/>
      <c r="Z130"/>
      <c r="AA130"/>
      <c r="AB130"/>
      <c r="AC130"/>
      <c r="AD130"/>
      <c r="AE130"/>
      <c r="AF130"/>
      <c r="AG130"/>
      <c r="AH13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row>
    <row r="131" spans="1:89" ht="15" x14ac:dyDescent="0.25">
      <c r="A131" s="70"/>
      <c r="B131" s="70"/>
      <c r="C131" s="70"/>
      <c r="D131"/>
      <c r="E131"/>
      <c r="F131"/>
      <c r="G131"/>
      <c r="H131"/>
      <c r="I131"/>
      <c r="J131"/>
      <c r="K131"/>
      <c r="L131"/>
      <c r="M131"/>
      <c r="N131"/>
      <c r="O131"/>
      <c r="P131"/>
      <c r="Q131"/>
      <c r="R131"/>
      <c r="S131"/>
      <c r="T131"/>
      <c r="U131"/>
      <c r="V131"/>
      <c r="W131"/>
      <c r="X131"/>
      <c r="Y131"/>
      <c r="Z131"/>
      <c r="AA131"/>
      <c r="AB131"/>
      <c r="AC131"/>
      <c r="AD131"/>
      <c r="AE131"/>
      <c r="AF131"/>
      <c r="AG131"/>
      <c r="AH131"/>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row>
    <row r="132" spans="1:89" ht="15" x14ac:dyDescent="0.25">
      <c r="A132" s="70"/>
      <c r="B132" s="70"/>
      <c r="C132" s="70"/>
      <c r="D132"/>
      <c r="E132"/>
      <c r="F132"/>
      <c r="G132"/>
      <c r="H132"/>
      <c r="I132"/>
      <c r="J132"/>
      <c r="K132"/>
      <c r="L132"/>
      <c r="M132"/>
      <c r="N132"/>
      <c r="O132"/>
      <c r="P132"/>
      <c r="Q132"/>
      <c r="R132"/>
      <c r="S132"/>
      <c r="T132"/>
      <c r="U132"/>
      <c r="V132"/>
      <c r="W132"/>
      <c r="X132"/>
      <c r="Y132"/>
      <c r="Z132"/>
      <c r="AA132"/>
      <c r="AB132"/>
      <c r="AC132"/>
      <c r="AD132"/>
      <c r="AE132"/>
      <c r="AF132"/>
      <c r="AG132"/>
      <c r="AH132"/>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row>
    <row r="133" spans="1:89" ht="15" x14ac:dyDescent="0.25">
      <c r="A133" s="70"/>
      <c r="B133" s="70"/>
      <c r="C133" s="70"/>
      <c r="D133"/>
      <c r="E133"/>
      <c r="F133"/>
      <c r="G133"/>
      <c r="H133"/>
      <c r="I133"/>
      <c r="J133"/>
      <c r="K133"/>
      <c r="L133"/>
      <c r="M133"/>
      <c r="N133"/>
      <c r="O133"/>
      <c r="P133"/>
      <c r="Q133"/>
      <c r="R133"/>
      <c r="S133"/>
      <c r="T133"/>
      <c r="U133"/>
      <c r="V133"/>
      <c r="W133"/>
      <c r="X133"/>
      <c r="Y133"/>
      <c r="Z133"/>
      <c r="AA133"/>
      <c r="AB133"/>
      <c r="AC133"/>
      <c r="AD133"/>
      <c r="AE133"/>
      <c r="AF133"/>
      <c r="AG133"/>
      <c r="AH133"/>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row>
    <row r="134" spans="1:89" ht="15" x14ac:dyDescent="0.25">
      <c r="A134" s="70"/>
      <c r="B134" s="70"/>
      <c r="C134" s="70"/>
      <c r="D134"/>
      <c r="E134"/>
      <c r="F134"/>
      <c r="G134"/>
      <c r="H134"/>
      <c r="I134"/>
      <c r="J134"/>
      <c r="K134"/>
      <c r="L134"/>
      <c r="M134"/>
      <c r="N134"/>
      <c r="O134"/>
      <c r="P134"/>
      <c r="Q134"/>
      <c r="R134"/>
      <c r="S134"/>
      <c r="T134"/>
      <c r="U134"/>
      <c r="V134"/>
      <c r="W134"/>
      <c r="X134"/>
      <c r="Y134"/>
      <c r="Z134"/>
      <c r="AA134"/>
      <c r="AB134"/>
      <c r="AC134"/>
      <c r="AD134"/>
      <c r="AE134"/>
      <c r="AF134"/>
      <c r="AG134"/>
      <c r="AH134"/>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row>
    <row r="135" spans="1:89" ht="15" x14ac:dyDescent="0.25">
      <c r="A135" s="70"/>
      <c r="B135" s="70"/>
      <c r="C135" s="70"/>
      <c r="D135"/>
      <c r="E135"/>
      <c r="F135"/>
      <c r="G135"/>
      <c r="H135"/>
      <c r="I135"/>
      <c r="J135"/>
      <c r="K135"/>
      <c r="L135"/>
      <c r="M135"/>
      <c r="N135"/>
      <c r="O135"/>
      <c r="P135"/>
      <c r="Q135"/>
      <c r="R135"/>
      <c r="S135"/>
      <c r="T135"/>
      <c r="U135"/>
      <c r="V135"/>
      <c r="W135"/>
      <c r="X135"/>
      <c r="Y135"/>
      <c r="Z135"/>
      <c r="AA135"/>
      <c r="AB135"/>
      <c r="AC135"/>
      <c r="AD135"/>
      <c r="AE135"/>
      <c r="AF135"/>
      <c r="AG135"/>
      <c r="AH135"/>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row>
    <row r="136" spans="1:89" ht="15" x14ac:dyDescent="0.25">
      <c r="A136" s="70"/>
      <c r="B136" s="70"/>
      <c r="C136" s="70"/>
      <c r="D136"/>
      <c r="E136"/>
      <c r="F136"/>
      <c r="G136"/>
      <c r="H136"/>
      <c r="I136"/>
      <c r="J136"/>
      <c r="K136"/>
      <c r="L136"/>
      <c r="M136"/>
      <c r="N136"/>
      <c r="O136"/>
      <c r="P136"/>
      <c r="Q136"/>
      <c r="R136"/>
      <c r="S136"/>
      <c r="T136"/>
      <c r="U136"/>
      <c r="V136"/>
      <c r="W136"/>
      <c r="X136"/>
      <c r="Y136"/>
      <c r="Z136"/>
      <c r="AA136"/>
      <c r="AB136"/>
      <c r="AC136"/>
      <c r="AD136"/>
      <c r="AE136"/>
      <c r="AF136"/>
      <c r="AG136"/>
      <c r="AH136"/>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row>
    <row r="137" spans="1:89" ht="15" x14ac:dyDescent="0.25">
      <c r="A137" s="70"/>
      <c r="B137" s="70"/>
      <c r="C137" s="70"/>
      <c r="D137"/>
      <c r="E137"/>
      <c r="F137"/>
      <c r="G137"/>
      <c r="H137"/>
      <c r="I137"/>
      <c r="J137"/>
      <c r="K137"/>
      <c r="L137"/>
      <c r="M137"/>
      <c r="N137"/>
      <c r="O137"/>
      <c r="P137"/>
      <c r="Q137"/>
      <c r="R137"/>
      <c r="S137"/>
      <c r="T137"/>
      <c r="U137"/>
      <c r="V137"/>
      <c r="W137"/>
      <c r="X137"/>
      <c r="Y137"/>
      <c r="Z137"/>
      <c r="AA137"/>
      <c r="AB137"/>
      <c r="AC137"/>
      <c r="AD137"/>
      <c r="AE137"/>
      <c r="AF137"/>
      <c r="AG137"/>
      <c r="AH137"/>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row>
    <row r="138" spans="1:89" ht="15" x14ac:dyDescent="0.25">
      <c r="A138" s="70"/>
      <c r="B138" s="70"/>
      <c r="C138" s="70"/>
      <c r="D138"/>
      <c r="E138"/>
      <c r="F138"/>
      <c r="G138"/>
      <c r="H138"/>
      <c r="I138"/>
      <c r="J138"/>
      <c r="K138"/>
      <c r="L138"/>
      <c r="M138"/>
      <c r="N138"/>
      <c r="O138"/>
      <c r="P138"/>
      <c r="Q138"/>
      <c r="R138"/>
      <c r="S138"/>
      <c r="T138"/>
      <c r="U138"/>
      <c r="V138"/>
      <c r="W138"/>
      <c r="X138"/>
      <c r="Y138"/>
      <c r="Z138"/>
      <c r="AA138"/>
      <c r="AB138"/>
      <c r="AC138"/>
      <c r="AD138"/>
      <c r="AE138"/>
      <c r="AF138"/>
      <c r="AG138"/>
      <c r="AH138"/>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row>
    <row r="139" spans="1:89" ht="15" x14ac:dyDescent="0.25">
      <c r="A139" s="70"/>
      <c r="B139" s="70"/>
      <c r="C139" s="70"/>
      <c r="D139"/>
      <c r="E139"/>
      <c r="F139"/>
      <c r="G139"/>
      <c r="H139"/>
      <c r="I139"/>
      <c r="J139"/>
      <c r="K139"/>
      <c r="L139"/>
      <c r="M139"/>
      <c r="N139"/>
      <c r="O139"/>
      <c r="P139"/>
      <c r="Q139"/>
      <c r="R139"/>
      <c r="S139"/>
      <c r="T139"/>
      <c r="U139"/>
      <c r="V139"/>
      <c r="W139"/>
      <c r="X139"/>
      <c r="Y139"/>
      <c r="Z139"/>
      <c r="AA139"/>
      <c r="AB139"/>
      <c r="AC139"/>
      <c r="AD139"/>
      <c r="AE139"/>
      <c r="AF139"/>
      <c r="AG139"/>
      <c r="AH139"/>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row>
    <row r="140" spans="1:89" ht="15" x14ac:dyDescent="0.25">
      <c r="A140" s="70"/>
      <c r="B140" s="70"/>
      <c r="C140" s="70"/>
      <c r="D140"/>
      <c r="E140"/>
      <c r="F140"/>
      <c r="G140"/>
      <c r="H140"/>
      <c r="I140"/>
      <c r="J140"/>
      <c r="K140"/>
      <c r="L140"/>
      <c r="M140"/>
      <c r="N140"/>
      <c r="O140"/>
      <c r="P140"/>
      <c r="Q140"/>
      <c r="R140"/>
      <c r="S140"/>
      <c r="T140"/>
      <c r="U140"/>
      <c r="V140"/>
      <c r="W140"/>
      <c r="X140"/>
      <c r="Y140"/>
      <c r="Z140"/>
      <c r="AA140"/>
      <c r="AB140"/>
      <c r="AC140"/>
      <c r="AD140"/>
      <c r="AE140"/>
      <c r="AF140"/>
      <c r="AG140"/>
      <c r="AH14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row>
    <row r="141" spans="1:89" ht="15" x14ac:dyDescent="0.25">
      <c r="A141" s="70"/>
      <c r="B141" s="70"/>
      <c r="C141" s="70"/>
      <c r="D141"/>
      <c r="E141"/>
      <c r="F141"/>
      <c r="G141"/>
      <c r="H141"/>
      <c r="I141"/>
      <c r="J141"/>
      <c r="K141"/>
      <c r="L141"/>
      <c r="M141"/>
      <c r="N141"/>
      <c r="O141"/>
      <c r="P141"/>
      <c r="Q141"/>
      <c r="R141"/>
      <c r="S141"/>
      <c r="T141"/>
      <c r="U141"/>
      <c r="V141"/>
      <c r="W141"/>
      <c r="X141"/>
      <c r="Y141"/>
      <c r="Z141"/>
      <c r="AA141"/>
      <c r="AB141"/>
      <c r="AC141"/>
      <c r="AD141"/>
      <c r="AE141"/>
      <c r="AF141"/>
      <c r="AG141"/>
      <c r="AH141"/>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row>
    <row r="142" spans="1:89" ht="15" x14ac:dyDescent="0.25">
      <c r="A142" s="70"/>
      <c r="B142" s="70"/>
      <c r="C142" s="70"/>
      <c r="D142"/>
      <c r="E142"/>
      <c r="F142"/>
      <c r="G142"/>
      <c r="H142"/>
      <c r="I142"/>
      <c r="J142"/>
      <c r="K142"/>
      <c r="L142"/>
      <c r="M142"/>
      <c r="N142"/>
      <c r="O142"/>
      <c r="P142"/>
      <c r="Q142"/>
      <c r="R142"/>
      <c r="S142"/>
      <c r="T142"/>
      <c r="U142"/>
      <c r="V142"/>
      <c r="W142"/>
      <c r="X142"/>
      <c r="Y142"/>
      <c r="Z142"/>
      <c r="AA142"/>
      <c r="AB142"/>
      <c r="AC142"/>
      <c r="AD142"/>
      <c r="AE142"/>
      <c r="AF142"/>
      <c r="AG142"/>
      <c r="AH142"/>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row>
    <row r="143" spans="1:89" ht="15" x14ac:dyDescent="0.25">
      <c r="A143" s="70"/>
      <c r="B143" s="70"/>
      <c r="C143" s="70"/>
      <c r="D143"/>
      <c r="E143"/>
      <c r="F143"/>
      <c r="G143"/>
      <c r="H143"/>
      <c r="I143"/>
      <c r="J143"/>
      <c r="K143"/>
      <c r="L143"/>
      <c r="M143"/>
      <c r="N143"/>
      <c r="O143"/>
      <c r="P143"/>
      <c r="Q143"/>
      <c r="R143"/>
      <c r="S143"/>
      <c r="T143"/>
      <c r="U143"/>
      <c r="V143"/>
      <c r="W143"/>
      <c r="X143"/>
      <c r="Y143"/>
      <c r="Z143"/>
      <c r="AA143"/>
      <c r="AB143"/>
      <c r="AC143"/>
      <c r="AD143"/>
      <c r="AE143"/>
      <c r="AF143"/>
      <c r="AG143"/>
      <c r="AH143"/>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row>
    <row r="144" spans="1:89" ht="15" x14ac:dyDescent="0.25">
      <c r="A144" s="70"/>
      <c r="B144" s="70"/>
      <c r="C144" s="70"/>
      <c r="D144"/>
      <c r="E144"/>
      <c r="F144"/>
      <c r="G144"/>
      <c r="H144"/>
      <c r="I144"/>
      <c r="J144"/>
      <c r="K144"/>
      <c r="L144"/>
      <c r="M144"/>
      <c r="N144"/>
      <c r="O144"/>
      <c r="P144"/>
      <c r="Q144"/>
      <c r="R144"/>
      <c r="S144"/>
      <c r="T144"/>
      <c r="U144"/>
      <c r="V144"/>
      <c r="W144"/>
      <c r="X144"/>
      <c r="Y144"/>
      <c r="Z144"/>
      <c r="AA144"/>
      <c r="AB144"/>
      <c r="AC144"/>
      <c r="AD144"/>
      <c r="AE144"/>
      <c r="AF144"/>
      <c r="AG144"/>
      <c r="AH144"/>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70"/>
      <c r="CK144" s="70"/>
    </row>
    <row r="145" spans="1:89" ht="15" x14ac:dyDescent="0.25">
      <c r="A145" s="70"/>
      <c r="B145" s="70"/>
      <c r="C145" s="70"/>
      <c r="D145"/>
      <c r="E145"/>
      <c r="F145"/>
      <c r="G145"/>
      <c r="H145"/>
      <c r="I145"/>
      <c r="J145"/>
      <c r="K145"/>
      <c r="L145"/>
      <c r="M145"/>
      <c r="N145"/>
      <c r="O145"/>
      <c r="P145"/>
      <c r="Q145"/>
      <c r="R145"/>
      <c r="S145"/>
      <c r="T145"/>
      <c r="U145"/>
      <c r="V145"/>
      <c r="W145"/>
      <c r="X145"/>
      <c r="Y145"/>
      <c r="Z145"/>
      <c r="AA145"/>
      <c r="AB145"/>
      <c r="AC145"/>
      <c r="AD145"/>
      <c r="AE145"/>
      <c r="AF145"/>
      <c r="AG145"/>
      <c r="AH145"/>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row>
    <row r="146" spans="1:89"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row>
    <row r="147" spans="1:89"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c r="CA147" s="70"/>
      <c r="CB147" s="70"/>
      <c r="CC147" s="70"/>
      <c r="CD147" s="70"/>
      <c r="CE147" s="70"/>
      <c r="CF147" s="70"/>
      <c r="CG147" s="70"/>
      <c r="CH147" s="70"/>
      <c r="CI147" s="70"/>
      <c r="CJ147" s="70"/>
      <c r="CK147" s="70"/>
    </row>
    <row r="148" spans="1:89"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70"/>
      <c r="CK148" s="70"/>
    </row>
    <row r="149" spans="1:89"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row>
    <row r="150" spans="1:89"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row>
    <row r="151" spans="1:89"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row>
    <row r="152" spans="1:89"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row>
    <row r="153" spans="1:89"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row>
    <row r="154" spans="1:89"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row>
    <row r="155" spans="1:89"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row>
    <row r="156" spans="1:89"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row>
    <row r="157" spans="1:89"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row>
    <row r="158" spans="1:89"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row>
    <row r="159" spans="1:89"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row>
    <row r="160" spans="1:89"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s="70"/>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row>
    <row r="161" spans="1:89"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row>
    <row r="162" spans="1:89"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row>
    <row r="163" spans="1:89"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row>
    <row r="164" spans="1:89"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row>
    <row r="165" spans="1:89"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0"/>
      <c r="CH165" s="70"/>
      <c r="CI165" s="70"/>
      <c r="CJ165" s="70"/>
      <c r="CK165" s="70"/>
    </row>
    <row r="166" spans="1:89"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row>
    <row r="167" spans="1:89" x14ac:dyDescent="0.2">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row>
    <row r="168" spans="1:89" x14ac:dyDescent="0.2">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row>
    <row r="169" spans="1:89" x14ac:dyDescent="0.2">
      <c r="A169" s="70"/>
      <c r="B169" s="70"/>
      <c r="C169" s="70"/>
      <c r="D169" s="74" t="str">
        <f>C10</f>
        <v>Option 2 - Replacement based on historical trend</v>
      </c>
      <c r="E169" s="75" t="str">
        <f>E$4</f>
        <v>Option</v>
      </c>
      <c r="F169" s="75" t="str">
        <f>F$4</f>
        <v>Unit</v>
      </c>
      <c r="G169" s="75" t="str">
        <f>G$4</f>
        <v>Basis</v>
      </c>
      <c r="H169" s="94" t="s">
        <v>84</v>
      </c>
      <c r="J169" s="88" t="str">
        <f>C10</f>
        <v>Option 2 - Replacement based on historical trend</v>
      </c>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0"/>
      <c r="CH169" s="70"/>
      <c r="CI169" s="70"/>
      <c r="CJ169" s="70"/>
      <c r="CK169" s="70"/>
    </row>
    <row r="170" spans="1:89" x14ac:dyDescent="0.2">
      <c r="A170" s="70"/>
      <c r="B170" s="70"/>
      <c r="C170" s="70"/>
      <c r="D170" s="70"/>
      <c r="E170" s="70"/>
      <c r="F170" s="70"/>
      <c r="G170" s="70"/>
      <c r="H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row>
    <row r="171" spans="1:89" x14ac:dyDescent="0.2">
      <c r="A171" s="70"/>
      <c r="B171" s="70"/>
      <c r="C171" s="70"/>
      <c r="D171" s="89" t="s">
        <v>166</v>
      </c>
      <c r="E171" s="36" t="e">
        <f>#REF!</f>
        <v>#REF!</v>
      </c>
      <c r="F171" s="90" t="s">
        <v>86</v>
      </c>
      <c r="G171" s="90" t="s">
        <v>87</v>
      </c>
      <c r="H171" s="89" t="s">
        <v>167</v>
      </c>
      <c r="J171" s="95">
        <v>495.70452543688617</v>
      </c>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70"/>
      <c r="BS171" s="70"/>
      <c r="BT171" s="70"/>
      <c r="BU171" s="70"/>
      <c r="BV171" s="70"/>
      <c r="BW171" s="70"/>
      <c r="BX171" s="70"/>
      <c r="BY171" s="70"/>
      <c r="BZ171" s="70"/>
      <c r="CA171" s="70"/>
      <c r="CB171" s="70"/>
      <c r="CC171" s="70"/>
      <c r="CD171" s="70"/>
      <c r="CE171" s="70"/>
      <c r="CF171" s="70"/>
      <c r="CG171" s="70"/>
      <c r="CH171" s="70"/>
      <c r="CI171" s="70"/>
      <c r="CJ171" s="70"/>
      <c r="CK171" s="70"/>
    </row>
    <row r="172" spans="1:89" x14ac:dyDescent="0.2">
      <c r="A172" s="70"/>
      <c r="B172" s="70"/>
      <c r="C172" s="70"/>
      <c r="D172" s="89" t="s">
        <v>168</v>
      </c>
      <c r="E172" s="36" t="e">
        <f>#REF!</f>
        <v>#REF!</v>
      </c>
      <c r="F172" s="90" t="s">
        <v>86</v>
      </c>
      <c r="G172" s="90" t="s">
        <v>87</v>
      </c>
      <c r="H172" s="89" t="s">
        <v>169</v>
      </c>
      <c r="J172" s="95">
        <v>620.95237503051692</v>
      </c>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70"/>
      <c r="BS172" s="70"/>
      <c r="BT172" s="70"/>
      <c r="BU172" s="70"/>
      <c r="BV172" s="70"/>
      <c r="BW172" s="70"/>
      <c r="BX172" s="70"/>
      <c r="BY172" s="70"/>
      <c r="BZ172" s="70"/>
      <c r="CA172" s="70"/>
      <c r="CB172" s="70"/>
      <c r="CC172" s="70"/>
      <c r="CD172" s="70"/>
      <c r="CE172" s="70"/>
      <c r="CF172" s="70"/>
      <c r="CG172" s="70"/>
      <c r="CH172" s="70"/>
      <c r="CI172" s="70"/>
      <c r="CJ172" s="70"/>
      <c r="CK172" s="70"/>
    </row>
    <row r="173" spans="1:89" x14ac:dyDescent="0.2">
      <c r="A173" s="70"/>
      <c r="B173" s="70"/>
      <c r="C173" s="70"/>
      <c r="D173" s="89" t="s">
        <v>170</v>
      </c>
      <c r="E173" s="36" t="e">
        <f>#REF!</f>
        <v>#REF!</v>
      </c>
      <c r="F173" s="90" t="s">
        <v>86</v>
      </c>
      <c r="G173" s="90" t="s">
        <v>87</v>
      </c>
      <c r="H173" s="89" t="s">
        <v>171</v>
      </c>
      <c r="J173" s="95">
        <v>6511.7807282534459</v>
      </c>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0"/>
      <c r="CH173" s="70"/>
      <c r="CI173" s="70"/>
      <c r="CJ173" s="70"/>
      <c r="CK173" s="70"/>
    </row>
    <row r="174" spans="1:89" x14ac:dyDescent="0.2">
      <c r="A174" s="70"/>
      <c r="B174" s="70"/>
      <c r="C174" s="70"/>
      <c r="D174" s="89" t="s">
        <v>172</v>
      </c>
      <c r="E174" s="36" t="e">
        <f>#REF!</f>
        <v>#REF!</v>
      </c>
      <c r="F174" s="90" t="s">
        <v>86</v>
      </c>
      <c r="G174" s="90" t="s">
        <v>87</v>
      </c>
      <c r="H174" s="89" t="s">
        <v>173</v>
      </c>
      <c r="J174" s="95">
        <v>16991.422191238042</v>
      </c>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c r="CA174" s="70"/>
      <c r="CB174" s="70"/>
      <c r="CC174" s="70"/>
      <c r="CD174" s="70"/>
      <c r="CE174" s="70"/>
      <c r="CF174" s="70"/>
      <c r="CG174" s="70"/>
      <c r="CH174" s="70"/>
      <c r="CI174" s="70"/>
      <c r="CJ174" s="70"/>
      <c r="CK174" s="70"/>
    </row>
    <row r="175" spans="1:89" x14ac:dyDescent="0.2">
      <c r="A175" s="70"/>
      <c r="B175" s="70"/>
      <c r="C175" s="70"/>
      <c r="D175" s="89" t="s">
        <v>174</v>
      </c>
      <c r="E175" s="36" t="e">
        <f>#REF!</f>
        <v>#REF!</v>
      </c>
      <c r="F175" s="90" t="s">
        <v>86</v>
      </c>
      <c r="G175" s="90" t="s">
        <v>87</v>
      </c>
      <c r="H175" s="89" t="s">
        <v>175</v>
      </c>
      <c r="J175" s="95">
        <v>10501.578615173916</v>
      </c>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row>
    <row r="176" spans="1:89" x14ac:dyDescent="0.2">
      <c r="A176" s="70"/>
      <c r="B176" s="70"/>
      <c r="C176" s="70"/>
      <c r="D176" s="89" t="s">
        <v>107</v>
      </c>
      <c r="E176" s="36" t="e">
        <f>#REF!</f>
        <v>#REF!</v>
      </c>
      <c r="F176" s="90" t="s">
        <v>86</v>
      </c>
      <c r="G176" s="90" t="s">
        <v>87</v>
      </c>
      <c r="H176" s="89" t="s">
        <v>167</v>
      </c>
      <c r="J176" s="95">
        <v>0</v>
      </c>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c r="CA176" s="70"/>
      <c r="CB176" s="70"/>
      <c r="CC176" s="70"/>
      <c r="CD176" s="70"/>
      <c r="CE176" s="70"/>
      <c r="CF176" s="70"/>
      <c r="CG176" s="70"/>
      <c r="CH176" s="70"/>
      <c r="CI176" s="70"/>
      <c r="CJ176" s="70"/>
      <c r="CK176" s="70"/>
    </row>
    <row r="177" spans="1:89" ht="22.5" x14ac:dyDescent="0.2">
      <c r="A177" s="70"/>
      <c r="B177" s="70"/>
      <c r="C177" s="70"/>
      <c r="D177" s="89" t="s">
        <v>97</v>
      </c>
      <c r="E177" s="36" t="e">
        <f>#REF!</f>
        <v>#REF!</v>
      </c>
      <c r="F177" s="90" t="s">
        <v>86</v>
      </c>
      <c r="G177" s="90" t="s">
        <v>87</v>
      </c>
      <c r="H177" s="89" t="s">
        <v>176</v>
      </c>
      <c r="J177" s="95">
        <v>0</v>
      </c>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c r="CA177" s="70"/>
      <c r="CB177" s="70"/>
      <c r="CC177" s="70"/>
      <c r="CD177" s="70"/>
      <c r="CE177" s="70"/>
      <c r="CF177" s="70"/>
      <c r="CG177" s="70"/>
      <c r="CH177" s="70"/>
      <c r="CI177" s="70"/>
      <c r="CJ177" s="70"/>
      <c r="CK177" s="70"/>
    </row>
    <row r="178" spans="1:89" ht="22.5" x14ac:dyDescent="0.2">
      <c r="A178" s="70"/>
      <c r="B178" s="70"/>
      <c r="C178" s="70"/>
      <c r="D178" s="89" t="s">
        <v>97</v>
      </c>
      <c r="E178" s="36" t="e">
        <f>#REF!</f>
        <v>#REF!</v>
      </c>
      <c r="F178" s="90" t="s">
        <v>86</v>
      </c>
      <c r="G178" s="90" t="s">
        <v>87</v>
      </c>
      <c r="H178" s="89" t="s">
        <v>176</v>
      </c>
      <c r="J178" s="95">
        <v>0</v>
      </c>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row>
    <row r="179" spans="1:89" ht="22.5" x14ac:dyDescent="0.2">
      <c r="A179" s="70"/>
      <c r="B179" s="70"/>
      <c r="C179" s="70"/>
      <c r="D179" s="89" t="s">
        <v>97</v>
      </c>
      <c r="E179" s="36" t="e">
        <f>#REF!</f>
        <v>#REF!</v>
      </c>
      <c r="F179" s="90" t="s">
        <v>86</v>
      </c>
      <c r="G179" s="90" t="s">
        <v>87</v>
      </c>
      <c r="H179" s="89" t="s">
        <v>176</v>
      </c>
      <c r="J179" s="95">
        <v>0</v>
      </c>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row>
    <row r="180" spans="1:89" ht="22.5" x14ac:dyDescent="0.2">
      <c r="A180" s="70"/>
      <c r="B180" s="70"/>
      <c r="C180" s="70"/>
      <c r="D180" s="89" t="s">
        <v>97</v>
      </c>
      <c r="E180" s="36" t="e">
        <f>#REF!</f>
        <v>#REF!</v>
      </c>
      <c r="F180" s="90" t="s">
        <v>86</v>
      </c>
      <c r="G180" s="90" t="s">
        <v>87</v>
      </c>
      <c r="H180" s="89" t="s">
        <v>176</v>
      </c>
      <c r="J180" s="95">
        <v>0</v>
      </c>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row>
    <row r="181" spans="1:89" x14ac:dyDescent="0.2">
      <c r="A181" s="70"/>
      <c r="B181" s="70"/>
      <c r="C181" s="70"/>
      <c r="D181" s="84"/>
      <c r="E181" s="70"/>
      <c r="F181" s="70"/>
      <c r="G181" s="70"/>
      <c r="H181" s="70"/>
      <c r="I181" s="70"/>
      <c r="J181" s="70"/>
      <c r="K181" s="70"/>
      <c r="L181" s="70"/>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70"/>
      <c r="BT181" s="70"/>
      <c r="BU181" s="70"/>
      <c r="BV181" s="70"/>
      <c r="BW181" s="70"/>
      <c r="BX181" s="70"/>
      <c r="BY181" s="70"/>
      <c r="BZ181" s="70"/>
      <c r="CA181" s="70"/>
      <c r="CB181" s="70"/>
      <c r="CC181" s="70"/>
      <c r="CD181" s="70"/>
      <c r="CE181" s="70"/>
      <c r="CF181" s="70"/>
      <c r="CG181" s="70"/>
      <c r="CH181" s="70"/>
      <c r="CI181" s="70"/>
      <c r="CJ181" s="70"/>
      <c r="CK181" s="70"/>
    </row>
    <row r="182" spans="1:89" x14ac:dyDescent="0.2">
      <c r="A182" s="85"/>
      <c r="B182" s="85"/>
      <c r="C182" s="86" t="s">
        <v>98</v>
      </c>
      <c r="D182" s="85"/>
      <c r="E182" s="85"/>
      <c r="F182" s="87"/>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c r="AO182" s="85"/>
      <c r="AP182" s="85"/>
      <c r="AQ182" s="85"/>
      <c r="AR182" s="85"/>
      <c r="AS182" s="85"/>
      <c r="AT182" s="85"/>
      <c r="AU182" s="85"/>
      <c r="AV182" s="85"/>
      <c r="AW182" s="85"/>
      <c r="AX182" s="85"/>
      <c r="AY182" s="85"/>
      <c r="AZ182" s="85"/>
      <c r="BA182" s="85"/>
      <c r="BB182" s="85"/>
      <c r="BC182" s="85"/>
      <c r="BD182" s="85"/>
      <c r="BE182" s="85"/>
      <c r="BF182" s="85"/>
      <c r="BG182" s="85"/>
      <c r="BH182" s="85"/>
      <c r="BI182" s="85"/>
      <c r="BJ182" s="85"/>
      <c r="BK182" s="85"/>
      <c r="BL182" s="85"/>
      <c r="BM182" s="85"/>
      <c r="BN182" s="85"/>
      <c r="BO182" s="85"/>
      <c r="BP182" s="85"/>
      <c r="BQ182" s="85"/>
      <c r="BR182" s="85"/>
      <c r="BS182" s="85"/>
      <c r="BT182" s="85"/>
      <c r="BU182" s="85"/>
      <c r="BV182" s="85"/>
      <c r="BW182" s="85"/>
      <c r="BX182" s="85"/>
      <c r="BY182" s="85"/>
      <c r="BZ182" s="85"/>
      <c r="CA182" s="85"/>
      <c r="CB182" s="85"/>
      <c r="CC182" s="85"/>
      <c r="CD182" s="85"/>
      <c r="CE182" s="85"/>
      <c r="CF182" s="85"/>
      <c r="CG182" s="85"/>
      <c r="CH182" s="85"/>
      <c r="CI182" s="85"/>
      <c r="CJ182" s="85"/>
      <c r="CK182" s="85"/>
    </row>
    <row r="183" spans="1:89"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0"/>
      <c r="CH183" s="70"/>
      <c r="CI183" s="70"/>
      <c r="CJ183" s="70"/>
      <c r="CK183" s="70"/>
    </row>
    <row r="184" spans="1:89" x14ac:dyDescent="0.2">
      <c r="A184" s="70"/>
      <c r="B184" s="70"/>
      <c r="C184" s="70"/>
      <c r="D184" s="74" t="str">
        <f>C182</f>
        <v>Historical Volumes</v>
      </c>
      <c r="E184" s="75" t="str">
        <f>E$4</f>
        <v>Option</v>
      </c>
      <c r="F184" s="75" t="str">
        <f>F$4</f>
        <v>Unit</v>
      </c>
      <c r="G184" s="75" t="str">
        <f>G$4</f>
        <v>Basis</v>
      </c>
      <c r="H184" s="94" t="s">
        <v>78</v>
      </c>
      <c r="I184" s="94" t="s">
        <v>79</v>
      </c>
      <c r="J184" s="88" t="s">
        <v>99</v>
      </c>
      <c r="K184" s="88" t="str">
        <f>K$3</f>
        <v>2024-25</v>
      </c>
      <c r="L184" s="88" t="str">
        <f t="shared" ref="L184:R184" si="10">L$3</f>
        <v>2025-26</v>
      </c>
      <c r="M184" s="88" t="str">
        <f t="shared" si="10"/>
        <v>2026-27</v>
      </c>
      <c r="N184" s="88" t="str">
        <f t="shared" si="10"/>
        <v>2027-28</v>
      </c>
      <c r="O184" s="88" t="str">
        <f t="shared" si="10"/>
        <v>2028-29</v>
      </c>
      <c r="P184" s="88" t="str">
        <f t="shared" si="10"/>
        <v>2029-30</v>
      </c>
      <c r="Q184" s="88" t="str">
        <f t="shared" si="10"/>
        <v>2030-31</v>
      </c>
      <c r="R184" s="88" t="str">
        <f t="shared" si="10"/>
        <v>EDPR Total</v>
      </c>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c r="BP184" s="70"/>
      <c r="BQ184" s="70"/>
      <c r="BR184" s="70"/>
      <c r="BS184" s="70"/>
      <c r="BT184" s="70"/>
      <c r="BU184" s="70"/>
      <c r="BV184" s="70"/>
      <c r="BW184" s="70"/>
      <c r="BX184" s="70"/>
      <c r="BY184" s="70"/>
      <c r="BZ184" s="70"/>
      <c r="CA184" s="70"/>
      <c r="CB184" s="70"/>
      <c r="CC184" s="70"/>
      <c r="CD184" s="70"/>
      <c r="CE184" s="70"/>
      <c r="CF184" s="70"/>
      <c r="CG184" s="70"/>
      <c r="CH184" s="70"/>
      <c r="CI184" s="70"/>
      <c r="CJ184" s="70"/>
      <c r="CK184" s="70"/>
    </row>
    <row r="185" spans="1:89" x14ac:dyDescent="0.2">
      <c r="A185" s="70"/>
      <c r="B185" s="70"/>
      <c r="C185" s="70"/>
      <c r="D185" s="70"/>
      <c r="E185" s="70"/>
      <c r="F185" s="70"/>
      <c r="G185" s="70"/>
      <c r="H185" s="70"/>
      <c r="K185" s="70"/>
      <c r="L185" s="70"/>
      <c r="M185" s="70"/>
      <c r="N185" s="70"/>
      <c r="O185" s="70"/>
      <c r="P185" s="70"/>
      <c r="Q185" s="70"/>
      <c r="R185" s="70"/>
      <c r="S185" s="70"/>
      <c r="T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c r="BP185" s="70"/>
      <c r="BQ185" s="70"/>
      <c r="BR185" s="70"/>
      <c r="BS185" s="70"/>
      <c r="BT185" s="70"/>
      <c r="BU185" s="70"/>
      <c r="BV185" s="70"/>
      <c r="BW185" s="70"/>
      <c r="BX185" s="70"/>
      <c r="BY185" s="70"/>
      <c r="BZ185" s="70"/>
      <c r="CA185" s="70"/>
      <c r="CB185" s="70"/>
      <c r="CC185" s="70"/>
      <c r="CD185" s="70"/>
      <c r="CE185" s="70"/>
      <c r="CF185" s="70"/>
      <c r="CG185" s="70"/>
      <c r="CH185" s="70"/>
      <c r="CI185" s="70"/>
      <c r="CJ185" s="70"/>
      <c r="CK185" s="70"/>
    </row>
    <row r="186" spans="1:89" x14ac:dyDescent="0.2">
      <c r="A186" s="70"/>
      <c r="B186" s="70"/>
      <c r="C186" s="70"/>
      <c r="D186" s="38" t="str">
        <f>D171</f>
        <v>HV U/G Cable Replacement</v>
      </c>
      <c r="E186" s="36" t="e">
        <f>#REF!</f>
        <v>#REF!</v>
      </c>
      <c r="F186" s="90" t="s">
        <v>80</v>
      </c>
      <c r="G186" s="90" t="s">
        <v>62</v>
      </c>
      <c r="H186" s="38" t="str">
        <f>H171</f>
        <v>RUA</v>
      </c>
      <c r="I186" s="8" t="s">
        <v>82</v>
      </c>
      <c r="J186" s="89" t="s">
        <v>177</v>
      </c>
      <c r="K186" s="95">
        <v>37.685714285714283</v>
      </c>
      <c r="L186" s="98">
        <v>42.8</v>
      </c>
      <c r="M186" s="95">
        <v>327.9</v>
      </c>
      <c r="N186" s="95">
        <v>321.3</v>
      </c>
      <c r="O186" s="95">
        <v>327.9</v>
      </c>
      <c r="P186" s="95">
        <v>321.3</v>
      </c>
      <c r="Q186" s="95">
        <v>327.9</v>
      </c>
      <c r="R186" s="96">
        <f>SUM(M186:Q186)</f>
        <v>1626.3000000000002</v>
      </c>
      <c r="S186" s="70"/>
      <c r="T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0"/>
      <c r="CH186" s="70"/>
      <c r="CI186" s="70"/>
      <c r="CJ186" s="70"/>
      <c r="CK186" s="70"/>
    </row>
    <row r="187" spans="1:89" x14ac:dyDescent="0.2">
      <c r="A187" s="70"/>
      <c r="B187" s="70"/>
      <c r="C187" s="70"/>
      <c r="D187" s="38" t="str">
        <f t="shared" ref="D187:D195" si="11">D172</f>
        <v>LV U/G Cable Replacement</v>
      </c>
      <c r="E187" s="36" t="e">
        <f>#REF!</f>
        <v>#REF!</v>
      </c>
      <c r="F187" s="90" t="s">
        <v>80</v>
      </c>
      <c r="G187" s="90" t="s">
        <v>62</v>
      </c>
      <c r="H187" s="38" t="str">
        <f t="shared" ref="H187:H195" si="12">H172</f>
        <v>RUC</v>
      </c>
      <c r="I187" s="8" t="s">
        <v>82</v>
      </c>
      <c r="J187" s="89" t="s">
        <v>178</v>
      </c>
      <c r="K187" s="95">
        <v>179.00714285714281</v>
      </c>
      <c r="L187" s="98">
        <v>203.89999999999998</v>
      </c>
      <c r="M187" s="95">
        <v>199.99999999999997</v>
      </c>
      <c r="N187" s="95">
        <v>199.99999999999997</v>
      </c>
      <c r="O187" s="95">
        <v>199.99999999999997</v>
      </c>
      <c r="P187" s="95">
        <v>199.99999999999997</v>
      </c>
      <c r="Q187" s="95">
        <v>199.99999999999997</v>
      </c>
      <c r="R187" s="96">
        <f t="shared" ref="R187:R195" si="13">SUM(M187:Q187)</f>
        <v>999.99999999999989</v>
      </c>
      <c r="S187" s="70"/>
      <c r="T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row>
    <row r="188" spans="1:89" x14ac:dyDescent="0.2">
      <c r="A188" s="70"/>
      <c r="B188" s="70"/>
      <c r="C188" s="70"/>
      <c r="D188" s="38" t="str">
        <f t="shared" si="11"/>
        <v>Pillar to Pillar</v>
      </c>
      <c r="E188" s="36" t="e">
        <f>#REF!</f>
        <v>#REF!</v>
      </c>
      <c r="F188" s="90" t="s">
        <v>80</v>
      </c>
      <c r="G188" s="90" t="s">
        <v>62</v>
      </c>
      <c r="H188" s="38" t="str">
        <f t="shared" si="12"/>
        <v>RUF</v>
      </c>
      <c r="I188" s="8" t="s">
        <v>82</v>
      </c>
      <c r="J188" s="89" t="s">
        <v>179</v>
      </c>
      <c r="K188" s="95">
        <v>5</v>
      </c>
      <c r="L188" s="98">
        <v>5.3899999999999988</v>
      </c>
      <c r="M188" s="95">
        <v>4.9999999999999991</v>
      </c>
      <c r="N188" s="95">
        <v>4.9999999999999991</v>
      </c>
      <c r="O188" s="95">
        <v>4.9999999999999991</v>
      </c>
      <c r="P188" s="95">
        <v>4.9999999999999991</v>
      </c>
      <c r="Q188" s="95">
        <v>4.9999999999999991</v>
      </c>
      <c r="R188" s="96">
        <f t="shared" si="13"/>
        <v>24.999999999999996</v>
      </c>
      <c r="S188" s="70"/>
      <c r="T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row>
    <row r="189" spans="1:89" x14ac:dyDescent="0.2">
      <c r="A189" s="70"/>
      <c r="B189" s="70"/>
      <c r="C189" s="70"/>
      <c r="D189" s="38" t="str">
        <f t="shared" si="11"/>
        <v>HV U/G Termination Replacement</v>
      </c>
      <c r="E189" s="36" t="e">
        <f>#REF!</f>
        <v>#REF!</v>
      </c>
      <c r="F189" s="90" t="s">
        <v>80</v>
      </c>
      <c r="G189" s="90" t="s">
        <v>62</v>
      </c>
      <c r="H189" s="38" t="str">
        <f t="shared" si="12"/>
        <v>RUH</v>
      </c>
      <c r="I189" s="8" t="s">
        <v>82</v>
      </c>
      <c r="J189" s="89" t="s">
        <v>180</v>
      </c>
      <c r="K189" s="95">
        <v>23.553571428571441</v>
      </c>
      <c r="L189" s="98">
        <v>23.809999999999995</v>
      </c>
      <c r="M189" s="95">
        <v>19.999999999999996</v>
      </c>
      <c r="N189" s="95">
        <v>19.999999999999996</v>
      </c>
      <c r="O189" s="95">
        <v>19.999999999999996</v>
      </c>
      <c r="P189" s="95">
        <v>19.999999999999996</v>
      </c>
      <c r="Q189" s="95">
        <v>19.999999999999996</v>
      </c>
      <c r="R189" s="96">
        <f t="shared" si="13"/>
        <v>99.999999999999986</v>
      </c>
      <c r="S189" s="70"/>
      <c r="T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c r="BW189" s="70"/>
      <c r="BX189" s="70"/>
      <c r="BY189" s="70"/>
      <c r="BZ189" s="70"/>
      <c r="CA189" s="70"/>
      <c r="CB189" s="70"/>
      <c r="CC189" s="70"/>
      <c r="CD189" s="70"/>
      <c r="CE189" s="70"/>
      <c r="CF189" s="70"/>
      <c r="CG189" s="70"/>
      <c r="CH189" s="70"/>
      <c r="CI189" s="70"/>
      <c r="CJ189" s="70"/>
      <c r="CK189" s="70"/>
    </row>
    <row r="190" spans="1:89" x14ac:dyDescent="0.2">
      <c r="A190" s="70"/>
      <c r="B190" s="70"/>
      <c r="C190" s="70"/>
      <c r="D190" s="38" t="str">
        <f t="shared" si="11"/>
        <v>LV U/G Termination Replacement</v>
      </c>
      <c r="E190" s="36" t="e">
        <f>#REF!</f>
        <v>#REF!</v>
      </c>
      <c r="F190" s="90" t="s">
        <v>80</v>
      </c>
      <c r="G190" s="90" t="s">
        <v>62</v>
      </c>
      <c r="H190" s="38" t="str">
        <f t="shared" si="12"/>
        <v>RUL</v>
      </c>
      <c r="I190" s="8" t="s">
        <v>82</v>
      </c>
      <c r="J190" s="89" t="s">
        <v>181</v>
      </c>
      <c r="K190" s="95">
        <v>42.396428571428558</v>
      </c>
      <c r="L190" s="98">
        <v>47.159999999999989</v>
      </c>
      <c r="M190" s="95">
        <v>44.999999999999993</v>
      </c>
      <c r="N190" s="95">
        <v>44.999999999999993</v>
      </c>
      <c r="O190" s="95">
        <v>44.999999999999993</v>
      </c>
      <c r="P190" s="95">
        <v>44.999999999999993</v>
      </c>
      <c r="Q190" s="95">
        <v>44.999999999999993</v>
      </c>
      <c r="R190" s="96">
        <f t="shared" si="13"/>
        <v>224.99999999999997</v>
      </c>
      <c r="S190" s="70"/>
      <c r="T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70"/>
      <c r="BS190" s="70"/>
      <c r="BT190" s="70"/>
      <c r="BU190" s="70"/>
      <c r="BV190" s="70"/>
      <c r="BW190" s="70"/>
      <c r="BX190" s="70"/>
      <c r="BY190" s="70"/>
      <c r="BZ190" s="70"/>
      <c r="CA190" s="70"/>
      <c r="CB190" s="70"/>
      <c r="CC190" s="70"/>
      <c r="CD190" s="70"/>
      <c r="CE190" s="70"/>
      <c r="CF190" s="70"/>
      <c r="CG190" s="70"/>
      <c r="CH190" s="70"/>
      <c r="CI190" s="70"/>
      <c r="CJ190" s="70"/>
      <c r="CK190" s="70"/>
    </row>
    <row r="191" spans="1:89" x14ac:dyDescent="0.2">
      <c r="A191" s="70"/>
      <c r="B191" s="70"/>
      <c r="C191" s="70"/>
      <c r="D191" s="38" t="str">
        <f t="shared" si="11"/>
        <v>Replace Metal Trifurcating Boxes</v>
      </c>
      <c r="E191" s="36" t="e">
        <f>#REF!</f>
        <v>#REF!</v>
      </c>
      <c r="F191" s="90" t="s">
        <v>80</v>
      </c>
      <c r="G191" s="90" t="s">
        <v>62</v>
      </c>
      <c r="H191" s="38" t="str">
        <f t="shared" si="12"/>
        <v>RUA</v>
      </c>
      <c r="I191" s="8" t="s">
        <v>82</v>
      </c>
      <c r="J191" s="89" t="s">
        <v>182</v>
      </c>
      <c r="K191" s="95">
        <v>0</v>
      </c>
      <c r="L191" s="98">
        <v>0</v>
      </c>
      <c r="M191" s="95">
        <v>0</v>
      </c>
      <c r="N191" s="95">
        <v>0</v>
      </c>
      <c r="O191" s="95">
        <v>0</v>
      </c>
      <c r="P191" s="95">
        <v>0</v>
      </c>
      <c r="Q191" s="95">
        <v>0</v>
      </c>
      <c r="R191" s="96">
        <f t="shared" si="13"/>
        <v>0</v>
      </c>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row>
    <row r="192" spans="1:89" x14ac:dyDescent="0.2">
      <c r="A192" s="70"/>
      <c r="B192" s="70"/>
      <c r="C192" s="70"/>
      <c r="D192" s="38" t="str">
        <f t="shared" si="11"/>
        <v>[Spare]</v>
      </c>
      <c r="E192" s="36" t="e">
        <f>#REF!</f>
        <v>#REF!</v>
      </c>
      <c r="F192" s="90" t="s">
        <v>80</v>
      </c>
      <c r="G192" s="90" t="s">
        <v>62</v>
      </c>
      <c r="H192" s="38" t="str">
        <f t="shared" si="12"/>
        <v>[Select from list]</v>
      </c>
      <c r="I192" s="8" t="s">
        <v>82</v>
      </c>
      <c r="J192" s="89" t="s">
        <v>62</v>
      </c>
      <c r="K192" s="95">
        <v>0</v>
      </c>
      <c r="L192" s="98">
        <v>0</v>
      </c>
      <c r="M192" s="95">
        <v>0</v>
      </c>
      <c r="N192" s="95">
        <v>0</v>
      </c>
      <c r="O192" s="95">
        <v>0</v>
      </c>
      <c r="P192" s="95">
        <v>0</v>
      </c>
      <c r="Q192" s="95">
        <v>0</v>
      </c>
      <c r="R192" s="96">
        <f t="shared" si="13"/>
        <v>0</v>
      </c>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70"/>
      <c r="BN192" s="70"/>
      <c r="BO192" s="70"/>
      <c r="BP192" s="70"/>
      <c r="BQ192" s="70"/>
      <c r="BR192" s="70"/>
      <c r="BS192" s="70"/>
      <c r="BT192" s="70"/>
      <c r="BU192" s="70"/>
      <c r="BV192" s="70"/>
      <c r="BW192" s="70"/>
      <c r="BX192" s="70"/>
      <c r="BY192" s="70"/>
      <c r="BZ192" s="70"/>
      <c r="CA192" s="70"/>
      <c r="CB192" s="70"/>
      <c r="CC192" s="70"/>
      <c r="CD192" s="70"/>
      <c r="CE192" s="70"/>
      <c r="CF192" s="70"/>
      <c r="CG192" s="70"/>
      <c r="CH192" s="70"/>
      <c r="CI192" s="70"/>
      <c r="CJ192" s="70"/>
      <c r="CK192" s="70"/>
    </row>
    <row r="193" spans="1:89" x14ac:dyDescent="0.2">
      <c r="A193" s="70"/>
      <c r="B193" s="70"/>
      <c r="C193" s="70"/>
      <c r="D193" s="38" t="str">
        <f t="shared" si="11"/>
        <v>[Spare]</v>
      </c>
      <c r="E193" s="36" t="e">
        <f>#REF!</f>
        <v>#REF!</v>
      </c>
      <c r="F193" s="90" t="s">
        <v>80</v>
      </c>
      <c r="G193" s="90" t="s">
        <v>62</v>
      </c>
      <c r="H193" s="38" t="str">
        <f t="shared" si="12"/>
        <v>[Select from list]</v>
      </c>
      <c r="I193" s="8" t="s">
        <v>82</v>
      </c>
      <c r="J193" s="89" t="s">
        <v>62</v>
      </c>
      <c r="K193" s="95">
        <v>0</v>
      </c>
      <c r="L193" s="98">
        <v>0</v>
      </c>
      <c r="M193" s="95">
        <v>0</v>
      </c>
      <c r="N193" s="95">
        <v>0</v>
      </c>
      <c r="O193" s="95">
        <v>0</v>
      </c>
      <c r="P193" s="95">
        <v>0</v>
      </c>
      <c r="Q193" s="95">
        <v>0</v>
      </c>
      <c r="R193" s="96">
        <f t="shared" si="13"/>
        <v>0</v>
      </c>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c r="BW193" s="70"/>
      <c r="BX193" s="70"/>
      <c r="BY193" s="70"/>
      <c r="BZ193" s="70"/>
      <c r="CA193" s="70"/>
      <c r="CB193" s="70"/>
      <c r="CC193" s="70"/>
      <c r="CD193" s="70"/>
      <c r="CE193" s="70"/>
      <c r="CF193" s="70"/>
      <c r="CG193" s="70"/>
      <c r="CH193" s="70"/>
      <c r="CI193" s="70"/>
      <c r="CJ193" s="70"/>
      <c r="CK193" s="70"/>
    </row>
    <row r="194" spans="1:89" x14ac:dyDescent="0.2">
      <c r="A194" s="70"/>
      <c r="B194" s="70"/>
      <c r="C194" s="70"/>
      <c r="D194" s="38" t="str">
        <f t="shared" si="11"/>
        <v>[Spare]</v>
      </c>
      <c r="E194" s="36" t="e">
        <f>#REF!</f>
        <v>#REF!</v>
      </c>
      <c r="F194" s="90" t="s">
        <v>80</v>
      </c>
      <c r="G194" s="90" t="s">
        <v>62</v>
      </c>
      <c r="H194" s="38" t="str">
        <f t="shared" si="12"/>
        <v>[Select from list]</v>
      </c>
      <c r="I194" s="8" t="s">
        <v>82</v>
      </c>
      <c r="J194" s="89" t="s">
        <v>62</v>
      </c>
      <c r="K194" s="95">
        <v>0</v>
      </c>
      <c r="L194" s="98">
        <v>0</v>
      </c>
      <c r="M194" s="95">
        <v>0</v>
      </c>
      <c r="N194" s="95">
        <v>0</v>
      </c>
      <c r="O194" s="95">
        <v>0</v>
      </c>
      <c r="P194" s="95">
        <v>0</v>
      </c>
      <c r="Q194" s="95">
        <v>0</v>
      </c>
      <c r="R194" s="96">
        <f t="shared" si="13"/>
        <v>0</v>
      </c>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c r="BW194" s="70"/>
      <c r="BX194" s="70"/>
      <c r="BY194" s="70"/>
      <c r="BZ194" s="70"/>
      <c r="CA194" s="70"/>
      <c r="CB194" s="70"/>
      <c r="CC194" s="70"/>
      <c r="CD194" s="70"/>
      <c r="CE194" s="70"/>
      <c r="CF194" s="70"/>
      <c r="CG194" s="70"/>
      <c r="CH194" s="70"/>
      <c r="CI194" s="70"/>
      <c r="CJ194" s="70"/>
      <c r="CK194" s="70"/>
    </row>
    <row r="195" spans="1:89" x14ac:dyDescent="0.2">
      <c r="A195" s="70"/>
      <c r="B195" s="70"/>
      <c r="C195" s="70"/>
      <c r="D195" s="38" t="str">
        <f t="shared" si="11"/>
        <v>[Spare]</v>
      </c>
      <c r="E195" s="36" t="e">
        <f>#REF!</f>
        <v>#REF!</v>
      </c>
      <c r="F195" s="90" t="s">
        <v>80</v>
      </c>
      <c r="G195" s="90" t="s">
        <v>62</v>
      </c>
      <c r="H195" s="38" t="str">
        <f t="shared" si="12"/>
        <v>[Select from list]</v>
      </c>
      <c r="I195" s="8" t="s">
        <v>82</v>
      </c>
      <c r="J195" s="89" t="s">
        <v>62</v>
      </c>
      <c r="K195" s="95">
        <v>0</v>
      </c>
      <c r="L195" s="98">
        <v>0</v>
      </c>
      <c r="M195" s="95">
        <v>0</v>
      </c>
      <c r="N195" s="95">
        <v>0</v>
      </c>
      <c r="O195" s="95">
        <v>0</v>
      </c>
      <c r="P195" s="95">
        <v>0</v>
      </c>
      <c r="Q195" s="95">
        <v>0</v>
      </c>
      <c r="R195" s="96">
        <f t="shared" si="13"/>
        <v>0</v>
      </c>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70"/>
      <c r="BN195" s="70"/>
      <c r="BO195" s="70"/>
      <c r="BP195" s="70"/>
      <c r="BQ195" s="70"/>
      <c r="BR195" s="70"/>
      <c r="BS195" s="70"/>
      <c r="BT195" s="70"/>
      <c r="BU195" s="70"/>
      <c r="BV195" s="70"/>
      <c r="BW195" s="70"/>
      <c r="BX195" s="70"/>
      <c r="BY195" s="70"/>
      <c r="BZ195" s="70"/>
      <c r="CA195" s="70"/>
      <c r="CB195" s="70"/>
      <c r="CC195" s="70"/>
      <c r="CD195" s="70"/>
      <c r="CE195" s="70"/>
      <c r="CF195" s="70"/>
      <c r="CG195" s="70"/>
      <c r="CH195" s="70"/>
      <c r="CI195" s="70"/>
      <c r="CJ195" s="70"/>
      <c r="CK195" s="70"/>
    </row>
    <row r="196" spans="1:89" x14ac:dyDescent="0.2">
      <c r="A196" s="70"/>
      <c r="B196" s="70"/>
      <c r="C196" s="70"/>
      <c r="D196" s="70"/>
      <c r="E196" s="70"/>
      <c r="F196" s="70"/>
      <c r="G196" s="70"/>
      <c r="H196" s="70"/>
      <c r="I196" s="70"/>
      <c r="J196" s="70"/>
      <c r="K196" s="96">
        <f t="shared" ref="K196:P196" si="14">SUM(K186:K195)</f>
        <v>287.64285714285711</v>
      </c>
      <c r="L196" s="99">
        <f t="shared" si="14"/>
        <v>323.05999999999995</v>
      </c>
      <c r="M196" s="97">
        <f t="shared" si="14"/>
        <v>597.9</v>
      </c>
      <c r="N196" s="96">
        <f t="shared" si="14"/>
        <v>591.29999999999995</v>
      </c>
      <c r="O196" s="96">
        <f t="shared" si="14"/>
        <v>597.9</v>
      </c>
      <c r="P196" s="96">
        <f t="shared" si="14"/>
        <v>591.29999999999995</v>
      </c>
      <c r="Q196" s="96">
        <f>SUM(Q186:Q195)</f>
        <v>597.9</v>
      </c>
      <c r="R196" s="96">
        <f>SUM(R186:R195)</f>
        <v>2976.3</v>
      </c>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70"/>
      <c r="BP196" s="70"/>
      <c r="BQ196" s="70"/>
      <c r="BR196" s="70"/>
      <c r="BS196" s="70"/>
      <c r="BT196" s="70"/>
      <c r="BU196" s="70"/>
      <c r="BV196" s="70"/>
      <c r="BW196" s="70"/>
      <c r="BX196" s="70"/>
      <c r="BY196" s="70"/>
      <c r="BZ196" s="70"/>
      <c r="CA196" s="70"/>
      <c r="CB196" s="70"/>
      <c r="CC196" s="70"/>
      <c r="CD196" s="70"/>
      <c r="CE196" s="70"/>
      <c r="CF196" s="70"/>
      <c r="CG196" s="70"/>
      <c r="CH196" s="70"/>
      <c r="CI196" s="70"/>
      <c r="CJ196" s="70"/>
      <c r="CK196" s="70"/>
    </row>
    <row r="197" spans="1:89" x14ac:dyDescent="0.2">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70"/>
      <c r="BN197" s="70"/>
      <c r="BO197" s="70"/>
      <c r="BP197" s="70"/>
      <c r="BQ197" s="70"/>
      <c r="BR197" s="70"/>
      <c r="BS197" s="70"/>
      <c r="BT197" s="70"/>
      <c r="BU197" s="70"/>
      <c r="BV197" s="70"/>
      <c r="BW197" s="70"/>
      <c r="BX197" s="70"/>
      <c r="BY197" s="70"/>
      <c r="BZ197" s="70"/>
      <c r="CA197" s="70"/>
      <c r="CB197" s="70"/>
      <c r="CC197" s="70"/>
      <c r="CD197" s="70"/>
      <c r="CE197" s="70"/>
      <c r="CF197" s="70"/>
      <c r="CG197" s="70"/>
      <c r="CH197" s="70"/>
      <c r="CI197" s="70"/>
      <c r="CJ197" s="70"/>
      <c r="CK197" s="70"/>
    </row>
    <row r="198" spans="1:89" x14ac:dyDescent="0.2">
      <c r="A198" s="85"/>
      <c r="B198" s="85"/>
      <c r="C198" s="86" t="s">
        <v>106</v>
      </c>
      <c r="D198" s="85"/>
      <c r="E198" s="85"/>
      <c r="F198" s="87"/>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85"/>
      <c r="BI198" s="85"/>
      <c r="BJ198" s="85"/>
      <c r="BK198" s="85"/>
      <c r="BL198" s="85"/>
      <c r="BM198" s="85"/>
      <c r="BN198" s="85"/>
      <c r="BO198" s="85"/>
      <c r="BP198" s="85"/>
      <c r="BQ198" s="85"/>
      <c r="BR198" s="85"/>
      <c r="BS198" s="85"/>
      <c r="BT198" s="85"/>
      <c r="BU198" s="85"/>
      <c r="BV198" s="85"/>
      <c r="BW198" s="85"/>
      <c r="BX198" s="85"/>
      <c r="BY198" s="85"/>
      <c r="BZ198" s="85"/>
      <c r="CA198" s="85"/>
      <c r="CB198" s="85"/>
      <c r="CC198" s="85"/>
      <c r="CD198" s="85"/>
      <c r="CE198" s="85"/>
      <c r="CF198" s="85"/>
      <c r="CG198" s="85"/>
      <c r="CH198" s="85"/>
      <c r="CI198" s="85"/>
      <c r="CJ198" s="85"/>
      <c r="CK198" s="85"/>
    </row>
    <row r="199" spans="1:89" x14ac:dyDescent="0.2">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row>
    <row r="200" spans="1:89" x14ac:dyDescent="0.2">
      <c r="A200" s="70"/>
      <c r="B200" s="70"/>
      <c r="C200" s="70"/>
      <c r="D200" s="74" t="str">
        <f>C198</f>
        <v>Replacement Expenditure</v>
      </c>
      <c r="E200" s="75" t="str">
        <f>E$4</f>
        <v>Option</v>
      </c>
      <c r="F200" s="75" t="str">
        <f>F$4</f>
        <v>Unit</v>
      </c>
      <c r="G200" s="75" t="str">
        <f>G$4</f>
        <v>Basis</v>
      </c>
      <c r="H200" s="94" t="s">
        <v>78</v>
      </c>
      <c r="I200" s="94" t="s">
        <v>79</v>
      </c>
      <c r="J200" s="70"/>
      <c r="K200" s="88" t="str">
        <f>K$3</f>
        <v>2024-25</v>
      </c>
      <c r="L200" s="88" t="str">
        <f t="shared" ref="L200:R200" si="15">L$3</f>
        <v>2025-26</v>
      </c>
      <c r="M200" s="88" t="str">
        <f t="shared" si="15"/>
        <v>2026-27</v>
      </c>
      <c r="N200" s="88" t="str">
        <f t="shared" si="15"/>
        <v>2027-28</v>
      </c>
      <c r="O200" s="88" t="str">
        <f t="shared" si="15"/>
        <v>2028-29</v>
      </c>
      <c r="P200" s="88" t="str">
        <f t="shared" si="15"/>
        <v>2029-30</v>
      </c>
      <c r="Q200" s="88" t="str">
        <f t="shared" si="15"/>
        <v>2030-31</v>
      </c>
      <c r="R200" s="88" t="str">
        <f t="shared" si="15"/>
        <v>EDPR Total</v>
      </c>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70"/>
      <c r="CK200" s="70"/>
    </row>
    <row r="201" spans="1:89" x14ac:dyDescent="0.2">
      <c r="A201" s="70"/>
      <c r="B201" s="70"/>
      <c r="C201" s="70"/>
      <c r="D201" s="70"/>
      <c r="E201" s="70"/>
      <c r="F201" s="70"/>
      <c r="G201" s="70"/>
      <c r="H201" s="70"/>
      <c r="J201" s="70"/>
      <c r="K201" s="70"/>
      <c r="L201" s="70"/>
      <c r="M201" s="70"/>
      <c r="N201" s="70"/>
      <c r="O201" s="70"/>
      <c r="P201" s="70"/>
      <c r="Q201" s="70"/>
      <c r="R201" s="70"/>
      <c r="S201" s="70"/>
      <c r="T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70"/>
      <c r="BR201" s="70"/>
      <c r="BS201" s="70"/>
      <c r="BT201" s="70"/>
      <c r="BU201" s="70"/>
      <c r="BV201" s="70"/>
      <c r="BW201" s="70"/>
      <c r="BX201" s="70"/>
      <c r="BY201" s="70"/>
      <c r="BZ201" s="70"/>
      <c r="CA201" s="70"/>
      <c r="CB201" s="70"/>
      <c r="CC201" s="70"/>
      <c r="CD201" s="70"/>
      <c r="CE201" s="70"/>
      <c r="CF201" s="70"/>
      <c r="CG201" s="70"/>
      <c r="CH201" s="70"/>
      <c r="CI201" s="70"/>
      <c r="CJ201" s="70"/>
      <c r="CK201" s="70"/>
    </row>
    <row r="202" spans="1:89" x14ac:dyDescent="0.2">
      <c r="A202" s="70"/>
      <c r="B202" s="70"/>
      <c r="C202" s="70"/>
      <c r="D202" s="89" t="s">
        <v>107</v>
      </c>
      <c r="E202" s="36" t="e">
        <f>#REF!</f>
        <v>#REF!</v>
      </c>
      <c r="F202" s="90" t="s">
        <v>86</v>
      </c>
      <c r="G202" s="90" t="s">
        <v>87</v>
      </c>
      <c r="H202" s="38" t="s">
        <v>62</v>
      </c>
      <c r="I202" s="8" t="s">
        <v>82</v>
      </c>
      <c r="J202" s="70"/>
      <c r="K202" s="95">
        <v>387979.17319276993</v>
      </c>
      <c r="L202" s="98">
        <v>0</v>
      </c>
      <c r="M202" s="95">
        <v>0</v>
      </c>
      <c r="N202" s="95">
        <v>1216459.3501199358</v>
      </c>
      <c r="O202" s="95">
        <v>853666.74006518873</v>
      </c>
      <c r="P202" s="95">
        <v>883175.26262170228</v>
      </c>
      <c r="Q202" s="95">
        <v>394408.17226601398</v>
      </c>
      <c r="R202" s="96">
        <f>SUM(M202:Q202)</f>
        <v>3347709.5250728405</v>
      </c>
      <c r="S202" s="70"/>
      <c r="T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row>
    <row r="203" spans="1:89" x14ac:dyDescent="0.2">
      <c r="A203" s="70"/>
      <c r="B203" s="70"/>
      <c r="C203" s="70"/>
      <c r="D203" s="89" t="s">
        <v>97</v>
      </c>
      <c r="E203" s="36" t="e">
        <f>#REF!</f>
        <v>#REF!</v>
      </c>
      <c r="F203" s="90" t="s">
        <v>86</v>
      </c>
      <c r="G203" s="90" t="s">
        <v>87</v>
      </c>
      <c r="H203" s="38" t="s">
        <v>62</v>
      </c>
      <c r="I203" s="8" t="s">
        <v>82</v>
      </c>
      <c r="J203" s="70"/>
      <c r="K203" s="95">
        <v>0</v>
      </c>
      <c r="L203" s="98">
        <v>0</v>
      </c>
      <c r="M203" s="95">
        <v>0</v>
      </c>
      <c r="N203" s="95">
        <v>0</v>
      </c>
      <c r="O203" s="95">
        <v>0</v>
      </c>
      <c r="P203" s="95">
        <v>0</v>
      </c>
      <c r="Q203" s="95">
        <v>0</v>
      </c>
      <c r="R203" s="96">
        <f t="shared" ref="R203:R206" si="16">SUM(M203:Q203)</f>
        <v>0</v>
      </c>
      <c r="S203" s="70"/>
      <c r="T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c r="BP203" s="70"/>
      <c r="BQ203" s="70"/>
      <c r="BR203" s="70"/>
      <c r="BS203" s="70"/>
      <c r="BT203" s="70"/>
      <c r="BU203" s="70"/>
      <c r="BV203" s="70"/>
      <c r="BW203" s="70"/>
      <c r="BX203" s="70"/>
      <c r="BY203" s="70"/>
      <c r="BZ203" s="70"/>
      <c r="CA203" s="70"/>
      <c r="CB203" s="70"/>
      <c r="CC203" s="70"/>
      <c r="CD203" s="70"/>
      <c r="CE203" s="70"/>
      <c r="CF203" s="70"/>
      <c r="CG203" s="70"/>
      <c r="CH203" s="70"/>
      <c r="CI203" s="70"/>
      <c r="CJ203" s="70"/>
      <c r="CK203" s="70"/>
    </row>
    <row r="204" spans="1:89" x14ac:dyDescent="0.2">
      <c r="A204" s="70"/>
      <c r="B204" s="70"/>
      <c r="C204" s="70"/>
      <c r="D204" s="89" t="s">
        <v>97</v>
      </c>
      <c r="E204" s="36" t="e">
        <f>#REF!</f>
        <v>#REF!</v>
      </c>
      <c r="F204" s="90" t="s">
        <v>86</v>
      </c>
      <c r="G204" s="90" t="s">
        <v>87</v>
      </c>
      <c r="H204" s="38" t="s">
        <v>62</v>
      </c>
      <c r="I204" s="8" t="s">
        <v>82</v>
      </c>
      <c r="J204" s="70"/>
      <c r="K204" s="95">
        <v>0</v>
      </c>
      <c r="L204" s="98">
        <v>0</v>
      </c>
      <c r="M204" s="95">
        <v>0</v>
      </c>
      <c r="N204" s="95">
        <v>0</v>
      </c>
      <c r="O204" s="95">
        <v>0</v>
      </c>
      <c r="P204" s="95">
        <v>0</v>
      </c>
      <c r="Q204" s="95">
        <v>0</v>
      </c>
      <c r="R204" s="96">
        <f t="shared" si="16"/>
        <v>0</v>
      </c>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c r="BW204" s="70"/>
      <c r="BX204" s="70"/>
      <c r="BY204" s="70"/>
      <c r="BZ204" s="70"/>
      <c r="CA204" s="70"/>
      <c r="CB204" s="70"/>
      <c r="CC204" s="70"/>
      <c r="CD204" s="70"/>
      <c r="CE204" s="70"/>
      <c r="CF204" s="70"/>
      <c r="CG204" s="70"/>
      <c r="CH204" s="70"/>
      <c r="CI204" s="70"/>
      <c r="CJ204" s="70"/>
      <c r="CK204" s="70"/>
    </row>
    <row r="205" spans="1:89" x14ac:dyDescent="0.2">
      <c r="A205" s="70"/>
      <c r="B205" s="70"/>
      <c r="C205" s="70"/>
      <c r="D205" s="89" t="s">
        <v>97</v>
      </c>
      <c r="E205" s="36" t="e">
        <f>#REF!</f>
        <v>#REF!</v>
      </c>
      <c r="F205" s="90" t="s">
        <v>86</v>
      </c>
      <c r="G205" s="90" t="s">
        <v>87</v>
      </c>
      <c r="H205" s="38" t="s">
        <v>62</v>
      </c>
      <c r="I205" s="8" t="s">
        <v>82</v>
      </c>
      <c r="J205" s="70"/>
      <c r="K205" s="95">
        <v>0</v>
      </c>
      <c r="L205" s="98">
        <v>0</v>
      </c>
      <c r="M205" s="95">
        <v>0</v>
      </c>
      <c r="N205" s="95">
        <v>0</v>
      </c>
      <c r="O205" s="95">
        <v>0</v>
      </c>
      <c r="P205" s="95">
        <v>0</v>
      </c>
      <c r="Q205" s="95">
        <v>0</v>
      </c>
      <c r="R205" s="96">
        <f t="shared" si="16"/>
        <v>0</v>
      </c>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c r="BP205" s="70"/>
      <c r="BQ205" s="70"/>
      <c r="BR205" s="70"/>
      <c r="BS205" s="70"/>
      <c r="BT205" s="70"/>
      <c r="BU205" s="70"/>
      <c r="BV205" s="70"/>
      <c r="BW205" s="70"/>
      <c r="BX205" s="70"/>
      <c r="BY205" s="70"/>
      <c r="BZ205" s="70"/>
      <c r="CA205" s="70"/>
      <c r="CB205" s="70"/>
      <c r="CC205" s="70"/>
      <c r="CD205" s="70"/>
      <c r="CE205" s="70"/>
      <c r="CF205" s="70"/>
      <c r="CG205" s="70"/>
      <c r="CH205" s="70"/>
      <c r="CI205" s="70"/>
      <c r="CJ205" s="70"/>
      <c r="CK205" s="70"/>
    </row>
    <row r="206" spans="1:89" x14ac:dyDescent="0.2">
      <c r="A206" s="70"/>
      <c r="B206" s="70"/>
      <c r="C206" s="70"/>
      <c r="D206" s="89" t="s">
        <v>97</v>
      </c>
      <c r="E206" s="36" t="e">
        <f>#REF!</f>
        <v>#REF!</v>
      </c>
      <c r="F206" s="90" t="s">
        <v>86</v>
      </c>
      <c r="G206" s="90" t="s">
        <v>87</v>
      </c>
      <c r="H206" s="38" t="s">
        <v>62</v>
      </c>
      <c r="I206" s="8" t="s">
        <v>82</v>
      </c>
      <c r="J206" s="70"/>
      <c r="K206" s="95">
        <v>0</v>
      </c>
      <c r="L206" s="98">
        <v>0</v>
      </c>
      <c r="M206" s="95">
        <v>0</v>
      </c>
      <c r="N206" s="95">
        <v>0</v>
      </c>
      <c r="O206" s="95">
        <v>0</v>
      </c>
      <c r="P206" s="95">
        <v>0</v>
      </c>
      <c r="Q206" s="95">
        <v>0</v>
      </c>
      <c r="R206" s="96">
        <f t="shared" si="16"/>
        <v>0</v>
      </c>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70"/>
      <c r="CK206" s="70"/>
    </row>
    <row r="207" spans="1:89" x14ac:dyDescent="0.2">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c r="BW207" s="70"/>
      <c r="BX207" s="70"/>
      <c r="BY207" s="70"/>
      <c r="BZ207" s="70"/>
      <c r="CA207" s="70"/>
      <c r="CB207" s="70"/>
      <c r="CC207" s="70"/>
      <c r="CD207" s="70"/>
      <c r="CE207" s="70"/>
      <c r="CF207" s="70"/>
      <c r="CG207" s="70"/>
      <c r="CH207" s="70"/>
      <c r="CI207" s="70"/>
      <c r="CJ207" s="70"/>
      <c r="CK207" s="70"/>
    </row>
    <row r="208" spans="1:89"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70"/>
      <c r="CK208" s="70"/>
    </row>
    <row r="209" spans="1:89" x14ac:dyDescent="0.2">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row>
    <row r="210" spans="1:89" x14ac:dyDescent="0.2">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row>
    <row r="211" spans="1:89"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row>
    <row r="212" spans="1:89"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row>
    <row r="213" spans="1:89"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row>
    <row r="214" spans="1:89"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row>
    <row r="215" spans="1:89"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row>
    <row r="216" spans="1:89"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row>
    <row r="217" spans="1:89" x14ac:dyDescent="0.2">
      <c r="A217" s="56"/>
      <c r="B217" s="72" t="s">
        <v>183</v>
      </c>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c r="CJ217" s="56"/>
      <c r="CK217" s="56"/>
    </row>
    <row r="218" spans="1:89"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c r="BW218" s="70"/>
      <c r="BX218" s="70"/>
      <c r="BY218" s="70"/>
      <c r="BZ218" s="70"/>
      <c r="CA218" s="70"/>
      <c r="CB218" s="70"/>
      <c r="CC218" s="70"/>
      <c r="CD218" s="70"/>
      <c r="CE218" s="70"/>
      <c r="CF218" s="70"/>
      <c r="CG218" s="70"/>
      <c r="CH218" s="70"/>
      <c r="CI218" s="70"/>
      <c r="CJ218" s="70"/>
      <c r="CK218" s="70"/>
    </row>
    <row r="219" spans="1:89" x14ac:dyDescent="0.2">
      <c r="A219" s="85"/>
      <c r="B219" s="85"/>
      <c r="C219" s="86" t="s">
        <v>184</v>
      </c>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5"/>
      <c r="AO219" s="85"/>
      <c r="AP219" s="85"/>
      <c r="AQ219" s="85"/>
      <c r="AR219" s="85"/>
      <c r="AS219" s="85"/>
      <c r="AT219" s="85"/>
      <c r="AU219" s="85"/>
      <c r="AV219" s="85"/>
      <c r="AW219" s="85"/>
      <c r="AX219" s="85"/>
      <c r="AY219" s="85"/>
      <c r="AZ219" s="85"/>
      <c r="BA219" s="85"/>
      <c r="BB219" s="85"/>
      <c r="BC219" s="85"/>
      <c r="BD219" s="85"/>
      <c r="BE219" s="85"/>
      <c r="BF219" s="85"/>
      <c r="BG219" s="85"/>
      <c r="BH219" s="85"/>
      <c r="BI219" s="85"/>
      <c r="BJ219" s="85"/>
      <c r="BK219" s="85"/>
      <c r="BL219" s="85"/>
      <c r="BM219" s="85"/>
      <c r="BN219" s="85"/>
      <c r="BO219" s="85"/>
      <c r="BP219" s="85"/>
      <c r="BQ219" s="85"/>
      <c r="BR219" s="85"/>
      <c r="BS219" s="85"/>
      <c r="BT219" s="85"/>
      <c r="BU219" s="85"/>
      <c r="BV219" s="85"/>
      <c r="BW219" s="85"/>
      <c r="BX219" s="85"/>
      <c r="BY219" s="85"/>
      <c r="BZ219" s="85"/>
      <c r="CA219" s="85"/>
      <c r="CB219" s="85"/>
      <c r="CC219" s="85"/>
      <c r="CD219" s="85"/>
      <c r="CE219" s="85"/>
      <c r="CF219" s="85"/>
      <c r="CG219" s="85"/>
      <c r="CH219" s="85"/>
      <c r="CI219" s="85"/>
      <c r="CJ219" s="85"/>
      <c r="CK219" s="85"/>
    </row>
    <row r="220" spans="1:89"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row>
    <row r="221" spans="1:89" x14ac:dyDescent="0.2">
      <c r="A221" s="70"/>
      <c r="B221" s="70"/>
      <c r="C221" s="70"/>
      <c r="D221" s="74" t="s">
        <v>185</v>
      </c>
      <c r="E221" s="75" t="str">
        <f>E$4</f>
        <v>Option</v>
      </c>
      <c r="F221" s="75" t="str">
        <f>F$4</f>
        <v>Unit</v>
      </c>
      <c r="G221" s="75" t="str">
        <f>G$4</f>
        <v>Basis</v>
      </c>
      <c r="H221" s="70"/>
      <c r="I221" s="92" t="s">
        <v>186</v>
      </c>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c r="BP221" s="70"/>
      <c r="BQ221" s="70"/>
      <c r="BR221" s="70"/>
      <c r="BS221" s="70"/>
      <c r="BT221" s="70"/>
      <c r="BU221" s="70"/>
      <c r="BV221" s="70"/>
      <c r="BW221" s="70"/>
      <c r="BX221" s="70"/>
      <c r="BY221" s="70"/>
      <c r="BZ221" s="70"/>
      <c r="CA221" s="70"/>
      <c r="CB221" s="70"/>
      <c r="CC221" s="70"/>
      <c r="CD221" s="70"/>
      <c r="CE221" s="70"/>
      <c r="CF221" s="70"/>
      <c r="CG221" s="70"/>
      <c r="CH221" s="70"/>
      <c r="CI221" s="70"/>
      <c r="CJ221" s="70"/>
      <c r="CK221" s="70"/>
    </row>
    <row r="222" spans="1:89" x14ac:dyDescent="0.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row>
    <row r="223" spans="1:89" x14ac:dyDescent="0.2">
      <c r="A223" s="70"/>
      <c r="B223" s="70"/>
      <c r="C223" s="70"/>
      <c r="D223" s="38" t="s">
        <v>187</v>
      </c>
      <c r="E223" s="36" t="s">
        <v>37</v>
      </c>
      <c r="F223" s="36" t="e">
        <f>percent</f>
        <v>#NAME?</v>
      </c>
      <c r="G223" s="90" t="e">
        <f>NA</f>
        <v>#NAME?</v>
      </c>
      <c r="H223" s="70"/>
      <c r="I223" s="93">
        <v>0.1</v>
      </c>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row>
    <row r="224" spans="1:89" x14ac:dyDescent="0.2">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c r="BI224" s="70"/>
      <c r="BJ224" s="70"/>
      <c r="BK224" s="70"/>
      <c r="BL224" s="70"/>
      <c r="BM224" s="70"/>
      <c r="BN224" s="70"/>
      <c r="BO224" s="70"/>
      <c r="BP224" s="70"/>
      <c r="BQ224" s="70"/>
      <c r="BR224" s="70"/>
      <c r="BS224" s="70"/>
      <c r="BT224" s="70"/>
      <c r="BU224" s="70"/>
      <c r="BV224" s="70"/>
      <c r="BW224" s="70"/>
      <c r="BX224" s="70"/>
      <c r="BY224" s="70"/>
      <c r="BZ224" s="70"/>
      <c r="CA224" s="70"/>
      <c r="CB224" s="70"/>
      <c r="CC224" s="70"/>
      <c r="CD224" s="70"/>
      <c r="CE224" s="70"/>
      <c r="CF224" s="70"/>
      <c r="CG224" s="70"/>
      <c r="CH224" s="70"/>
      <c r="CI224" s="70"/>
      <c r="CJ224" s="70"/>
      <c r="CK224" s="70"/>
    </row>
    <row r="225" spans="1:89" x14ac:dyDescent="0.2">
      <c r="A225" s="56"/>
      <c r="B225" s="72" t="s">
        <v>43</v>
      </c>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c r="CJ225" s="56"/>
      <c r="CK225" s="56"/>
    </row>
  </sheetData>
  <sheetProtection formatCells="0" formatColumns="0" formatRows="0"/>
  <conditionalFormatting sqref="K1">
    <cfRule type="cellIs" dxfId="11" priority="3" operator="equal">
      <formula>"Check"</formula>
    </cfRule>
    <cfRule type="cellIs" dxfId="10" priority="4" operator="equal">
      <formula>"Ok"</formula>
    </cfRule>
  </conditionalFormatting>
  <conditionalFormatting sqref="N1">
    <cfRule type="cellIs" dxfId="9" priority="1" operator="equal">
      <formula>"Check"</formula>
    </cfRule>
    <cfRule type="cellIs" dxfId="8" priority="2" operator="equal">
      <formula>"Ok"</formula>
    </cfRule>
  </conditionalFormatting>
  <dataValidations count="4">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I223 J22:J24 J56 J88" xr:uid="{A5E9FEA5-A0A2-40D6-BB7F-6DEBA6D82D2D}">
      <formula1>0</formula1>
      <formula2>1</formula2>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J171:J180 K186:Q195 K202:Q206" xr:uid="{FE2C37FF-AA40-4545-976B-728499FFB3DD}">
      <formula1>0</formula1>
    </dataValidation>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181:BR181" xr:uid="{156CE9FC-37A3-44DE-9674-6C18BC66F0F8}">
      <formula1>0</formula1>
    </dataValidation>
    <dataValidation allowBlank="1" showInputMessage="1" showErrorMessage="1" promptTitle="Dollar Basis" prompt="&quot;Nominal&quot;: no inflation escalation will be added to the costs in the calculation._x000a_&quot;Real&quot;: costs will be escalated by inflation in the calculation." sqref="G169 G184 G200 G12 G20 G27 J27:L27 G39 G33 J33 K39 G46 G53 G64 G75 G85" xr:uid="{3FAFE96E-7F06-4722-9019-A52B3F8D45A0}"/>
  </dataValidations>
  <pageMargins left="0.7" right="0.7" top="0.75" bottom="0.75" header="0.3" footer="0.3"/>
  <pageSetup paperSize="9" orientation="portrait" horizontalDpi="300" verticalDpi="300" r:id="rId1"/>
  <ignoredErrors>
    <ignoredError sqref="K66:R7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AA16-DEF6-4D01-A98E-29B6F5033974}">
  <sheetPr codeName="Sheet3">
    <tabColor rgb="FFF8F5A4"/>
  </sheetPr>
  <dimension ref="A1:CK39"/>
  <sheetViews>
    <sheetView showGridLines="0" zoomScaleNormal="100" workbookViewId="0">
      <pane xSplit="4" ySplit="4" topLeftCell="E5" activePane="bottomRight" state="frozen"/>
      <selection pane="topRight" activeCell="E1" sqref="E1"/>
      <selection pane="bottomLeft" activeCell="A5" sqref="A5"/>
      <selection pane="bottomRight" activeCell="I14" sqref="I14:I35"/>
    </sheetView>
  </sheetViews>
  <sheetFormatPr defaultColWidth="0" defaultRowHeight="11.25" x14ac:dyDescent="0.2"/>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75" x14ac:dyDescent="0.2">
      <c r="A1" s="52"/>
      <c r="B1" s="52"/>
      <c r="C1" s="52"/>
      <c r="D1" s="53" t="str">
        <f>Model_Name</f>
        <v>Cost Benefit Analysis</v>
      </c>
      <c r="E1" s="54"/>
      <c r="F1" s="55"/>
      <c r="G1" s="56"/>
      <c r="H1" s="56"/>
      <c r="I1" s="56"/>
      <c r="J1" s="57" t="s">
        <v>44</v>
      </c>
      <c r="K1" s="58" t="str">
        <f>IF(COUNTA($A$8:$A$17)=COUNTIF($A$8:$A$17,0),"Ok","Check")</f>
        <v>Ok</v>
      </c>
      <c r="L1" s="56"/>
      <c r="M1" s="57" t="s">
        <v>45</v>
      </c>
      <c r="N1" s="59" t="str">
        <f>Overall_Check</f>
        <v>Ok</v>
      </c>
      <c r="O1" s="56"/>
      <c r="P1" s="57" t="s">
        <v>46</v>
      </c>
      <c r="Q1" s="60" t="s">
        <v>20</v>
      </c>
      <c r="R1" s="61" t="s">
        <v>47</v>
      </c>
      <c r="S1" s="62" t="s">
        <v>48</v>
      </c>
      <c r="T1" s="63" t="s">
        <v>27</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2" thickBot="1" x14ac:dyDescent="0.25">
      <c r="A2" s="56"/>
      <c r="B2" s="56"/>
      <c r="C2" s="56"/>
      <c r="D2" s="64" t="str">
        <f ca="1">RIGHT(CELL("filename",D1),LEN(CELL("filename",D1))-FIND("]",CELL("filename",D1)))</f>
        <v>Input|Transf_Failures</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2" thickBot="1" x14ac:dyDescent="0.25">
      <c r="A3" s="65"/>
      <c r="B3" s="65"/>
      <c r="C3" s="65"/>
      <c r="D3" s="65"/>
      <c r="E3" s="66"/>
      <c r="F3" s="66"/>
      <c r="G3" s="66"/>
      <c r="H3" s="66"/>
      <c r="I3" s="65"/>
      <c r="J3" s="67" t="s">
        <v>49</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50</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x14ac:dyDescent="0.2">
      <c r="A4" s="65"/>
      <c r="B4" s="65"/>
      <c r="C4" s="65"/>
      <c r="D4" s="65"/>
      <c r="E4" s="66" t="s">
        <v>51</v>
      </c>
      <c r="F4" s="66" t="s">
        <v>52</v>
      </c>
      <c r="G4" s="66" t="s">
        <v>53</v>
      </c>
      <c r="H4" s="66" t="s">
        <v>54</v>
      </c>
      <c r="I4" s="65"/>
      <c r="J4" s="67" t="s">
        <v>55</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x14ac:dyDescent="0.2">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x14ac:dyDescent="0.2">
      <c r="A6" s="70"/>
      <c r="B6" s="71" t="s">
        <v>56</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x14ac:dyDescent="0.2">
      <c r="A8" s="56"/>
      <c r="B8" s="72" t="s">
        <v>188</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x14ac:dyDescent="0.2">
      <c r="A10" s="85"/>
      <c r="B10" s="85"/>
      <c r="C10" s="86" t="str">
        <f>B8</f>
        <v>Transformer Failures</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x14ac:dyDescent="0.2">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45" x14ac:dyDescent="0.2">
      <c r="A12" s="70"/>
      <c r="B12" s="70"/>
      <c r="C12" s="70"/>
      <c r="D12" s="74" t="s">
        <v>189</v>
      </c>
      <c r="E12" s="142" t="s">
        <v>190</v>
      </c>
      <c r="F12" s="142" t="s">
        <v>191</v>
      </c>
      <c r="G12" s="142" t="s">
        <v>192</v>
      </c>
      <c r="H12" s="142" t="s">
        <v>193</v>
      </c>
      <c r="I12" s="142" t="s">
        <v>113</v>
      </c>
      <c r="J12" s="142" t="s">
        <v>194</v>
      </c>
      <c r="K12" s="142" t="s">
        <v>195</v>
      </c>
      <c r="L12" s="142" t="s">
        <v>196</v>
      </c>
      <c r="M12" s="142" t="s">
        <v>197</v>
      </c>
      <c r="N12" s="142" t="s">
        <v>198</v>
      </c>
      <c r="O12" s="142" t="s">
        <v>199</v>
      </c>
      <c r="P12" s="142" t="s">
        <v>200</v>
      </c>
      <c r="Q12" s="142" t="s">
        <v>201</v>
      </c>
      <c r="R12" s="142" t="s">
        <v>202</v>
      </c>
      <c r="S12" s="142" t="s">
        <v>203</v>
      </c>
      <c r="T12" s="142" t="s">
        <v>204</v>
      </c>
      <c r="U12" s="142" t="s">
        <v>205</v>
      </c>
      <c r="V12" s="142" t="s">
        <v>206</v>
      </c>
      <c r="W12" s="142" t="s">
        <v>207</v>
      </c>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x14ac:dyDescent="0.2">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x14ac:dyDescent="0.2">
      <c r="A14" s="70"/>
      <c r="B14" s="70"/>
      <c r="C14" s="70"/>
      <c r="D14" s="89" t="s">
        <v>208</v>
      </c>
      <c r="E14" s="95" t="s">
        <v>209</v>
      </c>
      <c r="F14" s="95" t="s">
        <v>209</v>
      </c>
      <c r="G14" s="95" t="s">
        <v>210</v>
      </c>
      <c r="H14" s="95">
        <v>2576.4</v>
      </c>
      <c r="I14" s="95">
        <v>286.26666666666603</v>
      </c>
      <c r="J14" s="95">
        <v>22</v>
      </c>
      <c r="K14" s="95">
        <v>9</v>
      </c>
      <c r="L14" s="95" t="s">
        <v>211</v>
      </c>
      <c r="M14" s="95" t="s">
        <v>209</v>
      </c>
      <c r="N14" s="95" t="s">
        <v>212</v>
      </c>
      <c r="O14" s="95" t="s">
        <v>213</v>
      </c>
      <c r="P14" s="95"/>
      <c r="Q14" s="95" t="s">
        <v>214</v>
      </c>
      <c r="R14" s="95" t="s">
        <v>215</v>
      </c>
      <c r="S14" s="95" t="s">
        <v>216</v>
      </c>
      <c r="T14" s="95">
        <v>595570</v>
      </c>
      <c r="U14" s="95" t="s">
        <v>211</v>
      </c>
      <c r="V14" s="95" t="s">
        <v>217</v>
      </c>
      <c r="W14" s="95">
        <v>7</v>
      </c>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x14ac:dyDescent="0.2">
      <c r="A15" s="70"/>
      <c r="B15" s="70"/>
      <c r="C15" s="70"/>
      <c r="D15" s="89" t="s">
        <v>218</v>
      </c>
      <c r="E15" s="95" t="s">
        <v>219</v>
      </c>
      <c r="F15" s="95" t="s">
        <v>219</v>
      </c>
      <c r="G15" s="95" t="s">
        <v>210</v>
      </c>
      <c r="H15" s="95">
        <v>43837</v>
      </c>
      <c r="I15" s="95">
        <v>185.75</v>
      </c>
      <c r="J15" s="95">
        <v>22</v>
      </c>
      <c r="K15" s="95">
        <v>236</v>
      </c>
      <c r="L15" s="95" t="s">
        <v>220</v>
      </c>
      <c r="M15" s="95" t="s">
        <v>219</v>
      </c>
      <c r="N15" s="95" t="s">
        <v>212</v>
      </c>
      <c r="O15" s="95" t="s">
        <v>221</v>
      </c>
      <c r="P15" s="95"/>
      <c r="Q15" s="95" t="s">
        <v>214</v>
      </c>
      <c r="R15" s="95" t="s">
        <v>215</v>
      </c>
      <c r="S15" s="95" t="s">
        <v>222</v>
      </c>
      <c r="T15" s="95">
        <v>680590</v>
      </c>
      <c r="U15" s="95" t="s">
        <v>220</v>
      </c>
      <c r="V15" s="95" t="s">
        <v>223</v>
      </c>
      <c r="W15" s="95">
        <v>221</v>
      </c>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x14ac:dyDescent="0.2">
      <c r="A16" s="70"/>
      <c r="B16" s="70"/>
      <c r="C16" s="70"/>
      <c r="D16" s="89" t="s">
        <v>224</v>
      </c>
      <c r="E16" s="95" t="s">
        <v>225</v>
      </c>
      <c r="F16" s="95" t="s">
        <v>226</v>
      </c>
      <c r="G16" s="95" t="s">
        <v>210</v>
      </c>
      <c r="H16" s="95" t="s">
        <v>227</v>
      </c>
      <c r="I16" s="95">
        <v>164.23463333333299</v>
      </c>
      <c r="J16" s="95">
        <v>22</v>
      </c>
      <c r="K16" s="95">
        <v>151</v>
      </c>
      <c r="L16" s="95" t="s">
        <v>228</v>
      </c>
      <c r="M16" s="95" t="s">
        <v>225</v>
      </c>
      <c r="N16" s="95" t="s">
        <v>212</v>
      </c>
      <c r="O16" s="95" t="s">
        <v>229</v>
      </c>
      <c r="P16" s="95"/>
      <c r="Q16" s="95" t="s">
        <v>214</v>
      </c>
      <c r="R16" s="95" t="s">
        <v>230</v>
      </c>
      <c r="S16" s="95" t="s">
        <v>231</v>
      </c>
      <c r="T16" s="95">
        <v>300130</v>
      </c>
      <c r="U16" s="95" t="s">
        <v>228</v>
      </c>
      <c r="V16" s="95" t="s">
        <v>232</v>
      </c>
      <c r="W16" s="95">
        <v>144</v>
      </c>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x14ac:dyDescent="0.2">
      <c r="A17" s="70"/>
      <c r="B17" s="70"/>
      <c r="C17" s="70"/>
      <c r="D17" s="89" t="s">
        <v>233</v>
      </c>
      <c r="E17" s="95" t="s">
        <v>234</v>
      </c>
      <c r="F17" s="95" t="s">
        <v>235</v>
      </c>
      <c r="G17" s="95" t="s">
        <v>210</v>
      </c>
      <c r="H17" s="95" t="s">
        <v>236</v>
      </c>
      <c r="I17" s="95">
        <v>323.83808333333297</v>
      </c>
      <c r="J17" s="95">
        <v>22</v>
      </c>
      <c r="K17" s="95">
        <v>113</v>
      </c>
      <c r="L17" s="95" t="s">
        <v>237</v>
      </c>
      <c r="M17" s="95" t="s">
        <v>234</v>
      </c>
      <c r="N17" s="95" t="s">
        <v>212</v>
      </c>
      <c r="O17" s="95" t="s">
        <v>238</v>
      </c>
      <c r="P17" s="95"/>
      <c r="Q17" s="95" t="s">
        <v>214</v>
      </c>
      <c r="R17" s="95"/>
      <c r="S17" s="95" t="s">
        <v>239</v>
      </c>
      <c r="T17" s="95">
        <v>17222</v>
      </c>
      <c r="U17" s="95" t="s">
        <v>237</v>
      </c>
      <c r="V17" s="95" t="s">
        <v>240</v>
      </c>
      <c r="W17" s="95">
        <v>54</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x14ac:dyDescent="0.2">
      <c r="D18" s="89" t="s">
        <v>241</v>
      </c>
      <c r="E18" s="95" t="s">
        <v>242</v>
      </c>
      <c r="F18" s="95" t="s">
        <v>243</v>
      </c>
      <c r="G18" s="95" t="s">
        <v>210</v>
      </c>
      <c r="H18" s="95">
        <v>17394.523150000001</v>
      </c>
      <c r="I18" s="95">
        <v>187.03788333333301</v>
      </c>
      <c r="J18" s="95">
        <v>6.6</v>
      </c>
      <c r="K18" s="95">
        <v>93</v>
      </c>
      <c r="L18" s="95" t="s">
        <v>244</v>
      </c>
      <c r="M18" s="95" t="s">
        <v>242</v>
      </c>
      <c r="N18" s="95" t="s">
        <v>212</v>
      </c>
      <c r="O18" s="95" t="s">
        <v>245</v>
      </c>
      <c r="P18" s="95"/>
      <c r="Q18" s="95" t="s">
        <v>214</v>
      </c>
      <c r="R18" s="95" t="s">
        <v>215</v>
      </c>
      <c r="S18" s="95" t="s">
        <v>246</v>
      </c>
      <c r="T18" s="95">
        <v>401180</v>
      </c>
      <c r="U18" s="95" t="s">
        <v>244</v>
      </c>
      <c r="V18" s="95" t="s">
        <v>247</v>
      </c>
      <c r="W18" s="95">
        <v>93</v>
      </c>
    </row>
    <row r="19" spans="1:89" x14ac:dyDescent="0.2">
      <c r="D19" s="89" t="s">
        <v>248</v>
      </c>
      <c r="E19" s="95" t="s">
        <v>249</v>
      </c>
      <c r="F19" s="95" t="s">
        <v>249</v>
      </c>
      <c r="G19" s="95" t="s">
        <v>210</v>
      </c>
      <c r="H19" s="95" t="s">
        <v>250</v>
      </c>
      <c r="I19" s="95">
        <v>473.03778333333298</v>
      </c>
      <c r="J19" s="95">
        <v>22</v>
      </c>
      <c r="K19" s="95">
        <v>4</v>
      </c>
      <c r="L19" s="95" t="s">
        <v>251</v>
      </c>
      <c r="M19" s="95" t="s">
        <v>249</v>
      </c>
      <c r="N19" s="95" t="s">
        <v>212</v>
      </c>
      <c r="O19" s="95" t="s">
        <v>252</v>
      </c>
      <c r="P19" s="95"/>
      <c r="Q19" s="95" t="s">
        <v>214</v>
      </c>
      <c r="R19" s="95" t="s">
        <v>215</v>
      </c>
      <c r="S19" s="95" t="s">
        <v>253</v>
      </c>
      <c r="T19" s="95">
        <v>103750</v>
      </c>
      <c r="U19" s="95"/>
      <c r="V19" s="95" t="s">
        <v>254</v>
      </c>
      <c r="W19" s="95">
        <v>3</v>
      </c>
    </row>
    <row r="20" spans="1:89" x14ac:dyDescent="0.2">
      <c r="D20" s="89" t="s">
        <v>255</v>
      </c>
      <c r="E20" s="95" t="s">
        <v>256</v>
      </c>
      <c r="F20" s="95" t="s">
        <v>257</v>
      </c>
      <c r="G20" s="95" t="s">
        <v>210</v>
      </c>
      <c r="H20" s="95" t="s">
        <v>258</v>
      </c>
      <c r="I20" s="95">
        <v>88.2977833333333</v>
      </c>
      <c r="J20" s="95">
        <v>11</v>
      </c>
      <c r="K20" s="95">
        <v>139</v>
      </c>
      <c r="L20" s="95" t="s">
        <v>259</v>
      </c>
      <c r="M20" s="95" t="s">
        <v>256</v>
      </c>
      <c r="N20" s="95" t="s">
        <v>212</v>
      </c>
      <c r="O20" s="95" t="s">
        <v>260</v>
      </c>
      <c r="P20" s="95"/>
      <c r="Q20" s="95" t="s">
        <v>214</v>
      </c>
      <c r="R20" s="95" t="s">
        <v>230</v>
      </c>
      <c r="S20" s="95" t="s">
        <v>261</v>
      </c>
      <c r="T20" s="95">
        <v>224270</v>
      </c>
      <c r="U20" s="95" t="s">
        <v>259</v>
      </c>
      <c r="V20" s="95" t="s">
        <v>262</v>
      </c>
      <c r="W20" s="95">
        <v>114</v>
      </c>
    </row>
    <row r="21" spans="1:89" x14ac:dyDescent="0.2">
      <c r="D21" s="89" t="s">
        <v>263</v>
      </c>
      <c r="E21" s="95" t="s">
        <v>264</v>
      </c>
      <c r="F21" s="95" t="s">
        <v>264</v>
      </c>
      <c r="G21" s="95" t="s">
        <v>210</v>
      </c>
      <c r="H21" s="95" t="s">
        <v>265</v>
      </c>
      <c r="I21" s="95">
        <v>118.043533333333</v>
      </c>
      <c r="J21" s="95">
        <v>22</v>
      </c>
      <c r="K21" s="95">
        <v>957</v>
      </c>
      <c r="L21" s="95" t="s">
        <v>266</v>
      </c>
      <c r="M21" s="95" t="s">
        <v>264</v>
      </c>
      <c r="N21" s="95" t="s">
        <v>212</v>
      </c>
      <c r="O21" s="95" t="s">
        <v>267</v>
      </c>
      <c r="P21" s="95"/>
      <c r="Q21" s="95" t="s">
        <v>214</v>
      </c>
      <c r="R21" s="95" t="s">
        <v>268</v>
      </c>
      <c r="S21" s="95" t="s">
        <v>269</v>
      </c>
      <c r="T21" s="95" t="s">
        <v>270</v>
      </c>
      <c r="U21" s="95" t="s">
        <v>266</v>
      </c>
      <c r="V21" s="95" t="s">
        <v>271</v>
      </c>
      <c r="W21" s="95">
        <v>834</v>
      </c>
    </row>
    <row r="22" spans="1:89" x14ac:dyDescent="0.2">
      <c r="D22" s="89" t="s">
        <v>272</v>
      </c>
      <c r="E22" s="95" t="s">
        <v>273</v>
      </c>
      <c r="F22" s="95" t="s">
        <v>273</v>
      </c>
      <c r="G22" s="95" t="s">
        <v>210</v>
      </c>
      <c r="H22" s="95" t="s">
        <v>274</v>
      </c>
      <c r="I22" s="95">
        <v>266.7</v>
      </c>
      <c r="J22" s="95">
        <v>22</v>
      </c>
      <c r="K22" s="95">
        <v>4526</v>
      </c>
      <c r="L22" s="95" t="s">
        <v>275</v>
      </c>
      <c r="M22" s="95" t="s">
        <v>273</v>
      </c>
      <c r="N22" s="95" t="s">
        <v>212</v>
      </c>
      <c r="O22" s="95" t="s">
        <v>276</v>
      </c>
      <c r="P22" s="95"/>
      <c r="Q22" s="95" t="s">
        <v>214</v>
      </c>
      <c r="R22" s="95" t="s">
        <v>268</v>
      </c>
      <c r="S22" s="95" t="s">
        <v>277</v>
      </c>
      <c r="T22" s="95" t="s">
        <v>278</v>
      </c>
      <c r="U22" s="95" t="s">
        <v>275</v>
      </c>
      <c r="V22" s="95" t="s">
        <v>279</v>
      </c>
      <c r="W22" s="95">
        <v>4208</v>
      </c>
    </row>
    <row r="23" spans="1:89" x14ac:dyDescent="0.2">
      <c r="D23" s="89" t="s">
        <v>280</v>
      </c>
      <c r="E23" s="95" t="s">
        <v>281</v>
      </c>
      <c r="F23" s="95" t="s">
        <v>282</v>
      </c>
      <c r="G23" s="95" t="s">
        <v>210</v>
      </c>
      <c r="H23" s="95">
        <v>1311.6658</v>
      </c>
      <c r="I23" s="95">
        <v>1311.6658</v>
      </c>
      <c r="J23" s="95">
        <v>22</v>
      </c>
      <c r="K23" s="95">
        <v>1</v>
      </c>
      <c r="L23" s="95" t="s">
        <v>228</v>
      </c>
      <c r="M23" s="95" t="s">
        <v>281</v>
      </c>
      <c r="N23" s="95" t="s">
        <v>212</v>
      </c>
      <c r="O23" s="95" t="s">
        <v>283</v>
      </c>
      <c r="P23" s="95"/>
      <c r="Q23" s="95" t="s">
        <v>214</v>
      </c>
      <c r="R23" s="95" t="s">
        <v>230</v>
      </c>
      <c r="S23" s="95" t="s">
        <v>284</v>
      </c>
      <c r="T23" s="95">
        <v>11302</v>
      </c>
      <c r="U23" s="95" t="s">
        <v>228</v>
      </c>
      <c r="V23" s="95" t="s">
        <v>285</v>
      </c>
      <c r="W23" s="95">
        <v>1</v>
      </c>
    </row>
    <row r="24" spans="1:89" x14ac:dyDescent="0.2">
      <c r="D24" s="89" t="s">
        <v>286</v>
      </c>
      <c r="E24" s="95" t="s">
        <v>264</v>
      </c>
      <c r="F24" s="95" t="s">
        <v>264</v>
      </c>
      <c r="G24" s="95" t="s">
        <v>210</v>
      </c>
      <c r="H24" s="95" t="s">
        <v>287</v>
      </c>
      <c r="I24" s="95">
        <v>42.766666666666602</v>
      </c>
      <c r="J24" s="95">
        <v>22</v>
      </c>
      <c r="K24" s="95">
        <v>54</v>
      </c>
      <c r="L24" s="95" t="s">
        <v>266</v>
      </c>
      <c r="M24" s="95" t="s">
        <v>264</v>
      </c>
      <c r="N24" s="95" t="s">
        <v>212</v>
      </c>
      <c r="O24" s="95" t="s">
        <v>288</v>
      </c>
      <c r="P24" s="95"/>
      <c r="Q24" s="95" t="s">
        <v>214</v>
      </c>
      <c r="R24" s="95" t="s">
        <v>230</v>
      </c>
      <c r="S24" s="95" t="s">
        <v>289</v>
      </c>
      <c r="T24" s="95">
        <v>11293</v>
      </c>
      <c r="U24" s="95" t="s">
        <v>266</v>
      </c>
      <c r="V24" s="95" t="s">
        <v>290</v>
      </c>
      <c r="W24" s="95">
        <v>35</v>
      </c>
    </row>
    <row r="25" spans="1:89" x14ac:dyDescent="0.2">
      <c r="D25" s="89" t="s">
        <v>291</v>
      </c>
      <c r="E25" s="95" t="s">
        <v>292</v>
      </c>
      <c r="F25" s="95" t="s">
        <v>293</v>
      </c>
      <c r="G25" s="95" t="s">
        <v>210</v>
      </c>
      <c r="H25" s="95" t="s">
        <v>294</v>
      </c>
      <c r="I25" s="95">
        <v>114.491866666666</v>
      </c>
      <c r="J25" s="95">
        <v>22</v>
      </c>
      <c r="K25" s="95">
        <v>115</v>
      </c>
      <c r="L25" s="95" t="s">
        <v>295</v>
      </c>
      <c r="M25" s="95" t="s">
        <v>292</v>
      </c>
      <c r="N25" s="95" t="s">
        <v>212</v>
      </c>
      <c r="O25" s="95" t="s">
        <v>296</v>
      </c>
      <c r="P25" s="95"/>
      <c r="Q25" s="95" t="s">
        <v>214</v>
      </c>
      <c r="R25" s="95" t="s">
        <v>215</v>
      </c>
      <c r="S25" s="95" t="s">
        <v>297</v>
      </c>
      <c r="T25" s="95">
        <v>135560</v>
      </c>
      <c r="U25" s="95" t="s">
        <v>295</v>
      </c>
      <c r="V25" s="95" t="s">
        <v>298</v>
      </c>
      <c r="W25" s="95">
        <v>114</v>
      </c>
    </row>
    <row r="26" spans="1:89" x14ac:dyDescent="0.2">
      <c r="D26" s="89" t="s">
        <v>299</v>
      </c>
      <c r="E26" s="95" t="s">
        <v>300</v>
      </c>
      <c r="F26" s="95" t="s">
        <v>301</v>
      </c>
      <c r="G26" s="95" t="s">
        <v>210</v>
      </c>
      <c r="H26" s="95" t="s">
        <v>302</v>
      </c>
      <c r="I26" s="95">
        <v>38.633333333333297</v>
      </c>
      <c r="J26" s="95">
        <v>22</v>
      </c>
      <c r="K26" s="95">
        <v>259</v>
      </c>
      <c r="L26" s="95" t="s">
        <v>303</v>
      </c>
      <c r="M26" s="95" t="s">
        <v>300</v>
      </c>
      <c r="N26" s="95" t="s">
        <v>212</v>
      </c>
      <c r="O26" s="95" t="s">
        <v>304</v>
      </c>
      <c r="P26" s="95"/>
      <c r="Q26" s="95" t="s">
        <v>214</v>
      </c>
      <c r="R26" s="95" t="s">
        <v>215</v>
      </c>
      <c r="S26" s="95" t="s">
        <v>305</v>
      </c>
      <c r="T26" s="95">
        <v>14093</v>
      </c>
      <c r="U26" s="95" t="s">
        <v>303</v>
      </c>
      <c r="V26" s="95" t="s">
        <v>306</v>
      </c>
      <c r="W26" s="95">
        <v>210</v>
      </c>
    </row>
    <row r="27" spans="1:89" x14ac:dyDescent="0.2">
      <c r="D27" s="89" t="s">
        <v>307</v>
      </c>
      <c r="E27" s="95" t="s">
        <v>308</v>
      </c>
      <c r="F27" s="95" t="s">
        <v>308</v>
      </c>
      <c r="G27" s="95" t="s">
        <v>210</v>
      </c>
      <c r="H27" s="95" t="s">
        <v>309</v>
      </c>
      <c r="I27" s="95">
        <v>702.83441666666602</v>
      </c>
      <c r="J27" s="95">
        <v>22</v>
      </c>
      <c r="K27" s="95">
        <v>1429</v>
      </c>
      <c r="L27" s="95" t="s">
        <v>275</v>
      </c>
      <c r="M27" s="95" t="s">
        <v>308</v>
      </c>
      <c r="N27" s="95" t="s">
        <v>212</v>
      </c>
      <c r="O27" s="95" t="s">
        <v>310</v>
      </c>
      <c r="P27" s="95"/>
      <c r="Q27" s="95" t="s">
        <v>214</v>
      </c>
      <c r="R27" s="95" t="s">
        <v>268</v>
      </c>
      <c r="S27" s="95" t="s">
        <v>311</v>
      </c>
      <c r="T27" s="95" t="s">
        <v>312</v>
      </c>
      <c r="U27" s="95" t="s">
        <v>275</v>
      </c>
      <c r="V27" s="95" t="s">
        <v>313</v>
      </c>
      <c r="W27" s="95">
        <v>1328</v>
      </c>
    </row>
    <row r="28" spans="1:89" x14ac:dyDescent="0.2">
      <c r="D28" s="89" t="s">
        <v>314</v>
      </c>
      <c r="E28" s="95" t="s">
        <v>315</v>
      </c>
      <c r="F28" s="95" t="s">
        <v>315</v>
      </c>
      <c r="G28" s="95" t="s">
        <v>210</v>
      </c>
      <c r="H28" s="95">
        <v>720.1</v>
      </c>
      <c r="I28" s="95">
        <v>360.05</v>
      </c>
      <c r="J28" s="95">
        <v>22</v>
      </c>
      <c r="K28" s="95">
        <v>2</v>
      </c>
      <c r="L28" s="95" t="s">
        <v>211</v>
      </c>
      <c r="M28" s="95" t="s">
        <v>315</v>
      </c>
      <c r="N28" s="95" t="s">
        <v>212</v>
      </c>
      <c r="O28" s="95" t="s">
        <v>316</v>
      </c>
      <c r="P28" s="95"/>
      <c r="Q28" s="95" t="s">
        <v>214</v>
      </c>
      <c r="R28" s="95" t="s">
        <v>230</v>
      </c>
      <c r="S28" s="95" t="s">
        <v>317</v>
      </c>
      <c r="T28" s="95">
        <v>504220</v>
      </c>
      <c r="U28" s="95" t="s">
        <v>211</v>
      </c>
      <c r="V28" s="95" t="s">
        <v>318</v>
      </c>
      <c r="W28" s="95">
        <v>2</v>
      </c>
    </row>
    <row r="29" spans="1:89" x14ac:dyDescent="0.2">
      <c r="D29" s="89" t="s">
        <v>319</v>
      </c>
      <c r="E29" s="95" t="s">
        <v>320</v>
      </c>
      <c r="F29" s="95" t="s">
        <v>320</v>
      </c>
      <c r="G29" s="95" t="s">
        <v>210</v>
      </c>
      <c r="H29" s="95" t="s">
        <v>321</v>
      </c>
      <c r="I29" s="95">
        <v>101.81666666666599</v>
      </c>
      <c r="J29" s="95">
        <v>22</v>
      </c>
      <c r="K29" s="95">
        <v>148</v>
      </c>
      <c r="L29" s="95" t="s">
        <v>322</v>
      </c>
      <c r="M29" s="95" t="s">
        <v>320</v>
      </c>
      <c r="N29" s="95" t="s">
        <v>212</v>
      </c>
      <c r="O29" s="95" t="s">
        <v>323</v>
      </c>
      <c r="P29" s="95"/>
      <c r="Q29" s="95" t="s">
        <v>214</v>
      </c>
      <c r="R29" s="95" t="s">
        <v>324</v>
      </c>
      <c r="S29" s="95" t="s">
        <v>325</v>
      </c>
      <c r="T29" s="95">
        <v>301160</v>
      </c>
      <c r="U29" s="95" t="s">
        <v>322</v>
      </c>
      <c r="V29" s="95" t="s">
        <v>326</v>
      </c>
      <c r="W29" s="95">
        <v>23</v>
      </c>
    </row>
    <row r="30" spans="1:89" x14ac:dyDescent="0.2">
      <c r="D30" s="89" t="s">
        <v>327</v>
      </c>
      <c r="E30" s="95" t="s">
        <v>264</v>
      </c>
      <c r="F30" s="95" t="s">
        <v>264</v>
      </c>
      <c r="G30" s="95" t="s">
        <v>210</v>
      </c>
      <c r="H30" s="95" t="s">
        <v>328</v>
      </c>
      <c r="I30" s="95">
        <v>47.316666666666599</v>
      </c>
      <c r="J30" s="95">
        <v>22</v>
      </c>
      <c r="K30" s="95">
        <v>61</v>
      </c>
      <c r="L30" s="95" t="s">
        <v>266</v>
      </c>
      <c r="M30" s="95" t="s">
        <v>264</v>
      </c>
      <c r="N30" s="95" t="s">
        <v>212</v>
      </c>
      <c r="O30" s="95" t="s">
        <v>329</v>
      </c>
      <c r="P30" s="95"/>
      <c r="Q30" s="95" t="s">
        <v>214</v>
      </c>
      <c r="R30" s="95" t="s">
        <v>215</v>
      </c>
      <c r="S30" s="95" t="s">
        <v>330</v>
      </c>
      <c r="T30" s="95">
        <v>580320</v>
      </c>
      <c r="U30" s="95" t="s">
        <v>266</v>
      </c>
      <c r="V30" s="95" t="s">
        <v>331</v>
      </c>
      <c r="W30" s="95">
        <v>51</v>
      </c>
    </row>
    <row r="31" spans="1:89" x14ac:dyDescent="0.2">
      <c r="D31" s="89" t="s">
        <v>332</v>
      </c>
      <c r="E31" s="95" t="s">
        <v>333</v>
      </c>
      <c r="F31" s="95" t="s">
        <v>333</v>
      </c>
      <c r="G31" s="95" t="s">
        <v>210</v>
      </c>
      <c r="H31" s="95" t="s">
        <v>334</v>
      </c>
      <c r="I31" s="95">
        <v>918.86666666666599</v>
      </c>
      <c r="J31" s="95">
        <v>22</v>
      </c>
      <c r="K31" s="95">
        <v>54</v>
      </c>
      <c r="L31" s="95" t="s">
        <v>275</v>
      </c>
      <c r="M31" s="95" t="s">
        <v>333</v>
      </c>
      <c r="N31" s="95" t="s">
        <v>212</v>
      </c>
      <c r="O31" s="95" t="s">
        <v>335</v>
      </c>
      <c r="P31" s="95"/>
      <c r="Q31" s="95" t="s">
        <v>214</v>
      </c>
      <c r="R31" s="95" t="s">
        <v>230</v>
      </c>
      <c r="S31" s="95" t="s">
        <v>336</v>
      </c>
      <c r="T31" s="95">
        <v>53412</v>
      </c>
      <c r="U31" s="95" t="s">
        <v>275</v>
      </c>
      <c r="V31" s="95" t="s">
        <v>337</v>
      </c>
      <c r="W31" s="95">
        <v>51</v>
      </c>
    </row>
    <row r="32" spans="1:89" x14ac:dyDescent="0.2">
      <c r="D32" s="89" t="s">
        <v>338</v>
      </c>
      <c r="E32" s="95" t="s">
        <v>315</v>
      </c>
      <c r="F32" s="95" t="s">
        <v>315</v>
      </c>
      <c r="G32" s="95" t="s">
        <v>210</v>
      </c>
      <c r="H32" s="95" t="s">
        <v>339</v>
      </c>
      <c r="I32" s="95">
        <v>676.12986666666598</v>
      </c>
      <c r="J32" s="95">
        <v>22</v>
      </c>
      <c r="K32" s="95">
        <v>788</v>
      </c>
      <c r="L32" s="95" t="s">
        <v>211</v>
      </c>
      <c r="M32" s="95" t="s">
        <v>315</v>
      </c>
      <c r="N32" s="95" t="s">
        <v>212</v>
      </c>
      <c r="O32" s="95" t="s">
        <v>340</v>
      </c>
      <c r="P32" s="95"/>
      <c r="Q32" s="95" t="s">
        <v>214</v>
      </c>
      <c r="R32" s="95" t="s">
        <v>341</v>
      </c>
      <c r="S32" s="95" t="s">
        <v>342</v>
      </c>
      <c r="T32" s="95">
        <v>51070</v>
      </c>
      <c r="U32" s="95" t="s">
        <v>211</v>
      </c>
      <c r="V32" s="95" t="s">
        <v>343</v>
      </c>
      <c r="W32" s="95">
        <v>984</v>
      </c>
    </row>
    <row r="33" spans="1:89" x14ac:dyDescent="0.2">
      <c r="D33" s="89" t="s">
        <v>344</v>
      </c>
      <c r="E33" s="95" t="s">
        <v>345</v>
      </c>
      <c r="F33" s="95" t="s">
        <v>346</v>
      </c>
      <c r="G33" s="95" t="s">
        <v>210</v>
      </c>
      <c r="H33" s="95" t="s">
        <v>347</v>
      </c>
      <c r="I33" s="95">
        <v>53.967016666666602</v>
      </c>
      <c r="J33" s="95">
        <v>22</v>
      </c>
      <c r="K33" s="95">
        <v>244</v>
      </c>
      <c r="L33" s="95" t="s">
        <v>303</v>
      </c>
      <c r="M33" s="95" t="s">
        <v>345</v>
      </c>
      <c r="N33" s="95" t="s">
        <v>212</v>
      </c>
      <c r="O33" s="95" t="s">
        <v>348</v>
      </c>
      <c r="P33" s="95"/>
      <c r="Q33" s="95" t="s">
        <v>214</v>
      </c>
      <c r="R33" s="95" t="s">
        <v>215</v>
      </c>
      <c r="S33" s="95" t="s">
        <v>349</v>
      </c>
      <c r="T33" s="95">
        <v>11985</v>
      </c>
      <c r="U33" s="95" t="s">
        <v>303</v>
      </c>
      <c r="V33" s="95" t="s">
        <v>350</v>
      </c>
      <c r="W33" s="95">
        <v>205</v>
      </c>
    </row>
    <row r="34" spans="1:89" x14ac:dyDescent="0.2">
      <c r="D34" s="89" t="s">
        <v>351</v>
      </c>
      <c r="E34" s="95" t="s">
        <v>333</v>
      </c>
      <c r="F34" s="95" t="s">
        <v>333</v>
      </c>
      <c r="G34" s="95" t="s">
        <v>210</v>
      </c>
      <c r="H34" s="95" t="s">
        <v>352</v>
      </c>
      <c r="I34" s="95">
        <v>124.48333333333299</v>
      </c>
      <c r="J34" s="95">
        <v>22</v>
      </c>
      <c r="K34" s="95">
        <v>214</v>
      </c>
      <c r="L34" s="95" t="s">
        <v>275</v>
      </c>
      <c r="M34" s="95" t="s">
        <v>333</v>
      </c>
      <c r="N34" s="95" t="s">
        <v>212</v>
      </c>
      <c r="O34" s="95" t="s">
        <v>353</v>
      </c>
      <c r="P34" s="95"/>
      <c r="Q34" s="95" t="s">
        <v>214</v>
      </c>
      <c r="R34" s="95" t="s">
        <v>230</v>
      </c>
      <c r="S34" s="95" t="s">
        <v>354</v>
      </c>
      <c r="T34" s="95">
        <v>59797</v>
      </c>
      <c r="U34" s="95" t="s">
        <v>275</v>
      </c>
      <c r="V34" s="95" t="s">
        <v>355</v>
      </c>
      <c r="W34" s="95">
        <v>214</v>
      </c>
    </row>
    <row r="35" spans="1:89" x14ac:dyDescent="0.2">
      <c r="D35" s="89" t="s">
        <v>356</v>
      </c>
      <c r="E35" s="95" t="s">
        <v>357</v>
      </c>
      <c r="F35" s="95" t="s">
        <v>358</v>
      </c>
      <c r="G35" s="95" t="s">
        <v>210</v>
      </c>
      <c r="H35" s="95" t="s">
        <v>359</v>
      </c>
      <c r="I35" s="95">
        <v>745.01666666666597</v>
      </c>
      <c r="J35" s="95">
        <v>22</v>
      </c>
      <c r="K35" s="95">
        <v>1</v>
      </c>
      <c r="L35" s="95" t="s">
        <v>360</v>
      </c>
      <c r="M35" s="95" t="s">
        <v>357</v>
      </c>
      <c r="N35" s="95" t="s">
        <v>212</v>
      </c>
      <c r="O35" s="95" t="s">
        <v>361</v>
      </c>
      <c r="P35" s="95"/>
      <c r="Q35" s="95" t="s">
        <v>214</v>
      </c>
      <c r="R35" s="95" t="s">
        <v>230</v>
      </c>
      <c r="S35" s="95" t="s">
        <v>362</v>
      </c>
      <c r="T35" s="95">
        <v>106480</v>
      </c>
      <c r="U35" s="95" t="s">
        <v>360</v>
      </c>
      <c r="V35" s="95" t="s">
        <v>363</v>
      </c>
      <c r="W35" s="95">
        <v>1</v>
      </c>
    </row>
    <row r="37" spans="1:89" x14ac:dyDescent="0.2">
      <c r="A37" s="70"/>
      <c r="B37" s="70"/>
      <c r="C37" s="70"/>
      <c r="D37" s="100" t="s">
        <v>364</v>
      </c>
      <c r="E37" s="100"/>
      <c r="F37" s="143"/>
      <c r="G37" s="143"/>
      <c r="H37" s="143"/>
      <c r="I37" s="101">
        <f>AVERAGE(I14:I35)</f>
        <v>333.23842424242389</v>
      </c>
      <c r="J37" s="143"/>
      <c r="K37" s="101">
        <f>AVERAGE(K14:K35)</f>
        <v>436.27272727272725</v>
      </c>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9" spans="1:89" x14ac:dyDescent="0.2">
      <c r="A39" s="56"/>
      <c r="B39" s="72" t="s">
        <v>43</v>
      </c>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row>
  </sheetData>
  <sheetProtection formatCells="0" formatColumns="0" formatRows="0"/>
  <conditionalFormatting sqref="K1">
    <cfRule type="cellIs" dxfId="7" priority="3" operator="equal">
      <formula>"Check"</formula>
    </cfRule>
    <cfRule type="cellIs" dxfId="6" priority="4" operator="equal">
      <formula>"Ok"</formula>
    </cfRule>
  </conditionalFormatting>
  <conditionalFormatting sqref="N1">
    <cfRule type="cellIs" dxfId="5" priority="1" operator="equal">
      <formula>"Check"</formula>
    </cfRule>
    <cfRule type="cellIs" dxfId="4" priority="2" operator="equal">
      <formula>"Ok"</formula>
    </cfRule>
  </conditionalFormatting>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05CFE-7365-4B2A-ADFD-B7B1593892FA}">
  <sheetPr codeName="Sheet5">
    <tabColor theme="3" tint="0.89999084444715716"/>
  </sheetPr>
  <dimension ref="A1:CK18"/>
  <sheetViews>
    <sheetView showGridLines="0" zoomScaleNormal="100" workbookViewId="0">
      <pane xSplit="4" ySplit="4" topLeftCell="E5" activePane="bottomRight" state="frozen"/>
      <selection pane="topRight" activeCell="E1" sqref="E1"/>
      <selection pane="bottomLeft" activeCell="A5" sqref="A5"/>
      <selection pane="bottomRight" activeCell="N12" sqref="N12"/>
    </sheetView>
  </sheetViews>
  <sheetFormatPr defaultColWidth="0" defaultRowHeight="11.25" x14ac:dyDescent="0.2"/>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75" x14ac:dyDescent="0.2">
      <c r="A1" s="52"/>
      <c r="B1" s="52"/>
      <c r="C1" s="52"/>
      <c r="D1" s="53" t="str">
        <f>Model_Name</f>
        <v>Cost Benefit Analysis</v>
      </c>
      <c r="E1" s="54"/>
      <c r="F1" s="55"/>
      <c r="G1" s="56"/>
      <c r="H1" s="56"/>
      <c r="I1" s="56"/>
      <c r="J1" s="57" t="s">
        <v>44</v>
      </c>
      <c r="K1" s="58" t="str">
        <f>IF(COUNTA($A$8:$A$11)=COUNTIF($A$8:$A$11,0),"Ok","Check")</f>
        <v>Ok</v>
      </c>
      <c r="L1" s="56"/>
      <c r="M1" s="57" t="s">
        <v>45</v>
      </c>
      <c r="N1" s="59" t="str">
        <f>Overall_Check</f>
        <v>Ok</v>
      </c>
      <c r="O1" s="56"/>
      <c r="P1" s="57" t="s">
        <v>46</v>
      </c>
      <c r="Q1" s="60" t="s">
        <v>20</v>
      </c>
      <c r="R1" s="61" t="s">
        <v>47</v>
      </c>
      <c r="S1" s="62" t="s">
        <v>48</v>
      </c>
      <c r="T1" s="63" t="s">
        <v>27</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2" thickBot="1" x14ac:dyDescent="0.25">
      <c r="A2" s="56"/>
      <c r="B2" s="56"/>
      <c r="C2" s="56"/>
      <c r="D2" s="64" t="str">
        <f ca="1">RIGHT(CELL("filename",D1),LEN(CELL("filename",D1))-FIND("]",CELL("filename",D1)))</f>
        <v>Output|Tables</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2" thickBot="1" x14ac:dyDescent="0.25">
      <c r="A3" s="65"/>
      <c r="B3" s="65"/>
      <c r="C3" s="65"/>
      <c r="D3" s="65"/>
      <c r="E3" s="66"/>
      <c r="F3" s="66"/>
      <c r="G3" s="66"/>
      <c r="H3" s="66"/>
      <c r="I3" s="65"/>
      <c r="J3" s="67" t="s">
        <v>49</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50</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x14ac:dyDescent="0.2">
      <c r="A4" s="65"/>
      <c r="B4" s="65"/>
      <c r="C4" s="65"/>
      <c r="D4" s="65"/>
      <c r="E4" s="66" t="s">
        <v>51</v>
      </c>
      <c r="F4" s="66" t="s">
        <v>52</v>
      </c>
      <c r="G4" s="66" t="s">
        <v>53</v>
      </c>
      <c r="H4" s="66" t="s">
        <v>54</v>
      </c>
      <c r="I4" s="65"/>
      <c r="J4" s="67" t="s">
        <v>55</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x14ac:dyDescent="0.2">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x14ac:dyDescent="0.2">
      <c r="A6" s="70"/>
      <c r="B6" s="71" t="s">
        <v>56</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x14ac:dyDescent="0.2">
      <c r="A8" s="56"/>
      <c r="B8" s="72" t="s">
        <v>365</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x14ac:dyDescent="0.2">
      <c r="A10" s="85"/>
      <c r="B10" s="85"/>
      <c r="C10" s="86" t="s">
        <v>366</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ht="12" thickBot="1"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60.75" thickBot="1" x14ac:dyDescent="0.25">
      <c r="D12" s="138" t="s">
        <v>51</v>
      </c>
      <c r="E12" s="137" t="s">
        <v>367</v>
      </c>
      <c r="F12" s="137" t="s">
        <v>368</v>
      </c>
      <c r="G12" s="137" t="s">
        <v>369</v>
      </c>
    </row>
    <row r="13" spans="1:89" ht="13.5" thickTop="1" thickBot="1" x14ac:dyDescent="0.25">
      <c r="D13" s="139" t="s">
        <v>370</v>
      </c>
      <c r="E13" s="140">
        <v>0</v>
      </c>
      <c r="F13" s="140">
        <v>0</v>
      </c>
      <c r="G13" s="140">
        <v>3</v>
      </c>
    </row>
    <row r="14" spans="1:89" ht="36.75" thickBot="1" x14ac:dyDescent="0.25">
      <c r="D14" s="139" t="s">
        <v>371</v>
      </c>
      <c r="E14" s="141">
        <f>'Input|Costs'!$R$25/10^6</f>
        <v>10.182584281265273</v>
      </c>
      <c r="F14" s="141">
        <f>'Input|Benefits'!$J$60/10^6</f>
        <v>11.320935370572617</v>
      </c>
      <c r="G14" s="140">
        <v>1</v>
      </c>
    </row>
    <row r="15" spans="1:89" ht="24.75" thickBot="1" x14ac:dyDescent="0.25">
      <c r="D15" s="139" t="s">
        <v>372</v>
      </c>
      <c r="E15" s="141">
        <f>'Input|Costs'!$R$26/10^6</f>
        <v>12.219101137518326</v>
      </c>
      <c r="F15" s="141">
        <f>'Input|Benefits'!$J$92/10^6</f>
        <v>11.852433082289531</v>
      </c>
      <c r="G15" s="140">
        <v>2</v>
      </c>
    </row>
    <row r="18" spans="1:89" x14ac:dyDescent="0.2">
      <c r="A18" s="56"/>
      <c r="B18" s="72" t="s">
        <v>43</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row>
  </sheetData>
  <sheetProtection formatCells="0" formatColumns="0" formatRows="0"/>
  <conditionalFormatting sqref="K1">
    <cfRule type="cellIs" dxfId="3" priority="3" operator="equal">
      <formula>"Check"</formula>
    </cfRule>
    <cfRule type="cellIs" dxfId="2" priority="4" operator="equal">
      <formula>"Ok"</formula>
    </cfRule>
  </conditionalFormatting>
  <conditionalFormatting sqref="N1">
    <cfRule type="cellIs" dxfId="1" priority="1" operator="equal">
      <formula>"Check"</formula>
    </cfRule>
    <cfRule type="cellIs" dxfId="0" priority="2" operator="equal">
      <formula>"Ok"</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463E5E62BF724086D347C959262467" ma:contentTypeVersion="17" ma:contentTypeDescription="Create a new document." ma:contentTypeScope="" ma:versionID="0e2711c4d39697064b30b417258653ef">
  <xsd:schema xmlns:xsd="http://www.w3.org/2001/XMLSchema" xmlns:xs="http://www.w3.org/2001/XMLSchema" xmlns:p="http://schemas.microsoft.com/office/2006/metadata/properties" xmlns:ns2="58dd876c-ba06-4341-9d47-b53ee198fe78" xmlns:ns3="cce62ca5-22ea-47d8-bfd0-cf180537c997" targetNamespace="http://schemas.microsoft.com/office/2006/metadata/properties" ma:root="true" ma:fieldsID="cf2b477baa174436c453520b1d5566a8" ns2:_="" ns3:_="">
    <xsd:import namespace="58dd876c-ba06-4341-9d47-b53ee198fe78"/>
    <xsd:import namespace="cce62ca5-22ea-47d8-bfd0-cf180537c9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876c-ba06-4341-9d47-b53ee198f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e62ca5-22ea-47d8-bfd0-cf180537c9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87cdf0-0bfe-4b44-926d-f49baf1faca0}" ma:internalName="TaxCatchAll" ma:showField="CatchAllData" ma:web="cce62ca5-22ea-47d8-bfd0-cf180537c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dd876c-ba06-4341-9d47-b53ee198fe78">
      <Terms xmlns="http://schemas.microsoft.com/office/infopath/2007/PartnerControls"/>
    </lcf76f155ced4ddcb4097134ff3c332f>
    <TaxCatchAll xmlns="cce62ca5-22ea-47d8-bfd0-cf180537c997" xsi:nil="true"/>
  </documentManagement>
</p:properties>
</file>

<file path=customXml/itemProps1.xml><?xml version="1.0" encoding="utf-8"?>
<ds:datastoreItem xmlns:ds="http://schemas.openxmlformats.org/officeDocument/2006/customXml" ds:itemID="{45E6D6CF-3C40-424B-8489-A0D4823705D8}">
  <ds:schemaRefs>
    <ds:schemaRef ds:uri="http://schemas.microsoft.com/sharepoint/v3/contenttype/forms"/>
  </ds:schemaRefs>
</ds:datastoreItem>
</file>

<file path=customXml/itemProps2.xml><?xml version="1.0" encoding="utf-8"?>
<ds:datastoreItem xmlns:ds="http://schemas.openxmlformats.org/officeDocument/2006/customXml" ds:itemID="{15CA8FF6-73B8-4171-85E0-3A03CB348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d876c-ba06-4341-9d47-b53ee198fe78"/>
    <ds:schemaRef ds:uri="cce62ca5-22ea-47d8-bfd0-cf180537c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C4BECA-5E35-4C5E-BF13-70080BD56DD0}">
  <ds:schemaRefs>
    <ds:schemaRef ds:uri="http://purl.org/dc/elements/1.1/"/>
    <ds:schemaRef ds:uri="http://schemas.microsoft.com/office/2006/metadata/properties"/>
    <ds:schemaRef ds:uri="http://schemas.openxmlformats.org/package/2006/metadata/core-properties"/>
    <ds:schemaRef ds:uri="58dd876c-ba06-4341-9d47-b53ee198fe78"/>
    <ds:schemaRef ds:uri="http://schemas.microsoft.com/office/infopath/2007/PartnerControls"/>
    <ds:schemaRef ds:uri="http://purl.org/dc/terms/"/>
    <ds:schemaRef ds:uri="cce62ca5-22ea-47d8-bfd0-cf180537c997"/>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Home</vt:lpstr>
      <vt:lpstr>Input|Costs</vt:lpstr>
      <vt:lpstr>Input|Benefits</vt:lpstr>
      <vt:lpstr>Input|Transf_Failures</vt:lpstr>
      <vt:lpstr>Output|Tables</vt:lpstr>
      <vt:lpstr>Check_Status_List</vt:lpstr>
      <vt:lpstr>'Input|Benefits'!Cust_Ben_over</vt:lpstr>
      <vt:lpstr>'Input|Benefits'!ID_Opex_Opt_End</vt:lpstr>
      <vt:lpstr>ID_Opex_Opt_End</vt:lpstr>
      <vt:lpstr>ID_Opt_Opt_3</vt:lpstr>
      <vt:lpstr>ID_Opt_Opt_4</vt:lpstr>
      <vt:lpstr>ID_Opt_Opt_5</vt:lpstr>
      <vt:lpstr>'Input|Benefits'!ID_Sensitivity_CBO_End</vt:lpstr>
      <vt:lpstr>ID_Sensitivity_CBO_End</vt:lpstr>
      <vt:lpstr>'Input|Benefits'!ID_Sensitivity_CBO_Start</vt:lpstr>
      <vt:lpstr>Model_Name</vt:lpstr>
      <vt:lpstr>Overall_Check</vt:lpstr>
      <vt:lpstr>Proj_Name</vt:lpstr>
      <vt:lpstr>Proj_No</vt:lpstr>
      <vt:lpstr>Start_Date</vt:lpstr>
      <vt:lpstr>Worksheet_List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Tziokas</dc:creator>
  <cp:keywords/>
  <dc:description/>
  <cp:lastModifiedBy>George Tziokas</cp:lastModifiedBy>
  <cp:revision/>
  <dcterms:created xsi:type="dcterms:W3CDTF">2025-11-07T00:30:17Z</dcterms:created>
  <dcterms:modified xsi:type="dcterms:W3CDTF">2025-12-01T00:28:29Z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0x010100BE463E5E62BF724086D347C959262467</vt:lpwstr>
  </property>
  <property fmtid="{D5CDD505-2E9C-101B-9397-08002B2CF9AE}" pid="3" name="Order">
    <vt:r8>14500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