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13_ncr:1_{CAA953DF-6ABE-4013-BF64-228D2E49C36D}" xr6:coauthVersionLast="47" xr6:coauthVersionMax="47" xr10:uidLastSave="{00000000-0000-0000-0000-000000000000}"/>
  <bookViews>
    <workbookView xWindow="-120" yWindow="-120" windowWidth="29040" windowHeight="15720" tabRatio="684" xr2:uid="{00000000-000D-0000-FFFF-FFFF00000000}"/>
  </bookViews>
  <sheets>
    <sheet name="Cover" sheetId="86" r:id="rId1"/>
    <sheet name="Summary" sheetId="33" r:id="rId2"/>
    <sheet name="Assumptions" sheetId="43" r:id="rId3"/>
    <sheet name="Option1 (base case)" sheetId="68" r:id="rId4"/>
    <sheet name="Option2" sheetId="81" r:id="rId5"/>
    <sheet name="Option3" sheetId="72" r:id="rId6"/>
    <sheet name="Option4" sheetId="73" r:id="rId7"/>
    <sheet name="Option5" sheetId="82" r:id="rId8"/>
    <sheet name="Consol" sheetId="75" r:id="rId9"/>
    <sheet name="Sensitivity_calcs" sheetId="85" r:id="rId10"/>
    <sheet name="Workings_costs" sheetId="87" r:id="rId11"/>
    <sheet name="Workings_risks" sheetId="88" r:id="rId12"/>
    <sheet name="Workings_benefits" sheetId="89" r:id="rId13"/>
    <sheet name="Misc_calcs" sheetId="62" r:id="rId14"/>
    <sheet name="Data" sheetId="47" r:id="rId15"/>
  </sheets>
  <definedNames>
    <definedName name="bus">Assumptions!$E$6</definedName>
    <definedName name="compliance">Data!$E$16</definedName>
    <definedName name="conv_2026">Misc_calcs!$D$19</definedName>
    <definedName name="custval_date">Assumptions!$G$34</definedName>
    <definedName name="CY_years">Misc_calcs!$H$6:$M$6</definedName>
    <definedName name="first_year">Misc_calcs!$C$38</definedName>
    <definedName name="hy_dates">Misc_calcs!$H$11:$R$11</definedName>
    <definedName name="hy_escalation">Misc_calcs!$H$15:$R$15</definedName>
    <definedName name="input_dollars">Assumptions!$G$27</definedName>
    <definedName name="mill_conv">Data!$C$71</definedName>
    <definedName name="options">Data!$B$9:$B$13</definedName>
    <definedName name="output_dollars">Assumptions!$G$33</definedName>
    <definedName name="preferred">Summary!$C$18</definedName>
    <definedName name="_xlnm.Print_Area" localSheetId="2">Assumptions!$A$1:$P$124</definedName>
    <definedName name="proj">Assumptions!$E$8</definedName>
    <definedName name="real_disc">Assumptions!$G$28</definedName>
    <definedName name="sheets">Cover!$A$40</definedName>
    <definedName name="start">Assumptions!$E$22</definedName>
    <definedName name="start_year">Misc_calcs!$C$25</definedName>
    <definedName name="thous_conv">Data!$C$70</definedName>
    <definedName name="update">Cover!$A$41</definedName>
    <definedName name="vcr_date">Assumptions!$G$29</definedName>
    <definedName name="vcr_esc">Misc_calcs!$D$23</definedName>
    <definedName name="years">Assumptions!$G$31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 i="68" l="1"/>
  <c r="E49" i="68"/>
  <c r="E48" i="68"/>
  <c r="E47" i="68"/>
  <c r="E50" i="81"/>
  <c r="E49" i="81"/>
  <c r="E48" i="81"/>
  <c r="E47" i="81"/>
  <c r="J46" i="81" l="1"/>
  <c r="K46" i="81"/>
  <c r="L46" i="81"/>
  <c r="E50" i="82"/>
  <c r="E49" i="82"/>
  <c r="E48" i="82"/>
  <c r="E47" i="82"/>
  <c r="E50" i="73"/>
  <c r="E49" i="73"/>
  <c r="E48" i="73"/>
  <c r="E47" i="73"/>
  <c r="E50" i="72"/>
  <c r="E49" i="72"/>
  <c r="E48" i="72"/>
  <c r="E47" i="72"/>
  <c r="G44" i="43"/>
  <c r="A40" i="86"/>
  <c r="I14" i="81"/>
  <c r="J14" i="81"/>
  <c r="K14" i="81"/>
  <c r="L14" i="81"/>
  <c r="M14" i="81"/>
  <c r="G43" i="43" l="1"/>
  <c r="I46" i="81" l="1"/>
  <c r="N14" i="81" l="1"/>
  <c r="O14" i="81"/>
  <c r="P14" i="81"/>
  <c r="Q14" i="81"/>
  <c r="R14" i="81"/>
  <c r="S14" i="81"/>
  <c r="T14" i="81"/>
  <c r="U14" i="81"/>
  <c r="V14" i="81"/>
  <c r="W14" i="81"/>
  <c r="X14" i="81"/>
  <c r="Y14" i="81"/>
  <c r="Z14" i="81"/>
  <c r="AA14" i="81"/>
  <c r="AB14" i="81"/>
  <c r="AC14" i="81"/>
  <c r="AD14" i="81"/>
  <c r="AE14" i="81"/>
  <c r="AF14" i="81"/>
  <c r="AG14" i="81"/>
  <c r="E80" i="89"/>
  <c r="E76" i="89"/>
  <c r="K62" i="89"/>
  <c r="F67" i="89" s="1"/>
  <c r="J62" i="89"/>
  <c r="G67" i="89" s="1"/>
  <c r="I62" i="89"/>
  <c r="F66" i="89" s="1"/>
  <c r="H62" i="89"/>
  <c r="G66" i="89" s="1"/>
  <c r="F24" i="89"/>
  <c r="F33" i="89" s="1"/>
  <c r="F41" i="89" s="1"/>
  <c r="F47" i="89" s="1"/>
  <c r="E24" i="89"/>
  <c r="E25" i="89" s="1"/>
  <c r="E34" i="89" s="1"/>
  <c r="E42" i="89" s="1"/>
  <c r="E48" i="89" s="1"/>
  <c r="D24" i="89"/>
  <c r="D25" i="89" s="1"/>
  <c r="D34" i="89" s="1"/>
  <c r="D42" i="89" s="1"/>
  <c r="D48" i="89" s="1"/>
  <c r="F23" i="89"/>
  <c r="F32" i="89" s="1"/>
  <c r="F40" i="89" s="1"/>
  <c r="F46" i="89" s="1"/>
  <c r="E23" i="89"/>
  <c r="E32" i="89" s="1"/>
  <c r="E40" i="89" s="1"/>
  <c r="E46" i="89" s="1"/>
  <c r="D23" i="89"/>
  <c r="D32" i="89" s="1"/>
  <c r="D40" i="89" s="1"/>
  <c r="D46" i="89" s="1"/>
  <c r="A2" i="89"/>
  <c r="A1" i="89"/>
  <c r="K20" i="88"/>
  <c r="J20" i="88"/>
  <c r="K19" i="88"/>
  <c r="J19" i="88"/>
  <c r="K15" i="88"/>
  <c r="J15" i="88"/>
  <c r="K14" i="88"/>
  <c r="J14" i="88"/>
  <c r="A2" i="88"/>
  <c r="A1" i="88"/>
  <c r="G31" i="87"/>
  <c r="G30" i="87"/>
  <c r="G29" i="87"/>
  <c r="G28" i="87"/>
  <c r="G27" i="87"/>
  <c r="G26" i="87"/>
  <c r="G25" i="87"/>
  <c r="A2" i="87"/>
  <c r="A1" i="87"/>
  <c r="F25" i="89" l="1"/>
  <c r="F34" i="89" s="1"/>
  <c r="F42" i="89" s="1"/>
  <c r="F48" i="89" s="1"/>
  <c r="D33" i="89"/>
  <c r="D41" i="89" s="1"/>
  <c r="D47" i="89" s="1"/>
  <c r="E33" i="89"/>
  <c r="E41" i="89" s="1"/>
  <c r="E47" i="89" s="1"/>
  <c r="M20" i="88"/>
  <c r="L15" i="88"/>
  <c r="L19" i="88"/>
  <c r="L20" i="88"/>
  <c r="L14" i="88"/>
  <c r="M14" i="88"/>
  <c r="G72" i="89"/>
  <c r="I72" i="89" s="1"/>
  <c r="I67" i="89"/>
  <c r="G32" i="87"/>
  <c r="M19" i="88"/>
  <c r="M15" i="88"/>
  <c r="I66" i="89"/>
  <c r="G71" i="89"/>
  <c r="I71" i="89" s="1"/>
  <c r="I80" i="89" s="1"/>
  <c r="H66" i="89"/>
  <c r="F71" i="89"/>
  <c r="H67" i="89"/>
  <c r="J67" i="89" s="1"/>
  <c r="F72" i="89"/>
  <c r="I76" i="89" l="1"/>
  <c r="O14" i="88"/>
  <c r="J28" i="68" s="1"/>
  <c r="J28" i="81" s="1"/>
  <c r="Y28" i="68"/>
  <c r="H72" i="89"/>
  <c r="J72" i="89" s="1"/>
  <c r="H71" i="89"/>
  <c r="J66" i="89"/>
  <c r="F84" i="89" s="1"/>
  <c r="H76" i="89"/>
  <c r="J76" i="89" l="1"/>
  <c r="AG28" i="68"/>
  <c r="U28" i="68"/>
  <c r="U28" i="81" s="1"/>
  <c r="AF28" i="68"/>
  <c r="T28" i="68"/>
  <c r="T28" i="81" s="1"/>
  <c r="AD28" i="68"/>
  <c r="AD28" i="81" s="1"/>
  <c r="I28" i="68"/>
  <c r="I28" i="81" s="1"/>
  <c r="R28" i="68"/>
  <c r="R28" i="81" s="1"/>
  <c r="AC28" i="68"/>
  <c r="AC28" i="81" s="1"/>
  <c r="AB28" i="68"/>
  <c r="AB28" i="81" s="1"/>
  <c r="P28" i="68"/>
  <c r="P28" i="81" s="1"/>
  <c r="AA28" i="68"/>
  <c r="AA28" i="81" s="1"/>
  <c r="O28" i="68"/>
  <c r="O28" i="81" s="1"/>
  <c r="Z28" i="68"/>
  <c r="Z28" i="81" s="1"/>
  <c r="V28" i="68"/>
  <c r="V28" i="81" s="1"/>
  <c r="M28" i="68"/>
  <c r="M28" i="81" s="1"/>
  <c r="AE28" i="68"/>
  <c r="AE28" i="81" s="1"/>
  <c r="S28" i="68"/>
  <c r="S28" i="81" s="1"/>
  <c r="Q28" i="68"/>
  <c r="Q28" i="81" s="1"/>
  <c r="X28" i="68"/>
  <c r="X28" i="81" s="1"/>
  <c r="L28" i="68"/>
  <c r="L28" i="81" s="1"/>
  <c r="K28" i="68"/>
  <c r="K28" i="81" s="1"/>
  <c r="W28" i="68"/>
  <c r="W28" i="81" s="1"/>
  <c r="N28" i="68"/>
  <c r="N28" i="81" s="1"/>
  <c r="AF28" i="81"/>
  <c r="AG28" i="81"/>
  <c r="Y28" i="81"/>
  <c r="H80" i="89"/>
  <c r="J80" i="89" s="1"/>
  <c r="E84" i="89" s="1"/>
  <c r="J71" i="89"/>
  <c r="I9" i="68" l="1"/>
  <c r="H9" i="68" s="1"/>
  <c r="H9" i="75" s="1"/>
  <c r="H5" i="75" s="1"/>
  <c r="P46" i="81" l="1"/>
  <c r="AB46" i="81"/>
  <c r="S46" i="81"/>
  <c r="U46" i="81"/>
  <c r="V46" i="81"/>
  <c r="X46" i="81"/>
  <c r="Q46" i="81"/>
  <c r="AC46" i="81"/>
  <c r="Y46" i="81"/>
  <c r="Z46" i="81"/>
  <c r="AA46" i="81"/>
  <c r="R46" i="81"/>
  <c r="AD46" i="81"/>
  <c r="AE46" i="81"/>
  <c r="AG46" i="81"/>
  <c r="T46" i="81"/>
  <c r="AF46" i="81"/>
  <c r="W46" i="81"/>
  <c r="M46" i="81"/>
  <c r="N46" i="81"/>
  <c r="O46" i="81"/>
  <c r="C25" i="62"/>
  <c r="A2" i="43"/>
  <c r="C117" i="43" l="1"/>
  <c r="C118" i="43"/>
  <c r="C119" i="43"/>
  <c r="C120" i="43"/>
  <c r="C121" i="43"/>
  <c r="A92" i="85" l="1"/>
  <c r="A93" i="85"/>
  <c r="A94" i="85"/>
  <c r="A95" i="85"/>
  <c r="A96" i="85"/>
  <c r="A97" i="85"/>
  <c r="A98" i="85"/>
  <c r="A91" i="85"/>
  <c r="B92" i="85"/>
  <c r="B93" i="85"/>
  <c r="B94" i="85"/>
  <c r="B95" i="85"/>
  <c r="B96" i="85"/>
  <c r="B97" i="85"/>
  <c r="B98" i="85"/>
  <c r="B91" i="85"/>
  <c r="G104" i="82"/>
  <c r="G104" i="73"/>
  <c r="G104" i="72"/>
  <c r="G104" i="81"/>
  <c r="G104" i="68"/>
  <c r="E115" i="82"/>
  <c r="D115" i="82"/>
  <c r="C115" i="82"/>
  <c r="A115" i="82"/>
  <c r="G115" i="82" s="1"/>
  <c r="E114" i="82"/>
  <c r="D114" i="82"/>
  <c r="C114" i="82"/>
  <c r="A114" i="82"/>
  <c r="G114" i="82" s="1"/>
  <c r="E113" i="82"/>
  <c r="D113" i="82"/>
  <c r="C113" i="82"/>
  <c r="A113" i="82"/>
  <c r="G113" i="82" s="1"/>
  <c r="E112" i="82"/>
  <c r="D112" i="82"/>
  <c r="C112" i="82"/>
  <c r="A112" i="82"/>
  <c r="G112" i="82" s="1"/>
  <c r="E111" i="82"/>
  <c r="D111" i="82"/>
  <c r="C111" i="82"/>
  <c r="A111" i="82"/>
  <c r="G111" i="82" s="1"/>
  <c r="E110" i="82"/>
  <c r="D110" i="82"/>
  <c r="C110" i="82"/>
  <c r="A110" i="82"/>
  <c r="G110" i="82" s="1"/>
  <c r="E109" i="82"/>
  <c r="D109" i="82"/>
  <c r="C109" i="82"/>
  <c r="A109" i="82"/>
  <c r="G109" i="82" s="1"/>
  <c r="E108" i="82"/>
  <c r="D108" i="82"/>
  <c r="C108" i="82"/>
  <c r="A108" i="82"/>
  <c r="G108" i="82" s="1"/>
  <c r="E107" i="82"/>
  <c r="D107" i="82"/>
  <c r="E115" i="73"/>
  <c r="D115" i="73"/>
  <c r="C115" i="73"/>
  <c r="A115" i="73"/>
  <c r="G115" i="73" s="1"/>
  <c r="E114" i="73"/>
  <c r="D114" i="73"/>
  <c r="C114" i="73"/>
  <c r="A114" i="73"/>
  <c r="G114" i="73" s="1"/>
  <c r="E113" i="73"/>
  <c r="D113" i="73"/>
  <c r="C113" i="73"/>
  <c r="A113" i="73"/>
  <c r="G113" i="73" s="1"/>
  <c r="E112" i="73"/>
  <c r="D112" i="73"/>
  <c r="C112" i="73"/>
  <c r="A112" i="73"/>
  <c r="G112" i="73" s="1"/>
  <c r="E111" i="73"/>
  <c r="D111" i="73"/>
  <c r="C111" i="73"/>
  <c r="A111" i="73"/>
  <c r="G111" i="73" s="1"/>
  <c r="E110" i="73"/>
  <c r="D110" i="73"/>
  <c r="C110" i="73"/>
  <c r="A110" i="73"/>
  <c r="G110" i="73" s="1"/>
  <c r="E109" i="73"/>
  <c r="D109" i="73"/>
  <c r="C109" i="73"/>
  <c r="A109" i="73"/>
  <c r="G109" i="73" s="1"/>
  <c r="E108" i="73"/>
  <c r="D108" i="73"/>
  <c r="C108" i="73"/>
  <c r="A108" i="73"/>
  <c r="G108" i="73" s="1"/>
  <c r="E107" i="73"/>
  <c r="D107" i="73"/>
  <c r="E115" i="72"/>
  <c r="D115" i="72"/>
  <c r="C115" i="72"/>
  <c r="A115" i="72"/>
  <c r="G115" i="72" s="1"/>
  <c r="E114" i="72"/>
  <c r="D114" i="72"/>
  <c r="C114" i="72"/>
  <c r="A114" i="72"/>
  <c r="G114" i="72" s="1"/>
  <c r="E113" i="72"/>
  <c r="D113" i="72"/>
  <c r="C113" i="72"/>
  <c r="A113" i="72"/>
  <c r="G113" i="72" s="1"/>
  <c r="E112" i="72"/>
  <c r="D112" i="72"/>
  <c r="C112" i="72"/>
  <c r="A112" i="72"/>
  <c r="G112" i="72" s="1"/>
  <c r="E111" i="72"/>
  <c r="D111" i="72"/>
  <c r="C111" i="72"/>
  <c r="A111" i="72"/>
  <c r="G111" i="72" s="1"/>
  <c r="E110" i="72"/>
  <c r="D110" i="72"/>
  <c r="C110" i="72"/>
  <c r="A110" i="72"/>
  <c r="G110" i="72" s="1"/>
  <c r="E109" i="72"/>
  <c r="D109" i="72"/>
  <c r="C109" i="72"/>
  <c r="A109" i="72"/>
  <c r="G109" i="72" s="1"/>
  <c r="E108" i="72"/>
  <c r="D108" i="72"/>
  <c r="C108" i="72"/>
  <c r="A108" i="72"/>
  <c r="G108" i="72" s="1"/>
  <c r="E107" i="72"/>
  <c r="D107" i="72"/>
  <c r="E115" i="68"/>
  <c r="D115" i="68"/>
  <c r="C115" i="68"/>
  <c r="A115" i="68"/>
  <c r="G115" i="68" s="1"/>
  <c r="E114" i="68"/>
  <c r="D114" i="68"/>
  <c r="C114" i="68"/>
  <c r="A114" i="68"/>
  <c r="G114" i="68" s="1"/>
  <c r="E113" i="68"/>
  <c r="D113" i="68"/>
  <c r="C113" i="68"/>
  <c r="A113" i="68"/>
  <c r="G113" i="68" s="1"/>
  <c r="E112" i="68"/>
  <c r="D112" i="68"/>
  <c r="C112" i="68"/>
  <c r="A112" i="68"/>
  <c r="G112" i="68" s="1"/>
  <c r="E111" i="68"/>
  <c r="D111" i="68"/>
  <c r="C111" i="68"/>
  <c r="A111" i="68"/>
  <c r="G111" i="68" s="1"/>
  <c r="E110" i="68"/>
  <c r="D110" i="68"/>
  <c r="C110" i="68"/>
  <c r="A110" i="68"/>
  <c r="G110" i="68" s="1"/>
  <c r="E109" i="68"/>
  <c r="D109" i="68"/>
  <c r="C109" i="68"/>
  <c r="A109" i="68"/>
  <c r="G109" i="68" s="1"/>
  <c r="E108" i="68"/>
  <c r="D108" i="68"/>
  <c r="C108" i="68"/>
  <c r="A108" i="68"/>
  <c r="G108" i="68" s="1"/>
  <c r="E107" i="68"/>
  <c r="D107" i="68"/>
  <c r="A109" i="81"/>
  <c r="A110" i="81"/>
  <c r="A111" i="81"/>
  <c r="A112" i="81"/>
  <c r="A113" i="81"/>
  <c r="A114" i="81"/>
  <c r="A115" i="81"/>
  <c r="A108" i="81"/>
  <c r="E107" i="81"/>
  <c r="D107" i="81"/>
  <c r="C115" i="81"/>
  <c r="C114" i="81"/>
  <c r="C113" i="81"/>
  <c r="D113" i="81"/>
  <c r="E113" i="81"/>
  <c r="D114" i="81"/>
  <c r="E114" i="81"/>
  <c r="D115" i="81"/>
  <c r="E115" i="81"/>
  <c r="E112" i="81"/>
  <c r="D112" i="81"/>
  <c r="E111" i="81"/>
  <c r="D111" i="81"/>
  <c r="E110" i="81"/>
  <c r="D110" i="81"/>
  <c r="E109" i="81"/>
  <c r="D109" i="81"/>
  <c r="E108" i="81"/>
  <c r="D108" i="81"/>
  <c r="J75" i="68" l="1"/>
  <c r="K75" i="68"/>
  <c r="L75" i="68"/>
  <c r="M75" i="68"/>
  <c r="N75" i="68"/>
  <c r="O75" i="68"/>
  <c r="P75" i="68"/>
  <c r="Q75" i="68"/>
  <c r="R75" i="68"/>
  <c r="S75" i="68"/>
  <c r="T75" i="68"/>
  <c r="U75" i="68"/>
  <c r="V75" i="68"/>
  <c r="W75" i="68"/>
  <c r="X75" i="68"/>
  <c r="Y75" i="68"/>
  <c r="Z75" i="68"/>
  <c r="AA75" i="68"/>
  <c r="AB75" i="68"/>
  <c r="AC75" i="68"/>
  <c r="AD75" i="68"/>
  <c r="AE75" i="68"/>
  <c r="AF75" i="68"/>
  <c r="AG75" i="68"/>
  <c r="J76" i="68"/>
  <c r="K76" i="68"/>
  <c r="L76" i="68"/>
  <c r="M76" i="68"/>
  <c r="N76" i="68"/>
  <c r="O76" i="68"/>
  <c r="P76" i="68"/>
  <c r="Q76" i="68"/>
  <c r="R76" i="68"/>
  <c r="S76" i="68"/>
  <c r="T76" i="68"/>
  <c r="U76" i="68"/>
  <c r="V76" i="68"/>
  <c r="W76" i="68"/>
  <c r="X76" i="68"/>
  <c r="Y76" i="68"/>
  <c r="Z76" i="68"/>
  <c r="AA76" i="68"/>
  <c r="AB76" i="68"/>
  <c r="AC76" i="68"/>
  <c r="AD76" i="68"/>
  <c r="AE76" i="68"/>
  <c r="AF76" i="68"/>
  <c r="AG76" i="68"/>
  <c r="J77" i="68"/>
  <c r="K77" i="68"/>
  <c r="L77" i="68"/>
  <c r="M77" i="68"/>
  <c r="N77" i="68"/>
  <c r="O77" i="68"/>
  <c r="P77" i="68"/>
  <c r="Q77" i="68"/>
  <c r="R77" i="68"/>
  <c r="S77" i="68"/>
  <c r="T77" i="68"/>
  <c r="U77" i="68"/>
  <c r="V77" i="68"/>
  <c r="W77" i="68"/>
  <c r="X77" i="68"/>
  <c r="Y77" i="68"/>
  <c r="Z77" i="68"/>
  <c r="AA77" i="68"/>
  <c r="AB77" i="68"/>
  <c r="AC77" i="68"/>
  <c r="AD77" i="68"/>
  <c r="AE77" i="68"/>
  <c r="AF77" i="68"/>
  <c r="AG77" i="68"/>
  <c r="I77" i="68"/>
  <c r="I76" i="68"/>
  <c r="I75" i="68"/>
  <c r="J75" i="82"/>
  <c r="K75" i="82"/>
  <c r="L75" i="82"/>
  <c r="M75" i="82"/>
  <c r="N75" i="82"/>
  <c r="O75" i="82"/>
  <c r="P75" i="82"/>
  <c r="Q75" i="82"/>
  <c r="R75" i="82"/>
  <c r="S75" i="82"/>
  <c r="T75" i="82"/>
  <c r="U75" i="82"/>
  <c r="V75" i="82"/>
  <c r="W75" i="82"/>
  <c r="X75" i="82"/>
  <c r="Y75" i="82"/>
  <c r="Z75" i="82"/>
  <c r="AA75" i="82"/>
  <c r="AB75" i="82"/>
  <c r="AC75" i="82"/>
  <c r="AD75" i="82"/>
  <c r="AE75" i="82"/>
  <c r="AF75" i="82"/>
  <c r="AG75" i="82"/>
  <c r="J76" i="82"/>
  <c r="K76" i="82"/>
  <c r="L76" i="82"/>
  <c r="M76" i="82"/>
  <c r="N76" i="82"/>
  <c r="O76" i="82"/>
  <c r="P76" i="82"/>
  <c r="Q76" i="82"/>
  <c r="R76" i="82"/>
  <c r="S76" i="82"/>
  <c r="T76" i="82"/>
  <c r="U76" i="82"/>
  <c r="V76" i="82"/>
  <c r="W76" i="82"/>
  <c r="X76" i="82"/>
  <c r="Y76" i="82"/>
  <c r="Z76" i="82"/>
  <c r="AA76" i="82"/>
  <c r="AB76" i="82"/>
  <c r="AC76" i="82"/>
  <c r="AD76" i="82"/>
  <c r="AE76" i="82"/>
  <c r="AF76" i="82"/>
  <c r="AG76" i="82"/>
  <c r="J77" i="82"/>
  <c r="K77" i="82"/>
  <c r="L77" i="82"/>
  <c r="M77" i="82"/>
  <c r="N77" i="82"/>
  <c r="O77" i="82"/>
  <c r="P77" i="82"/>
  <c r="Q77" i="82"/>
  <c r="R77" i="82"/>
  <c r="S77" i="82"/>
  <c r="T77" i="82"/>
  <c r="U77" i="82"/>
  <c r="V77" i="82"/>
  <c r="W77" i="82"/>
  <c r="X77" i="82"/>
  <c r="Y77" i="82"/>
  <c r="Z77" i="82"/>
  <c r="AA77" i="82"/>
  <c r="AB77" i="82"/>
  <c r="AC77" i="82"/>
  <c r="AD77" i="82"/>
  <c r="AE77" i="82"/>
  <c r="AF77" i="82"/>
  <c r="AG77" i="82"/>
  <c r="I77" i="82"/>
  <c r="I76" i="82"/>
  <c r="I75" i="82"/>
  <c r="J75" i="73"/>
  <c r="K75" i="73"/>
  <c r="L75" i="73"/>
  <c r="M75" i="73"/>
  <c r="N75" i="73"/>
  <c r="O75" i="73"/>
  <c r="P75" i="73"/>
  <c r="Q75" i="73"/>
  <c r="R75" i="73"/>
  <c r="S75" i="73"/>
  <c r="T75" i="73"/>
  <c r="U75" i="73"/>
  <c r="V75" i="73"/>
  <c r="W75" i="73"/>
  <c r="X75" i="73"/>
  <c r="Y75" i="73"/>
  <c r="Z75" i="73"/>
  <c r="AA75" i="73"/>
  <c r="AB75" i="73"/>
  <c r="AC75" i="73"/>
  <c r="AD75" i="73"/>
  <c r="AE75" i="73"/>
  <c r="AF75" i="73"/>
  <c r="AG75" i="73"/>
  <c r="J76" i="73"/>
  <c r="K76" i="73"/>
  <c r="L76" i="73"/>
  <c r="M76" i="73"/>
  <c r="N76" i="73"/>
  <c r="O76" i="73"/>
  <c r="P76" i="73"/>
  <c r="Q76" i="73"/>
  <c r="R76" i="73"/>
  <c r="S76" i="73"/>
  <c r="T76" i="73"/>
  <c r="U76" i="73"/>
  <c r="V76" i="73"/>
  <c r="W76" i="73"/>
  <c r="X76" i="73"/>
  <c r="Y76" i="73"/>
  <c r="Z76" i="73"/>
  <c r="AA76" i="73"/>
  <c r="AB76" i="73"/>
  <c r="AC76" i="73"/>
  <c r="AD76" i="73"/>
  <c r="AE76" i="73"/>
  <c r="AF76" i="73"/>
  <c r="AG76" i="73"/>
  <c r="J77" i="73"/>
  <c r="K77" i="73"/>
  <c r="L77" i="73"/>
  <c r="M77" i="73"/>
  <c r="N77" i="73"/>
  <c r="O77" i="73"/>
  <c r="P77" i="73"/>
  <c r="Q77" i="73"/>
  <c r="R77" i="73"/>
  <c r="S77" i="73"/>
  <c r="T77" i="73"/>
  <c r="U77" i="73"/>
  <c r="V77" i="73"/>
  <c r="W77" i="73"/>
  <c r="X77" i="73"/>
  <c r="Y77" i="73"/>
  <c r="Z77" i="73"/>
  <c r="AA77" i="73"/>
  <c r="AB77" i="73"/>
  <c r="AC77" i="73"/>
  <c r="AD77" i="73"/>
  <c r="AE77" i="73"/>
  <c r="AF77" i="73"/>
  <c r="AG77" i="73"/>
  <c r="I77" i="73"/>
  <c r="I76" i="73"/>
  <c r="I75" i="73"/>
  <c r="J77" i="72"/>
  <c r="K77" i="72"/>
  <c r="L77" i="72"/>
  <c r="M77" i="72"/>
  <c r="N77" i="72"/>
  <c r="O77" i="72"/>
  <c r="P77" i="72"/>
  <c r="Q77" i="72"/>
  <c r="R77" i="72"/>
  <c r="S77" i="72"/>
  <c r="T77" i="72"/>
  <c r="U77" i="72"/>
  <c r="V77" i="72"/>
  <c r="W77" i="72"/>
  <c r="X77" i="72"/>
  <c r="Y77" i="72"/>
  <c r="Z77" i="72"/>
  <c r="AA77" i="72"/>
  <c r="AB77" i="72"/>
  <c r="AC77" i="72"/>
  <c r="AD77" i="72"/>
  <c r="AE77" i="72"/>
  <c r="AF77" i="72"/>
  <c r="AG77" i="72"/>
  <c r="I77" i="72"/>
  <c r="I76" i="72"/>
  <c r="I75" i="72"/>
  <c r="J77" i="81"/>
  <c r="K77" i="81"/>
  <c r="L77" i="81"/>
  <c r="M77" i="81"/>
  <c r="N77" i="81"/>
  <c r="O77" i="81"/>
  <c r="P77" i="81"/>
  <c r="Q77" i="81"/>
  <c r="R77" i="81"/>
  <c r="S77" i="81"/>
  <c r="T77" i="81"/>
  <c r="U77" i="81"/>
  <c r="V77" i="81"/>
  <c r="W77" i="81"/>
  <c r="X77" i="81"/>
  <c r="Y77" i="81"/>
  <c r="Z77" i="81"/>
  <c r="AA77" i="81"/>
  <c r="AB77" i="81"/>
  <c r="AC77" i="81"/>
  <c r="AD77" i="81"/>
  <c r="AE77" i="81"/>
  <c r="AF77" i="81"/>
  <c r="AG77" i="81"/>
  <c r="I77" i="81"/>
  <c r="I76" i="81"/>
  <c r="I75" i="81"/>
  <c r="H9" i="85"/>
  <c r="H98" i="75"/>
  <c r="R108" i="47"/>
  <c r="R109" i="47" s="1"/>
  <c r="R110" i="47" s="1"/>
  <c r="R111" i="47" s="1"/>
  <c r="R112" i="47" s="1"/>
  <c r="R113" i="47" s="1"/>
  <c r="D38" i="33" l="1"/>
  <c r="E16" i="47"/>
  <c r="F9" i="47" s="1"/>
  <c r="C22" i="85" l="1"/>
  <c r="C20" i="85"/>
  <c r="C18" i="85"/>
  <c r="C16" i="85"/>
  <c r="D48" i="33"/>
  <c r="C39" i="33"/>
  <c r="C89" i="85" a="1"/>
  <c r="C89" i="85" s="1"/>
  <c r="F38" i="33" s="1"/>
  <c r="C44" i="33"/>
  <c r="C46" i="33"/>
  <c r="H40" i="85"/>
  <c r="G37" i="75"/>
  <c r="D14" i="85"/>
  <c r="D70" i="85"/>
  <c r="D56" i="85"/>
  <c r="C78" i="85"/>
  <c r="C76" i="85"/>
  <c r="C74" i="85"/>
  <c r="C72" i="85"/>
  <c r="C64" i="85"/>
  <c r="C62" i="85"/>
  <c r="C60" i="85"/>
  <c r="C58" i="85"/>
  <c r="C50" i="85"/>
  <c r="C48" i="85"/>
  <c r="C46" i="85"/>
  <c r="C44" i="85"/>
  <c r="D42" i="85"/>
  <c r="B65" i="85" l="1"/>
  <c r="D65" i="85" s="1"/>
  <c r="B59" i="85"/>
  <c r="D59" i="85" s="1"/>
  <c r="B75" i="85"/>
  <c r="D75" i="85" s="1"/>
  <c r="B61" i="85"/>
  <c r="D61" i="85" s="1"/>
  <c r="B62" i="85"/>
  <c r="D62" i="85" s="1"/>
  <c r="K46" i="33"/>
  <c r="D47" i="33"/>
  <c r="H38" i="33"/>
  <c r="I38" i="33"/>
  <c r="J38" i="33"/>
  <c r="G38" i="33"/>
  <c r="B76" i="85"/>
  <c r="D76" i="85" s="1"/>
  <c r="B73" i="85"/>
  <c r="D73" i="85" s="1"/>
  <c r="B63" i="85"/>
  <c r="D63" i="85" s="1"/>
  <c r="B60" i="85"/>
  <c r="D60" i="85" s="1"/>
  <c r="B64" i="85"/>
  <c r="D64" i="85" s="1"/>
  <c r="B77" i="85"/>
  <c r="D77" i="85" s="1"/>
  <c r="B74" i="85"/>
  <c r="D74" i="85" s="1"/>
  <c r="B78" i="85"/>
  <c r="D78" i="85" s="1"/>
  <c r="B79" i="85"/>
  <c r="D79" i="85" s="1"/>
  <c r="B58" i="85"/>
  <c r="D58" i="85" s="1"/>
  <c r="B72" i="85"/>
  <c r="D72" i="85" s="1"/>
  <c r="C110" i="81"/>
  <c r="C112" i="81"/>
  <c r="C36" i="85"/>
  <c r="C108" i="81"/>
  <c r="C23" i="85"/>
  <c r="C21" i="85"/>
  <c r="C30" i="85" l="1"/>
  <c r="C32" i="85"/>
  <c r="C34" i="85"/>
  <c r="C19" i="85"/>
  <c r="C109" i="81"/>
  <c r="C17" i="85"/>
  <c r="C40" i="33"/>
  <c r="C42" i="33"/>
  <c r="C111" i="81"/>
  <c r="C61" i="85"/>
  <c r="C47" i="85"/>
  <c r="C75" i="85"/>
  <c r="C63" i="85"/>
  <c r="C49" i="85"/>
  <c r="C77" i="85"/>
  <c r="C45" i="85"/>
  <c r="C73" i="85"/>
  <c r="C59" i="85"/>
  <c r="C35" i="85"/>
  <c r="C51" i="85"/>
  <c r="C65" i="85"/>
  <c r="C79" i="85"/>
  <c r="C37" i="85"/>
  <c r="G70" i="75"/>
  <c r="G56" i="75"/>
  <c r="G42" i="75"/>
  <c r="G28" i="75"/>
  <c r="G14" i="75"/>
  <c r="C31" i="85" l="1"/>
  <c r="C33" i="85"/>
  <c r="C45" i="33"/>
  <c r="A6" i="85"/>
  <c r="A2" i="85"/>
  <c r="A1" i="85"/>
  <c r="C43" i="33" l="1"/>
  <c r="C41" i="33"/>
  <c r="C21" i="62"/>
  <c r="A1" i="81"/>
  <c r="A2" i="81"/>
  <c r="A1" i="68"/>
  <c r="A2" i="68"/>
  <c r="A2" i="72"/>
  <c r="A2" i="73"/>
  <c r="A2" i="82"/>
  <c r="A1" i="72"/>
  <c r="A1" i="73"/>
  <c r="A1" i="82"/>
  <c r="A1" i="75"/>
  <c r="A2" i="75"/>
  <c r="E9" i="47"/>
  <c r="I6" i="68"/>
  <c r="C9" i="33" a="1"/>
  <c r="C9" i="33" s="1"/>
  <c r="D92" i="75" l="1"/>
  <c r="D9" i="47" l="1"/>
  <c r="A6" i="75"/>
  <c r="I6" i="75" l="1"/>
  <c r="I6" i="85" s="1"/>
  <c r="H6" i="75"/>
  <c r="H6" i="85" s="1"/>
  <c r="H11" i="85" s="1" a="1"/>
  <c r="H11" i="85" s="1"/>
  <c r="G17" i="33"/>
  <c r="D29" i="33"/>
  <c r="I8" i="33"/>
  <c r="H8" i="33"/>
  <c r="A15" i="75"/>
  <c r="A29" i="75"/>
  <c r="A43" i="75"/>
  <c r="A57" i="75"/>
  <c r="A71" i="75"/>
  <c r="AG17" i="81"/>
  <c r="AF17" i="81"/>
  <c r="AE17" i="81"/>
  <c r="AD17" i="81"/>
  <c r="AC17" i="81"/>
  <c r="AB17" i="81"/>
  <c r="AA17" i="81"/>
  <c r="Z17" i="81"/>
  <c r="Y17" i="81"/>
  <c r="X17" i="81"/>
  <c r="W17" i="81"/>
  <c r="V17" i="81"/>
  <c r="U17" i="81"/>
  <c r="T17" i="81"/>
  <c r="S17" i="81"/>
  <c r="R17" i="81"/>
  <c r="Q17" i="81"/>
  <c r="P17" i="81"/>
  <c r="O17" i="81"/>
  <c r="N17" i="81"/>
  <c r="M17" i="81"/>
  <c r="L17" i="81"/>
  <c r="K17" i="81"/>
  <c r="J17" i="81"/>
  <c r="I17" i="81"/>
  <c r="AG32" i="82" a="1"/>
  <c r="AG32" i="82" s="1"/>
  <c r="AF32" i="82" a="1"/>
  <c r="AF32" i="82" s="1"/>
  <c r="AE32" i="82" a="1"/>
  <c r="AE32" i="82" s="1"/>
  <c r="AD32" i="82" a="1"/>
  <c r="AD32" i="82" s="1"/>
  <c r="AC32" i="82" a="1"/>
  <c r="AC32" i="82" s="1"/>
  <c r="AB32" i="82" a="1"/>
  <c r="AB32" i="82" s="1"/>
  <c r="AA32" i="82" a="1"/>
  <c r="AA32" i="82" s="1"/>
  <c r="Z32" i="82" a="1"/>
  <c r="Z32" i="82" s="1"/>
  <c r="Y32" i="82" a="1"/>
  <c r="Y32" i="82" s="1"/>
  <c r="X32" i="82" a="1"/>
  <c r="X32" i="82" s="1"/>
  <c r="W32" i="82" a="1"/>
  <c r="W32" i="82" s="1"/>
  <c r="V32" i="82" a="1"/>
  <c r="V32" i="82" s="1"/>
  <c r="U32" i="82" a="1"/>
  <c r="U32" i="82" s="1"/>
  <c r="T32" i="82" a="1"/>
  <c r="T32" i="82" s="1"/>
  <c r="S32" i="82" a="1"/>
  <c r="S32" i="82" s="1"/>
  <c r="R32" i="82" a="1"/>
  <c r="R32" i="82" s="1"/>
  <c r="Q32" i="82" a="1"/>
  <c r="Q32" i="82" s="1"/>
  <c r="P32" i="82" a="1"/>
  <c r="P32" i="82" s="1"/>
  <c r="O32" i="82" a="1"/>
  <c r="O32" i="82" s="1"/>
  <c r="N32" i="82" a="1"/>
  <c r="N32" i="82" s="1"/>
  <c r="M32" i="82" a="1"/>
  <c r="M32" i="82" s="1"/>
  <c r="L32" i="82" a="1"/>
  <c r="L32" i="82" s="1"/>
  <c r="K32" i="82" a="1"/>
  <c r="K32" i="82" s="1"/>
  <c r="J32" i="82" a="1"/>
  <c r="J32" i="82" s="1"/>
  <c r="I32" i="82" a="1"/>
  <c r="I32" i="82" s="1"/>
  <c r="AG17" i="82"/>
  <c r="AF17" i="82"/>
  <c r="AE17" i="82"/>
  <c r="AD17" i="82"/>
  <c r="AC17" i="82"/>
  <c r="AB17" i="82"/>
  <c r="AA17" i="82"/>
  <c r="Z17" i="82"/>
  <c r="Y17" i="82"/>
  <c r="X17" i="82"/>
  <c r="W17" i="82"/>
  <c r="V17" i="82"/>
  <c r="U17" i="82"/>
  <c r="T17" i="82"/>
  <c r="S17" i="82"/>
  <c r="R17" i="82"/>
  <c r="Q17" i="82"/>
  <c r="P17" i="82"/>
  <c r="O17" i="82"/>
  <c r="N17" i="82"/>
  <c r="M17" i="82"/>
  <c r="L17" i="82"/>
  <c r="K17" i="82"/>
  <c r="J17" i="82"/>
  <c r="I17" i="82"/>
  <c r="AG32" i="73" a="1"/>
  <c r="AG32" i="73" s="1"/>
  <c r="AF32" i="73" a="1"/>
  <c r="AF32" i="73" s="1"/>
  <c r="AE32" i="73" a="1"/>
  <c r="AE32" i="73" s="1"/>
  <c r="AD32" i="73" a="1"/>
  <c r="AD32" i="73" s="1"/>
  <c r="AC32" i="73" a="1"/>
  <c r="AC32" i="73" s="1"/>
  <c r="AB32" i="73" a="1"/>
  <c r="AB32" i="73" s="1"/>
  <c r="AA32" i="73" a="1"/>
  <c r="AA32" i="73" s="1"/>
  <c r="Z32" i="73" a="1"/>
  <c r="Z32" i="73" s="1"/>
  <c r="Y32" i="73" a="1"/>
  <c r="Y32" i="73" s="1"/>
  <c r="X32" i="73" a="1"/>
  <c r="X32" i="73" s="1"/>
  <c r="W32" i="73" a="1"/>
  <c r="W32" i="73" s="1"/>
  <c r="V32" i="73" a="1"/>
  <c r="V32" i="73" s="1"/>
  <c r="U32" i="73" a="1"/>
  <c r="U32" i="73" s="1"/>
  <c r="T32" i="73" a="1"/>
  <c r="T32" i="73" s="1"/>
  <c r="S32" i="73" a="1"/>
  <c r="S32" i="73" s="1"/>
  <c r="R32" i="73" a="1"/>
  <c r="R32" i="73" s="1"/>
  <c r="Q32" i="73" a="1"/>
  <c r="Q32" i="73" s="1"/>
  <c r="P32" i="73" a="1"/>
  <c r="P32" i="73" s="1"/>
  <c r="O32" i="73" a="1"/>
  <c r="O32" i="73" s="1"/>
  <c r="N32" i="73" a="1"/>
  <c r="N32" i="73" s="1"/>
  <c r="M32" i="73" a="1"/>
  <c r="M32" i="73" s="1"/>
  <c r="L32" i="73" a="1"/>
  <c r="L32" i="73" s="1"/>
  <c r="K32" i="73" a="1"/>
  <c r="K32" i="73" s="1"/>
  <c r="J32" i="73" a="1"/>
  <c r="J32" i="73" s="1"/>
  <c r="I32" i="73" a="1"/>
  <c r="I32" i="73" s="1"/>
  <c r="AG17" i="73"/>
  <c r="AF17" i="73"/>
  <c r="AE17" i="73"/>
  <c r="AD17" i="73"/>
  <c r="AC17" i="73"/>
  <c r="AB17" i="73"/>
  <c r="AA17" i="73"/>
  <c r="Z17" i="73"/>
  <c r="Y17" i="73"/>
  <c r="X17" i="73"/>
  <c r="W17" i="73"/>
  <c r="V17" i="73"/>
  <c r="U17" i="73"/>
  <c r="T17" i="73"/>
  <c r="S17" i="73"/>
  <c r="R17" i="73"/>
  <c r="Q17" i="73"/>
  <c r="P17" i="73"/>
  <c r="O17" i="73"/>
  <c r="N17" i="73"/>
  <c r="M17" i="73"/>
  <c r="L17" i="73"/>
  <c r="K17" i="73"/>
  <c r="J17" i="73"/>
  <c r="I17" i="73"/>
  <c r="AG81" i="81"/>
  <c r="AG67" i="81"/>
  <c r="AG66" i="81"/>
  <c r="AG65" i="81"/>
  <c r="AG81" i="72"/>
  <c r="AG67" i="72"/>
  <c r="AG66" i="72"/>
  <c r="AG65" i="72"/>
  <c r="AG17" i="72"/>
  <c r="AG81" i="73"/>
  <c r="AG67" i="73"/>
  <c r="AG66" i="73"/>
  <c r="AG65" i="73"/>
  <c r="AG81" i="82"/>
  <c r="AG67" i="82"/>
  <c r="AG66" i="82"/>
  <c r="AG65" i="82"/>
  <c r="AG82" i="68"/>
  <c r="AG81" i="68"/>
  <c r="AG67" i="68"/>
  <c r="AG66" i="68"/>
  <c r="AG65" i="68"/>
  <c r="AG98" i="75"/>
  <c r="AG17" i="68"/>
  <c r="AF81" i="81"/>
  <c r="AF67" i="81"/>
  <c r="AF66" i="81"/>
  <c r="AF65" i="81"/>
  <c r="AF81" i="72"/>
  <c r="AF67" i="72"/>
  <c r="AF66" i="72"/>
  <c r="AF65" i="72"/>
  <c r="AF17" i="72"/>
  <c r="AF81" i="73"/>
  <c r="AF67" i="73"/>
  <c r="AF66" i="73"/>
  <c r="AF65" i="73"/>
  <c r="AF81" i="82"/>
  <c r="AF67" i="82"/>
  <c r="AF66" i="82"/>
  <c r="AF65" i="82"/>
  <c r="AF82" i="68"/>
  <c r="AF81" i="68"/>
  <c r="AF67" i="68"/>
  <c r="AF66" i="68"/>
  <c r="AF65" i="68"/>
  <c r="AF98" i="75"/>
  <c r="AF17" i="68"/>
  <c r="AE81" i="81"/>
  <c r="AE67" i="81"/>
  <c r="AE66" i="81"/>
  <c r="AE65" i="81"/>
  <c r="AE81" i="72"/>
  <c r="AE67" i="72"/>
  <c r="AE66" i="72"/>
  <c r="AE65" i="72"/>
  <c r="AE17" i="72"/>
  <c r="AE81" i="73"/>
  <c r="AE67" i="73"/>
  <c r="AE66" i="73"/>
  <c r="AE65" i="73"/>
  <c r="AE81" i="82"/>
  <c r="AE67" i="82"/>
  <c r="AE66" i="82"/>
  <c r="AE65" i="82"/>
  <c r="AE82" i="68"/>
  <c r="AE81" i="68"/>
  <c r="AE67" i="68"/>
  <c r="AE66" i="68"/>
  <c r="AE65" i="68"/>
  <c r="AE98" i="75"/>
  <c r="AE17" i="68"/>
  <c r="AD81" i="81"/>
  <c r="AD67" i="81"/>
  <c r="AD66" i="81"/>
  <c r="AD65" i="81"/>
  <c r="AD81" i="72"/>
  <c r="AD67" i="72"/>
  <c r="AD66" i="72"/>
  <c r="AD65" i="72"/>
  <c r="AD17" i="72"/>
  <c r="AD81" i="73"/>
  <c r="AD67" i="73"/>
  <c r="AD66" i="73"/>
  <c r="AD65" i="73"/>
  <c r="AD81" i="82"/>
  <c r="AD67" i="82"/>
  <c r="AD66" i="82"/>
  <c r="AD65" i="82"/>
  <c r="AD82" i="68"/>
  <c r="AD81" i="68"/>
  <c r="AD67" i="68"/>
  <c r="AD66" i="68"/>
  <c r="AD65" i="68"/>
  <c r="AD98" i="75"/>
  <c r="AD17" i="68"/>
  <c r="AC81" i="81"/>
  <c r="AC67" i="81"/>
  <c r="AC66" i="81"/>
  <c r="AC65" i="81"/>
  <c r="AC81" i="72"/>
  <c r="AC67" i="72"/>
  <c r="AC66" i="72"/>
  <c r="AC65" i="72"/>
  <c r="AC17" i="72"/>
  <c r="AC81" i="73"/>
  <c r="AC67" i="73"/>
  <c r="AC66" i="73"/>
  <c r="AC65" i="73"/>
  <c r="AC81" i="82"/>
  <c r="AC67" i="82"/>
  <c r="AC66" i="82"/>
  <c r="AC65" i="82"/>
  <c r="AC82" i="68"/>
  <c r="AC81" i="68"/>
  <c r="AC67" i="68"/>
  <c r="AC66" i="68"/>
  <c r="AC65" i="68"/>
  <c r="AC98" i="75"/>
  <c r="AC17" i="68"/>
  <c r="G81" i="75"/>
  <c r="G80" i="75"/>
  <c r="G79" i="75"/>
  <c r="G67" i="75"/>
  <c r="G66" i="75"/>
  <c r="G65" i="75"/>
  <c r="G53" i="75"/>
  <c r="G52" i="75"/>
  <c r="G51" i="75"/>
  <c r="G39" i="75"/>
  <c r="G38" i="75"/>
  <c r="G23" i="75"/>
  <c r="G24" i="75"/>
  <c r="G25" i="75"/>
  <c r="A30" i="75" l="1"/>
  <c r="A31" i="75" s="1"/>
  <c r="A32" i="75" s="1"/>
  <c r="A33" i="75" s="1"/>
  <c r="A34" i="75" s="1"/>
  <c r="A35" i="75" s="1"/>
  <c r="A36" i="75" s="1"/>
  <c r="A37" i="75" s="1"/>
  <c r="A38" i="75" s="1"/>
  <c r="A39" i="75" s="1"/>
  <c r="A28" i="75"/>
  <c r="D28" i="75" s="1"/>
  <c r="A16" i="75"/>
  <c r="A92" i="75" s="1"/>
  <c r="A14" i="75"/>
  <c r="D14" i="75" s="1"/>
  <c r="A72" i="75"/>
  <c r="A73" i="75" s="1"/>
  <c r="A74" i="75" s="1"/>
  <c r="A75" i="75" s="1"/>
  <c r="A76" i="75" s="1"/>
  <c r="A77" i="75" s="1"/>
  <c r="A78" i="75" s="1"/>
  <c r="A79" i="75" s="1"/>
  <c r="A80" i="75" s="1"/>
  <c r="A81" i="75" s="1"/>
  <c r="A70" i="75"/>
  <c r="D70" i="75" s="1"/>
  <c r="A58" i="75"/>
  <c r="A59" i="75" s="1"/>
  <c r="A60" i="75" s="1"/>
  <c r="A61" i="75" s="1"/>
  <c r="A62" i="75" s="1"/>
  <c r="A63" i="75" s="1"/>
  <c r="A64" i="75" s="1"/>
  <c r="A65" i="75" s="1"/>
  <c r="A66" i="75" s="1"/>
  <c r="A67" i="75" s="1"/>
  <c r="A56" i="75"/>
  <c r="D56" i="75" s="1"/>
  <c r="A44" i="75"/>
  <c r="A45" i="75" s="1"/>
  <c r="A46" i="75" s="1"/>
  <c r="A47" i="75" s="1"/>
  <c r="A48" i="75" s="1"/>
  <c r="A49" i="75" s="1"/>
  <c r="A50" i="75" s="1"/>
  <c r="A51" i="75" s="1"/>
  <c r="A52" i="75" s="1"/>
  <c r="A53" i="75" s="1"/>
  <c r="A42" i="75"/>
  <c r="D42" i="75" s="1"/>
  <c r="H5" i="85"/>
  <c r="H11" i="75" a="1"/>
  <c r="H11" i="75" s="1"/>
  <c r="G88" i="73" a="1"/>
  <c r="G88" i="73" s="1"/>
  <c r="AF15" i="75"/>
  <c r="AG15" i="75"/>
  <c r="AE15" i="75"/>
  <c r="AD15" i="75"/>
  <c r="AC15" i="75"/>
  <c r="AB17" i="72"/>
  <c r="AA17" i="72"/>
  <c r="Z17" i="72"/>
  <c r="Y17" i="72"/>
  <c r="X17" i="72"/>
  <c r="W17" i="72"/>
  <c r="V17" i="72"/>
  <c r="U17" i="72"/>
  <c r="T17" i="72"/>
  <c r="S17" i="72"/>
  <c r="R17" i="72"/>
  <c r="Q17" i="72"/>
  <c r="P17" i="72"/>
  <c r="O17" i="72"/>
  <c r="N17" i="72"/>
  <c r="M17" i="72"/>
  <c r="L17" i="72"/>
  <c r="K17" i="72"/>
  <c r="J17" i="72"/>
  <c r="I17" i="72"/>
  <c r="A17" i="75" l="1"/>
  <c r="A18" i="75" s="1"/>
  <c r="A19" i="75" s="1"/>
  <c r="A20" i="75" s="1"/>
  <c r="A21" i="75" s="1"/>
  <c r="A22" i="75" s="1"/>
  <c r="A23" i="75" s="1"/>
  <c r="C62" i="43"/>
  <c r="G71" i="43"/>
  <c r="G70" i="43"/>
  <c r="G69" i="43"/>
  <c r="G68" i="43"/>
  <c r="G67" i="43"/>
  <c r="G66" i="43"/>
  <c r="G65" i="43"/>
  <c r="G64" i="43"/>
  <c r="G63" i="43"/>
  <c r="C64" i="43"/>
  <c r="C65" i="43"/>
  <c r="C66" i="43"/>
  <c r="C67" i="43"/>
  <c r="C68" i="43"/>
  <c r="C69" i="43"/>
  <c r="C70" i="43"/>
  <c r="C71" i="43"/>
  <c r="C63" i="43"/>
  <c r="A24" i="75" l="1"/>
  <c r="A25" i="75" s="1"/>
  <c r="A99" i="75"/>
  <c r="H99" i="75" s="1"/>
  <c r="D91" i="75"/>
  <c r="N7" i="68" l="1"/>
  <c r="O7" i="68" s="1"/>
  <c r="P7" i="68" s="1"/>
  <c r="Q7" i="68" s="1"/>
  <c r="R7" i="68" s="1"/>
  <c r="S7" i="68" s="1"/>
  <c r="T7" i="68" s="1"/>
  <c r="U7" i="68" s="1"/>
  <c r="V7" i="68" s="1"/>
  <c r="W7" i="68" s="1"/>
  <c r="X7" i="68" s="1"/>
  <c r="Y7" i="68" s="1"/>
  <c r="Z7" i="68" s="1"/>
  <c r="AA7" i="68" s="1"/>
  <c r="AB7" i="68" s="1"/>
  <c r="AC7" i="68" s="1"/>
  <c r="M7" i="68"/>
  <c r="L7" i="68"/>
  <c r="K7" i="68"/>
  <c r="J7" i="68"/>
  <c r="I7" i="68"/>
  <c r="AC7" i="81" l="1"/>
  <c r="AC43" i="81" s="1"/>
  <c r="AC7" i="73"/>
  <c r="AC43" i="73" s="1"/>
  <c r="AD7" i="68"/>
  <c r="AC7" i="82"/>
  <c r="AC43" i="68"/>
  <c r="AC7" i="72"/>
  <c r="AC43" i="72" s="1"/>
  <c r="AC43" i="82" l="1"/>
  <c r="AD7" i="81"/>
  <c r="AD43" i="81" s="1"/>
  <c r="AD7" i="73"/>
  <c r="AD43" i="73" s="1"/>
  <c r="AD43" i="68"/>
  <c r="AE7" i="68"/>
  <c r="AD7" i="82"/>
  <c r="AD7" i="72"/>
  <c r="AD43" i="72" s="1"/>
  <c r="AE7" i="81" l="1"/>
  <c r="AE43" i="81" s="1"/>
  <c r="AF7" i="68"/>
  <c r="AE7" i="82"/>
  <c r="AE43" i="68"/>
  <c r="AE7" i="73"/>
  <c r="AE7" i="72"/>
  <c r="AE43" i="72" s="1"/>
  <c r="AD43" i="82"/>
  <c r="G44" i="75"/>
  <c r="C44" i="75"/>
  <c r="G58" i="75"/>
  <c r="C58" i="75"/>
  <c r="G72" i="75"/>
  <c r="C72" i="75"/>
  <c r="AE43" i="73" l="1"/>
  <c r="AE43" i="82"/>
  <c r="AF7" i="81"/>
  <c r="AF43" i="81" s="1"/>
  <c r="AG7" i="68"/>
  <c r="AF7" i="73"/>
  <c r="AF43" i="73" s="1"/>
  <c r="AF7" i="82"/>
  <c r="AF43" i="68"/>
  <c r="AF7" i="72"/>
  <c r="AF43" i="72" s="1"/>
  <c r="G30" i="75"/>
  <c r="C30" i="75"/>
  <c r="C16" i="75"/>
  <c r="G16" i="75"/>
  <c r="AG7" i="81" l="1"/>
  <c r="AG43" i="81" s="1"/>
  <c r="AG7" i="73"/>
  <c r="AG7" i="82"/>
  <c r="AG43" i="68"/>
  <c r="AG7" i="72"/>
  <c r="AG43" i="72" s="1"/>
  <c r="AF43" i="82"/>
  <c r="D17" i="75"/>
  <c r="H92" i="75"/>
  <c r="D16" i="75"/>
  <c r="AG43" i="73" l="1"/>
  <c r="AG43" i="82"/>
  <c r="AB82" i="68" l="1"/>
  <c r="AA82" i="68"/>
  <c r="Z82" i="68"/>
  <c r="Y82" i="68"/>
  <c r="X82" i="68"/>
  <c r="W82" i="68"/>
  <c r="V82" i="68"/>
  <c r="U82" i="68"/>
  <c r="T82" i="68"/>
  <c r="S82" i="68"/>
  <c r="R82" i="68"/>
  <c r="Q82" i="68"/>
  <c r="P82" i="68"/>
  <c r="O82" i="68"/>
  <c r="N82" i="68"/>
  <c r="M82" i="68"/>
  <c r="L82" i="68"/>
  <c r="K82" i="68"/>
  <c r="J82" i="68"/>
  <c r="I82" i="68"/>
  <c r="AB81" i="68"/>
  <c r="AA81" i="68"/>
  <c r="Z81" i="68"/>
  <c r="Y81" i="68"/>
  <c r="X81" i="68"/>
  <c r="W81" i="68"/>
  <c r="V81" i="68"/>
  <c r="U81" i="68"/>
  <c r="T81" i="68"/>
  <c r="S81" i="68"/>
  <c r="R81" i="68"/>
  <c r="Q81" i="68"/>
  <c r="P81" i="68"/>
  <c r="O81" i="68"/>
  <c r="N81" i="68"/>
  <c r="M81" i="68"/>
  <c r="L81" i="68"/>
  <c r="K81" i="68"/>
  <c r="J81" i="68"/>
  <c r="I81" i="68"/>
  <c r="AB81" i="81"/>
  <c r="AA81" i="81"/>
  <c r="Z81" i="81"/>
  <c r="Y81" i="81"/>
  <c r="X81" i="81"/>
  <c r="W81" i="81"/>
  <c r="V81" i="81"/>
  <c r="U81" i="81"/>
  <c r="T81" i="81"/>
  <c r="S81" i="81"/>
  <c r="R81" i="81"/>
  <c r="Q81" i="81"/>
  <c r="P81" i="81"/>
  <c r="O81" i="81"/>
  <c r="N81" i="81"/>
  <c r="M81" i="81"/>
  <c r="L81" i="81"/>
  <c r="K81" i="81"/>
  <c r="J81" i="81"/>
  <c r="I81" i="81"/>
  <c r="AB81" i="82"/>
  <c r="AA81" i="82"/>
  <c r="Z81" i="82"/>
  <c r="Y81" i="82"/>
  <c r="X81" i="82"/>
  <c r="W81" i="82"/>
  <c r="V81" i="82"/>
  <c r="U81" i="82"/>
  <c r="T81" i="82"/>
  <c r="S81" i="82"/>
  <c r="R81" i="82"/>
  <c r="Q81" i="82"/>
  <c r="P81" i="82"/>
  <c r="O81" i="82"/>
  <c r="N81" i="82"/>
  <c r="M81" i="82"/>
  <c r="L81" i="82"/>
  <c r="K81" i="82"/>
  <c r="J81" i="82"/>
  <c r="I81" i="82"/>
  <c r="J81" i="73"/>
  <c r="K81" i="73"/>
  <c r="L81" i="73"/>
  <c r="M81" i="73"/>
  <c r="N81" i="73"/>
  <c r="O81" i="73"/>
  <c r="P81" i="73"/>
  <c r="Q81" i="73"/>
  <c r="R81" i="73"/>
  <c r="S81" i="73"/>
  <c r="T81" i="73"/>
  <c r="U81" i="73"/>
  <c r="V81" i="73"/>
  <c r="W81" i="73"/>
  <c r="X81" i="73"/>
  <c r="Y81" i="73"/>
  <c r="Z81" i="73"/>
  <c r="AA81" i="73"/>
  <c r="AB81" i="73"/>
  <c r="I81" i="73"/>
  <c r="J81" i="72"/>
  <c r="K81" i="72"/>
  <c r="L81" i="72"/>
  <c r="M81" i="72"/>
  <c r="N81" i="72"/>
  <c r="O81" i="72"/>
  <c r="P81" i="72"/>
  <c r="Q81" i="72"/>
  <c r="R81" i="72"/>
  <c r="S81" i="72"/>
  <c r="T81" i="72"/>
  <c r="U81" i="72"/>
  <c r="V81" i="72"/>
  <c r="W81" i="72"/>
  <c r="X81" i="72"/>
  <c r="Y81" i="72"/>
  <c r="Z81" i="72"/>
  <c r="AA81" i="72"/>
  <c r="AB81" i="72"/>
  <c r="I81" i="72"/>
  <c r="C78" i="75"/>
  <c r="C77" i="75"/>
  <c r="C76" i="75"/>
  <c r="C75" i="75"/>
  <c r="C74" i="75"/>
  <c r="C71" i="75"/>
  <c r="C64" i="75"/>
  <c r="C57" i="75"/>
  <c r="C63" i="75"/>
  <c r="C62" i="75"/>
  <c r="C61" i="75"/>
  <c r="C60" i="75"/>
  <c r="K65" i="82"/>
  <c r="M65" i="81"/>
  <c r="L65" i="81"/>
  <c r="I65" i="81"/>
  <c r="J65" i="81"/>
  <c r="K65" i="81"/>
  <c r="N65" i="81"/>
  <c r="O65" i="81"/>
  <c r="P65" i="81"/>
  <c r="Q65" i="81"/>
  <c r="R65" i="81"/>
  <c r="S65" i="81"/>
  <c r="T65" i="81"/>
  <c r="U65" i="81"/>
  <c r="V65" i="81"/>
  <c r="W65" i="81"/>
  <c r="X65" i="81"/>
  <c r="Y65" i="81"/>
  <c r="Z65" i="81"/>
  <c r="AA65" i="81"/>
  <c r="AB65" i="81"/>
  <c r="J66" i="81"/>
  <c r="K66" i="81"/>
  <c r="L66" i="81"/>
  <c r="M66" i="81"/>
  <c r="N66" i="81"/>
  <c r="O66" i="81"/>
  <c r="P66" i="81"/>
  <c r="Q66" i="81"/>
  <c r="R66" i="81"/>
  <c r="S66" i="81"/>
  <c r="T66" i="81"/>
  <c r="U66" i="81"/>
  <c r="V66" i="81"/>
  <c r="W66" i="81"/>
  <c r="X66" i="81"/>
  <c r="Y66" i="81"/>
  <c r="Z66" i="81"/>
  <c r="AA66" i="81"/>
  <c r="AB66" i="81"/>
  <c r="J67" i="81"/>
  <c r="K67" i="81"/>
  <c r="L67" i="81"/>
  <c r="M67" i="81"/>
  <c r="N67" i="81"/>
  <c r="O67" i="81"/>
  <c r="P67" i="81"/>
  <c r="Q67" i="81"/>
  <c r="R67" i="81"/>
  <c r="S67" i="81"/>
  <c r="T67" i="81"/>
  <c r="U67" i="81"/>
  <c r="V67" i="81"/>
  <c r="W67" i="81"/>
  <c r="X67" i="81"/>
  <c r="Y67" i="81"/>
  <c r="Z67" i="81"/>
  <c r="AA67" i="81"/>
  <c r="AB67" i="81"/>
  <c r="J65" i="72"/>
  <c r="K65" i="72"/>
  <c r="L65" i="72"/>
  <c r="M65" i="72"/>
  <c r="N65" i="72"/>
  <c r="O65" i="72"/>
  <c r="P65" i="72"/>
  <c r="Q65" i="72"/>
  <c r="R65" i="72"/>
  <c r="S65" i="72"/>
  <c r="T65" i="72"/>
  <c r="U65" i="72"/>
  <c r="V65" i="72"/>
  <c r="W65" i="72"/>
  <c r="X65" i="72"/>
  <c r="Y65" i="72"/>
  <c r="Z65" i="72"/>
  <c r="AA65" i="72"/>
  <c r="AB65" i="72"/>
  <c r="J66" i="72"/>
  <c r="K66" i="72"/>
  <c r="L66" i="72"/>
  <c r="M66" i="72"/>
  <c r="N66" i="72"/>
  <c r="O66" i="72"/>
  <c r="P66" i="72"/>
  <c r="Q66" i="72"/>
  <c r="R66" i="72"/>
  <c r="S66" i="72"/>
  <c r="T66" i="72"/>
  <c r="U66" i="72"/>
  <c r="V66" i="72"/>
  <c r="W66" i="72"/>
  <c r="X66" i="72"/>
  <c r="Y66" i="72"/>
  <c r="Z66" i="72"/>
  <c r="AA66" i="72"/>
  <c r="AB66" i="72"/>
  <c r="J67" i="72"/>
  <c r="K67" i="72"/>
  <c r="L67" i="72"/>
  <c r="M67" i="72"/>
  <c r="N67" i="72"/>
  <c r="O67" i="72"/>
  <c r="P67" i="72"/>
  <c r="Q67" i="72"/>
  <c r="R67" i="72"/>
  <c r="S67" i="72"/>
  <c r="T67" i="72"/>
  <c r="U67" i="72"/>
  <c r="V67" i="72"/>
  <c r="W67" i="72"/>
  <c r="X67" i="72"/>
  <c r="Y67" i="72"/>
  <c r="Z67" i="72"/>
  <c r="AA67" i="72"/>
  <c r="AB67" i="72"/>
  <c r="J65" i="73"/>
  <c r="K65" i="73"/>
  <c r="L65" i="73"/>
  <c r="M65" i="73"/>
  <c r="N65" i="73"/>
  <c r="O65" i="73"/>
  <c r="P65" i="73"/>
  <c r="Q65" i="73"/>
  <c r="R65" i="73"/>
  <c r="S65" i="73"/>
  <c r="T65" i="73"/>
  <c r="U65" i="73"/>
  <c r="V65" i="73"/>
  <c r="W65" i="73"/>
  <c r="X65" i="73"/>
  <c r="Y65" i="73"/>
  <c r="Z65" i="73"/>
  <c r="AA65" i="73"/>
  <c r="AB65" i="73"/>
  <c r="J66" i="73"/>
  <c r="K66" i="73"/>
  <c r="L66" i="73"/>
  <c r="M66" i="73"/>
  <c r="N66" i="73"/>
  <c r="O66" i="73"/>
  <c r="P66" i="73"/>
  <c r="Q66" i="73"/>
  <c r="R66" i="73"/>
  <c r="S66" i="73"/>
  <c r="T66" i="73"/>
  <c r="U66" i="73"/>
  <c r="V66" i="73"/>
  <c r="W66" i="73"/>
  <c r="X66" i="73"/>
  <c r="Y66" i="73"/>
  <c r="Z66" i="73"/>
  <c r="AA66" i="73"/>
  <c r="AB66" i="73"/>
  <c r="J67" i="73"/>
  <c r="K67" i="73"/>
  <c r="L67" i="73"/>
  <c r="M67" i="73"/>
  <c r="N67" i="73"/>
  <c r="O67" i="73"/>
  <c r="P67" i="73"/>
  <c r="Q67" i="73"/>
  <c r="R67" i="73"/>
  <c r="S67" i="73"/>
  <c r="T67" i="73"/>
  <c r="U67" i="73"/>
  <c r="V67" i="73"/>
  <c r="W67" i="73"/>
  <c r="X67" i="73"/>
  <c r="Y67" i="73"/>
  <c r="Z67" i="73"/>
  <c r="AA67" i="73"/>
  <c r="AB67" i="73"/>
  <c r="J65" i="82"/>
  <c r="L65" i="82"/>
  <c r="M65" i="82"/>
  <c r="N65" i="82"/>
  <c r="O65" i="82"/>
  <c r="P65" i="82"/>
  <c r="Q65" i="82"/>
  <c r="R65" i="82"/>
  <c r="S65" i="82"/>
  <c r="T65" i="82"/>
  <c r="U65" i="82"/>
  <c r="V65" i="82"/>
  <c r="W65" i="82"/>
  <c r="X65" i="82"/>
  <c r="Y65" i="82"/>
  <c r="Z65" i="82"/>
  <c r="AA65" i="82"/>
  <c r="AB65" i="82"/>
  <c r="J66" i="82"/>
  <c r="K66" i="82"/>
  <c r="L66" i="82"/>
  <c r="M66" i="82"/>
  <c r="N66" i="82"/>
  <c r="O66" i="82"/>
  <c r="P66" i="82"/>
  <c r="Q66" i="82"/>
  <c r="R66" i="82"/>
  <c r="S66" i="82"/>
  <c r="T66" i="82"/>
  <c r="U66" i="82"/>
  <c r="V66" i="82"/>
  <c r="W66" i="82"/>
  <c r="X66" i="82"/>
  <c r="Y66" i="82"/>
  <c r="Z66" i="82"/>
  <c r="AA66" i="82"/>
  <c r="AB66" i="82"/>
  <c r="J67" i="82"/>
  <c r="K67" i="82"/>
  <c r="L67" i="82"/>
  <c r="M67" i="82"/>
  <c r="N67" i="82"/>
  <c r="O67" i="82"/>
  <c r="P67" i="82"/>
  <c r="Q67" i="82"/>
  <c r="R67" i="82"/>
  <c r="S67" i="82"/>
  <c r="T67" i="82"/>
  <c r="U67" i="82"/>
  <c r="V67" i="82"/>
  <c r="W67" i="82"/>
  <c r="X67" i="82"/>
  <c r="Y67" i="82"/>
  <c r="Z67" i="82"/>
  <c r="AA67" i="82"/>
  <c r="AB67" i="82"/>
  <c r="J65" i="68"/>
  <c r="K65" i="68"/>
  <c r="L65" i="68"/>
  <c r="M65" i="68"/>
  <c r="N65" i="68"/>
  <c r="O65" i="68"/>
  <c r="P65" i="68"/>
  <c r="Q65" i="68"/>
  <c r="R65" i="68"/>
  <c r="S65" i="68"/>
  <c r="T65" i="68"/>
  <c r="U65" i="68"/>
  <c r="V65" i="68"/>
  <c r="W65" i="68"/>
  <c r="X65" i="68"/>
  <c r="Y65" i="68"/>
  <c r="Z65" i="68"/>
  <c r="AA65" i="68"/>
  <c r="AB65" i="68"/>
  <c r="J66" i="68"/>
  <c r="K66" i="68"/>
  <c r="L66" i="68"/>
  <c r="M66" i="68"/>
  <c r="N66" i="68"/>
  <c r="O66" i="68"/>
  <c r="P66" i="68"/>
  <c r="Q66" i="68"/>
  <c r="R66" i="68"/>
  <c r="S66" i="68"/>
  <c r="T66" i="68"/>
  <c r="U66" i="68"/>
  <c r="V66" i="68"/>
  <c r="W66" i="68"/>
  <c r="X66" i="68"/>
  <c r="Y66" i="68"/>
  <c r="Z66" i="68"/>
  <c r="AA66" i="68"/>
  <c r="AB66" i="68"/>
  <c r="J67" i="68"/>
  <c r="K67" i="68"/>
  <c r="L67" i="68"/>
  <c r="M67" i="68"/>
  <c r="N67" i="68"/>
  <c r="O67" i="68"/>
  <c r="P67" i="68"/>
  <c r="Q67" i="68"/>
  <c r="R67" i="68"/>
  <c r="S67" i="68"/>
  <c r="T67" i="68"/>
  <c r="U67" i="68"/>
  <c r="V67" i="68"/>
  <c r="W67" i="68"/>
  <c r="X67" i="68"/>
  <c r="Y67" i="68"/>
  <c r="Z67" i="68"/>
  <c r="AA67" i="68"/>
  <c r="AB67" i="68"/>
  <c r="I67" i="81"/>
  <c r="I66" i="81"/>
  <c r="I67" i="72"/>
  <c r="I66" i="72"/>
  <c r="I65" i="72"/>
  <c r="I67" i="73"/>
  <c r="I66" i="73"/>
  <c r="I65" i="73"/>
  <c r="I67" i="82"/>
  <c r="I66" i="82"/>
  <c r="I65" i="82"/>
  <c r="I67" i="68"/>
  <c r="I66" i="68"/>
  <c r="I65" i="68"/>
  <c r="C77" i="81"/>
  <c r="C76" i="81"/>
  <c r="C75" i="81"/>
  <c r="C72" i="81"/>
  <c r="C71" i="81"/>
  <c r="C70" i="81"/>
  <c r="C67" i="81"/>
  <c r="C66" i="81"/>
  <c r="C65" i="81"/>
  <c r="C77" i="72"/>
  <c r="C76" i="72"/>
  <c r="C75" i="72"/>
  <c r="C72" i="72"/>
  <c r="C71" i="72"/>
  <c r="C70" i="72"/>
  <c r="C67" i="72"/>
  <c r="C66" i="72"/>
  <c r="C65" i="72"/>
  <c r="C77" i="73"/>
  <c r="C76" i="73"/>
  <c r="C75" i="73"/>
  <c r="C72" i="73"/>
  <c r="C71" i="73"/>
  <c r="C70" i="73"/>
  <c r="C67" i="73"/>
  <c r="C66" i="73"/>
  <c r="C65" i="73"/>
  <c r="C77" i="82"/>
  <c r="C76" i="82"/>
  <c r="C75" i="82"/>
  <c r="C72" i="82"/>
  <c r="C71" i="82"/>
  <c r="C70" i="82"/>
  <c r="C67" i="82"/>
  <c r="C66" i="82"/>
  <c r="C65" i="82"/>
  <c r="C77" i="68"/>
  <c r="C76" i="68"/>
  <c r="C75" i="68"/>
  <c r="C72" i="68"/>
  <c r="C71" i="68"/>
  <c r="C70" i="68"/>
  <c r="C67" i="68"/>
  <c r="C66" i="68"/>
  <c r="C65" i="68"/>
  <c r="I70" i="68" l="1" a="1"/>
  <c r="I70" i="68" s="1"/>
  <c r="I71" i="68" a="1"/>
  <c r="I71" i="68" s="1"/>
  <c r="I78" i="68" s="1"/>
  <c r="I80" i="68" s="1"/>
  <c r="I105" i="68" s="1"/>
  <c r="I72" i="68" a="1"/>
  <c r="I72" i="68" s="1"/>
  <c r="W15" i="75"/>
  <c r="O15" i="75"/>
  <c r="Y15" i="75"/>
  <c r="Q15" i="75"/>
  <c r="X15" i="75"/>
  <c r="P15" i="75"/>
  <c r="V15" i="75"/>
  <c r="N15" i="75"/>
  <c r="U15" i="75"/>
  <c r="M15" i="75"/>
  <c r="AB15" i="75"/>
  <c r="T15" i="75"/>
  <c r="L15" i="75"/>
  <c r="S15" i="75"/>
  <c r="AA15" i="75"/>
  <c r="K15" i="75"/>
  <c r="Z15" i="75"/>
  <c r="R15" i="75"/>
  <c r="J15" i="75"/>
  <c r="C50" i="75"/>
  <c r="C49" i="75"/>
  <c r="C48" i="75"/>
  <c r="C47" i="75"/>
  <c r="C46" i="75"/>
  <c r="C43" i="75"/>
  <c r="G50" i="75"/>
  <c r="G49" i="75"/>
  <c r="G48" i="75"/>
  <c r="G47" i="75"/>
  <c r="G46" i="75"/>
  <c r="G43" i="75"/>
  <c r="D41" i="75"/>
  <c r="C62" i="82"/>
  <c r="A7" i="82"/>
  <c r="I6" i="82"/>
  <c r="A6" i="82"/>
  <c r="D82" i="75"/>
  <c r="C36" i="75"/>
  <c r="C22" i="75"/>
  <c r="I70" i="82" l="1" a="1"/>
  <c r="I70" i="82" s="1"/>
  <c r="I72" i="82" a="1"/>
  <c r="I72" i="82" s="1"/>
  <c r="I71" i="82" a="1"/>
  <c r="I71" i="82" s="1"/>
  <c r="C13" i="47"/>
  <c r="D43" i="75"/>
  <c r="C62" i="72"/>
  <c r="F13" i="47" l="1"/>
  <c r="D35" i="62"/>
  <c r="D13" i="47"/>
  <c r="A4" i="82" s="1"/>
  <c r="I78" i="82"/>
  <c r="I80" i="82" s="1"/>
  <c r="I105" i="82" s="1"/>
  <c r="D44" i="75"/>
  <c r="C34" i="75" l="1"/>
  <c r="G29" i="33"/>
  <c r="H29" i="33"/>
  <c r="I29" i="33"/>
  <c r="J29" i="33"/>
  <c r="F29" i="33"/>
  <c r="A7" i="81"/>
  <c r="I6" i="81"/>
  <c r="A6" i="81"/>
  <c r="I70" i="81" l="1" a="1"/>
  <c r="I70" i="81" s="1"/>
  <c r="J75" i="81" s="1"/>
  <c r="I71" i="81" a="1"/>
  <c r="I71" i="81" s="1"/>
  <c r="J76" i="81" s="1"/>
  <c r="I72" i="81" a="1"/>
  <c r="I72" i="81" s="1"/>
  <c r="D72" i="75"/>
  <c r="D58" i="75"/>
  <c r="D46" i="75"/>
  <c r="D30" i="75"/>
  <c r="C10" i="47"/>
  <c r="F10" i="47" s="1"/>
  <c r="D32" i="62" l="1"/>
  <c r="D10" i="47"/>
  <c r="A4" i="81" s="1"/>
  <c r="I78" i="81"/>
  <c r="D65" i="75"/>
  <c r="D79" i="75"/>
  <c r="D37" i="75"/>
  <c r="D47" i="75"/>
  <c r="I80" i="81" l="1"/>
  <c r="I105" i="81" s="1"/>
  <c r="D81" i="75"/>
  <c r="D80" i="75"/>
  <c r="D39" i="75"/>
  <c r="D38" i="75"/>
  <c r="D67" i="75"/>
  <c r="D66" i="75"/>
  <c r="D25" i="75"/>
  <c r="D24" i="75"/>
  <c r="D48" i="75"/>
  <c r="D31" i="75"/>
  <c r="A7" i="73"/>
  <c r="I6" i="73"/>
  <c r="A6" i="73"/>
  <c r="A7" i="72"/>
  <c r="I6" i="72"/>
  <c r="A6" i="72"/>
  <c r="I72" i="73" l="1" a="1"/>
  <c r="I72" i="73" s="1"/>
  <c r="I70" i="73" a="1"/>
  <c r="I70" i="73" s="1"/>
  <c r="I71" i="73" a="1"/>
  <c r="I71" i="73" s="1"/>
  <c r="I70" i="72" a="1"/>
  <c r="I70" i="72" s="1"/>
  <c r="J75" i="72" s="1"/>
  <c r="I72" i="72" a="1"/>
  <c r="I72" i="72" s="1"/>
  <c r="I71" i="72" a="1"/>
  <c r="I71" i="72" s="1"/>
  <c r="J76" i="72" s="1"/>
  <c r="D49" i="75"/>
  <c r="I78" i="73" l="1"/>
  <c r="D51" i="75"/>
  <c r="D50" i="75"/>
  <c r="I80" i="73" l="1"/>
  <c r="I105" i="73" s="1"/>
  <c r="D53" i="75"/>
  <c r="D52" i="75"/>
  <c r="D76" i="75" l="1"/>
  <c r="D62" i="75"/>
  <c r="D34" i="75"/>
  <c r="D26" i="75"/>
  <c r="D27" i="75"/>
  <c r="D59" i="75"/>
  <c r="D69" i="75"/>
  <c r="D73" i="75"/>
  <c r="D23" i="75"/>
  <c r="G78" i="75"/>
  <c r="G77" i="75"/>
  <c r="G76" i="75"/>
  <c r="G75" i="75"/>
  <c r="G74" i="75"/>
  <c r="G71" i="75"/>
  <c r="G64" i="75"/>
  <c r="G63" i="75"/>
  <c r="G62" i="75"/>
  <c r="G61" i="75"/>
  <c r="G60" i="75"/>
  <c r="G57" i="75"/>
  <c r="G36" i="75"/>
  <c r="G35" i="75"/>
  <c r="G34" i="75"/>
  <c r="G33" i="75"/>
  <c r="G32" i="75"/>
  <c r="G29" i="75"/>
  <c r="C20" i="75"/>
  <c r="D20" i="75" s="1"/>
  <c r="G22" i="75"/>
  <c r="G21" i="75"/>
  <c r="G20" i="75"/>
  <c r="G19" i="75"/>
  <c r="G18" i="75"/>
  <c r="G15" i="75"/>
  <c r="J98" i="75" l="1"/>
  <c r="K98" i="75"/>
  <c r="L98" i="75"/>
  <c r="M98" i="75"/>
  <c r="N98" i="75"/>
  <c r="O98" i="75"/>
  <c r="P98" i="75"/>
  <c r="Q98" i="75"/>
  <c r="R98" i="75"/>
  <c r="S98" i="75"/>
  <c r="T98" i="75"/>
  <c r="U98" i="75"/>
  <c r="V98" i="75"/>
  <c r="W98" i="75"/>
  <c r="X98" i="75"/>
  <c r="Y98" i="75"/>
  <c r="Z98" i="75"/>
  <c r="AA98" i="75"/>
  <c r="AB98" i="75"/>
  <c r="C11" i="47" l="1"/>
  <c r="C12" i="47"/>
  <c r="I98" i="75"/>
  <c r="D98" i="75" l="1"/>
  <c r="F12" i="47"/>
  <c r="F11" i="47"/>
  <c r="D33" i="62"/>
  <c r="D34" i="62"/>
  <c r="D12" i="47"/>
  <c r="A4" i="73" s="1"/>
  <c r="G90" i="73" s="1"/>
  <c r="D11" i="47"/>
  <c r="A4" i="72" s="1"/>
  <c r="J7" i="82"/>
  <c r="J43" i="82" s="1"/>
  <c r="K7" i="82"/>
  <c r="K43" i="82" s="1"/>
  <c r="L7" i="82"/>
  <c r="L43" i="82" s="1"/>
  <c r="M7" i="82"/>
  <c r="M43" i="82" s="1"/>
  <c r="N7" i="82"/>
  <c r="N43" i="82" s="1"/>
  <c r="I7" i="82"/>
  <c r="I43" i="82" s="1"/>
  <c r="C88" i="85" l="1" a="1"/>
  <c r="C34" i="62"/>
  <c r="L7" i="81"/>
  <c r="L43" i="81" s="1"/>
  <c r="N7" i="81"/>
  <c r="N43" i="81" s="1"/>
  <c r="M7" i="81"/>
  <c r="M43" i="81" s="1"/>
  <c r="K7" i="81"/>
  <c r="K43" i="81" s="1"/>
  <c r="I7" i="81"/>
  <c r="I43" i="81" s="1"/>
  <c r="J7" i="81"/>
  <c r="J43" i="81" s="1"/>
  <c r="N43" i="68"/>
  <c r="N7" i="73"/>
  <c r="N43" i="73" s="1"/>
  <c r="N7" i="72"/>
  <c r="N43" i="72" s="1"/>
  <c r="M43" i="68"/>
  <c r="M7" i="72"/>
  <c r="M43" i="72" s="1"/>
  <c r="M7" i="73"/>
  <c r="M43" i="73" s="1"/>
  <c r="K43" i="68"/>
  <c r="K7" i="73"/>
  <c r="K43" i="73" s="1"/>
  <c r="K7" i="72"/>
  <c r="K43" i="72" s="1"/>
  <c r="L43" i="68"/>
  <c r="L7" i="73"/>
  <c r="L43" i="73" s="1"/>
  <c r="L7" i="72"/>
  <c r="L43" i="72" s="1"/>
  <c r="I43" i="68"/>
  <c r="I7" i="73"/>
  <c r="I43" i="73" s="1"/>
  <c r="I7" i="72"/>
  <c r="I43" i="72" s="1"/>
  <c r="J43" i="68"/>
  <c r="J7" i="73"/>
  <c r="J43" i="73" s="1"/>
  <c r="J7" i="72"/>
  <c r="J43" i="72" s="1"/>
  <c r="O7" i="82"/>
  <c r="O43" i="82" s="1"/>
  <c r="J17" i="68"/>
  <c r="K17" i="68"/>
  <c r="L17" i="68"/>
  <c r="M17" i="68"/>
  <c r="N17" i="68"/>
  <c r="O17" i="68"/>
  <c r="P17" i="68"/>
  <c r="Q17" i="68"/>
  <c r="R17" i="68"/>
  <c r="S17" i="68"/>
  <c r="T17" i="68"/>
  <c r="U17" i="68"/>
  <c r="V17" i="68"/>
  <c r="W17" i="68"/>
  <c r="X17" i="68"/>
  <c r="Y17" i="68"/>
  <c r="Z17" i="68"/>
  <c r="AA17" i="68"/>
  <c r="AB17" i="68"/>
  <c r="I17" i="68"/>
  <c r="J6" i="68"/>
  <c r="J6" i="75" s="1"/>
  <c r="J6" i="85" s="1"/>
  <c r="D97" i="85" l="1"/>
  <c r="F97" i="85"/>
  <c r="I46" i="33" s="1"/>
  <c r="F96" i="85"/>
  <c r="F93" i="85"/>
  <c r="F91" i="85"/>
  <c r="F90" i="85"/>
  <c r="G93" i="85"/>
  <c r="G94" i="85"/>
  <c r="G92" i="85"/>
  <c r="D98" i="85"/>
  <c r="G90" i="85"/>
  <c r="F98" i="85"/>
  <c r="I47" i="33" s="1"/>
  <c r="F95" i="85"/>
  <c r="F92" i="85"/>
  <c r="E98" i="85"/>
  <c r="D96" i="85"/>
  <c r="F94" i="85"/>
  <c r="E97" i="85"/>
  <c r="G98" i="85"/>
  <c r="J47" i="33" s="1"/>
  <c r="G96" i="85"/>
  <c r="E96" i="85"/>
  <c r="G91" i="85"/>
  <c r="G97" i="85"/>
  <c r="J46" i="33" s="1"/>
  <c r="G95" i="85"/>
  <c r="C88" i="85"/>
  <c r="J72" i="68" a="1"/>
  <c r="J72" i="68" s="1"/>
  <c r="J70" i="68" a="1"/>
  <c r="J70" i="68" s="1"/>
  <c r="J71" i="68" a="1"/>
  <c r="J71" i="68" s="1"/>
  <c r="J6" i="82"/>
  <c r="K6" i="68"/>
  <c r="K6" i="75" s="1"/>
  <c r="K6" i="85" s="1"/>
  <c r="J6" i="81"/>
  <c r="J6" i="73"/>
  <c r="J6" i="72"/>
  <c r="O7" i="81"/>
  <c r="O43" i="81" s="1"/>
  <c r="O7" i="73"/>
  <c r="O43" i="73" s="1"/>
  <c r="O7" i="72"/>
  <c r="O43" i="72" s="1"/>
  <c r="P7" i="82"/>
  <c r="P43" i="82" s="1"/>
  <c r="O43" i="68"/>
  <c r="K88" i="85" l="1"/>
  <c r="K97" i="85" s="1"/>
  <c r="L46" i="33" s="1"/>
  <c r="C98" i="85"/>
  <c r="F47" i="33" s="1"/>
  <c r="C97" i="85"/>
  <c r="F46" i="33" s="1"/>
  <c r="C96" i="85"/>
  <c r="F45" i="33" s="1"/>
  <c r="K6" i="82"/>
  <c r="K70" i="68" a="1"/>
  <c r="K70" i="68" s="1"/>
  <c r="K71" i="68" a="1"/>
  <c r="K71" i="68" s="1"/>
  <c r="K72" i="68" a="1"/>
  <c r="K72" i="68" s="1"/>
  <c r="J70" i="82" a="1"/>
  <c r="J70" i="82" s="1"/>
  <c r="J72" i="82" a="1"/>
  <c r="J72" i="82" s="1"/>
  <c r="J71" i="82" a="1"/>
  <c r="J71" i="82" s="1"/>
  <c r="J72" i="73" a="1"/>
  <c r="J72" i="73" s="1"/>
  <c r="J71" i="73" a="1"/>
  <c r="J71" i="73" s="1"/>
  <c r="J70" i="73" a="1"/>
  <c r="J70" i="73" s="1"/>
  <c r="J71" i="81" a="1"/>
  <c r="J71" i="81" s="1"/>
  <c r="K76" i="81" s="1"/>
  <c r="J70" i="81" a="1"/>
  <c r="J70" i="81" s="1"/>
  <c r="K75" i="81" s="1"/>
  <c r="J72" i="81" a="1"/>
  <c r="J72" i="81" s="1"/>
  <c r="J71" i="72" a="1"/>
  <c r="J71" i="72" s="1"/>
  <c r="K76" i="72" s="1"/>
  <c r="J70" i="72" a="1"/>
  <c r="J70" i="72" s="1"/>
  <c r="K75" i="72" s="1"/>
  <c r="J72" i="72" a="1"/>
  <c r="J72" i="72" s="1"/>
  <c r="J78" i="68"/>
  <c r="J80" i="68" s="1"/>
  <c r="J105" i="68" s="1"/>
  <c r="L6" i="68"/>
  <c r="L6" i="75" s="1"/>
  <c r="L6" i="85" s="1"/>
  <c r="K6" i="81"/>
  <c r="G88" i="81" s="1" a="1"/>
  <c r="G88" i="81" s="1"/>
  <c r="G90" i="81" s="1"/>
  <c r="C32" i="62" s="1"/>
  <c r="K6" i="73"/>
  <c r="K6" i="72"/>
  <c r="G88" i="72" s="1" a="1"/>
  <c r="G88" i="72" s="1"/>
  <c r="G90" i="72" s="1"/>
  <c r="C33" i="62" s="1"/>
  <c r="P7" i="81"/>
  <c r="P43" i="81" s="1"/>
  <c r="P7" i="73"/>
  <c r="P43" i="73" s="1"/>
  <c r="P7" i="72"/>
  <c r="P43" i="72" s="1"/>
  <c r="Q7" i="82"/>
  <c r="Q43" i="82" s="1"/>
  <c r="P43" i="68"/>
  <c r="K70" i="72" l="1" a="1"/>
  <c r="K70" i="72" s="1"/>
  <c r="L75" i="72" s="1"/>
  <c r="K71" i="72" a="1"/>
  <c r="K71" i="72" s="1"/>
  <c r="L76" i="72" s="1"/>
  <c r="K72" i="72" a="1"/>
  <c r="K72" i="72" s="1"/>
  <c r="L70" i="68" a="1"/>
  <c r="L70" i="68" s="1"/>
  <c r="L71" i="68" a="1"/>
  <c r="L71" i="68" s="1"/>
  <c r="L72" i="68" a="1"/>
  <c r="L72" i="68" s="1"/>
  <c r="K72" i="73" a="1"/>
  <c r="K72" i="73" s="1"/>
  <c r="K70" i="73" a="1"/>
  <c r="K70" i="73" s="1"/>
  <c r="K71" i="73" a="1"/>
  <c r="K71" i="73" s="1"/>
  <c r="K71" i="81" a="1"/>
  <c r="K71" i="81" s="1"/>
  <c r="L76" i="81" s="1"/>
  <c r="K70" i="81" a="1"/>
  <c r="K70" i="81" s="1"/>
  <c r="L75" i="81" s="1"/>
  <c r="K72" i="81" a="1"/>
  <c r="K72" i="81" s="1"/>
  <c r="K71" i="82" a="1"/>
  <c r="K71" i="82" s="1"/>
  <c r="K70" i="82" a="1"/>
  <c r="K70" i="82" s="1"/>
  <c r="K78" i="82" s="1"/>
  <c r="K80" i="82" s="1"/>
  <c r="K105" i="82" s="1"/>
  <c r="K72" i="82" a="1"/>
  <c r="K72" i="82" s="1"/>
  <c r="J78" i="81"/>
  <c r="K78" i="68"/>
  <c r="K80" i="68" s="1"/>
  <c r="K105" i="68" s="1"/>
  <c r="J78" i="82"/>
  <c r="J80" i="82" s="1"/>
  <c r="J105" i="82" s="1"/>
  <c r="J78" i="73"/>
  <c r="L6" i="82"/>
  <c r="M6" i="68"/>
  <c r="M6" i="75" s="1"/>
  <c r="M6" i="85" s="1"/>
  <c r="L6" i="81"/>
  <c r="L6" i="72"/>
  <c r="L6" i="73"/>
  <c r="Q7" i="81"/>
  <c r="Q43" i="81" s="1"/>
  <c r="Q7" i="73"/>
  <c r="Q43" i="73" s="1"/>
  <c r="Q7" i="72"/>
  <c r="Q43" i="72" s="1"/>
  <c r="R7" i="82"/>
  <c r="R43" i="82" s="1"/>
  <c r="Q43" i="68"/>
  <c r="J80" i="73" l="1"/>
  <c r="J105" i="73" s="1"/>
  <c r="J80" i="81"/>
  <c r="J105" i="81" s="1"/>
  <c r="L72" i="82" a="1"/>
  <c r="L72" i="82" s="1"/>
  <c r="L70" i="82" a="1"/>
  <c r="L70" i="82" s="1"/>
  <c r="L71" i="82" a="1"/>
  <c r="L71" i="82" s="1"/>
  <c r="M70" i="68" a="1"/>
  <c r="M70" i="68" s="1"/>
  <c r="M72" i="68" a="1"/>
  <c r="M72" i="68" s="1"/>
  <c r="M71" i="68" a="1"/>
  <c r="M71" i="68" s="1"/>
  <c r="L70" i="73" a="1"/>
  <c r="L70" i="73" s="1"/>
  <c r="L71" i="73" a="1"/>
  <c r="L71" i="73" s="1"/>
  <c r="L72" i="73" a="1"/>
  <c r="L72" i="73" s="1"/>
  <c r="L70" i="72" a="1"/>
  <c r="L70" i="72" s="1"/>
  <c r="M75" i="72" s="1"/>
  <c r="L71" i="72" a="1"/>
  <c r="L71" i="72" s="1"/>
  <c r="M76" i="72" s="1"/>
  <c r="L72" i="72" a="1"/>
  <c r="L72" i="72" s="1"/>
  <c r="L72" i="81" a="1"/>
  <c r="L72" i="81" s="1"/>
  <c r="L70" i="81" a="1"/>
  <c r="L70" i="81" s="1"/>
  <c r="M75" i="81" s="1"/>
  <c r="L71" i="81" a="1"/>
  <c r="L71" i="81" s="1"/>
  <c r="M76" i="81" s="1"/>
  <c r="K78" i="81"/>
  <c r="L78" i="68"/>
  <c r="L80" i="68" s="1"/>
  <c r="L105" i="68" s="1"/>
  <c r="K78" i="73"/>
  <c r="M6" i="82"/>
  <c r="N6" i="68"/>
  <c r="N6" i="75" s="1"/>
  <c r="N6" i="85" s="1"/>
  <c r="M6" i="81"/>
  <c r="M6" i="72"/>
  <c r="M6" i="73"/>
  <c r="R7" i="81"/>
  <c r="R43" i="81" s="1"/>
  <c r="R7" i="73"/>
  <c r="R43" i="73" s="1"/>
  <c r="R7" i="72"/>
  <c r="R43" i="72" s="1"/>
  <c r="S7" i="82"/>
  <c r="S43" i="82" s="1"/>
  <c r="R43" i="68"/>
  <c r="K80" i="73" l="1"/>
  <c r="K105" i="73" s="1"/>
  <c r="K80" i="81"/>
  <c r="K105" i="81" s="1"/>
  <c r="M72" i="82" a="1"/>
  <c r="M72" i="82" s="1"/>
  <c r="M70" i="82" a="1"/>
  <c r="M70" i="82" s="1"/>
  <c r="M71" i="82" a="1"/>
  <c r="M71" i="82" s="1"/>
  <c r="M70" i="73" a="1"/>
  <c r="M70" i="73" s="1"/>
  <c r="M71" i="73" a="1"/>
  <c r="M71" i="73" s="1"/>
  <c r="M72" i="73" a="1"/>
  <c r="M72" i="73" s="1"/>
  <c r="M72" i="81" a="1"/>
  <c r="M72" i="81" s="1"/>
  <c r="M71" i="81" a="1"/>
  <c r="M71" i="81" s="1"/>
  <c r="N76" i="81" s="1"/>
  <c r="M70" i="81" a="1"/>
  <c r="M70" i="81" s="1"/>
  <c r="N75" i="81" s="1"/>
  <c r="M70" i="72" a="1"/>
  <c r="M70" i="72" s="1"/>
  <c r="N75" i="72" s="1"/>
  <c r="M71" i="72" a="1"/>
  <c r="M71" i="72" s="1"/>
  <c r="N76" i="72" s="1"/>
  <c r="M72" i="72" a="1"/>
  <c r="M72" i="72" s="1"/>
  <c r="N72" i="68" a="1"/>
  <c r="N72" i="68" s="1"/>
  <c r="N71" i="68" a="1"/>
  <c r="N71" i="68" s="1"/>
  <c r="N70" i="68" a="1"/>
  <c r="N70" i="68" s="1"/>
  <c r="L78" i="81"/>
  <c r="M78" i="68"/>
  <c r="M80" i="68" s="1"/>
  <c r="M105" i="68" s="1"/>
  <c r="L78" i="82"/>
  <c r="L80" i="82" s="1"/>
  <c r="L105" i="82" s="1"/>
  <c r="L78" i="73"/>
  <c r="N6" i="82"/>
  <c r="O6" i="68"/>
  <c r="O6" i="75" s="1"/>
  <c r="O6" i="85" s="1"/>
  <c r="N6" i="81"/>
  <c r="N6" i="72"/>
  <c r="N6" i="73"/>
  <c r="S7" i="81"/>
  <c r="S43" i="81" s="1"/>
  <c r="S7" i="73"/>
  <c r="S43" i="73" s="1"/>
  <c r="S7" i="72"/>
  <c r="S43" i="72" s="1"/>
  <c r="T7" i="82"/>
  <c r="T43" i="82" s="1"/>
  <c r="S43" i="68"/>
  <c r="L80" i="73" l="1"/>
  <c r="L105" i="73" s="1"/>
  <c r="L80" i="81"/>
  <c r="L105" i="81" s="1"/>
  <c r="N71" i="72" a="1"/>
  <c r="N71" i="72" s="1"/>
  <c r="O76" i="72" s="1"/>
  <c r="N72" i="72" a="1"/>
  <c r="N72" i="72" s="1"/>
  <c r="N70" i="72" a="1"/>
  <c r="N70" i="72" s="1"/>
  <c r="O75" i="72" s="1"/>
  <c r="N72" i="73" a="1"/>
  <c r="N72" i="73" s="1"/>
  <c r="N70" i="73" a="1"/>
  <c r="N70" i="73" s="1"/>
  <c r="N71" i="73" a="1"/>
  <c r="N71" i="73" s="1"/>
  <c r="N71" i="81" a="1"/>
  <c r="N71" i="81" s="1"/>
  <c r="O76" i="81" s="1"/>
  <c r="N72" i="81" a="1"/>
  <c r="N72" i="81" s="1"/>
  <c r="N70" i="81" a="1"/>
  <c r="N70" i="81" s="1"/>
  <c r="O75" i="81" s="1"/>
  <c r="O70" i="68" a="1"/>
  <c r="O70" i="68" s="1"/>
  <c r="O72" i="68" a="1"/>
  <c r="O72" i="68" s="1"/>
  <c r="O71" i="68" a="1"/>
  <c r="O71" i="68" s="1"/>
  <c r="N71" i="82" a="1"/>
  <c r="N71" i="82" s="1"/>
  <c r="N72" i="82" a="1"/>
  <c r="N72" i="82" s="1"/>
  <c r="N70" i="82" a="1"/>
  <c r="N70" i="82" s="1"/>
  <c r="M78" i="81"/>
  <c r="N78" i="68"/>
  <c r="N80" i="68" s="1"/>
  <c r="N105" i="68" s="1"/>
  <c r="M78" i="82"/>
  <c r="M80" i="82" s="1"/>
  <c r="M105" i="82" s="1"/>
  <c r="M78" i="73"/>
  <c r="O6" i="82"/>
  <c r="P6" i="68"/>
  <c r="P6" i="75" s="1"/>
  <c r="P6" i="85" s="1"/>
  <c r="O6" i="81"/>
  <c r="O6" i="72"/>
  <c r="O6" i="73"/>
  <c r="T7" i="81"/>
  <c r="T43" i="81" s="1"/>
  <c r="T7" i="73"/>
  <c r="T43" i="73" s="1"/>
  <c r="T7" i="72"/>
  <c r="T43" i="72" s="1"/>
  <c r="T43" i="68"/>
  <c r="U7" i="82"/>
  <c r="U43" i="82" s="1"/>
  <c r="M80" i="73" l="1"/>
  <c r="M105" i="73" s="1"/>
  <c r="M80" i="81"/>
  <c r="M105" i="81" s="1"/>
  <c r="O72" i="72" a="1"/>
  <c r="O72" i="72" s="1"/>
  <c r="O71" i="72" a="1"/>
  <c r="O71" i="72" s="1"/>
  <c r="P76" i="72" s="1"/>
  <c r="O70" i="72" a="1"/>
  <c r="O70" i="72" s="1"/>
  <c r="P75" i="72" s="1"/>
  <c r="O70" i="81" a="1"/>
  <c r="O70" i="81" s="1"/>
  <c r="P75" i="81" s="1"/>
  <c r="O72" i="81" a="1"/>
  <c r="O72" i="81" s="1"/>
  <c r="O71" i="81" a="1"/>
  <c r="O71" i="81" s="1"/>
  <c r="P76" i="81" s="1"/>
  <c r="O71" i="73" a="1"/>
  <c r="O71" i="73" s="1"/>
  <c r="O70" i="73" a="1"/>
  <c r="O70" i="73" s="1"/>
  <c r="O72" i="73" a="1"/>
  <c r="O72" i="73" s="1"/>
  <c r="P71" i="68" a="1"/>
  <c r="P71" i="68" s="1"/>
  <c r="P72" i="68" a="1"/>
  <c r="P72" i="68" s="1"/>
  <c r="P70" i="68" a="1"/>
  <c r="P70" i="68" s="1"/>
  <c r="O70" i="82" a="1"/>
  <c r="O70" i="82" s="1"/>
  <c r="O71" i="82" a="1"/>
  <c r="O71" i="82" s="1"/>
  <c r="O72" i="82" a="1"/>
  <c r="O72" i="82" s="1"/>
  <c r="N78" i="81"/>
  <c r="O78" i="68"/>
  <c r="O80" i="68" s="1"/>
  <c r="O105" i="68" s="1"/>
  <c r="N78" i="73"/>
  <c r="N78" i="82"/>
  <c r="N80" i="82" s="1"/>
  <c r="N105" i="82" s="1"/>
  <c r="P6" i="82"/>
  <c r="Q6" i="68"/>
  <c r="Q6" i="75" s="1"/>
  <c r="Q6" i="85" s="1"/>
  <c r="P6" i="81"/>
  <c r="P6" i="72"/>
  <c r="P6" i="73"/>
  <c r="U7" i="81"/>
  <c r="U43" i="81" s="1"/>
  <c r="U7" i="72"/>
  <c r="U43" i="72" s="1"/>
  <c r="U7" i="73"/>
  <c r="U43" i="73" s="1"/>
  <c r="U43" i="68"/>
  <c r="V7" i="82"/>
  <c r="V43" i="82" s="1"/>
  <c r="N80" i="73" l="1"/>
  <c r="N105" i="73" s="1"/>
  <c r="N80" i="81"/>
  <c r="N105" i="81" s="1"/>
  <c r="P71" i="72" a="1"/>
  <c r="P71" i="72" s="1"/>
  <c r="Q76" i="72" s="1"/>
  <c r="P70" i="72" a="1"/>
  <c r="P70" i="72" s="1"/>
  <c r="Q75" i="72" s="1"/>
  <c r="P72" i="72" a="1"/>
  <c r="P72" i="72" s="1"/>
  <c r="P70" i="81" a="1"/>
  <c r="P70" i="81" s="1"/>
  <c r="Q75" i="81" s="1"/>
  <c r="P72" i="81" a="1"/>
  <c r="P72" i="81" s="1"/>
  <c r="P71" i="81" a="1"/>
  <c r="P71" i="81" s="1"/>
  <c r="Q76" i="81" s="1"/>
  <c r="P72" i="73" a="1"/>
  <c r="P72" i="73" s="1"/>
  <c r="P71" i="73" a="1"/>
  <c r="P71" i="73" s="1"/>
  <c r="P70" i="73" a="1"/>
  <c r="P70" i="73" s="1"/>
  <c r="P72" i="82" a="1"/>
  <c r="P72" i="82" s="1"/>
  <c r="P71" i="82" a="1"/>
  <c r="P71" i="82" s="1"/>
  <c r="P70" i="82" a="1"/>
  <c r="P70" i="82" s="1"/>
  <c r="Q70" i="68" a="1"/>
  <c r="Q70" i="68" s="1"/>
  <c r="Q72" i="68" a="1"/>
  <c r="Q72" i="68" s="1"/>
  <c r="Q71" i="68" a="1"/>
  <c r="Q71" i="68" s="1"/>
  <c r="O78" i="81"/>
  <c r="P78" i="68"/>
  <c r="P80" i="68" s="1"/>
  <c r="P105" i="68" s="1"/>
  <c r="O78" i="82"/>
  <c r="O80" i="82" s="1"/>
  <c r="O105" i="82" s="1"/>
  <c r="O78" i="73"/>
  <c r="Q6" i="82"/>
  <c r="R6" i="68"/>
  <c r="R6" i="75" s="1"/>
  <c r="R6" i="85" s="1"/>
  <c r="Q6" i="81"/>
  <c r="Q6" i="73"/>
  <c r="Q6" i="72"/>
  <c r="V7" i="81"/>
  <c r="V43" i="81" s="1"/>
  <c r="V7" i="73"/>
  <c r="V43" i="73" s="1"/>
  <c r="V7" i="72"/>
  <c r="V43" i="72" s="1"/>
  <c r="V43" i="68"/>
  <c r="W7" i="82"/>
  <c r="W43" i="82" s="1"/>
  <c r="O80" i="73" l="1"/>
  <c r="O105" i="73" s="1"/>
  <c r="O80" i="81"/>
  <c r="O105" i="81" s="1"/>
  <c r="Q71" i="72" a="1"/>
  <c r="Q71" i="72" s="1"/>
  <c r="R76" i="72" s="1"/>
  <c r="Q72" i="72" a="1"/>
  <c r="Q72" i="72" s="1"/>
  <c r="Q70" i="72" a="1"/>
  <c r="Q70" i="72" s="1"/>
  <c r="R75" i="72" s="1"/>
  <c r="Q70" i="73" a="1"/>
  <c r="Q70" i="73" s="1"/>
  <c r="Q72" i="73" a="1"/>
  <c r="Q72" i="73" s="1"/>
  <c r="Q71" i="73" a="1"/>
  <c r="Q71" i="73" s="1"/>
  <c r="Q71" i="82" a="1"/>
  <c r="Q71" i="82" s="1"/>
  <c r="Q70" i="82" a="1"/>
  <c r="Q70" i="82" s="1"/>
  <c r="Q72" i="82" a="1"/>
  <c r="Q72" i="82" s="1"/>
  <c r="Q71" i="81" a="1"/>
  <c r="Q71" i="81" s="1"/>
  <c r="R76" i="81" s="1"/>
  <c r="Q72" i="81" a="1"/>
  <c r="Q72" i="81" s="1"/>
  <c r="Q70" i="81" a="1"/>
  <c r="Q70" i="81" s="1"/>
  <c r="R75" i="81" s="1"/>
  <c r="R72" i="68" a="1"/>
  <c r="R72" i="68" s="1"/>
  <c r="R70" i="68" a="1"/>
  <c r="R70" i="68" s="1"/>
  <c r="R71" i="68" a="1"/>
  <c r="R71" i="68" s="1"/>
  <c r="P78" i="81"/>
  <c r="Q78" i="68"/>
  <c r="Q80" i="68" s="1"/>
  <c r="Q105" i="68" s="1"/>
  <c r="P78" i="73"/>
  <c r="P78" i="82"/>
  <c r="P80" i="82" s="1"/>
  <c r="P105" i="82" s="1"/>
  <c r="R6" i="82"/>
  <c r="S6" i="68"/>
  <c r="S6" i="75" s="1"/>
  <c r="S6" i="85" s="1"/>
  <c r="R6" i="81"/>
  <c r="R6" i="73"/>
  <c r="R6" i="72"/>
  <c r="W7" i="81"/>
  <c r="W43" i="81" s="1"/>
  <c r="W7" i="73"/>
  <c r="W43" i="73" s="1"/>
  <c r="W7" i="72"/>
  <c r="W43" i="72" s="1"/>
  <c r="W43" i="68"/>
  <c r="X7" i="82"/>
  <c r="X43" i="82" s="1"/>
  <c r="P80" i="73" l="1"/>
  <c r="P105" i="73" s="1"/>
  <c r="P80" i="81"/>
  <c r="P105" i="81" s="1"/>
  <c r="R70" i="82" a="1"/>
  <c r="R70" i="82" s="1"/>
  <c r="R71" i="82" a="1"/>
  <c r="R71" i="82" s="1"/>
  <c r="R72" i="82" a="1"/>
  <c r="R72" i="82" s="1"/>
  <c r="R70" i="73" a="1"/>
  <c r="R70" i="73" s="1"/>
  <c r="R72" i="73" a="1"/>
  <c r="R72" i="73" s="1"/>
  <c r="R71" i="73" a="1"/>
  <c r="R71" i="73" s="1"/>
  <c r="R70" i="81" a="1"/>
  <c r="R70" i="81" s="1"/>
  <c r="S75" i="81" s="1"/>
  <c r="R71" i="81" a="1"/>
  <c r="R71" i="81" s="1"/>
  <c r="S76" i="81" s="1"/>
  <c r="R72" i="81" a="1"/>
  <c r="R72" i="81" s="1"/>
  <c r="R71" i="72" a="1"/>
  <c r="R71" i="72" s="1"/>
  <c r="S76" i="72" s="1"/>
  <c r="R70" i="72" a="1"/>
  <c r="R70" i="72" s="1"/>
  <c r="S75" i="72" s="1"/>
  <c r="R72" i="72" a="1"/>
  <c r="R72" i="72" s="1"/>
  <c r="S70" i="68" a="1"/>
  <c r="S70" i="68" s="1"/>
  <c r="S72" i="68" a="1"/>
  <c r="S72" i="68" s="1"/>
  <c r="S71" i="68" a="1"/>
  <c r="S71" i="68" s="1"/>
  <c r="Q78" i="81"/>
  <c r="R78" i="68"/>
  <c r="Q78" i="73"/>
  <c r="Q78" i="82"/>
  <c r="Q80" i="82" s="1"/>
  <c r="Q105" i="82" s="1"/>
  <c r="S6" i="82"/>
  <c r="T6" i="68"/>
  <c r="T6" i="75" s="1"/>
  <c r="T6" i="85" s="1"/>
  <c r="S6" i="81"/>
  <c r="S6" i="73"/>
  <c r="S6" i="72"/>
  <c r="X7" i="81"/>
  <c r="X43" i="81" s="1"/>
  <c r="X7" i="73"/>
  <c r="X43" i="73" s="1"/>
  <c r="X7" i="72"/>
  <c r="X43" i="72" s="1"/>
  <c r="X43" i="68"/>
  <c r="Y7" i="82"/>
  <c r="Y43" i="82" s="1"/>
  <c r="R80" i="68" l="1"/>
  <c r="R105" i="68" s="1"/>
  <c r="Q80" i="73"/>
  <c r="Q105" i="73" s="1"/>
  <c r="Q80" i="81"/>
  <c r="Q105" i="81" s="1"/>
  <c r="S72" i="82" a="1"/>
  <c r="S72" i="82" s="1"/>
  <c r="S71" i="82" a="1"/>
  <c r="S71" i="82" s="1"/>
  <c r="S70" i="82" a="1"/>
  <c r="S70" i="82" s="1"/>
  <c r="S72" i="72" a="1"/>
  <c r="S72" i="72" s="1"/>
  <c r="S70" i="72" a="1"/>
  <c r="S70" i="72" s="1"/>
  <c r="T75" i="72" s="1"/>
  <c r="S71" i="72" a="1"/>
  <c r="S71" i="72" s="1"/>
  <c r="T76" i="72" s="1"/>
  <c r="S70" i="73" a="1"/>
  <c r="S70" i="73" s="1"/>
  <c r="S72" i="73" a="1"/>
  <c r="S72" i="73" s="1"/>
  <c r="S71" i="73" a="1"/>
  <c r="S71" i="73" s="1"/>
  <c r="S71" i="81" a="1"/>
  <c r="S71" i="81" s="1"/>
  <c r="T76" i="81" s="1"/>
  <c r="S72" i="81" a="1"/>
  <c r="S72" i="81" s="1"/>
  <c r="S70" i="81" a="1"/>
  <c r="S70" i="81" s="1"/>
  <c r="T75" i="81" s="1"/>
  <c r="T71" i="68" a="1"/>
  <c r="T71" i="68" s="1"/>
  <c r="T72" i="68" a="1"/>
  <c r="T72" i="68" s="1"/>
  <c r="T70" i="68" a="1"/>
  <c r="T70" i="68" s="1"/>
  <c r="R78" i="81"/>
  <c r="S78" i="68"/>
  <c r="R78" i="73"/>
  <c r="R78" i="82"/>
  <c r="T6" i="82"/>
  <c r="U6" i="68"/>
  <c r="U6" i="75" s="1"/>
  <c r="U6" i="85" s="1"/>
  <c r="T6" i="81"/>
  <c r="T6" i="72"/>
  <c r="T6" i="73"/>
  <c r="Y7" i="81"/>
  <c r="Y43" i="81" s="1"/>
  <c r="Y7" i="73"/>
  <c r="Y43" i="73" s="1"/>
  <c r="Y7" i="72"/>
  <c r="Y43" i="72" s="1"/>
  <c r="Y43" i="68"/>
  <c r="Z7" i="82"/>
  <c r="Z43" i="82" s="1"/>
  <c r="R80" i="82" l="1"/>
  <c r="R105" i="82" s="1"/>
  <c r="S80" i="68"/>
  <c r="S105" i="68" s="1"/>
  <c r="R80" i="73"/>
  <c r="R105" i="73" s="1"/>
  <c r="R80" i="81"/>
  <c r="R105" i="81" s="1"/>
  <c r="U70" i="68" a="1"/>
  <c r="U70" i="68" s="1"/>
  <c r="U72" i="68" a="1"/>
  <c r="U72" i="68" s="1"/>
  <c r="U71" i="68" a="1"/>
  <c r="U71" i="68" s="1"/>
  <c r="T72" i="73" a="1"/>
  <c r="T72" i="73" s="1"/>
  <c r="T70" i="73" a="1"/>
  <c r="T70" i="73" s="1"/>
  <c r="T71" i="73" a="1"/>
  <c r="T71" i="73" s="1"/>
  <c r="T71" i="72" a="1"/>
  <c r="T71" i="72" s="1"/>
  <c r="U76" i="72" s="1"/>
  <c r="T70" i="72" a="1"/>
  <c r="T70" i="72" s="1"/>
  <c r="U75" i="72" s="1"/>
  <c r="T72" i="72" a="1"/>
  <c r="T72" i="72" s="1"/>
  <c r="T70" i="81" a="1"/>
  <c r="T70" i="81" s="1"/>
  <c r="U75" i="81" s="1"/>
  <c r="T71" i="81" a="1"/>
  <c r="T71" i="81" s="1"/>
  <c r="U76" i="81" s="1"/>
  <c r="T72" i="81" a="1"/>
  <c r="T72" i="81" s="1"/>
  <c r="T70" i="82" a="1"/>
  <c r="T70" i="82" s="1"/>
  <c r="T71" i="82" a="1"/>
  <c r="T71" i="82" s="1"/>
  <c r="T72" i="82" a="1"/>
  <c r="T72" i="82" s="1"/>
  <c r="S78" i="81"/>
  <c r="T78" i="68"/>
  <c r="S78" i="82"/>
  <c r="S78" i="73"/>
  <c r="U6" i="82"/>
  <c r="G88" i="82" s="1" a="1"/>
  <c r="G88" i="82" s="1"/>
  <c r="G90" i="82" s="1"/>
  <c r="V6" i="68"/>
  <c r="V6" i="75" s="1"/>
  <c r="V6" i="85" s="1"/>
  <c r="U6" i="81"/>
  <c r="U6" i="72"/>
  <c r="U6" i="73"/>
  <c r="Z7" i="81"/>
  <c r="Z43" i="81" s="1"/>
  <c r="Z7" i="73"/>
  <c r="Z43" i="73" s="1"/>
  <c r="Z7" i="72"/>
  <c r="Z43" i="72" s="1"/>
  <c r="Z43" i="68"/>
  <c r="AA7" i="82"/>
  <c r="AA43" i="82" s="1"/>
  <c r="S80" i="82" l="1"/>
  <c r="S105" i="82" s="1"/>
  <c r="T80" i="68"/>
  <c r="T105" i="68" s="1"/>
  <c r="C35" i="62"/>
  <c r="C38" i="62" s="1" a="1"/>
  <c r="C38" i="62" s="1"/>
  <c r="N7" i="75" s="1"/>
  <c r="N7" i="85" s="1"/>
  <c r="S80" i="73"/>
  <c r="S105" i="73" s="1"/>
  <c r="S80" i="81"/>
  <c r="S105" i="81" s="1"/>
  <c r="U72" i="73" a="1"/>
  <c r="U72" i="73" s="1"/>
  <c r="U70" i="73" a="1"/>
  <c r="U70" i="73" s="1"/>
  <c r="U71" i="73" a="1"/>
  <c r="U71" i="73" s="1"/>
  <c r="U72" i="72" a="1"/>
  <c r="U72" i="72" s="1"/>
  <c r="U70" i="72" a="1"/>
  <c r="U70" i="72" s="1"/>
  <c r="V75" i="72" s="1"/>
  <c r="U71" i="72" a="1"/>
  <c r="U71" i="72" s="1"/>
  <c r="V76" i="72" s="1"/>
  <c r="U72" i="82" a="1"/>
  <c r="U72" i="82" s="1"/>
  <c r="U71" i="82" a="1"/>
  <c r="U71" i="82" s="1"/>
  <c r="U70" i="82" a="1"/>
  <c r="U70" i="82" s="1"/>
  <c r="U70" i="81" a="1"/>
  <c r="U70" i="81" s="1"/>
  <c r="V75" i="81" s="1"/>
  <c r="U71" i="81" a="1"/>
  <c r="U71" i="81" s="1"/>
  <c r="V76" i="81" s="1"/>
  <c r="U72" i="81" a="1"/>
  <c r="U72" i="81" s="1"/>
  <c r="V70" i="68" a="1"/>
  <c r="V70" i="68" s="1"/>
  <c r="V71" i="68" a="1"/>
  <c r="V71" i="68" s="1"/>
  <c r="V72" i="68" a="1"/>
  <c r="V72" i="68" s="1"/>
  <c r="T78" i="81"/>
  <c r="U78" i="68"/>
  <c r="T78" i="73"/>
  <c r="T78" i="82"/>
  <c r="V6" i="82"/>
  <c r="W6" i="68"/>
  <c r="W6" i="75" s="1"/>
  <c r="W6" i="85" s="1"/>
  <c r="V6" i="81"/>
  <c r="V6" i="72"/>
  <c r="V6" i="73"/>
  <c r="AA7" i="81"/>
  <c r="AA43" i="81" s="1"/>
  <c r="AA7" i="73"/>
  <c r="AA43" i="73" s="1"/>
  <c r="AA7" i="72"/>
  <c r="AA43" i="72" s="1"/>
  <c r="AA43" i="68"/>
  <c r="AB7" i="82"/>
  <c r="AB43" i="82" s="1"/>
  <c r="T80" i="82" l="1"/>
  <c r="T105" i="82" s="1"/>
  <c r="U80" i="68"/>
  <c r="U105" i="68" s="1"/>
  <c r="V7" i="75"/>
  <c r="V7" i="85" s="1"/>
  <c r="Q7" i="75"/>
  <c r="Q7" i="85" s="1"/>
  <c r="L7" i="75"/>
  <c r="L7" i="85" s="1"/>
  <c r="J7" i="75"/>
  <c r="J7" i="85" s="1"/>
  <c r="M7" i="75"/>
  <c r="M7" i="85" s="1"/>
  <c r="P7" i="75"/>
  <c r="P7" i="85" s="1"/>
  <c r="I7" i="75"/>
  <c r="W7" i="75"/>
  <c r="W7" i="85" s="1"/>
  <c r="H7" i="75"/>
  <c r="H7" i="85" s="1"/>
  <c r="T7" i="75"/>
  <c r="T7" i="85" s="1"/>
  <c r="S7" i="75"/>
  <c r="S7" i="85" s="1"/>
  <c r="K7" i="75"/>
  <c r="K7" i="85" s="1"/>
  <c r="R7" i="75"/>
  <c r="R7" i="85" s="1"/>
  <c r="O7" i="75"/>
  <c r="O7" i="85" s="1"/>
  <c r="U7" i="75"/>
  <c r="U7" i="85" s="1"/>
  <c r="T80" i="73"/>
  <c r="T105" i="73" s="1"/>
  <c r="T80" i="81"/>
  <c r="T105" i="81" s="1"/>
  <c r="V71" i="72" a="1"/>
  <c r="V71" i="72" s="1"/>
  <c r="W76" i="72" s="1"/>
  <c r="V70" i="72" a="1"/>
  <c r="V70" i="72" s="1"/>
  <c r="W75" i="72" s="1"/>
  <c r="V72" i="72" a="1"/>
  <c r="V72" i="72" s="1"/>
  <c r="V70" i="82" a="1"/>
  <c r="V70" i="82" s="1"/>
  <c r="V71" i="82" a="1"/>
  <c r="V71" i="82" s="1"/>
  <c r="V72" i="82" a="1"/>
  <c r="V72" i="82" s="1"/>
  <c r="V71" i="73" a="1"/>
  <c r="V71" i="73" s="1"/>
  <c r="V70" i="73" a="1"/>
  <c r="V70" i="73" s="1"/>
  <c r="V72" i="73" a="1"/>
  <c r="V72" i="73" s="1"/>
  <c r="V72" i="81" a="1"/>
  <c r="V72" i="81" s="1"/>
  <c r="V70" i="81" a="1"/>
  <c r="V70" i="81" s="1"/>
  <c r="W75" i="81" s="1"/>
  <c r="V71" i="81" a="1"/>
  <c r="V71" i="81" s="1"/>
  <c r="W76" i="81" s="1"/>
  <c r="W71" i="68" a="1"/>
  <c r="W71" i="68" s="1"/>
  <c r="W72" i="68" a="1"/>
  <c r="W72" i="68" s="1"/>
  <c r="W70" i="68" a="1"/>
  <c r="W70" i="68" s="1"/>
  <c r="U78" i="81"/>
  <c r="V78" i="68"/>
  <c r="V80" i="68" s="1"/>
  <c r="V105" i="68" s="1"/>
  <c r="U78" i="73"/>
  <c r="U78" i="82"/>
  <c r="W6" i="82"/>
  <c r="X6" i="68"/>
  <c r="X6" i="75" s="1"/>
  <c r="W6" i="81"/>
  <c r="W6" i="72"/>
  <c r="W6" i="73"/>
  <c r="AB7" i="81"/>
  <c r="AB43" i="81" s="1"/>
  <c r="AB7" i="73"/>
  <c r="AB43" i="73" s="1"/>
  <c r="AB7" i="72"/>
  <c r="AB43" i="72" s="1"/>
  <c r="AB43" i="68"/>
  <c r="U80" i="82" l="1"/>
  <c r="U105" i="82" s="1"/>
  <c r="X7" i="75"/>
  <c r="X7" i="85" s="1"/>
  <c r="X6" i="85"/>
  <c r="I7" i="85"/>
  <c r="U80" i="73"/>
  <c r="U105" i="73" s="1"/>
  <c r="U80" i="81"/>
  <c r="U105" i="81" s="1"/>
  <c r="W72" i="82" a="1"/>
  <c r="W72" i="82" s="1"/>
  <c r="W71" i="82" a="1"/>
  <c r="W71" i="82" s="1"/>
  <c r="W70" i="82" a="1"/>
  <c r="W70" i="82" s="1"/>
  <c r="W71" i="72" a="1"/>
  <c r="W71" i="72" s="1"/>
  <c r="X76" i="72" s="1"/>
  <c r="W70" i="72" a="1"/>
  <c r="W70" i="72" s="1"/>
  <c r="X75" i="72" s="1"/>
  <c r="W72" i="72" a="1"/>
  <c r="W72" i="72" s="1"/>
  <c r="W71" i="81" a="1"/>
  <c r="W71" i="81" s="1"/>
  <c r="X76" i="81" s="1"/>
  <c r="W70" i="81" a="1"/>
  <c r="W70" i="81" s="1"/>
  <c r="X75" i="81" s="1"/>
  <c r="W72" i="81" a="1"/>
  <c r="W72" i="81" s="1"/>
  <c r="X71" i="68" a="1"/>
  <c r="X71" i="68" s="1"/>
  <c r="X70" i="68" a="1"/>
  <c r="X70" i="68" s="1"/>
  <c r="X72" i="68" a="1"/>
  <c r="X72" i="68" s="1"/>
  <c r="W70" i="73" a="1"/>
  <c r="W70" i="73" s="1"/>
  <c r="W72" i="73" a="1"/>
  <c r="W72" i="73" s="1"/>
  <c r="W71" i="73" a="1"/>
  <c r="W71" i="73" s="1"/>
  <c r="V78" i="81"/>
  <c r="W78" i="68"/>
  <c r="W80" i="68" s="1"/>
  <c r="W105" i="68" s="1"/>
  <c r="V78" i="82"/>
  <c r="V80" i="82" s="1"/>
  <c r="V105" i="82" s="1"/>
  <c r="V78" i="73"/>
  <c r="X6" i="82"/>
  <c r="Y6" i="68"/>
  <c r="Y6" i="75" s="1"/>
  <c r="X6" i="81"/>
  <c r="X6" i="72"/>
  <c r="X6" i="73"/>
  <c r="Y7" i="75" l="1"/>
  <c r="Y7" i="85" s="1"/>
  <c r="Y6" i="85"/>
  <c r="V80" i="73"/>
  <c r="V105" i="73" s="1"/>
  <c r="V80" i="81"/>
  <c r="V105" i="81" s="1"/>
  <c r="X72" i="82" a="1"/>
  <c r="X72" i="82" s="1"/>
  <c r="X70" i="82" a="1"/>
  <c r="X70" i="82" s="1"/>
  <c r="X71" i="82" a="1"/>
  <c r="X71" i="82" s="1"/>
  <c r="X72" i="73" a="1"/>
  <c r="X72" i="73" s="1"/>
  <c r="X71" i="73" a="1"/>
  <c r="X71" i="73" s="1"/>
  <c r="X70" i="73" a="1"/>
  <c r="X70" i="73" s="1"/>
  <c r="X71" i="72" a="1"/>
  <c r="X71" i="72" s="1"/>
  <c r="Y76" i="72" s="1"/>
  <c r="X70" i="72" a="1"/>
  <c r="X70" i="72" s="1"/>
  <c r="Y75" i="72" s="1"/>
  <c r="X72" i="72" a="1"/>
  <c r="X72" i="72" s="1"/>
  <c r="Y72" i="68" a="1"/>
  <c r="Y72" i="68" s="1"/>
  <c r="Y71" i="68" a="1"/>
  <c r="Y71" i="68" s="1"/>
  <c r="Y70" i="68" a="1"/>
  <c r="Y70" i="68" s="1"/>
  <c r="X70" i="81" a="1"/>
  <c r="X70" i="81" s="1"/>
  <c r="Y75" i="81" s="1"/>
  <c r="X72" i="81" a="1"/>
  <c r="X72" i="81" s="1"/>
  <c r="X71" i="81" a="1"/>
  <c r="X71" i="81" s="1"/>
  <c r="Y76" i="81" s="1"/>
  <c r="W78" i="81"/>
  <c r="X78" i="68"/>
  <c r="X80" i="68" s="1"/>
  <c r="X105" i="68" s="1"/>
  <c r="W78" i="73"/>
  <c r="W78" i="82"/>
  <c r="W80" i="82" s="1"/>
  <c r="W105" i="82" s="1"/>
  <c r="Y6" i="82"/>
  <c r="Z6" i="68"/>
  <c r="Z6" i="75" s="1"/>
  <c r="Y6" i="81"/>
  <c r="Y6" i="73"/>
  <c r="Y6" i="72"/>
  <c r="Z7" i="75" l="1"/>
  <c r="Z7" i="85" s="1"/>
  <c r="Z6" i="85"/>
  <c r="W80" i="73"/>
  <c r="W105" i="73" s="1"/>
  <c r="W80" i="81"/>
  <c r="W105" i="81" s="1"/>
  <c r="Y70" i="82" a="1"/>
  <c r="Y70" i="82" s="1"/>
  <c r="Y71" i="82" a="1"/>
  <c r="Y71" i="82" s="1"/>
  <c r="Y72" i="82" a="1"/>
  <c r="Y72" i="82" s="1"/>
  <c r="Y71" i="72" a="1"/>
  <c r="Y71" i="72" s="1"/>
  <c r="Z76" i="72" s="1"/>
  <c r="Y70" i="72" a="1"/>
  <c r="Y70" i="72" s="1"/>
  <c r="Z75" i="72" s="1"/>
  <c r="Y72" i="72" a="1"/>
  <c r="Y72" i="72" s="1"/>
  <c r="Y70" i="73" a="1"/>
  <c r="Y70" i="73" s="1"/>
  <c r="Y71" i="73" a="1"/>
  <c r="Y71" i="73" s="1"/>
  <c r="Y72" i="73" a="1"/>
  <c r="Y72" i="73" s="1"/>
  <c r="Y71" i="81" a="1"/>
  <c r="Y71" i="81" s="1"/>
  <c r="Z76" i="81" s="1"/>
  <c r="Y70" i="81" a="1"/>
  <c r="Y70" i="81" s="1"/>
  <c r="Z75" i="81" s="1"/>
  <c r="Y72" i="81" a="1"/>
  <c r="Y72" i="81" s="1"/>
  <c r="Z70" i="68" a="1"/>
  <c r="Z70" i="68" s="1"/>
  <c r="Z71" i="68" a="1"/>
  <c r="Z71" i="68" s="1"/>
  <c r="Z72" i="68" a="1"/>
  <c r="Z72" i="68" s="1"/>
  <c r="X78" i="81"/>
  <c r="Y78" i="68"/>
  <c r="Y80" i="68" s="1"/>
  <c r="Y105" i="68" s="1"/>
  <c r="X78" i="73"/>
  <c r="X78" i="82"/>
  <c r="X80" i="82" s="1"/>
  <c r="X105" i="82" s="1"/>
  <c r="Z6" i="82"/>
  <c r="AA6" i="68"/>
  <c r="AA6" i="75" s="1"/>
  <c r="Z6" i="81"/>
  <c r="Z6" i="73"/>
  <c r="Z6" i="72"/>
  <c r="AA7" i="75" l="1"/>
  <c r="AA7" i="85" s="1"/>
  <c r="AA6" i="85"/>
  <c r="X80" i="73"/>
  <c r="X105" i="73" s="1"/>
  <c r="X80" i="81"/>
  <c r="X105" i="81" s="1"/>
  <c r="Z72" i="72" a="1"/>
  <c r="Z72" i="72" s="1"/>
  <c r="Z71" i="72" a="1"/>
  <c r="Z71" i="72" s="1"/>
  <c r="AA76" i="72" s="1"/>
  <c r="Z70" i="72" a="1"/>
  <c r="Z70" i="72" s="1"/>
  <c r="AA75" i="72" s="1"/>
  <c r="Z70" i="82" a="1"/>
  <c r="Z70" i="82" s="1"/>
  <c r="Z71" i="82" a="1"/>
  <c r="Z71" i="82" s="1"/>
  <c r="Z72" i="82" a="1"/>
  <c r="Z72" i="82" s="1"/>
  <c r="Z72" i="73" a="1"/>
  <c r="Z72" i="73" s="1"/>
  <c r="Z70" i="73" a="1"/>
  <c r="Z70" i="73" s="1"/>
  <c r="Z71" i="73" a="1"/>
  <c r="Z71" i="73" s="1"/>
  <c r="Z72" i="81" a="1"/>
  <c r="Z72" i="81" s="1"/>
  <c r="Z70" i="81" a="1"/>
  <c r="Z70" i="81" s="1"/>
  <c r="AA75" i="81" s="1"/>
  <c r="Z71" i="81" a="1"/>
  <c r="Z71" i="81" s="1"/>
  <c r="AA76" i="81" s="1"/>
  <c r="AA70" i="68" a="1"/>
  <c r="AA70" i="68" s="1"/>
  <c r="AA71" i="68" a="1"/>
  <c r="AA71" i="68" s="1"/>
  <c r="AA72" i="68" a="1"/>
  <c r="AA72" i="68" s="1"/>
  <c r="Y78" i="81"/>
  <c r="Z78" i="68"/>
  <c r="Z80" i="68" s="1"/>
  <c r="Z105" i="68" s="1"/>
  <c r="Y78" i="73"/>
  <c r="Y78" i="82"/>
  <c r="Y80" i="82" s="1"/>
  <c r="Y105" i="82" s="1"/>
  <c r="AA6" i="82"/>
  <c r="AB6" i="68"/>
  <c r="AB6" i="75" s="1"/>
  <c r="AA6" i="81"/>
  <c r="AA6" i="73"/>
  <c r="AA6" i="72"/>
  <c r="AB7" i="75" l="1"/>
  <c r="AB7" i="85" s="1"/>
  <c r="AB6" i="85"/>
  <c r="Y80" i="73"/>
  <c r="Y105" i="73" s="1"/>
  <c r="Y80" i="81"/>
  <c r="Y105" i="81" s="1"/>
  <c r="AA70" i="73" a="1"/>
  <c r="AA70" i="73" s="1"/>
  <c r="AA72" i="73" a="1"/>
  <c r="AA72" i="73" s="1"/>
  <c r="AA71" i="73" a="1"/>
  <c r="AA71" i="73" s="1"/>
  <c r="AA71" i="81" a="1"/>
  <c r="AA71" i="81" s="1"/>
  <c r="AB76" i="81" s="1"/>
  <c r="AA72" i="81" a="1"/>
  <c r="AA72" i="81" s="1"/>
  <c r="AA70" i="81" a="1"/>
  <c r="AA70" i="81" s="1"/>
  <c r="AB75" i="81" s="1"/>
  <c r="AC6" i="68"/>
  <c r="AB72" i="68" a="1"/>
  <c r="AB72" i="68" s="1"/>
  <c r="AB71" i="68" a="1"/>
  <c r="AB71" i="68" s="1"/>
  <c r="AB70" i="68" a="1"/>
  <c r="AB70" i="68" s="1"/>
  <c r="AA70" i="72" a="1"/>
  <c r="AA70" i="72" s="1"/>
  <c r="AB75" i="72" s="1"/>
  <c r="AA72" i="72" a="1"/>
  <c r="AA72" i="72" s="1"/>
  <c r="AA71" i="72" a="1"/>
  <c r="AA71" i="72" s="1"/>
  <c r="AB76" i="72" s="1"/>
  <c r="AA72" i="82" a="1"/>
  <c r="AA72" i="82" s="1"/>
  <c r="AA71" i="82" a="1"/>
  <c r="AA71" i="82" s="1"/>
  <c r="AA70" i="82" a="1"/>
  <c r="AA70" i="82" s="1"/>
  <c r="Z78" i="81"/>
  <c r="AA78" i="68"/>
  <c r="AA80" i="68" s="1"/>
  <c r="AA105" i="68" s="1"/>
  <c r="Z78" i="82"/>
  <c r="Z80" i="82" s="1"/>
  <c r="Z105" i="82" s="1"/>
  <c r="Z78" i="73"/>
  <c r="AB6" i="82"/>
  <c r="AB6" i="81"/>
  <c r="AB6" i="72"/>
  <c r="AB6" i="73"/>
  <c r="Z80" i="73" l="1"/>
  <c r="Z105" i="73" s="1"/>
  <c r="Z80" i="81"/>
  <c r="Z105" i="81" s="1"/>
  <c r="AC6" i="73"/>
  <c r="AC6" i="75"/>
  <c r="AC6" i="82"/>
  <c r="AC71" i="82" s="1" a="1"/>
  <c r="AC71" i="82" s="1"/>
  <c r="AC70" i="73" a="1"/>
  <c r="AC70" i="73" s="1"/>
  <c r="AC78" i="73" s="1"/>
  <c r="AC72" i="73" a="1"/>
  <c r="AC72" i="73" s="1"/>
  <c r="AC71" i="73" a="1"/>
  <c r="AC71" i="73" s="1"/>
  <c r="AC6" i="72"/>
  <c r="AB72" i="82" a="1"/>
  <c r="AB72" i="82" s="1"/>
  <c r="AB71" i="82" a="1"/>
  <c r="AB71" i="82" s="1"/>
  <c r="AB70" i="82" a="1"/>
  <c r="AB70" i="82" s="1"/>
  <c r="AC70" i="68" a="1"/>
  <c r="AC70" i="68" s="1"/>
  <c r="AC72" i="68" a="1"/>
  <c r="AC72" i="68" s="1"/>
  <c r="AC71" i="68" a="1"/>
  <c r="AC71" i="68" s="1"/>
  <c r="AC78" i="68" s="1"/>
  <c r="AC80" i="68" s="1"/>
  <c r="AC105" i="68" s="1"/>
  <c r="AC6" i="81"/>
  <c r="AB72" i="73" a="1"/>
  <c r="AB72" i="73" s="1"/>
  <c r="AB71" i="73" a="1"/>
  <c r="AB71" i="73" s="1"/>
  <c r="AB70" i="73" a="1"/>
  <c r="AB70" i="73" s="1"/>
  <c r="AD6" i="68"/>
  <c r="AD6" i="73" s="1"/>
  <c r="AB72" i="72" a="1"/>
  <c r="AB72" i="72" s="1"/>
  <c r="AB70" i="72" a="1"/>
  <c r="AB70" i="72" s="1"/>
  <c r="AC75" i="72" s="1"/>
  <c r="AB71" i="72" a="1"/>
  <c r="AB71" i="72" s="1"/>
  <c r="AC76" i="72" s="1"/>
  <c r="AB72" i="81" a="1"/>
  <c r="AB72" i="81" s="1"/>
  <c r="AB70" i="81" a="1"/>
  <c r="AB70" i="81" s="1"/>
  <c r="AC75" i="81" s="1"/>
  <c r="AB71" i="81" a="1"/>
  <c r="AB71" i="81" s="1"/>
  <c r="AC76" i="81" s="1"/>
  <c r="AA78" i="81"/>
  <c r="AB78" i="68"/>
  <c r="AB80" i="68" s="1"/>
  <c r="AB105" i="68" s="1"/>
  <c r="AA78" i="82"/>
  <c r="AA80" i="82" s="1"/>
  <c r="AA105" i="82" s="1"/>
  <c r="AA78" i="73"/>
  <c r="I9" i="85"/>
  <c r="AC72" i="82" l="1" a="1"/>
  <c r="AC72" i="82" s="1"/>
  <c r="AC70" i="82" a="1"/>
  <c r="AC70" i="82" s="1"/>
  <c r="AC78" i="82" s="1"/>
  <c r="AC80" i="82" s="1"/>
  <c r="AC105" i="82" s="1"/>
  <c r="AC7" i="75"/>
  <c r="AC7" i="85" s="1"/>
  <c r="AC6" i="85"/>
  <c r="AA80" i="73"/>
  <c r="AA105" i="73" s="1"/>
  <c r="AC80" i="73"/>
  <c r="AC105" i="73" s="1"/>
  <c r="AA80" i="81"/>
  <c r="AA105" i="81" s="1"/>
  <c r="AE6" i="68"/>
  <c r="AE6" i="75" s="1"/>
  <c r="AD6" i="75"/>
  <c r="AD6" i="81"/>
  <c r="AD71" i="81" s="1" a="1"/>
  <c r="AD71" i="81" s="1"/>
  <c r="AE76" i="81" s="1"/>
  <c r="AD6" i="82"/>
  <c r="AD71" i="82" s="1" a="1"/>
  <c r="AD71" i="82" s="1"/>
  <c r="AD6" i="72"/>
  <c r="AD72" i="72" s="1" a="1"/>
  <c r="AD72" i="72" s="1"/>
  <c r="AC71" i="81" a="1"/>
  <c r="AC71" i="81" s="1"/>
  <c r="AD76" i="81" s="1"/>
  <c r="AC72" i="81" a="1"/>
  <c r="AC72" i="81" s="1"/>
  <c r="AC70" i="81" a="1"/>
  <c r="AC70" i="81" s="1"/>
  <c r="AD75" i="81" s="1"/>
  <c r="AC70" i="72" a="1"/>
  <c r="AC70" i="72" s="1"/>
  <c r="AD75" i="72" s="1"/>
  <c r="AC71" i="72" a="1"/>
  <c r="AC71" i="72" s="1"/>
  <c r="AD76" i="72" s="1"/>
  <c r="AC72" i="72" a="1"/>
  <c r="AC72" i="72" s="1"/>
  <c r="AD71" i="73" a="1"/>
  <c r="AD71" i="73" s="1"/>
  <c r="AD72" i="73" a="1"/>
  <c r="AD72" i="73" s="1"/>
  <c r="AD70" i="73" a="1"/>
  <c r="AD70" i="73" s="1"/>
  <c r="AD78" i="73" s="1"/>
  <c r="AD71" i="68" a="1"/>
  <c r="AD71" i="68" s="1"/>
  <c r="AD78" i="68" s="1"/>
  <c r="AD80" i="68" s="1"/>
  <c r="AD105" i="68" s="1"/>
  <c r="AD70" i="68" a="1"/>
  <c r="AD70" i="68" s="1"/>
  <c r="AD72" i="68" a="1"/>
  <c r="AD72" i="68" s="1"/>
  <c r="AB78" i="81"/>
  <c r="AE6" i="82"/>
  <c r="AB78" i="73"/>
  <c r="AB78" i="82"/>
  <c r="AB80" i="82" s="1"/>
  <c r="AB105" i="82" s="1"/>
  <c r="I9" i="75"/>
  <c r="I5" i="75" s="1"/>
  <c r="I9" i="82"/>
  <c r="I9" i="81"/>
  <c r="I9" i="73"/>
  <c r="I9" i="72"/>
  <c r="J9" i="68"/>
  <c r="J9" i="85" s="1"/>
  <c r="AE6" i="72" l="1"/>
  <c r="AE6" i="81"/>
  <c r="AE71" i="68" a="1"/>
  <c r="AE71" i="68" s="1"/>
  <c r="AE78" i="68" s="1"/>
  <c r="AE80" i="68" s="1"/>
  <c r="AE105" i="68" s="1"/>
  <c r="AE6" i="73"/>
  <c r="AE70" i="68" a="1"/>
  <c r="AE70" i="68" s="1"/>
  <c r="AF6" i="68"/>
  <c r="AF6" i="75" s="1"/>
  <c r="AE72" i="68" a="1"/>
  <c r="AE72" i="68" s="1"/>
  <c r="AF7" i="75"/>
  <c r="AF7" i="85" s="1"/>
  <c r="AF6" i="85"/>
  <c r="AE7" i="75"/>
  <c r="AE7" i="85" s="1"/>
  <c r="AE6" i="85"/>
  <c r="AD7" i="75"/>
  <c r="AD7" i="85" s="1"/>
  <c r="AD6" i="85"/>
  <c r="AB80" i="73"/>
  <c r="AB105" i="73" s="1"/>
  <c r="AD80" i="73"/>
  <c r="AD105" i="73" s="1"/>
  <c r="I5" i="85"/>
  <c r="AB80" i="81"/>
  <c r="AB105" i="81" s="1"/>
  <c r="AD72" i="82" a="1"/>
  <c r="AD72" i="82" s="1"/>
  <c r="AD72" i="81" a="1"/>
  <c r="AD72" i="81" s="1"/>
  <c r="AD70" i="81" a="1"/>
  <c r="AD70" i="81" s="1"/>
  <c r="AE75" i="81" s="1"/>
  <c r="AD71" i="72" a="1"/>
  <c r="AD71" i="72" s="1"/>
  <c r="AE76" i="72" s="1"/>
  <c r="AC78" i="81"/>
  <c r="AD70" i="72" a="1"/>
  <c r="AD70" i="72" s="1"/>
  <c r="AE75" i="72" s="1"/>
  <c r="AD70" i="82" a="1"/>
  <c r="AD70" i="82" s="1"/>
  <c r="AD78" i="82" s="1"/>
  <c r="AD80" i="82" s="1"/>
  <c r="AD105" i="82" s="1"/>
  <c r="AE72" i="82" a="1"/>
  <c r="AE72" i="82" s="1"/>
  <c r="AE70" i="82" a="1"/>
  <c r="AE70" i="82" s="1"/>
  <c r="AE78" i="82" s="1"/>
  <c r="AE80" i="82" s="1"/>
  <c r="AE105" i="82" s="1"/>
  <c r="AE71" i="82" a="1"/>
  <c r="AE71" i="82" s="1"/>
  <c r="AE70" i="81" a="1"/>
  <c r="AE70" i="81" s="1"/>
  <c r="AF75" i="81" s="1"/>
  <c r="AE72" i="81" a="1"/>
  <c r="AE72" i="81" s="1"/>
  <c r="AE71" i="81" a="1"/>
  <c r="AE71" i="81" s="1"/>
  <c r="AF76" i="81" s="1"/>
  <c r="AF71" i="68" a="1"/>
  <c r="AF71" i="68" s="1"/>
  <c r="AF78" i="68" s="1"/>
  <c r="AF80" i="68" s="1"/>
  <c r="AF105" i="68" s="1"/>
  <c r="AF70" i="68" a="1"/>
  <c r="AF70" i="68" s="1"/>
  <c r="AF72" i="68" a="1"/>
  <c r="AF72" i="68" s="1"/>
  <c r="AE71" i="73" a="1"/>
  <c r="AE71" i="73" s="1"/>
  <c r="AE70" i="73" a="1"/>
  <c r="AE70" i="73" s="1"/>
  <c r="AE78" i="73" s="1"/>
  <c r="AE72" i="73" a="1"/>
  <c r="AE72" i="73" s="1"/>
  <c r="AE70" i="72" a="1"/>
  <c r="AE70" i="72" s="1"/>
  <c r="AF75" i="72" s="1"/>
  <c r="AE72" i="72" a="1"/>
  <c r="AE72" i="72" s="1"/>
  <c r="AE71" i="72" a="1"/>
  <c r="AE71" i="72" s="1"/>
  <c r="AF76" i="72" s="1"/>
  <c r="AF6" i="73"/>
  <c r="AG6" i="68"/>
  <c r="AG6" i="75" s="1"/>
  <c r="AF6" i="81"/>
  <c r="AF6" i="72"/>
  <c r="AF6" i="82"/>
  <c r="I88" i="75"/>
  <c r="I97" i="75" s="1"/>
  <c r="J9" i="75"/>
  <c r="J5" i="75" s="1"/>
  <c r="J9" i="82"/>
  <c r="J9" i="81"/>
  <c r="J9" i="72"/>
  <c r="J9" i="73"/>
  <c r="K9" i="68"/>
  <c r="K9" i="85" s="1"/>
  <c r="AG7" i="75" l="1"/>
  <c r="AG7" i="85" s="1"/>
  <c r="AG6" i="85"/>
  <c r="AE80" i="73"/>
  <c r="AE105" i="73" s="1"/>
  <c r="J5" i="85"/>
  <c r="AC80" i="81"/>
  <c r="AC105" i="81" s="1"/>
  <c r="AD78" i="81"/>
  <c r="AF70" i="82" a="1"/>
  <c r="AF70" i="82" s="1"/>
  <c r="AF78" i="82" s="1"/>
  <c r="AF80" i="82" s="1"/>
  <c r="AF105" i="82" s="1"/>
  <c r="AF72" i="82" a="1"/>
  <c r="AF72" i="82" s="1"/>
  <c r="AF71" i="82" a="1"/>
  <c r="AF71" i="82" s="1"/>
  <c r="AF72" i="72" a="1"/>
  <c r="AF72" i="72" s="1"/>
  <c r="AF71" i="72" a="1"/>
  <c r="AF71" i="72" s="1"/>
  <c r="AG76" i="72" s="1"/>
  <c r="AF70" i="72" a="1"/>
  <c r="AF70" i="72" s="1"/>
  <c r="AG75" i="72" s="1"/>
  <c r="AF70" i="81" a="1"/>
  <c r="AF70" i="81" s="1"/>
  <c r="AG75" i="81" s="1"/>
  <c r="AF71" i="81" a="1"/>
  <c r="AF71" i="81" s="1"/>
  <c r="AG76" i="81" s="1"/>
  <c r="AF72" i="81" a="1"/>
  <c r="AF72" i="81" s="1"/>
  <c r="AG72" i="68" a="1"/>
  <c r="AG72" i="68" s="1"/>
  <c r="AG71" i="68" a="1"/>
  <c r="AG71" i="68" s="1"/>
  <c r="AG78" i="68" s="1"/>
  <c r="AG80" i="68" s="1"/>
  <c r="AG105" i="68" s="1"/>
  <c r="AG70" i="68" a="1"/>
  <c r="AG70" i="68" s="1"/>
  <c r="AF72" i="73" a="1"/>
  <c r="AF72" i="73" s="1"/>
  <c r="AF71" i="73" a="1"/>
  <c r="AF71" i="73" s="1"/>
  <c r="AF70" i="73" a="1"/>
  <c r="AF70" i="73" s="1"/>
  <c r="AF78" i="73" s="1"/>
  <c r="AE78" i="81"/>
  <c r="AG6" i="73"/>
  <c r="AG6" i="81"/>
  <c r="AG6" i="72"/>
  <c r="AG6" i="82"/>
  <c r="J88" i="75"/>
  <c r="J97" i="75" s="1"/>
  <c r="K9" i="75"/>
  <c r="K5" i="75" s="1"/>
  <c r="K9" i="82"/>
  <c r="K9" i="81"/>
  <c r="L9" i="68"/>
  <c r="L9" i="85" s="1"/>
  <c r="K9" i="72"/>
  <c r="K9" i="73"/>
  <c r="AF80" i="73" l="1"/>
  <c r="AF105" i="73" s="1"/>
  <c r="K5" i="85"/>
  <c r="AD80" i="81"/>
  <c r="AD105" i="81" s="1"/>
  <c r="AE80" i="81"/>
  <c r="AE105" i="81" s="1"/>
  <c r="AG72" i="82" a="1"/>
  <c r="AG72" i="82" s="1"/>
  <c r="AG70" i="82" a="1"/>
  <c r="AG70" i="82" s="1"/>
  <c r="AG78" i="82" s="1"/>
  <c r="AG80" i="82" s="1"/>
  <c r="AG105" i="82" s="1"/>
  <c r="AG71" i="82" a="1"/>
  <c r="AG71" i="82" s="1"/>
  <c r="AG70" i="72" a="1"/>
  <c r="AG70" i="72" s="1"/>
  <c r="AG71" i="72" a="1"/>
  <c r="AG71" i="72" s="1"/>
  <c r="AG72" i="72" a="1"/>
  <c r="AG72" i="72" s="1"/>
  <c r="AG70" i="81" a="1"/>
  <c r="AG70" i="81" s="1"/>
  <c r="AG71" i="81" a="1"/>
  <c r="AG71" i="81" s="1"/>
  <c r="AG72" i="81" a="1"/>
  <c r="AG72" i="81" s="1"/>
  <c r="AG71" i="73" a="1"/>
  <c r="AG71" i="73" s="1"/>
  <c r="AG72" i="73" a="1"/>
  <c r="AG72" i="73" s="1"/>
  <c r="AG70" i="73" a="1"/>
  <c r="AG70" i="73" s="1"/>
  <c r="AG78" i="73" s="1"/>
  <c r="AF78" i="81"/>
  <c r="K88" i="75"/>
  <c r="K97" i="75" s="1"/>
  <c r="L9" i="75"/>
  <c r="L5" i="75" s="1"/>
  <c r="L9" i="82"/>
  <c r="L9" i="81"/>
  <c r="M9" i="68"/>
  <c r="M9" i="85" s="1"/>
  <c r="L9" i="73"/>
  <c r="L9" i="72"/>
  <c r="AG80" i="73" l="1"/>
  <c r="AG105" i="73" s="1"/>
  <c r="L5" i="85"/>
  <c r="AF80" i="81"/>
  <c r="AF105" i="81" s="1"/>
  <c r="AG78" i="81"/>
  <c r="L88" i="75"/>
  <c r="L97" i="75" s="1"/>
  <c r="M9" i="75"/>
  <c r="M5" i="75" s="1"/>
  <c r="M9" i="82"/>
  <c r="M9" i="81"/>
  <c r="N9" i="68"/>
  <c r="N9" i="85" s="1"/>
  <c r="M9" i="73"/>
  <c r="M9" i="72"/>
  <c r="M5" i="85" l="1"/>
  <c r="AG80" i="81"/>
  <c r="AG105" i="81" s="1"/>
  <c r="M88" i="75"/>
  <c r="M97" i="75" s="1"/>
  <c r="N9" i="75"/>
  <c r="N5" i="75" s="1"/>
  <c r="N9" i="82"/>
  <c r="N9" i="81"/>
  <c r="O9" i="68"/>
  <c r="O9" i="85" s="1"/>
  <c r="N9" i="73"/>
  <c r="N9" i="72"/>
  <c r="N5" i="85" l="1"/>
  <c r="N88" i="75"/>
  <c r="N97" i="75" s="1"/>
  <c r="O9" i="75"/>
  <c r="O5" i="75" s="1"/>
  <c r="O9" i="82"/>
  <c r="O9" i="81"/>
  <c r="P9" i="68"/>
  <c r="P9" i="85" s="1"/>
  <c r="O9" i="73"/>
  <c r="O9" i="72"/>
  <c r="O5" i="85" l="1"/>
  <c r="O88" i="75"/>
  <c r="O97" i="75" s="1"/>
  <c r="P9" i="75"/>
  <c r="P5" i="75" s="1"/>
  <c r="P9" i="82"/>
  <c r="P9" i="81"/>
  <c r="Q9" i="68"/>
  <c r="Q9" i="85" s="1"/>
  <c r="P9" i="73"/>
  <c r="P9" i="72"/>
  <c r="P5" i="85" l="1"/>
  <c r="P88" i="75"/>
  <c r="P97" i="75" s="1"/>
  <c r="Q9" i="75"/>
  <c r="Q5" i="75" s="1"/>
  <c r="Q9" i="82"/>
  <c r="Q9" i="81"/>
  <c r="R9" i="68"/>
  <c r="R9" i="85" s="1"/>
  <c r="Q9" i="73"/>
  <c r="Q9" i="72"/>
  <c r="Q5" i="85" l="1"/>
  <c r="Q88" i="75"/>
  <c r="Q97" i="75" s="1"/>
  <c r="R9" i="75"/>
  <c r="R5" i="75" s="1"/>
  <c r="R9" i="82"/>
  <c r="R9" i="81"/>
  <c r="S9" i="68"/>
  <c r="S9" i="85" s="1"/>
  <c r="R9" i="72"/>
  <c r="R9" i="73"/>
  <c r="R5" i="85" l="1"/>
  <c r="R88" i="75"/>
  <c r="R97" i="75" s="1"/>
  <c r="S9" i="75"/>
  <c r="S5" i="75" s="1"/>
  <c r="S9" i="82"/>
  <c r="S9" i="81"/>
  <c r="T9" i="68"/>
  <c r="T9" i="85" s="1"/>
  <c r="S9" i="72"/>
  <c r="S9" i="73"/>
  <c r="S5" i="85" l="1"/>
  <c r="S88" i="75"/>
  <c r="S97" i="75" s="1"/>
  <c r="T9" i="75"/>
  <c r="T5" i="75" s="1"/>
  <c r="T9" i="82"/>
  <c r="T9" i="81"/>
  <c r="U9" i="68"/>
  <c r="U9" i="85" s="1"/>
  <c r="T9" i="73"/>
  <c r="T9" i="72"/>
  <c r="T5" i="85" l="1"/>
  <c r="T88" i="75"/>
  <c r="T97" i="75" s="1"/>
  <c r="U9" i="75"/>
  <c r="U5" i="75" s="1"/>
  <c r="U9" i="82"/>
  <c r="U9" i="81"/>
  <c r="V9" i="68"/>
  <c r="V9" i="85" s="1"/>
  <c r="U9" i="72"/>
  <c r="U9" i="73"/>
  <c r="U5" i="85" l="1"/>
  <c r="U88" i="75"/>
  <c r="U97" i="75" s="1"/>
  <c r="V9" i="75"/>
  <c r="V5" i="75" s="1"/>
  <c r="V9" i="82"/>
  <c r="V9" i="81"/>
  <c r="W9" i="68"/>
  <c r="W9" i="85" s="1"/>
  <c r="V9" i="73"/>
  <c r="V9" i="72"/>
  <c r="V5" i="85" l="1"/>
  <c r="V88" i="75"/>
  <c r="V97" i="75" s="1"/>
  <c r="W9" i="75"/>
  <c r="W5" i="75" s="1"/>
  <c r="W9" i="82"/>
  <c r="W9" i="81"/>
  <c r="X9" i="68"/>
  <c r="X9" i="85" s="1"/>
  <c r="W9" i="73"/>
  <c r="W9" i="72"/>
  <c r="W5" i="85" l="1"/>
  <c r="W88" i="75"/>
  <c r="W97" i="75" s="1"/>
  <c r="X9" i="75"/>
  <c r="X5" i="75" s="1"/>
  <c r="X9" i="82"/>
  <c r="X9" i="81"/>
  <c r="Y9" i="68"/>
  <c r="Y9" i="85" s="1"/>
  <c r="X9" i="73"/>
  <c r="X9" i="72"/>
  <c r="X5" i="85" l="1"/>
  <c r="X88" i="75"/>
  <c r="X97" i="75" s="1"/>
  <c r="Y9" i="75"/>
  <c r="Y5" i="75" s="1"/>
  <c r="Y9" i="82"/>
  <c r="Y9" i="81"/>
  <c r="Z9" i="68"/>
  <c r="Z9" i="85" s="1"/>
  <c r="Y9" i="73"/>
  <c r="Y9" i="72"/>
  <c r="Y5" i="85" l="1"/>
  <c r="Y88" i="75"/>
  <c r="Y97" i="75" s="1"/>
  <c r="Z9" i="75"/>
  <c r="Z5" i="75" s="1"/>
  <c r="Z9" i="82"/>
  <c r="Z9" i="81"/>
  <c r="AA9" i="68"/>
  <c r="AA9" i="85" s="1"/>
  <c r="Z9" i="72"/>
  <c r="Z9" i="73"/>
  <c r="Z5" i="85" l="1"/>
  <c r="Z88" i="75"/>
  <c r="Z97" i="75" s="1"/>
  <c r="AA9" i="75"/>
  <c r="AA5" i="75" s="1"/>
  <c r="AA9" i="82"/>
  <c r="AA9" i="81"/>
  <c r="AB9" i="68"/>
  <c r="AB9" i="85" s="1"/>
  <c r="AA9" i="72"/>
  <c r="AA9" i="73"/>
  <c r="AA5" i="85" l="1"/>
  <c r="AC9" i="68"/>
  <c r="AC9" i="85" s="1"/>
  <c r="AA88" i="75"/>
  <c r="AA97" i="75" s="1"/>
  <c r="AB9" i="75"/>
  <c r="AB5" i="75" s="1"/>
  <c r="AB9" i="82"/>
  <c r="AB9" i="81"/>
  <c r="AB9" i="73"/>
  <c r="AB9" i="72"/>
  <c r="AC9" i="75" l="1"/>
  <c r="AC88" i="75" s="1"/>
  <c r="AC97" i="75" s="1"/>
  <c r="AC9" i="72"/>
  <c r="AC9" i="73"/>
  <c r="AD9" i="68"/>
  <c r="AD9" i="85" s="1"/>
  <c r="AC9" i="81"/>
  <c r="AC9" i="82"/>
  <c r="AB88" i="75"/>
  <c r="AB97" i="75" s="1"/>
  <c r="AC5" i="75" l="1"/>
  <c r="AC5" i="85" s="1"/>
  <c r="AB5" i="85"/>
  <c r="AD9" i="82"/>
  <c r="AD9" i="72"/>
  <c r="AD9" i="75"/>
  <c r="AD9" i="73"/>
  <c r="AD9" i="81"/>
  <c r="AE9" i="68"/>
  <c r="AE9" i="85" s="1"/>
  <c r="A44" i="47"/>
  <c r="A45" i="47" s="1"/>
  <c r="A46" i="47" s="1"/>
  <c r="A47" i="47" s="1"/>
  <c r="A48" i="47" s="1"/>
  <c r="A49" i="47" s="1"/>
  <c r="A50" i="47" s="1"/>
  <c r="A51" i="47" s="1"/>
  <c r="A52" i="47" s="1"/>
  <c r="A53" i="47" s="1"/>
  <c r="A54" i="47" s="1"/>
  <c r="A55" i="47" s="1"/>
  <c r="AD5" i="75" l="1"/>
  <c r="AD5" i="85" s="1"/>
  <c r="AD88" i="75"/>
  <c r="AD97" i="75" s="1"/>
  <c r="AE9" i="81"/>
  <c r="AE9" i="82"/>
  <c r="AE9" i="75"/>
  <c r="AE88" i="75" s="1"/>
  <c r="AE97" i="75" s="1"/>
  <c r="AE9" i="72"/>
  <c r="AE9" i="73"/>
  <c r="AF9" i="68"/>
  <c r="AF9" i="85" s="1"/>
  <c r="G8" i="33"/>
  <c r="AE5" i="75" l="1"/>
  <c r="AE5" i="85" s="1"/>
  <c r="AF9" i="82"/>
  <c r="AF9" i="81"/>
  <c r="AF9" i="75"/>
  <c r="AF9" i="72"/>
  <c r="AF9" i="73"/>
  <c r="AG9" i="68"/>
  <c r="AG9" i="85" s="1"/>
  <c r="AF5" i="75" l="1"/>
  <c r="AF5" i="85" s="1"/>
  <c r="AF88" i="75"/>
  <c r="AF97" i="75" s="1"/>
  <c r="AG9" i="82"/>
  <c r="AG9" i="75"/>
  <c r="AG9" i="81"/>
  <c r="AG9" i="73"/>
  <c r="AG9" i="72"/>
  <c r="AG5" i="75" l="1"/>
  <c r="AG5" i="85" s="1"/>
  <c r="AG88" i="75"/>
  <c r="AG97" i="75" s="1"/>
  <c r="C14" i="43" l="1" a="1"/>
  <c r="G27" i="43"/>
  <c r="H97" i="43"/>
  <c r="C17" i="62"/>
  <c r="H11" i="62"/>
  <c r="I11" i="62" s="1"/>
  <c r="I12" i="62" s="1"/>
  <c r="G35" i="82" l="1"/>
  <c r="G34" i="82"/>
  <c r="G14" i="82"/>
  <c r="G32" i="73"/>
  <c r="G53" i="72"/>
  <c r="G19" i="72"/>
  <c r="G34" i="81"/>
  <c r="G15" i="81"/>
  <c r="G17" i="73"/>
  <c r="G53" i="82"/>
  <c r="G53" i="81"/>
  <c r="G34" i="73"/>
  <c r="G52" i="81"/>
  <c r="G33" i="73"/>
  <c r="G35" i="81"/>
  <c r="G33" i="82"/>
  <c r="G29" i="82"/>
  <c r="G31" i="73"/>
  <c r="G52" i="72"/>
  <c r="G17" i="72"/>
  <c r="G33" i="81"/>
  <c r="G14" i="81"/>
  <c r="G52" i="73"/>
  <c r="G14" i="72"/>
  <c r="G35" i="73"/>
  <c r="G19" i="81"/>
  <c r="G15" i="73"/>
  <c r="G15" i="82"/>
  <c r="G16" i="81"/>
  <c r="G32" i="82"/>
  <c r="G55" i="73"/>
  <c r="G29" i="73"/>
  <c r="G29" i="72"/>
  <c r="G16" i="72"/>
  <c r="G32" i="81"/>
  <c r="G53" i="68"/>
  <c r="G34" i="72"/>
  <c r="G17" i="82"/>
  <c r="G33" i="72"/>
  <c r="G16" i="82"/>
  <c r="G17" i="81"/>
  <c r="G31" i="72"/>
  <c r="G31" i="82"/>
  <c r="G53" i="73"/>
  <c r="G19" i="73"/>
  <c r="G35" i="72"/>
  <c r="G15" i="72"/>
  <c r="G31" i="81"/>
  <c r="G52" i="68"/>
  <c r="G19" i="82"/>
  <c r="G29" i="81"/>
  <c r="G16" i="73"/>
  <c r="G52" i="82"/>
  <c r="G32" i="72"/>
  <c r="G14" i="73"/>
  <c r="C22" i="62"/>
  <c r="G35" i="68"/>
  <c r="G16" i="68"/>
  <c r="G34" i="68"/>
  <c r="G17" i="68"/>
  <c r="G14" i="68"/>
  <c r="G33" i="68"/>
  <c r="G32" i="68"/>
  <c r="G31" i="68"/>
  <c r="G29" i="68"/>
  <c r="G15" i="68"/>
  <c r="G19" i="68"/>
  <c r="H12" i="62"/>
  <c r="H13" i="62" s="1"/>
  <c r="G55" i="82"/>
  <c r="G55" i="68"/>
  <c r="G55" i="72"/>
  <c r="G55" i="81"/>
  <c r="G76" i="73"/>
  <c r="G75" i="81"/>
  <c r="G76" i="72"/>
  <c r="G75" i="72"/>
  <c r="G77" i="72"/>
  <c r="G75" i="73"/>
  <c r="G78" i="81"/>
  <c r="G77" i="81"/>
  <c r="G77" i="73"/>
  <c r="G76" i="81"/>
  <c r="H60" i="43"/>
  <c r="H86" i="43"/>
  <c r="H87" i="43"/>
  <c r="G78" i="68"/>
  <c r="G72" i="81"/>
  <c r="G71" i="82"/>
  <c r="G67" i="72"/>
  <c r="G66" i="68"/>
  <c r="G72" i="72"/>
  <c r="G67" i="73"/>
  <c r="G76" i="68"/>
  <c r="G70" i="81"/>
  <c r="G77" i="82"/>
  <c r="G72" i="68"/>
  <c r="G70" i="73"/>
  <c r="G66" i="81"/>
  <c r="G65" i="82"/>
  <c r="G78" i="72"/>
  <c r="G77" i="68"/>
  <c r="G71" i="81"/>
  <c r="G70" i="82"/>
  <c r="G66" i="72"/>
  <c r="G65" i="68"/>
  <c r="G78" i="82"/>
  <c r="G75" i="68"/>
  <c r="G71" i="73"/>
  <c r="G67" i="81"/>
  <c r="G66" i="82"/>
  <c r="G76" i="82"/>
  <c r="G71" i="68"/>
  <c r="G65" i="81"/>
  <c r="G72" i="73"/>
  <c r="G67" i="68"/>
  <c r="G66" i="73"/>
  <c r="G75" i="82"/>
  <c r="G72" i="82"/>
  <c r="G65" i="73"/>
  <c r="G70" i="72"/>
  <c r="G78" i="73"/>
  <c r="G71" i="72"/>
  <c r="G67" i="82"/>
  <c r="G65" i="72"/>
  <c r="G70" i="68"/>
  <c r="G83" i="82"/>
  <c r="G81" i="82"/>
  <c r="G80" i="82"/>
  <c r="G62" i="82"/>
  <c r="G82" i="82"/>
  <c r="G85" i="82"/>
  <c r="G81" i="73"/>
  <c r="G80" i="72"/>
  <c r="G80" i="73"/>
  <c r="G85" i="72"/>
  <c r="G85" i="73"/>
  <c r="G83" i="68"/>
  <c r="G83" i="73"/>
  <c r="G81" i="68"/>
  <c r="G83" i="72"/>
  <c r="G82" i="68"/>
  <c r="G82" i="72"/>
  <c r="G62" i="72"/>
  <c r="G82" i="73"/>
  <c r="G81" i="72"/>
  <c r="G80" i="68"/>
  <c r="G85" i="68"/>
  <c r="G62" i="81"/>
  <c r="G81" i="81"/>
  <c r="G85" i="81"/>
  <c r="G83" i="81"/>
  <c r="G80" i="81"/>
  <c r="G82" i="81"/>
  <c r="E46" i="82"/>
  <c r="E46" i="73"/>
  <c r="E46" i="72"/>
  <c r="G62" i="73"/>
  <c r="G62" i="68"/>
  <c r="C14" i="43"/>
  <c r="C3" i="73" l="1"/>
  <c r="C3" i="82"/>
  <c r="C3" i="81"/>
  <c r="C3" i="72"/>
  <c r="Z55" i="73" a="1"/>
  <c r="Z55" i="73" s="1"/>
  <c r="K55" i="73" a="1"/>
  <c r="K55" i="73" s="1"/>
  <c r="Y55" i="73" a="1"/>
  <c r="Y55" i="73" s="1"/>
  <c r="W55" i="73" a="1"/>
  <c r="W55" i="73" s="1"/>
  <c r="J55" i="73" a="1"/>
  <c r="J55" i="73" s="1"/>
  <c r="S55" i="73" a="1"/>
  <c r="S55" i="73" s="1"/>
  <c r="I55" i="73" a="1"/>
  <c r="I55" i="73" s="1"/>
  <c r="AG55" i="73" a="1"/>
  <c r="AG55" i="73" s="1"/>
  <c r="AE55" i="73" a="1"/>
  <c r="AE55" i="73" s="1"/>
  <c r="AA55" i="73" a="1"/>
  <c r="AA55" i="73" s="1"/>
  <c r="Q55" i="73" a="1"/>
  <c r="Q55" i="73" s="1"/>
  <c r="R55" i="73" a="1"/>
  <c r="R55" i="73" s="1"/>
  <c r="O55" i="73" a="1"/>
  <c r="O55" i="73" s="1"/>
  <c r="AC55" i="73" a="1"/>
  <c r="AC55" i="73" s="1"/>
  <c r="AD55" i="73" a="1"/>
  <c r="AD55" i="73" s="1"/>
  <c r="AF55" i="73" a="1"/>
  <c r="AF55" i="73" s="1"/>
  <c r="L55" i="73" a="1"/>
  <c r="L55" i="73" s="1"/>
  <c r="M55" i="73" a="1"/>
  <c r="M55" i="73" s="1"/>
  <c r="N55" i="73" a="1"/>
  <c r="N55" i="73" s="1"/>
  <c r="P55" i="73" a="1"/>
  <c r="P55" i="73" s="1"/>
  <c r="T55" i="73" a="1"/>
  <c r="T55" i="73" s="1"/>
  <c r="U55" i="73" a="1"/>
  <c r="U55" i="73" s="1"/>
  <c r="V55" i="73" a="1"/>
  <c r="V55" i="73" s="1"/>
  <c r="X55" i="73" a="1"/>
  <c r="X55" i="73" s="1"/>
  <c r="AB55" i="73" a="1"/>
  <c r="AB55" i="73" s="1"/>
  <c r="W55" i="82" a="1"/>
  <c r="W55" i="82" s="1"/>
  <c r="Q55" i="82" a="1"/>
  <c r="Q55" i="82" s="1"/>
  <c r="O55" i="82" a="1"/>
  <c r="O55" i="82" s="1"/>
  <c r="I55" i="82" a="1"/>
  <c r="I55" i="82" s="1"/>
  <c r="I83" i="82" s="1"/>
  <c r="AG55" i="82" a="1"/>
  <c r="AG55" i="82" s="1"/>
  <c r="AG83" i="82" s="1"/>
  <c r="AE55" i="82" a="1"/>
  <c r="AE55" i="82" s="1"/>
  <c r="AE83" i="82" s="1"/>
  <c r="Y55" i="82" a="1"/>
  <c r="Y55" i="82" s="1"/>
  <c r="AC55" i="82" a="1"/>
  <c r="AC55" i="82" s="1"/>
  <c r="AC83" i="82" s="1"/>
  <c r="AD55" i="82" a="1"/>
  <c r="AD55" i="82" s="1"/>
  <c r="AD83" i="82" s="1"/>
  <c r="AF55" i="82" a="1"/>
  <c r="AF55" i="82" s="1"/>
  <c r="AF83" i="82" s="1"/>
  <c r="K55" i="82" a="1"/>
  <c r="K55" i="82" s="1"/>
  <c r="N55" i="82" a="1"/>
  <c r="N55" i="82" s="1"/>
  <c r="L55" i="82" a="1"/>
  <c r="L55" i="82" s="1"/>
  <c r="J55" i="82" a="1"/>
  <c r="J55" i="82" s="1"/>
  <c r="M55" i="82" a="1"/>
  <c r="M55" i="82" s="1"/>
  <c r="P55" i="82" a="1"/>
  <c r="P55" i="82" s="1"/>
  <c r="R55" i="82" a="1"/>
  <c r="R55" i="82" s="1"/>
  <c r="S55" i="82" a="1"/>
  <c r="S55" i="82" s="1"/>
  <c r="T55" i="82" a="1"/>
  <c r="T55" i="82" s="1"/>
  <c r="U55" i="82" a="1"/>
  <c r="U55" i="82" s="1"/>
  <c r="V55" i="82" a="1"/>
  <c r="V55" i="82" s="1"/>
  <c r="X55" i="82" a="1"/>
  <c r="X55" i="82" s="1"/>
  <c r="Z55" i="82" a="1"/>
  <c r="Z55" i="82" s="1"/>
  <c r="AA55" i="82" a="1"/>
  <c r="AA55" i="82" s="1"/>
  <c r="AB55" i="82" a="1"/>
  <c r="AB55" i="82" s="1"/>
  <c r="AC55" i="72" a="1"/>
  <c r="AC55" i="72" s="1"/>
  <c r="AD55" i="72" a="1"/>
  <c r="AD55" i="72" s="1"/>
  <c r="AE55" i="72" a="1"/>
  <c r="AE55" i="72" s="1"/>
  <c r="AF55" i="72" a="1"/>
  <c r="AF55" i="72" s="1"/>
  <c r="AG55" i="72" a="1"/>
  <c r="AG55" i="72" s="1"/>
  <c r="X55" i="72" a="1"/>
  <c r="X55" i="72" s="1"/>
  <c r="S55" i="72" a="1"/>
  <c r="S55" i="72" s="1"/>
  <c r="J55" i="72" a="1"/>
  <c r="J55" i="72" s="1"/>
  <c r="R55" i="72" a="1"/>
  <c r="R55" i="72" s="1"/>
  <c r="P55" i="72" a="1"/>
  <c r="P55" i="72" s="1"/>
  <c r="O55" i="72" a="1"/>
  <c r="O55" i="72" s="1"/>
  <c r="Z55" i="72" a="1"/>
  <c r="Z55" i="72" s="1"/>
  <c r="L55" i="72" a="1"/>
  <c r="L55" i="72" s="1"/>
  <c r="K55" i="72" a="1"/>
  <c r="K55" i="72" s="1"/>
  <c r="N55" i="72" a="1"/>
  <c r="N55" i="72" s="1"/>
  <c r="I55" i="72" a="1"/>
  <c r="I55" i="72" s="1"/>
  <c r="M55" i="72" a="1"/>
  <c r="M55" i="72" s="1"/>
  <c r="Q55" i="72" a="1"/>
  <c r="Q55" i="72" s="1"/>
  <c r="T55" i="72" a="1"/>
  <c r="T55" i="72" s="1"/>
  <c r="U55" i="72" a="1"/>
  <c r="U55" i="72" s="1"/>
  <c r="V55" i="72" a="1"/>
  <c r="V55" i="72" s="1"/>
  <c r="W55" i="72" a="1"/>
  <c r="W55" i="72" s="1"/>
  <c r="Y55" i="72" a="1"/>
  <c r="Y55" i="72" s="1"/>
  <c r="AA55" i="72" a="1"/>
  <c r="AA55" i="72" s="1"/>
  <c r="AB55" i="72" a="1"/>
  <c r="AB55" i="72" s="1"/>
  <c r="D13" i="33"/>
  <c r="D10" i="33"/>
  <c r="D11" i="33"/>
  <c r="D9" i="33"/>
  <c r="D12" i="33"/>
  <c r="H102" i="43"/>
  <c r="H103" i="43"/>
  <c r="H104" i="43"/>
  <c r="H105" i="43"/>
  <c r="H106" i="43"/>
  <c r="H107" i="43"/>
  <c r="H101" i="43"/>
  <c r="U83" i="72" l="1"/>
  <c r="Z83" i="72"/>
  <c r="AC83" i="72"/>
  <c r="T83" i="72"/>
  <c r="O83" i="72"/>
  <c r="Q83" i="72"/>
  <c r="P83" i="72"/>
  <c r="AB83" i="72"/>
  <c r="M83" i="72"/>
  <c r="R83" i="72"/>
  <c r="AE83" i="73"/>
  <c r="AA83" i="72"/>
  <c r="I83" i="72"/>
  <c r="J83" i="72"/>
  <c r="AG83" i="72"/>
  <c r="AF83" i="73"/>
  <c r="AG83" i="73"/>
  <c r="Y83" i="72"/>
  <c r="N83" i="72"/>
  <c r="S83" i="72"/>
  <c r="AF83" i="72"/>
  <c r="AD83" i="73"/>
  <c r="I83" i="73"/>
  <c r="W83" i="72"/>
  <c r="K83" i="72"/>
  <c r="X83" i="72"/>
  <c r="AE83" i="72"/>
  <c r="AC83" i="73"/>
  <c r="V83" i="72"/>
  <c r="L83" i="72"/>
  <c r="AD83" i="72"/>
  <c r="Q78" i="72"/>
  <c r="I78" i="72"/>
  <c r="T83" i="73"/>
  <c r="W83" i="73"/>
  <c r="Q83" i="73"/>
  <c r="O83" i="73"/>
  <c r="O83" i="82"/>
  <c r="V83" i="73"/>
  <c r="X83" i="73"/>
  <c r="T83" i="82"/>
  <c r="V83" i="82"/>
  <c r="AA83" i="73"/>
  <c r="P83" i="73"/>
  <c r="Q83" i="82"/>
  <c r="J83" i="82"/>
  <c r="K83" i="82"/>
  <c r="J83" i="73"/>
  <c r="U83" i="73"/>
  <c r="U83" i="82"/>
  <c r="AA83" i="82"/>
  <c r="R83" i="82"/>
  <c r="N83" i="73"/>
  <c r="Z83" i="73"/>
  <c r="AB83" i="82"/>
  <c r="W83" i="82"/>
  <c r="P83" i="82"/>
  <c r="M83" i="73"/>
  <c r="K83" i="73"/>
  <c r="Y83" i="82"/>
  <c r="Z83" i="82"/>
  <c r="M83" i="82"/>
  <c r="N83" i="82"/>
  <c r="S83" i="73"/>
  <c r="R83" i="73"/>
  <c r="S83" i="82"/>
  <c r="AB83" i="73"/>
  <c r="L83" i="73"/>
  <c r="Y83" i="73"/>
  <c r="X83" i="82"/>
  <c r="L83" i="82"/>
  <c r="I80" i="72" l="1"/>
  <c r="I105" i="72" s="1"/>
  <c r="Q80" i="72"/>
  <c r="Q105" i="72" s="1"/>
  <c r="R78" i="72"/>
  <c r="J78" i="72"/>
  <c r="N78" i="72"/>
  <c r="AE78" i="72"/>
  <c r="O78" i="72"/>
  <c r="L78" i="72"/>
  <c r="AG78" i="72"/>
  <c r="AA78" i="72"/>
  <c r="K78" i="72"/>
  <c r="P78" i="72"/>
  <c r="M78" i="72"/>
  <c r="AF78" i="72"/>
  <c r="AD78" i="72"/>
  <c r="V78" i="72"/>
  <c r="U78" i="72"/>
  <c r="AC78" i="72"/>
  <c r="Z78" i="72"/>
  <c r="T78" i="72"/>
  <c r="W78" i="72"/>
  <c r="AB78" i="72"/>
  <c r="Y78" i="72"/>
  <c r="X78" i="72"/>
  <c r="S78" i="72"/>
  <c r="C16" i="62"/>
  <c r="J80" i="72" l="1"/>
  <c r="J105" i="72" s="1"/>
  <c r="K80" i="72"/>
  <c r="K105" i="72" s="1"/>
  <c r="AB80" i="72"/>
  <c r="AB105" i="72" s="1"/>
  <c r="AD80" i="72"/>
  <c r="AD105" i="72" s="1"/>
  <c r="Z80" i="72"/>
  <c r="Z105" i="72" s="1"/>
  <c r="Y80" i="72"/>
  <c r="Y105" i="72" s="1"/>
  <c r="O80" i="72"/>
  <c r="O105" i="72" s="1"/>
  <c r="AF80" i="72"/>
  <c r="AF105" i="72" s="1"/>
  <c r="AE80" i="72"/>
  <c r="AE105" i="72" s="1"/>
  <c r="W80" i="72"/>
  <c r="W105" i="72" s="1"/>
  <c r="M80" i="72"/>
  <c r="M105" i="72" s="1"/>
  <c r="N80" i="72"/>
  <c r="N105" i="72" s="1"/>
  <c r="T80" i="72"/>
  <c r="T105" i="72" s="1"/>
  <c r="P80" i="72"/>
  <c r="P105" i="72" s="1"/>
  <c r="R80" i="72"/>
  <c r="R105" i="72" s="1"/>
  <c r="AC80" i="72"/>
  <c r="AC105" i="72" s="1"/>
  <c r="AA80" i="72"/>
  <c r="AA105" i="72" s="1"/>
  <c r="S80" i="72"/>
  <c r="S105" i="72" s="1"/>
  <c r="U80" i="72"/>
  <c r="U105" i="72" s="1"/>
  <c r="AG80" i="72"/>
  <c r="AG105" i="72" s="1"/>
  <c r="X80" i="72"/>
  <c r="X105" i="72" s="1"/>
  <c r="V80" i="72"/>
  <c r="V105" i="72" s="1"/>
  <c r="L80" i="72"/>
  <c r="L105" i="72" s="1"/>
  <c r="A1" i="43"/>
  <c r="A1" i="33"/>
  <c r="A2" i="47" l="1"/>
  <c r="A1" i="47"/>
  <c r="A2" i="62"/>
  <c r="A1" i="62"/>
  <c r="I6" i="62"/>
  <c r="I13" i="62" l="1"/>
  <c r="J6" i="62"/>
  <c r="J11" i="62" l="1"/>
  <c r="K6" i="62"/>
  <c r="J12" i="62" l="1"/>
  <c r="J13" i="62" s="1"/>
  <c r="I15" i="62"/>
  <c r="K11" i="62"/>
  <c r="K12" i="62" s="1"/>
  <c r="K13" i="62" s="1"/>
  <c r="L6" i="62"/>
  <c r="J15" i="62" l="1"/>
  <c r="L11" i="62"/>
  <c r="M6" i="62"/>
  <c r="L12" i="62" l="1"/>
  <c r="L13" i="62" s="1"/>
  <c r="K15" i="62"/>
  <c r="M11" i="62"/>
  <c r="M12" i="62" l="1"/>
  <c r="M13" i="62" s="1"/>
  <c r="L15" i="62"/>
  <c r="N11" i="62"/>
  <c r="N12" i="62" l="1"/>
  <c r="N13" i="62" s="1"/>
  <c r="M15" i="62"/>
  <c r="O11" i="62"/>
  <c r="O12" i="62" l="1"/>
  <c r="O13" i="62" s="1"/>
  <c r="P11" i="62"/>
  <c r="P12" i="62" s="1"/>
  <c r="P13" i="62" s="1"/>
  <c r="N15" i="62"/>
  <c r="Q11" i="62" l="1"/>
  <c r="Q12" i="62" s="1"/>
  <c r="Q13" i="62" s="1"/>
  <c r="O15" i="62"/>
  <c r="D21" i="62" s="1"/>
  <c r="P15" i="62" l="1"/>
  <c r="R11" i="62"/>
  <c r="Q15" i="62" l="1"/>
  <c r="R12" i="62"/>
  <c r="R13" i="62" s="1"/>
  <c r="D22" i="62" l="1"/>
  <c r="D23" i="62" s="1"/>
  <c r="G79" i="43"/>
  <c r="G78" i="43"/>
  <c r="D16" i="62"/>
  <c r="R15" i="62"/>
  <c r="D17" i="62" s="1"/>
  <c r="D19" i="62" l="1"/>
  <c r="W31" i="73" a="1"/>
  <c r="W31" i="73" s="1"/>
  <c r="Q31" i="82" a="1"/>
  <c r="Q31" i="82" s="1"/>
  <c r="AF31" i="82" a="1"/>
  <c r="AF31" i="82" s="1"/>
  <c r="AD31" i="73" a="1"/>
  <c r="AD31" i="73" s="1"/>
  <c r="W31" i="82" a="1"/>
  <c r="W31" i="82" s="1"/>
  <c r="Y31" i="82" a="1"/>
  <c r="Y31" i="82" s="1"/>
  <c r="AF31" i="73" a="1"/>
  <c r="AF31" i="73" s="1"/>
  <c r="AB31" i="73" a="1"/>
  <c r="AB31" i="73" s="1"/>
  <c r="S31" i="73" a="1"/>
  <c r="S31" i="73" s="1"/>
  <c r="AC31" i="73" a="1"/>
  <c r="AC31" i="73" s="1"/>
  <c r="L31" i="73" a="1"/>
  <c r="L31" i="73" s="1"/>
  <c r="AC31" i="82" a="1"/>
  <c r="AC31" i="82" s="1"/>
  <c r="X31" i="82" a="1"/>
  <c r="X31" i="82" s="1"/>
  <c r="T31" i="82" a="1"/>
  <c r="T31" i="82" s="1"/>
  <c r="X31" i="73" a="1"/>
  <c r="X31" i="73" s="1"/>
  <c r="AG31" i="82" a="1"/>
  <c r="AG31" i="82" s="1"/>
  <c r="P31" i="82" a="1"/>
  <c r="P31" i="82" s="1"/>
  <c r="I31" i="73" a="1"/>
  <c r="I31" i="73" s="1"/>
  <c r="O31" i="82" a="1"/>
  <c r="O31" i="82" s="1"/>
  <c r="L31" i="82" a="1"/>
  <c r="L31" i="82" s="1"/>
  <c r="R31" i="73" a="1"/>
  <c r="R31" i="73" s="1"/>
  <c r="I31" i="82" a="1"/>
  <c r="I31" i="82" s="1"/>
  <c r="AB31" i="82" a="1"/>
  <c r="AB31" i="82" s="1"/>
  <c r="AE31" i="73" a="1"/>
  <c r="AE31" i="73" s="1"/>
  <c r="Q31" i="73" a="1"/>
  <c r="Q31" i="73" s="1"/>
  <c r="O31" i="73" a="1"/>
  <c r="O31" i="73" s="1"/>
  <c r="J31" i="82" a="1"/>
  <c r="J31" i="82" s="1"/>
  <c r="AG31" i="73" a="1"/>
  <c r="AG31" i="73" s="1"/>
  <c r="Y31" i="73" a="1"/>
  <c r="Y31" i="73" s="1"/>
  <c r="Z31" i="73" a="1"/>
  <c r="Z31" i="73" s="1"/>
  <c r="M31" i="73" a="1"/>
  <c r="M31" i="73" s="1"/>
  <c r="U31" i="82" a="1"/>
  <c r="U31" i="82" s="1"/>
  <c r="AA31" i="73" a="1"/>
  <c r="AA31" i="73" s="1"/>
  <c r="N31" i="82" a="1"/>
  <c r="N31" i="82" s="1"/>
  <c r="AE31" i="82" a="1"/>
  <c r="AE31" i="82" s="1"/>
  <c r="V31" i="82" a="1"/>
  <c r="V31" i="82" s="1"/>
  <c r="AA31" i="82" a="1"/>
  <c r="AA31" i="82" s="1"/>
  <c r="M31" i="82" a="1"/>
  <c r="M31" i="82" s="1"/>
  <c r="P31" i="73" a="1"/>
  <c r="P31" i="73" s="1"/>
  <c r="AD31" i="82" a="1"/>
  <c r="AD31" i="82" s="1"/>
  <c r="K31" i="82" a="1"/>
  <c r="K31" i="82" s="1"/>
  <c r="U31" i="73" a="1"/>
  <c r="U31" i="73" s="1"/>
  <c r="Z31" i="82" a="1"/>
  <c r="Z31" i="82" s="1"/>
  <c r="T31" i="73" a="1"/>
  <c r="T31" i="73" s="1"/>
  <c r="S31" i="82" a="1"/>
  <c r="S31" i="82" s="1"/>
  <c r="J31" i="73" a="1"/>
  <c r="J31" i="73" s="1"/>
  <c r="R31" i="82" a="1"/>
  <c r="R31" i="82" s="1"/>
  <c r="N31" i="73" a="1"/>
  <c r="N31" i="73" s="1"/>
  <c r="V31" i="73" a="1"/>
  <c r="V31" i="73" s="1"/>
  <c r="K31" i="73" a="1"/>
  <c r="K31" i="73" s="1"/>
  <c r="E29" i="73"/>
  <c r="E29" i="81"/>
  <c r="E29" i="72"/>
  <c r="E29" i="68"/>
  <c r="E29" i="82"/>
  <c r="AG14" i="85"/>
  <c r="S74" i="75"/>
  <c r="N43" i="75"/>
  <c r="N60" i="75"/>
  <c r="L75" i="75"/>
  <c r="K71" i="75"/>
  <c r="W47" i="75"/>
  <c r="P43" i="75"/>
  <c r="V61" i="75"/>
  <c r="O33" i="75"/>
  <c r="N75" i="75"/>
  <c r="N32" i="75"/>
  <c r="T71" i="75"/>
  <c r="S57" i="75"/>
  <c r="K57" i="75"/>
  <c r="T60" i="75"/>
  <c r="Q32" i="75"/>
  <c r="M60" i="75"/>
  <c r="U71" i="75"/>
  <c r="P75" i="75"/>
  <c r="T43" i="75"/>
  <c r="S33" i="75"/>
  <c r="V33" i="75"/>
  <c r="R74" i="75"/>
  <c r="J60" i="75"/>
  <c r="Q71" i="75"/>
  <c r="M74" i="75"/>
  <c r="W61" i="75"/>
  <c r="S32" i="75"/>
  <c r="O47" i="75"/>
  <c r="N57" i="75"/>
  <c r="V43" i="75"/>
  <c r="L60" i="75"/>
  <c r="T47" i="75"/>
  <c r="P71" i="75"/>
  <c r="W33" i="75"/>
  <c r="V57" i="75"/>
  <c r="O57" i="75"/>
  <c r="L32" i="75"/>
  <c r="T75" i="75"/>
  <c r="S61" i="75"/>
  <c r="K75" i="75"/>
  <c r="R57" i="75"/>
  <c r="R32" i="75"/>
  <c r="J74" i="75"/>
  <c r="Q47" i="75"/>
  <c r="M33" i="75"/>
  <c r="U57" i="75"/>
  <c r="V71" i="75"/>
  <c r="R61" i="75"/>
  <c r="J61" i="75"/>
  <c r="J75" i="75"/>
  <c r="M75" i="75"/>
  <c r="U43" i="75"/>
  <c r="O71" i="75"/>
  <c r="O74" i="75"/>
  <c r="N61" i="75"/>
  <c r="L61" i="75"/>
  <c r="T57" i="75"/>
  <c r="K61" i="75"/>
  <c r="R43" i="75"/>
  <c r="J47" i="75"/>
  <c r="S75" i="75"/>
  <c r="K60" i="75"/>
  <c r="V75" i="75"/>
  <c r="R33" i="75"/>
  <c r="J32" i="75"/>
  <c r="S60" i="75"/>
  <c r="Q74" i="75"/>
  <c r="P47" i="75"/>
  <c r="W75" i="75"/>
  <c r="W43" i="75"/>
  <c r="U74" i="75"/>
  <c r="X47" i="75"/>
  <c r="U32" i="75"/>
  <c r="X43" i="75"/>
  <c r="Y61" i="75"/>
  <c r="Y71" i="75"/>
  <c r="Y57" i="75"/>
  <c r="Y75" i="75"/>
  <c r="Y47" i="75"/>
  <c r="W74" i="75"/>
  <c r="Z71" i="75"/>
  <c r="Z57" i="75"/>
  <c r="W60" i="75"/>
  <c r="Z47" i="75"/>
  <c r="Z33" i="75"/>
  <c r="W32" i="75"/>
  <c r="Z43" i="75"/>
  <c r="X74" i="75"/>
  <c r="Y60" i="75"/>
  <c r="AB71" i="75"/>
  <c r="AB43" i="75"/>
  <c r="AB57" i="75"/>
  <c r="AB61" i="75"/>
  <c r="Y74" i="75"/>
  <c r="Y32" i="75"/>
  <c r="AB75" i="75"/>
  <c r="AB47" i="75"/>
  <c r="AB33" i="75"/>
  <c r="Z74" i="75"/>
  <c r="Z32" i="75"/>
  <c r="AA32" i="75"/>
  <c r="AA60" i="75"/>
  <c r="AC47" i="75"/>
  <c r="AB74" i="75"/>
  <c r="AD33" i="75"/>
  <c r="AF43" i="75"/>
  <c r="AE43" i="75"/>
  <c r="AB60" i="75"/>
  <c r="AD71" i="75"/>
  <c r="AF61" i="75"/>
  <c r="AE57" i="75"/>
  <c r="AE33" i="75"/>
  <c r="AF71" i="75"/>
  <c r="AB32" i="75"/>
  <c r="AF47" i="75"/>
  <c r="AD47" i="75"/>
  <c r="AD57" i="75"/>
  <c r="AD61" i="75"/>
  <c r="AD74" i="75"/>
  <c r="AG75" i="75"/>
  <c r="AC32" i="75"/>
  <c r="AG47" i="75"/>
  <c r="AG57" i="75"/>
  <c r="AG33" i="75"/>
  <c r="AE74" i="75"/>
  <c r="AG43" i="75"/>
  <c r="AG61" i="75"/>
  <c r="AE32" i="75"/>
  <c r="AF60" i="75"/>
  <c r="AF32" i="75"/>
  <c r="AF63" i="75"/>
  <c r="W49" i="75"/>
  <c r="AB49" i="75"/>
  <c r="U49" i="75"/>
  <c r="AG63" i="75"/>
  <c r="K49" i="75"/>
  <c r="AD63" i="75"/>
  <c r="Z49" i="75"/>
  <c r="AE63" i="75"/>
  <c r="Y49" i="75"/>
  <c r="AC49" i="75"/>
  <c r="AD49" i="75"/>
  <c r="AA49" i="75"/>
  <c r="N49" i="75"/>
  <c r="S49" i="75"/>
  <c r="AG49" i="75"/>
  <c r="AF49" i="75"/>
  <c r="AC77" i="75"/>
  <c r="AE77" i="75"/>
  <c r="AG77" i="75"/>
  <c r="AC63" i="75"/>
  <c r="S63" i="75"/>
  <c r="Q63" i="75"/>
  <c r="U63" i="75"/>
  <c r="T63" i="75"/>
  <c r="W63" i="75"/>
  <c r="Q46" i="75"/>
  <c r="AB63" i="75"/>
  <c r="N77" i="75"/>
  <c r="L63" i="75"/>
  <c r="AB77" i="75"/>
  <c r="Z63" i="75"/>
  <c r="Y63" i="75"/>
  <c r="W77" i="75"/>
  <c r="K63" i="75"/>
  <c r="M77" i="75"/>
  <c r="P77" i="75"/>
  <c r="AA77" i="75"/>
  <c r="U77" i="75"/>
  <c r="Y77" i="75"/>
  <c r="X77" i="75"/>
  <c r="R63" i="75"/>
  <c r="K77" i="75"/>
  <c r="V77" i="75"/>
  <c r="J63" i="75"/>
  <c r="R77" i="75"/>
  <c r="J77" i="75"/>
  <c r="Q77" i="75"/>
  <c r="S77" i="75"/>
  <c r="Z46" i="75"/>
  <c r="AA46" i="75"/>
  <c r="K46" i="75"/>
  <c r="U46" i="75"/>
  <c r="AG46" i="75"/>
  <c r="O46" i="75"/>
  <c r="AC46" i="75"/>
  <c r="M46" i="75"/>
  <c r="L46" i="75"/>
  <c r="Y46" i="75"/>
  <c r="AF46" i="75"/>
  <c r="AE46" i="75"/>
  <c r="T46" i="75"/>
  <c r="S46" i="75"/>
  <c r="R46" i="75"/>
  <c r="Y29" i="75"/>
  <c r="I43" i="75"/>
  <c r="W29" i="75"/>
  <c r="L29" i="75"/>
  <c r="AE29" i="75"/>
  <c r="AG29" i="75"/>
  <c r="I60" i="75"/>
  <c r="Z29" i="75"/>
  <c r="I75" i="75"/>
  <c r="I74" i="75"/>
  <c r="I57" i="75"/>
  <c r="T29" i="75"/>
  <c r="S29" i="75"/>
  <c r="Q29" i="75"/>
  <c r="I71" i="75"/>
  <c r="AF29" i="75"/>
  <c r="M29" i="75"/>
  <c r="R29" i="75"/>
  <c r="AC29" i="75"/>
  <c r="V29" i="75"/>
  <c r="I61" i="75"/>
  <c r="I49" i="75"/>
  <c r="I77" i="75"/>
  <c r="AC20" i="75"/>
  <c r="AF19" i="75"/>
  <c r="AC19" i="75"/>
  <c r="AE19" i="75"/>
  <c r="AD20" i="75"/>
  <c r="AD18" i="75"/>
  <c r="AE18" i="75"/>
  <c r="AF18" i="75"/>
  <c r="L20" i="75"/>
  <c r="K20" i="75"/>
  <c r="AB20" i="75"/>
  <c r="N20" i="75"/>
  <c r="O20" i="75"/>
  <c r="X20" i="75"/>
  <c r="S20" i="75"/>
  <c r="V20" i="75"/>
  <c r="Z20" i="75"/>
  <c r="J20" i="75"/>
  <c r="K19" i="75"/>
  <c r="N19" i="75"/>
  <c r="M19" i="75"/>
  <c r="Z19" i="75"/>
  <c r="L19" i="75"/>
  <c r="W19" i="75"/>
  <c r="P19" i="75"/>
  <c r="V19" i="75"/>
  <c r="Q19" i="75"/>
  <c r="R19" i="75"/>
  <c r="AB19" i="75"/>
  <c r="Y19" i="75"/>
  <c r="J19" i="75"/>
  <c r="X18" i="75"/>
  <c r="Q18" i="75"/>
  <c r="W18" i="75"/>
  <c r="S18" i="75"/>
  <c r="AA18" i="75"/>
  <c r="V18" i="75"/>
  <c r="P18" i="75"/>
  <c r="M18" i="75"/>
  <c r="J18" i="75"/>
  <c r="K18" i="75"/>
  <c r="A2" i="33"/>
  <c r="E46" i="81" l="1"/>
  <c r="J55" i="81" s="1" a="1"/>
  <c r="J55" i="81" s="1"/>
  <c r="J83" i="81" s="1"/>
  <c r="J35" i="75" s="1"/>
  <c r="E46" i="68"/>
  <c r="N55" i="81" a="1"/>
  <c r="N55" i="81" s="1"/>
  <c r="N83" i="81" s="1"/>
  <c r="N35" i="75" s="1"/>
  <c r="R55" i="81" a="1"/>
  <c r="R55" i="81" s="1"/>
  <c r="R83" i="81" s="1"/>
  <c r="R35" i="75" s="1"/>
  <c r="V55" i="81" a="1"/>
  <c r="V55" i="81" s="1"/>
  <c r="V83" i="81" s="1"/>
  <c r="V35" i="75" s="1"/>
  <c r="S55" i="81" a="1"/>
  <c r="S55" i="81" s="1"/>
  <c r="S83" i="81" s="1"/>
  <c r="S35" i="75" s="1"/>
  <c r="X55" i="81" a="1"/>
  <c r="X55" i="81" s="1"/>
  <c r="X83" i="81" s="1"/>
  <c r="X35" i="75" s="1"/>
  <c r="Q55" i="81" a="1"/>
  <c r="Q55" i="81" s="1"/>
  <c r="Q83" i="81" s="1"/>
  <c r="Q35" i="75" s="1"/>
  <c r="AC55" i="81" a="1"/>
  <c r="AC55" i="81" s="1"/>
  <c r="AC83" i="81" s="1"/>
  <c r="AC35" i="75" s="1"/>
  <c r="AF55" i="81" a="1"/>
  <c r="AF55" i="81" s="1"/>
  <c r="AF83" i="81" s="1"/>
  <c r="AF35" i="75" s="1"/>
  <c r="L55" i="81" a="1"/>
  <c r="L55" i="81" s="1"/>
  <c r="L83" i="81" s="1"/>
  <c r="L35" i="75" s="1"/>
  <c r="P55" i="81" a="1"/>
  <c r="P55" i="81" s="1"/>
  <c r="P83" i="81" s="1"/>
  <c r="P35" i="75" s="1"/>
  <c r="U55" i="81" a="1"/>
  <c r="U55" i="81" s="1"/>
  <c r="U83" i="81" s="1"/>
  <c r="U35" i="75" s="1"/>
  <c r="AB55" i="81" a="1"/>
  <c r="AB55" i="81" s="1"/>
  <c r="AB83" i="81" s="1"/>
  <c r="AB35" i="75" s="1"/>
  <c r="AG55" i="81" a="1"/>
  <c r="AG55" i="81" s="1"/>
  <c r="AG83" i="81" s="1"/>
  <c r="AG35" i="75" s="1"/>
  <c r="K55" i="81" a="1"/>
  <c r="K55" i="81" s="1"/>
  <c r="K83" i="81" s="1"/>
  <c r="K35" i="75" s="1"/>
  <c r="I55" i="81" a="1"/>
  <c r="I55" i="81" s="1"/>
  <c r="I83" i="81" s="1"/>
  <c r="I35" i="75" s="1"/>
  <c r="AA55" i="81" a="1"/>
  <c r="AA55" i="81" s="1"/>
  <c r="AA83" i="81" s="1"/>
  <c r="AA35" i="75" s="1"/>
  <c r="M55" i="81" a="1"/>
  <c r="M55" i="81" s="1"/>
  <c r="M83" i="81" s="1"/>
  <c r="M35" i="75" s="1"/>
  <c r="T55" i="81" a="1"/>
  <c r="T55" i="81" s="1"/>
  <c r="T83" i="81" s="1"/>
  <c r="T35" i="75" s="1"/>
  <c r="W55" i="81" a="1"/>
  <c r="W55" i="81" s="1"/>
  <c r="W83" i="81" s="1"/>
  <c r="W35" i="75" s="1"/>
  <c r="Z55" i="81" a="1"/>
  <c r="Z55" i="81" s="1"/>
  <c r="Z83" i="81" s="1"/>
  <c r="Z35" i="75" s="1"/>
  <c r="AE55" i="81" a="1"/>
  <c r="AE55" i="81" s="1"/>
  <c r="AE83" i="81" s="1"/>
  <c r="AE35" i="75" s="1"/>
  <c r="Y55" i="81" a="1"/>
  <c r="Y55" i="81" s="1"/>
  <c r="Y83" i="81" s="1"/>
  <c r="Y35" i="75" s="1"/>
  <c r="AA75" i="75"/>
  <c r="L74" i="75"/>
  <c r="U61" i="75"/>
  <c r="AA20" i="75"/>
  <c r="AC18" i="75"/>
  <c r="X29" i="75"/>
  <c r="X46" i="75"/>
  <c r="O63" i="75"/>
  <c r="J49" i="75"/>
  <c r="T49" i="75"/>
  <c r="AF33" i="75"/>
  <c r="AC61" i="75"/>
  <c r="Y33" i="75"/>
  <c r="L71" i="75"/>
  <c r="L43" i="75"/>
  <c r="M71" i="75"/>
  <c r="M43" i="75"/>
  <c r="T19" i="75"/>
  <c r="T20" i="75"/>
  <c r="AB29" i="75"/>
  <c r="I18" i="75"/>
  <c r="X63" i="75"/>
  <c r="L49" i="75"/>
  <c r="AF57" i="75"/>
  <c r="AC33" i="75"/>
  <c r="V60" i="75"/>
  <c r="O75" i="75"/>
  <c r="R60" i="75"/>
  <c r="O61" i="75"/>
  <c r="AA19" i="75"/>
  <c r="U20" i="75"/>
  <c r="AA29" i="75"/>
  <c r="I15" i="75"/>
  <c r="F15" i="75" s="1"/>
  <c r="L77" i="75"/>
  <c r="AG32" i="75"/>
  <c r="AC57" i="75"/>
  <c r="X33" i="75"/>
  <c r="R47" i="75"/>
  <c r="Q61" i="75"/>
  <c r="Z18" i="75"/>
  <c r="X19" i="75"/>
  <c r="Q20" i="75"/>
  <c r="AG19" i="75"/>
  <c r="AD29" i="75"/>
  <c r="I20" i="75"/>
  <c r="M63" i="75"/>
  <c r="AG74" i="75"/>
  <c r="AF75" i="75"/>
  <c r="AC75" i="75"/>
  <c r="X60" i="75"/>
  <c r="X61" i="75"/>
  <c r="Q33" i="75"/>
  <c r="Q57" i="75"/>
  <c r="K74" i="75"/>
  <c r="P61" i="75"/>
  <c r="J43" i="75"/>
  <c r="M49" i="75"/>
  <c r="AE61" i="75"/>
  <c r="AC60" i="75"/>
  <c r="V74" i="75"/>
  <c r="T33" i="75"/>
  <c r="M32" i="75"/>
  <c r="L47" i="75"/>
  <c r="U18" i="75"/>
  <c r="O29" i="75"/>
  <c r="AA57" i="75"/>
  <c r="N47" i="75"/>
  <c r="R18" i="75"/>
  <c r="AD19" i="75"/>
  <c r="AB46" i="75"/>
  <c r="Q49" i="75"/>
  <c r="AA61" i="75"/>
  <c r="N71" i="75"/>
  <c r="Q60" i="75"/>
  <c r="L18" i="75"/>
  <c r="AE20" i="75"/>
  <c r="J46" i="75"/>
  <c r="AF77" i="75"/>
  <c r="AD60" i="75"/>
  <c r="AA43" i="75"/>
  <c r="U33" i="75"/>
  <c r="W71" i="75"/>
  <c r="I33" i="75"/>
  <c r="AB18" i="75"/>
  <c r="U19" i="75"/>
  <c r="M20" i="75"/>
  <c r="AF20" i="75"/>
  <c r="K29" i="75"/>
  <c r="I19" i="75"/>
  <c r="AE49" i="75"/>
  <c r="AG60" i="75"/>
  <c r="AD75" i="75"/>
  <c r="AA74" i="75"/>
  <c r="AA47" i="75"/>
  <c r="X71" i="75"/>
  <c r="J57" i="75"/>
  <c r="P33" i="75"/>
  <c r="S71" i="75"/>
  <c r="W57" i="75"/>
  <c r="R71" i="75"/>
  <c r="N29" i="82"/>
  <c r="AG29" i="82"/>
  <c r="M29" i="82"/>
  <c r="AF29" i="82"/>
  <c r="L29" i="82"/>
  <c r="AE29" i="82"/>
  <c r="K29" i="82"/>
  <c r="AD29" i="82"/>
  <c r="J29" i="82"/>
  <c r="AC29" i="82"/>
  <c r="I29" i="82"/>
  <c r="AB29" i="82"/>
  <c r="AA29" i="82"/>
  <c r="Z29" i="82"/>
  <c r="Y29" i="82"/>
  <c r="X29" i="82"/>
  <c r="W29" i="82"/>
  <c r="V29" i="82"/>
  <c r="U29" i="82"/>
  <c r="T29" i="82"/>
  <c r="S29" i="82"/>
  <c r="R29" i="82"/>
  <c r="Q29" i="82"/>
  <c r="P29" i="82"/>
  <c r="O29" i="82"/>
  <c r="AC29" i="68"/>
  <c r="AC99" i="75" s="1"/>
  <c r="J29" i="68"/>
  <c r="J99" i="75" s="1"/>
  <c r="AD29" i="68"/>
  <c r="AD99" i="75" s="1"/>
  <c r="K29" i="68"/>
  <c r="K99" i="75" s="1"/>
  <c r="AE29" i="68"/>
  <c r="AF29" i="68"/>
  <c r="L29" i="68"/>
  <c r="L99" i="75" s="1"/>
  <c r="I29" i="68"/>
  <c r="I99" i="75" s="1"/>
  <c r="N29" i="68"/>
  <c r="N99" i="75" s="1"/>
  <c r="M29" i="68"/>
  <c r="M99" i="75" s="1"/>
  <c r="AG29" i="68"/>
  <c r="P29" i="68"/>
  <c r="P99" i="75" s="1"/>
  <c r="Q29" i="68"/>
  <c r="Q99" i="75" s="1"/>
  <c r="R29" i="68"/>
  <c r="R99" i="75" s="1"/>
  <c r="V29" i="68"/>
  <c r="V99" i="75" s="1"/>
  <c r="S29" i="68"/>
  <c r="S99" i="75" s="1"/>
  <c r="X29" i="68"/>
  <c r="X99" i="75" s="1"/>
  <c r="AB29" i="68"/>
  <c r="AB99" i="75" s="1"/>
  <c r="Y29" i="68"/>
  <c r="Y99" i="75" s="1"/>
  <c r="T29" i="68"/>
  <c r="T99" i="75" s="1"/>
  <c r="U29" i="68"/>
  <c r="U99" i="75" s="1"/>
  <c r="Z29" i="68"/>
  <c r="Z99" i="75" s="1"/>
  <c r="AA29" i="68"/>
  <c r="AA99" i="75" s="1"/>
  <c r="O29" i="68"/>
  <c r="O99" i="75" s="1"/>
  <c r="W29" i="68"/>
  <c r="W99" i="75" s="1"/>
  <c r="X29" i="72"/>
  <c r="W29" i="72"/>
  <c r="U29" i="72"/>
  <c r="AD29" i="72"/>
  <c r="V29" i="72"/>
  <c r="O29" i="72"/>
  <c r="K29" i="72"/>
  <c r="T29" i="72"/>
  <c r="S29" i="72"/>
  <c r="Q29" i="72"/>
  <c r="P29" i="72"/>
  <c r="J29" i="72"/>
  <c r="N29" i="72"/>
  <c r="AG29" i="72"/>
  <c r="AF29" i="72"/>
  <c r="L29" i="72"/>
  <c r="AC29" i="72"/>
  <c r="I29" i="72"/>
  <c r="R29" i="72"/>
  <c r="AB29" i="72"/>
  <c r="AE29" i="72"/>
  <c r="AA29" i="72"/>
  <c r="Z29" i="72"/>
  <c r="Y29" i="72"/>
  <c r="M29" i="72"/>
  <c r="AC29" i="81"/>
  <c r="I29" i="81"/>
  <c r="AB29" i="81"/>
  <c r="Z29" i="81"/>
  <c r="T29" i="81"/>
  <c r="AA29" i="81"/>
  <c r="P29" i="81"/>
  <c r="Y29" i="81"/>
  <c r="X29" i="81"/>
  <c r="V29" i="81"/>
  <c r="U29" i="81"/>
  <c r="S29" i="81"/>
  <c r="Q29" i="81"/>
  <c r="N29" i="81"/>
  <c r="AG29" i="81"/>
  <c r="M29" i="81"/>
  <c r="O29" i="81"/>
  <c r="AF29" i="81"/>
  <c r="L29" i="81"/>
  <c r="AD29" i="81"/>
  <c r="AE29" i="81"/>
  <c r="K29" i="81"/>
  <c r="J29" i="81"/>
  <c r="W29" i="81"/>
  <c r="R29" i="81"/>
  <c r="S29" i="73"/>
  <c r="R29" i="73"/>
  <c r="AG29" i="73"/>
  <c r="Q29" i="73"/>
  <c r="P29" i="73"/>
  <c r="M29" i="73"/>
  <c r="O29" i="73"/>
  <c r="N29" i="73"/>
  <c r="AF29" i="73"/>
  <c r="L29" i="73"/>
  <c r="AE29" i="73"/>
  <c r="K29" i="73"/>
  <c r="AD29" i="73"/>
  <c r="J29" i="73"/>
  <c r="AC29" i="73"/>
  <c r="I29" i="73"/>
  <c r="AB29" i="73"/>
  <c r="AA29" i="73"/>
  <c r="Z29" i="73"/>
  <c r="Y29" i="73"/>
  <c r="X29" i="73"/>
  <c r="W29" i="73"/>
  <c r="V29" i="73"/>
  <c r="U29" i="73"/>
  <c r="T29" i="73"/>
  <c r="H79" i="85"/>
  <c r="H76" i="85"/>
  <c r="H56" i="85"/>
  <c r="H64" i="85"/>
  <c r="H58" i="85"/>
  <c r="H72" i="85"/>
  <c r="H42" i="85"/>
  <c r="H65" i="85"/>
  <c r="H63" i="85"/>
  <c r="H70" i="85"/>
  <c r="H77" i="85"/>
  <c r="H75" i="85"/>
  <c r="H62" i="85"/>
  <c r="H78" i="85"/>
  <c r="H60" i="85"/>
  <c r="H74" i="85"/>
  <c r="H61" i="85"/>
  <c r="H73" i="85"/>
  <c r="H59" i="85"/>
  <c r="I32" i="75"/>
  <c r="X32" i="75"/>
  <c r="T61" i="75"/>
  <c r="R75" i="75"/>
  <c r="U75" i="75"/>
  <c r="N33" i="75"/>
  <c r="K33" i="75"/>
  <c r="O32" i="75"/>
  <c r="U60" i="75"/>
  <c r="Z75" i="75"/>
  <c r="Z60" i="75"/>
  <c r="AE75" i="75"/>
  <c r="AD32" i="75"/>
  <c r="R49" i="75"/>
  <c r="P49" i="75"/>
  <c r="P63" i="75"/>
  <c r="N46" i="75"/>
  <c r="I29" i="75"/>
  <c r="I46" i="75"/>
  <c r="W20" i="75"/>
  <c r="O19" i="75"/>
  <c r="N18" i="75"/>
  <c r="S47" i="75"/>
  <c r="Q43" i="75"/>
  <c r="P74" i="75"/>
  <c r="L33" i="75"/>
  <c r="K43" i="75"/>
  <c r="N74" i="75"/>
  <c r="X75" i="75"/>
  <c r="Z61" i="75"/>
  <c r="Y18" i="75"/>
  <c r="Y20" i="75"/>
  <c r="AG18" i="75"/>
  <c r="J29" i="75"/>
  <c r="U29" i="75"/>
  <c r="W46" i="75"/>
  <c r="N63" i="75"/>
  <c r="V63" i="75"/>
  <c r="X49" i="75"/>
  <c r="AF74" i="75"/>
  <c r="AD43" i="75"/>
  <c r="AC71" i="75"/>
  <c r="AA71" i="75"/>
  <c r="X57" i="75"/>
  <c r="M57" i="75"/>
  <c r="O60" i="75"/>
  <c r="J71" i="75"/>
  <c r="V47" i="75"/>
  <c r="P57" i="75"/>
  <c r="T74" i="75"/>
  <c r="J33" i="75"/>
  <c r="M47" i="75"/>
  <c r="P60" i="75"/>
  <c r="T32" i="75"/>
  <c r="K47" i="75"/>
  <c r="U47" i="75"/>
  <c r="V32" i="75"/>
  <c r="AC43" i="75"/>
  <c r="AE71" i="75"/>
  <c r="AE60" i="75"/>
  <c r="O49" i="75"/>
  <c r="O77" i="75"/>
  <c r="Z77" i="75"/>
  <c r="AD46" i="75"/>
  <c r="I47" i="75"/>
  <c r="N29" i="75"/>
  <c r="AG20" i="75"/>
  <c r="R20" i="75"/>
  <c r="S19" i="75"/>
  <c r="O18" i="75"/>
  <c r="T18" i="75"/>
  <c r="P20" i="75"/>
  <c r="I63" i="75"/>
  <c r="P29" i="75"/>
  <c r="P46" i="75"/>
  <c r="V46" i="75"/>
  <c r="AA63" i="75"/>
  <c r="T77" i="75"/>
  <c r="V49" i="75"/>
  <c r="AD77" i="75"/>
  <c r="AG71" i="75"/>
  <c r="AE47" i="75"/>
  <c r="AC74" i="75"/>
  <c r="AA33" i="75"/>
  <c r="Y43" i="75"/>
  <c r="M61" i="75"/>
  <c r="S43" i="75"/>
  <c r="P32" i="75"/>
  <c r="Q75" i="75"/>
  <c r="K32" i="75"/>
  <c r="L57" i="75"/>
  <c r="O43" i="75"/>
  <c r="F29" i="82"/>
  <c r="F29" i="68"/>
  <c r="F29" i="72"/>
  <c r="F29" i="81"/>
  <c r="F29" i="73"/>
  <c r="O55" i="81" l="1" a="1"/>
  <c r="O55" i="81" s="1"/>
  <c r="O83" i="81" s="1"/>
  <c r="O35" i="75" s="1"/>
  <c r="AD55" i="81" a="1"/>
  <c r="AD55" i="81" s="1"/>
  <c r="AD83" i="81" s="1"/>
  <c r="AD35" i="75" s="1"/>
  <c r="AD55" i="68" a="1"/>
  <c r="AD55" i="68" s="1"/>
  <c r="AD83" i="68" s="1"/>
  <c r="Z55" i="68" a="1"/>
  <c r="Z55" i="68" s="1"/>
  <c r="Z83" i="68" s="1"/>
  <c r="M55" i="68" a="1"/>
  <c r="M55" i="68" s="1"/>
  <c r="M83" i="68" s="1"/>
  <c r="T55" i="68" a="1"/>
  <c r="T55" i="68" s="1"/>
  <c r="T83" i="68" s="1"/>
  <c r="AE55" i="68" a="1"/>
  <c r="AE55" i="68" s="1"/>
  <c r="AE83" i="68" s="1"/>
  <c r="Q55" i="68" a="1"/>
  <c r="Q55" i="68" s="1"/>
  <c r="Q83" i="68" s="1"/>
  <c r="S55" i="68" a="1"/>
  <c r="S55" i="68" s="1"/>
  <c r="S83" i="68" s="1"/>
  <c r="O55" i="68" a="1"/>
  <c r="O55" i="68" s="1"/>
  <c r="O83" i="68" s="1"/>
  <c r="AF55" i="68" a="1"/>
  <c r="AF55" i="68" s="1"/>
  <c r="AF83" i="68" s="1"/>
  <c r="W55" i="68" a="1"/>
  <c r="W55" i="68" s="1"/>
  <c r="W83" i="68" s="1"/>
  <c r="R55" i="68" a="1"/>
  <c r="R55" i="68" s="1"/>
  <c r="R83" i="68" s="1"/>
  <c r="J55" i="68" a="1"/>
  <c r="J55" i="68" s="1"/>
  <c r="J83" i="68" s="1"/>
  <c r="AC55" i="68" a="1"/>
  <c r="AC55" i="68" s="1"/>
  <c r="AC83" i="68" s="1"/>
  <c r="AG55" i="68" a="1"/>
  <c r="AG55" i="68" s="1"/>
  <c r="AG83" i="68" s="1"/>
  <c r="U55" i="68" a="1"/>
  <c r="U55" i="68" s="1"/>
  <c r="U83" i="68" s="1"/>
  <c r="AA55" i="68" a="1"/>
  <c r="AA55" i="68" s="1"/>
  <c r="AA83" i="68" s="1"/>
  <c r="I55" i="68" a="1"/>
  <c r="I55" i="68" s="1"/>
  <c r="I83" i="68" s="1"/>
  <c r="V55" i="68" a="1"/>
  <c r="V55" i="68" s="1"/>
  <c r="V83" i="68" s="1"/>
  <c r="Y55" i="68" a="1"/>
  <c r="Y55" i="68" s="1"/>
  <c r="Y83" i="68" s="1"/>
  <c r="N55" i="68" a="1"/>
  <c r="N55" i="68" s="1"/>
  <c r="N83" i="68" s="1"/>
  <c r="P55" i="68" a="1"/>
  <c r="P55" i="68" s="1"/>
  <c r="P83" i="68" s="1"/>
  <c r="L55" i="68" a="1"/>
  <c r="L55" i="68" s="1"/>
  <c r="L83" i="68" s="1"/>
  <c r="AB55" i="68" a="1"/>
  <c r="AB55" i="68" s="1"/>
  <c r="AB83" i="68" s="1"/>
  <c r="X55" i="68" a="1"/>
  <c r="X55" i="68" s="1"/>
  <c r="X83" i="68" s="1"/>
  <c r="K55" i="68" a="1"/>
  <c r="K55" i="68" s="1"/>
  <c r="K83" i="68" s="1"/>
  <c r="F19" i="75"/>
  <c r="AE99" i="75"/>
  <c r="AF99" i="75"/>
  <c r="AG99" i="75"/>
  <c r="F29" i="75" a="1"/>
  <c r="F29" i="75" s="1"/>
  <c r="F74" i="75" a="1"/>
  <c r="F74" i="75" s="1"/>
  <c r="F63" i="75"/>
  <c r="F77" i="75"/>
  <c r="F46" i="75"/>
  <c r="F57" i="75"/>
  <c r="F75" i="75" a="1"/>
  <c r="F75" i="75" s="1"/>
  <c r="F71" i="75"/>
  <c r="F43" i="75"/>
  <c r="F61" i="75"/>
  <c r="F20" i="75"/>
  <c r="F60" i="75"/>
  <c r="F49" i="75"/>
  <c r="F32" i="75" a="1"/>
  <c r="F32" i="75" s="1"/>
  <c r="F33" i="75" a="1"/>
  <c r="F33" i="75" s="1"/>
  <c r="F47" i="75"/>
  <c r="F18" i="75"/>
  <c r="L37" i="72"/>
  <c r="L44" i="75" s="1"/>
  <c r="L42" i="75"/>
  <c r="T37" i="81"/>
  <c r="T30" i="75" s="1"/>
  <c r="T28" i="75"/>
  <c r="AG37" i="81"/>
  <c r="AG30" i="75" s="1"/>
  <c r="AG28" i="75"/>
  <c r="N37" i="72"/>
  <c r="N44" i="75" s="1"/>
  <c r="N42" i="75"/>
  <c r="I37" i="68"/>
  <c r="I14" i="75"/>
  <c r="R37" i="82"/>
  <c r="R72" i="75" s="1"/>
  <c r="R70" i="75"/>
  <c r="L37" i="68"/>
  <c r="L14" i="75"/>
  <c r="AF37" i="73"/>
  <c r="AF58" i="75" s="1"/>
  <c r="AF56" i="75"/>
  <c r="AF37" i="81"/>
  <c r="AF30" i="75" s="1"/>
  <c r="AF28" i="75"/>
  <c r="Z37" i="81"/>
  <c r="Z30" i="75" s="1"/>
  <c r="Z28" i="75"/>
  <c r="Q37" i="72"/>
  <c r="Q44" i="75" s="1"/>
  <c r="Q42" i="75"/>
  <c r="Z37" i="68"/>
  <c r="Z14" i="75"/>
  <c r="I37" i="82"/>
  <c r="I72" i="75" s="1"/>
  <c r="I70" i="75"/>
  <c r="X37" i="73"/>
  <c r="X58" i="75" s="1"/>
  <c r="X56" i="75"/>
  <c r="K37" i="81"/>
  <c r="K30" i="75" s="1"/>
  <c r="K28" i="75"/>
  <c r="AE37" i="72"/>
  <c r="AE44" i="75" s="1"/>
  <c r="AE42" i="75"/>
  <c r="K37" i="72"/>
  <c r="K44" i="75" s="1"/>
  <c r="K42" i="75"/>
  <c r="N37" i="68"/>
  <c r="N14" i="75"/>
  <c r="AA37" i="82"/>
  <c r="AA72" i="75" s="1"/>
  <c r="AA70" i="75"/>
  <c r="O37" i="73"/>
  <c r="O58" i="75" s="1"/>
  <c r="O56" i="75"/>
  <c r="Q37" i="81"/>
  <c r="Q30" i="75" s="1"/>
  <c r="Q28" i="75"/>
  <c r="J37" i="72"/>
  <c r="J44" i="75" s="1"/>
  <c r="J42" i="75"/>
  <c r="R37" i="72"/>
  <c r="R44" i="75" s="1"/>
  <c r="R42" i="75"/>
  <c r="AG37" i="68"/>
  <c r="AG14" i="75"/>
  <c r="J37" i="82"/>
  <c r="J70" i="75"/>
  <c r="AD37" i="68"/>
  <c r="AD14" i="75"/>
  <c r="AB37" i="82"/>
  <c r="AB72" i="75" s="1"/>
  <c r="AB70" i="75"/>
  <c r="AE37" i="73"/>
  <c r="AE58" i="75" s="1"/>
  <c r="AE56" i="75"/>
  <c r="U37" i="81"/>
  <c r="U30" i="75" s="1"/>
  <c r="U28" i="75"/>
  <c r="V37" i="72"/>
  <c r="V44" i="75" s="1"/>
  <c r="V42" i="75"/>
  <c r="AD37" i="72"/>
  <c r="AD44" i="75" s="1"/>
  <c r="AD42" i="75"/>
  <c r="V37" i="73"/>
  <c r="V58" i="75" s="1"/>
  <c r="V56" i="75"/>
  <c r="R37" i="81"/>
  <c r="R30" i="75" s="1"/>
  <c r="R28" i="75"/>
  <c r="M37" i="72"/>
  <c r="M44" i="75" s="1"/>
  <c r="M42" i="75"/>
  <c r="T37" i="72"/>
  <c r="T44" i="75" s="1"/>
  <c r="T42" i="75"/>
  <c r="Y37" i="68"/>
  <c r="Y14" i="75"/>
  <c r="U37" i="82"/>
  <c r="U72" i="75" s="1"/>
  <c r="U70" i="75"/>
  <c r="AB37" i="73"/>
  <c r="AB58" i="75" s="1"/>
  <c r="AB56" i="75"/>
  <c r="N37" i="81"/>
  <c r="N30" i="75" s="1"/>
  <c r="N28" i="75"/>
  <c r="AC37" i="72"/>
  <c r="AC44" i="75" s="1"/>
  <c r="AC42" i="75"/>
  <c r="Y37" i="72"/>
  <c r="Y44" i="75" s="1"/>
  <c r="Y42" i="75"/>
  <c r="O37" i="68"/>
  <c r="O14" i="75"/>
  <c r="P37" i="82"/>
  <c r="P72" i="75" s="1"/>
  <c r="P70" i="75"/>
  <c r="S37" i="73"/>
  <c r="S58" i="75" s="1"/>
  <c r="S56" i="75"/>
  <c r="X37" i="81"/>
  <c r="X30" i="75" s="1"/>
  <c r="X28" i="75"/>
  <c r="AG37" i="72"/>
  <c r="AG44" i="75" s="1"/>
  <c r="AG42" i="75"/>
  <c r="AA37" i="68"/>
  <c r="AA14" i="75"/>
  <c r="AE37" i="82"/>
  <c r="AE72" i="75" s="1"/>
  <c r="AE70" i="75"/>
  <c r="T37" i="73"/>
  <c r="T58" i="75" s="1"/>
  <c r="T56" i="75"/>
  <c r="J37" i="81"/>
  <c r="J30" i="75" s="1"/>
  <c r="J28" i="75"/>
  <c r="AB37" i="72"/>
  <c r="AB44" i="75" s="1"/>
  <c r="AB42" i="75"/>
  <c r="M37" i="68"/>
  <c r="M14" i="75"/>
  <c r="X37" i="68"/>
  <c r="X14" i="75"/>
  <c r="T37" i="82"/>
  <c r="T72" i="75" s="1"/>
  <c r="T70" i="75"/>
  <c r="AF37" i="82"/>
  <c r="AF72" i="75" s="1"/>
  <c r="AF70" i="75"/>
  <c r="AB37" i="81"/>
  <c r="AB30" i="75" s="1"/>
  <c r="AB28" i="75"/>
  <c r="AF37" i="68"/>
  <c r="AF14" i="75"/>
  <c r="Y37" i="73"/>
  <c r="Y58" i="75" s="1"/>
  <c r="Y56" i="75"/>
  <c r="Q37" i="73"/>
  <c r="Q58" i="75" s="1"/>
  <c r="Q56" i="75"/>
  <c r="P37" i="81"/>
  <c r="P30" i="75" s="1"/>
  <c r="P28" i="75"/>
  <c r="O37" i="72"/>
  <c r="O44" i="75" s="1"/>
  <c r="O42" i="75"/>
  <c r="W37" i="68"/>
  <c r="W14" i="75"/>
  <c r="T37" i="68"/>
  <c r="T14" i="75"/>
  <c r="M37" i="82"/>
  <c r="M72" i="75" s="1"/>
  <c r="M70" i="75"/>
  <c r="K37" i="73"/>
  <c r="K58" i="75" s="1"/>
  <c r="K56" i="75"/>
  <c r="R37" i="73"/>
  <c r="R58" i="75" s="1"/>
  <c r="R56" i="75"/>
  <c r="M37" i="81"/>
  <c r="M30" i="75" s="1"/>
  <c r="M28" i="75"/>
  <c r="P37" i="72"/>
  <c r="P44" i="75" s="1"/>
  <c r="P42" i="75"/>
  <c r="V37" i="68"/>
  <c r="V14" i="75"/>
  <c r="Q37" i="68"/>
  <c r="Q14" i="75"/>
  <c r="L37" i="82"/>
  <c r="L72" i="75" s="1"/>
  <c r="L70" i="75"/>
  <c r="U37" i="73"/>
  <c r="U58" i="75" s="1"/>
  <c r="U56" i="75"/>
  <c r="I37" i="81"/>
  <c r="I30" i="75" s="1"/>
  <c r="I28" i="75"/>
  <c r="AA37" i="72"/>
  <c r="AA44" i="75" s="1"/>
  <c r="AA42" i="75"/>
  <c r="U37" i="68"/>
  <c r="U14" i="75"/>
  <c r="K37" i="68"/>
  <c r="K14" i="75"/>
  <c r="O37" i="82"/>
  <c r="O72" i="75" s="1"/>
  <c r="O70" i="75"/>
  <c r="I37" i="73"/>
  <c r="I58" i="75" s="1"/>
  <c r="I56" i="75"/>
  <c r="J37" i="73"/>
  <c r="J58" i="75" s="1"/>
  <c r="J56" i="75"/>
  <c r="O37" i="81"/>
  <c r="O30" i="75" s="1"/>
  <c r="O28" i="75"/>
  <c r="X37" i="72"/>
  <c r="X44" i="75" s="1"/>
  <c r="X42" i="75"/>
  <c r="P37" i="68"/>
  <c r="P14" i="75"/>
  <c r="AG37" i="82"/>
  <c r="AG72" i="75" s="1"/>
  <c r="AG70" i="75"/>
  <c r="P37" i="73"/>
  <c r="P58" i="75" s="1"/>
  <c r="P56" i="75"/>
  <c r="AD37" i="73"/>
  <c r="AD58" i="75" s="1"/>
  <c r="AD56" i="75"/>
  <c r="Y37" i="81"/>
  <c r="Y30" i="75" s="1"/>
  <c r="Y28" i="75"/>
  <c r="U37" i="72"/>
  <c r="U44" i="75" s="1"/>
  <c r="U42" i="75"/>
  <c r="R37" i="68"/>
  <c r="R14" i="75"/>
  <c r="N37" i="82"/>
  <c r="N72" i="75" s="1"/>
  <c r="N70" i="75"/>
  <c r="K37" i="82"/>
  <c r="K72" i="75" s="1"/>
  <c r="K70" i="75"/>
  <c r="AC37" i="68"/>
  <c r="AC14" i="75"/>
  <c r="AC37" i="82"/>
  <c r="AC72" i="75" s="1"/>
  <c r="AC70" i="75"/>
  <c r="N37" i="73"/>
  <c r="N58" i="75" s="1"/>
  <c r="N56" i="75"/>
  <c r="W37" i="81"/>
  <c r="W30" i="75" s="1"/>
  <c r="W28" i="75"/>
  <c r="S37" i="81"/>
  <c r="S30" i="75" s="1"/>
  <c r="S28" i="75"/>
  <c r="W37" i="72"/>
  <c r="W44" i="75" s="1"/>
  <c r="W42" i="75"/>
  <c r="J37" i="68"/>
  <c r="J14" i="75"/>
  <c r="X37" i="82"/>
  <c r="X72" i="75" s="1"/>
  <c r="X70" i="75"/>
  <c r="Y37" i="82"/>
  <c r="Y72" i="75" s="1"/>
  <c r="Y70" i="75"/>
  <c r="L37" i="73"/>
  <c r="L58" i="75" s="1"/>
  <c r="L56" i="75"/>
  <c r="AC37" i="73"/>
  <c r="AC58" i="75" s="1"/>
  <c r="AC56" i="75"/>
  <c r="AG37" i="73"/>
  <c r="AG58" i="75" s="1"/>
  <c r="AG56" i="75"/>
  <c r="Z37" i="73"/>
  <c r="Z58" i="75" s="1"/>
  <c r="Z56" i="75"/>
  <c r="AA37" i="81"/>
  <c r="AA30" i="75" s="1"/>
  <c r="AA28" i="75"/>
  <c r="Z37" i="72"/>
  <c r="Z44" i="75" s="1"/>
  <c r="Z42" i="75"/>
  <c r="S37" i="68"/>
  <c r="S14" i="75"/>
  <c r="Z37" i="82"/>
  <c r="Z72" i="75" s="1"/>
  <c r="Z70" i="75"/>
  <c r="V37" i="82"/>
  <c r="V72" i="75" s="1"/>
  <c r="V70" i="75"/>
  <c r="AA37" i="73"/>
  <c r="AA58" i="75" s="1"/>
  <c r="AA56" i="75"/>
  <c r="AE37" i="81"/>
  <c r="AE30" i="75" s="1"/>
  <c r="AE28" i="75"/>
  <c r="AD37" i="81"/>
  <c r="AD30" i="75" s="1"/>
  <c r="AD28" i="75"/>
  <c r="AF37" i="72"/>
  <c r="AF44" i="75" s="1"/>
  <c r="AF42" i="75"/>
  <c r="AB37" i="68"/>
  <c r="AB14" i="75"/>
  <c r="Q37" i="82"/>
  <c r="Q72" i="75" s="1"/>
  <c r="Q70" i="75"/>
  <c r="AD37" i="82"/>
  <c r="AD72" i="75" s="1"/>
  <c r="AD70" i="75"/>
  <c r="I37" i="72"/>
  <c r="I44" i="75" s="1"/>
  <c r="I42" i="75"/>
  <c r="W37" i="73"/>
  <c r="W58" i="75" s="1"/>
  <c r="W56" i="75"/>
  <c r="L37" i="81"/>
  <c r="L30" i="75" s="1"/>
  <c r="L28" i="75"/>
  <c r="M37" i="73"/>
  <c r="M58" i="75" s="1"/>
  <c r="M56" i="75"/>
  <c r="AC37" i="81"/>
  <c r="AC30" i="75" s="1"/>
  <c r="AC28" i="75"/>
  <c r="V37" i="81"/>
  <c r="V30" i="75" s="1"/>
  <c r="V28" i="75"/>
  <c r="S37" i="72"/>
  <c r="S44" i="75" s="1"/>
  <c r="S42" i="75"/>
  <c r="AE37" i="68"/>
  <c r="AE14" i="75"/>
  <c r="S37" i="82"/>
  <c r="S72" i="75" s="1"/>
  <c r="S70" i="75"/>
  <c r="W37" i="82"/>
  <c r="W72" i="75" s="1"/>
  <c r="W70" i="75"/>
  <c r="F35" i="75" l="1" a="1"/>
  <c r="F35" i="75" s="1"/>
  <c r="AD106" i="68"/>
  <c r="AD85" i="68"/>
  <c r="AD21" i="75"/>
  <c r="AD22" i="75" s="1"/>
  <c r="R106" i="68"/>
  <c r="R85" i="68"/>
  <c r="R21" i="75"/>
  <c r="R22" i="75" s="1"/>
  <c r="L106" i="68"/>
  <c r="L85" i="68"/>
  <c r="L21" i="75"/>
  <c r="L22" i="75" s="1"/>
  <c r="W106" i="68"/>
  <c r="W85" i="68"/>
  <c r="W21" i="75"/>
  <c r="W22" i="75" s="1"/>
  <c r="Z106" i="68"/>
  <c r="Z85" i="68"/>
  <c r="Z21" i="75"/>
  <c r="Z22" i="75" s="1"/>
  <c r="AB106" i="68"/>
  <c r="AB85" i="68"/>
  <c r="AB21" i="75"/>
  <c r="AB22" i="75" s="1"/>
  <c r="N106" i="68"/>
  <c r="N85" i="68"/>
  <c r="N21" i="75"/>
  <c r="N22" i="75" s="1"/>
  <c r="O106" i="68"/>
  <c r="O85" i="68"/>
  <c r="O21" i="75"/>
  <c r="O22" i="75" s="1"/>
  <c r="Y106" i="68"/>
  <c r="Y85" i="68"/>
  <c r="Y21" i="75"/>
  <c r="Y22" i="75" s="1"/>
  <c r="S106" i="68"/>
  <c r="S85" i="68"/>
  <c r="S21" i="75"/>
  <c r="S22" i="75" s="1"/>
  <c r="AC106" i="68"/>
  <c r="AC85" i="68"/>
  <c r="AC21" i="75"/>
  <c r="AC22" i="75" s="1"/>
  <c r="P106" i="68"/>
  <c r="P85" i="68"/>
  <c r="P21" i="75"/>
  <c r="P22" i="75" s="1"/>
  <c r="V106" i="68"/>
  <c r="V85" i="68"/>
  <c r="V21" i="75"/>
  <c r="V22" i="75" s="1"/>
  <c r="Q106" i="68"/>
  <c r="Q85" i="68"/>
  <c r="Q21" i="75"/>
  <c r="Q22" i="75" s="1"/>
  <c r="K106" i="68"/>
  <c r="K85" i="68"/>
  <c r="K21" i="75"/>
  <c r="K22" i="75" s="1"/>
  <c r="X106" i="68"/>
  <c r="X85" i="68"/>
  <c r="X21" i="75"/>
  <c r="X22" i="75" s="1"/>
  <c r="AF106" i="68"/>
  <c r="AF85" i="68"/>
  <c r="AF21" i="75"/>
  <c r="AF22" i="75" s="1"/>
  <c r="I106" i="68"/>
  <c r="I85" i="68"/>
  <c r="I21" i="75"/>
  <c r="AE106" i="68"/>
  <c r="AE85" i="68"/>
  <c r="AE21" i="75"/>
  <c r="AE22" i="75" s="1"/>
  <c r="AG106" i="68"/>
  <c r="AG85" i="68"/>
  <c r="AG21" i="75"/>
  <c r="AG22" i="75" s="1"/>
  <c r="J106" i="68"/>
  <c r="J85" i="68"/>
  <c r="J21" i="75"/>
  <c r="J22" i="75" s="1"/>
  <c r="AA106" i="68"/>
  <c r="AA85" i="68"/>
  <c r="AA21" i="75"/>
  <c r="AA22" i="75" s="1"/>
  <c r="T106" i="68"/>
  <c r="T85" i="68"/>
  <c r="T21" i="75"/>
  <c r="T22" i="75" s="1"/>
  <c r="U106" i="68"/>
  <c r="U85" i="68"/>
  <c r="U21" i="75"/>
  <c r="U22" i="75" s="1"/>
  <c r="M106" i="68"/>
  <c r="M85" i="68"/>
  <c r="M21" i="75"/>
  <c r="M22" i="75" s="1"/>
  <c r="D99" i="75"/>
  <c r="F30" i="75" a="1"/>
  <c r="F30" i="75" s="1"/>
  <c r="AC62" i="82"/>
  <c r="AC82" i="82" s="1"/>
  <c r="AC106" i="82" s="1"/>
  <c r="AC62" i="81"/>
  <c r="AC82" i="81" s="1"/>
  <c r="AC106" i="81" s="1"/>
  <c r="AC62" i="72"/>
  <c r="AC82" i="72" s="1"/>
  <c r="AC106" i="72" s="1"/>
  <c r="AC62" i="73"/>
  <c r="AC82" i="73" s="1"/>
  <c r="AC106" i="73" s="1"/>
  <c r="AC16" i="75"/>
  <c r="P62" i="81"/>
  <c r="P62" i="72"/>
  <c r="P62" i="73"/>
  <c r="P62" i="82"/>
  <c r="P16" i="75"/>
  <c r="U62" i="73"/>
  <c r="U82" i="73" s="1"/>
  <c r="U106" i="73" s="1"/>
  <c r="U62" i="72"/>
  <c r="U82" i="72" s="1"/>
  <c r="U106" i="72" s="1"/>
  <c r="U62" i="82"/>
  <c r="U82" i="82" s="1"/>
  <c r="U106" i="82" s="1"/>
  <c r="U62" i="81"/>
  <c r="U82" i="81" s="1"/>
  <c r="U106" i="81" s="1"/>
  <c r="U16" i="75"/>
  <c r="F42" i="75"/>
  <c r="J62" i="82"/>
  <c r="J72" i="75"/>
  <c r="F72" i="75" s="1"/>
  <c r="AE62" i="73"/>
  <c r="AE82" i="73" s="1"/>
  <c r="AE106" i="73" s="1"/>
  <c r="AE62" i="81"/>
  <c r="AE82" i="81" s="1"/>
  <c r="AE106" i="81" s="1"/>
  <c r="AE62" i="82"/>
  <c r="AE82" i="82" s="1"/>
  <c r="AE106" i="82" s="1"/>
  <c r="AE62" i="72"/>
  <c r="AE82" i="72" s="1"/>
  <c r="AE106" i="72" s="1"/>
  <c r="AE16" i="75"/>
  <c r="F44" i="75"/>
  <c r="F28" i="75"/>
  <c r="O62" i="81"/>
  <c r="O82" i="81" s="1"/>
  <c r="O106" i="81" s="1"/>
  <c r="O62" i="82"/>
  <c r="O62" i="72"/>
  <c r="O62" i="73"/>
  <c r="O16" i="75"/>
  <c r="J62" i="81"/>
  <c r="J82" i="81" s="1"/>
  <c r="J106" i="81" s="1"/>
  <c r="J62" i="73"/>
  <c r="J62" i="72"/>
  <c r="J16" i="75"/>
  <c r="S62" i="82"/>
  <c r="S82" i="82" s="1"/>
  <c r="S106" i="82" s="1"/>
  <c r="S62" i="72"/>
  <c r="S82" i="72" s="1"/>
  <c r="S106" i="72" s="1"/>
  <c r="S62" i="81"/>
  <c r="S82" i="81" s="1"/>
  <c r="S106" i="81" s="1"/>
  <c r="S62" i="73"/>
  <c r="S82" i="73" s="1"/>
  <c r="S106" i="73" s="1"/>
  <c r="S16" i="75"/>
  <c r="AG62" i="81"/>
  <c r="AG82" i="81" s="1"/>
  <c r="AG106" i="81" s="1"/>
  <c r="AG62" i="73"/>
  <c r="AG82" i="73" s="1"/>
  <c r="AG106" i="73" s="1"/>
  <c r="AG62" i="82"/>
  <c r="AG82" i="82" s="1"/>
  <c r="AG106" i="82" s="1"/>
  <c r="AG62" i="72"/>
  <c r="AG82" i="72" s="1"/>
  <c r="AG106" i="72" s="1"/>
  <c r="AG16" i="75"/>
  <c r="L62" i="81"/>
  <c r="L82" i="81" s="1"/>
  <c r="L106" i="81" s="1"/>
  <c r="L62" i="82"/>
  <c r="L62" i="72"/>
  <c r="L62" i="73"/>
  <c r="L16" i="75"/>
  <c r="AF62" i="81"/>
  <c r="AF82" i="81" s="1"/>
  <c r="AF106" i="81" s="1"/>
  <c r="AF62" i="73"/>
  <c r="AF82" i="73" s="1"/>
  <c r="AF106" i="73" s="1"/>
  <c r="AF62" i="82"/>
  <c r="AF82" i="82" s="1"/>
  <c r="AF106" i="82" s="1"/>
  <c r="AF62" i="72"/>
  <c r="AF82" i="72" s="1"/>
  <c r="AF106" i="72" s="1"/>
  <c r="AF16" i="75"/>
  <c r="R62" i="82"/>
  <c r="R82" i="82" s="1"/>
  <c r="R106" i="82" s="1"/>
  <c r="R62" i="73"/>
  <c r="R82" i="73" s="1"/>
  <c r="R106" i="73" s="1"/>
  <c r="R62" i="72"/>
  <c r="R82" i="72" s="1"/>
  <c r="R106" i="72" s="1"/>
  <c r="R62" i="81"/>
  <c r="R82" i="81" s="1"/>
  <c r="R106" i="81" s="1"/>
  <c r="R16" i="75"/>
  <c r="F56" i="75"/>
  <c r="F70" i="75"/>
  <c r="F14" i="75"/>
  <c r="AA62" i="82"/>
  <c r="AA82" i="82" s="1"/>
  <c r="AA106" i="82" s="1"/>
  <c r="AA62" i="72"/>
  <c r="AA82" i="72" s="1"/>
  <c r="AA106" i="72" s="1"/>
  <c r="AA62" i="73"/>
  <c r="AA82" i="73" s="1"/>
  <c r="AA106" i="73" s="1"/>
  <c r="AA62" i="81"/>
  <c r="AA82" i="81" s="1"/>
  <c r="AA106" i="81" s="1"/>
  <c r="AA16" i="75"/>
  <c r="I62" i="72"/>
  <c r="I62" i="82"/>
  <c r="I62" i="73"/>
  <c r="I62" i="81"/>
  <c r="I82" i="81" s="1"/>
  <c r="I106" i="81" s="1"/>
  <c r="I16" i="75"/>
  <c r="K62" i="73"/>
  <c r="K62" i="72"/>
  <c r="K62" i="81"/>
  <c r="K82" i="81" s="1"/>
  <c r="K106" i="81" s="1"/>
  <c r="K62" i="82"/>
  <c r="K16" i="75"/>
  <c r="V62" i="81"/>
  <c r="V82" i="81" s="1"/>
  <c r="V106" i="81" s="1"/>
  <c r="V62" i="82"/>
  <c r="V82" i="82" s="1"/>
  <c r="V106" i="82" s="1"/>
  <c r="V62" i="73"/>
  <c r="V82" i="73" s="1"/>
  <c r="V106" i="73" s="1"/>
  <c r="V62" i="72"/>
  <c r="V82" i="72" s="1"/>
  <c r="V106" i="72" s="1"/>
  <c r="V16" i="75"/>
  <c r="W62" i="81"/>
  <c r="W82" i="81" s="1"/>
  <c r="W106" i="81" s="1"/>
  <c r="W62" i="82"/>
  <c r="W82" i="82" s="1"/>
  <c r="W106" i="82" s="1"/>
  <c r="W62" i="72"/>
  <c r="W82" i="72" s="1"/>
  <c r="W106" i="72" s="1"/>
  <c r="W62" i="73"/>
  <c r="W82" i="73" s="1"/>
  <c r="W106" i="73" s="1"/>
  <c r="W16" i="75"/>
  <c r="Z62" i="72"/>
  <c r="Z82" i="72" s="1"/>
  <c r="Z106" i="72" s="1"/>
  <c r="Z62" i="81"/>
  <c r="Z82" i="81" s="1"/>
  <c r="Z106" i="81" s="1"/>
  <c r="Z62" i="73"/>
  <c r="Z82" i="73" s="1"/>
  <c r="Z106" i="73" s="1"/>
  <c r="Z62" i="82"/>
  <c r="Z82" i="82" s="1"/>
  <c r="Z106" i="82" s="1"/>
  <c r="Z16" i="75"/>
  <c r="AB62" i="72"/>
  <c r="AB82" i="72" s="1"/>
  <c r="AB106" i="72" s="1"/>
  <c r="AB62" i="81"/>
  <c r="AB82" i="81" s="1"/>
  <c r="AB106" i="81" s="1"/>
  <c r="AB62" i="73"/>
  <c r="AB82" i="73" s="1"/>
  <c r="AB106" i="73" s="1"/>
  <c r="AB62" i="82"/>
  <c r="AB82" i="82" s="1"/>
  <c r="AB106" i="82" s="1"/>
  <c r="AB16" i="75"/>
  <c r="X62" i="72"/>
  <c r="X82" i="72" s="1"/>
  <c r="X106" i="72" s="1"/>
  <c r="X62" i="82"/>
  <c r="X82" i="82" s="1"/>
  <c r="X106" i="82" s="1"/>
  <c r="X62" i="81"/>
  <c r="X82" i="81" s="1"/>
  <c r="X106" i="81" s="1"/>
  <c r="X62" i="73"/>
  <c r="X82" i="73" s="1"/>
  <c r="X106" i="73" s="1"/>
  <c r="X16" i="75"/>
  <c r="Y62" i="73"/>
  <c r="Y82" i="73" s="1"/>
  <c r="Y106" i="73" s="1"/>
  <c r="Y62" i="82"/>
  <c r="Y82" i="82" s="1"/>
  <c r="Y106" i="82" s="1"/>
  <c r="Y62" i="81"/>
  <c r="Y82" i="81" s="1"/>
  <c r="Y106" i="81" s="1"/>
  <c r="Y62" i="72"/>
  <c r="Y82" i="72" s="1"/>
  <c r="Y106" i="72" s="1"/>
  <c r="Y16" i="75"/>
  <c r="N62" i="82"/>
  <c r="N62" i="73"/>
  <c r="N62" i="72"/>
  <c r="N62" i="81"/>
  <c r="N82" i="81" s="1"/>
  <c r="N106" i="81" s="1"/>
  <c r="N16" i="75"/>
  <c r="Q62" i="82"/>
  <c r="Q62" i="73"/>
  <c r="Q62" i="72"/>
  <c r="Q62" i="81"/>
  <c r="Q16" i="75"/>
  <c r="F58" i="75"/>
  <c r="T62" i="72"/>
  <c r="T82" i="72" s="1"/>
  <c r="T106" i="72" s="1"/>
  <c r="T62" i="73"/>
  <c r="T82" i="73" s="1"/>
  <c r="T106" i="73" s="1"/>
  <c r="T62" i="82"/>
  <c r="T82" i="82" s="1"/>
  <c r="T106" i="82" s="1"/>
  <c r="T62" i="81"/>
  <c r="T82" i="81" s="1"/>
  <c r="T106" i="81" s="1"/>
  <c r="T16" i="75"/>
  <c r="M62" i="82"/>
  <c r="M62" i="73"/>
  <c r="M62" i="72"/>
  <c r="M62" i="81"/>
  <c r="M82" i="81" s="1"/>
  <c r="M106" i="81" s="1"/>
  <c r="M16" i="75"/>
  <c r="AD62" i="81"/>
  <c r="AD82" i="81" s="1"/>
  <c r="AD106" i="81" s="1"/>
  <c r="AD62" i="73"/>
  <c r="AD82" i="73" s="1"/>
  <c r="AD106" i="73" s="1"/>
  <c r="AD62" i="72"/>
  <c r="AD82" i="72" s="1"/>
  <c r="AD106" i="72" s="1"/>
  <c r="AD62" i="82"/>
  <c r="AD82" i="82" s="1"/>
  <c r="AD106" i="82" s="1"/>
  <c r="AD16" i="75"/>
  <c r="C62" i="81"/>
  <c r="C62" i="73"/>
  <c r="C15" i="75"/>
  <c r="D15" i="75" s="1"/>
  <c r="D57" i="75"/>
  <c r="D60" i="75"/>
  <c r="C18" i="75"/>
  <c r="D18" i="75" s="1"/>
  <c r="D74" i="75"/>
  <c r="D63" i="75"/>
  <c r="D61" i="75"/>
  <c r="D64" i="75"/>
  <c r="D36" i="75"/>
  <c r="D78" i="75"/>
  <c r="D22" i="75"/>
  <c r="D71" i="75"/>
  <c r="C29" i="75"/>
  <c r="D29" i="75" s="1"/>
  <c r="C35" i="75"/>
  <c r="D35" i="75" s="1"/>
  <c r="D77" i="75"/>
  <c r="C21" i="75"/>
  <c r="D21" i="75" s="1"/>
  <c r="C33" i="75"/>
  <c r="D33" i="75" s="1"/>
  <c r="C19" i="75"/>
  <c r="D19" i="75" s="1"/>
  <c r="D75" i="75"/>
  <c r="C32" i="75"/>
  <c r="D32" i="75" s="1"/>
  <c r="I22" i="75" l="1"/>
  <c r="F21" i="75"/>
  <c r="O104" i="68"/>
  <c r="N14" i="85"/>
  <c r="K104" i="68"/>
  <c r="J14" i="85"/>
  <c r="AA104" i="68"/>
  <c r="Z14" i="85"/>
  <c r="I104" i="68"/>
  <c r="H14" i="85"/>
  <c r="Q104" i="68"/>
  <c r="P14" i="85"/>
  <c r="S104" i="68"/>
  <c r="R14" i="85"/>
  <c r="AB104" i="68"/>
  <c r="AA14" i="85"/>
  <c r="R104" i="68"/>
  <c r="Q14" i="85"/>
  <c r="AC104" i="68"/>
  <c r="AB14" i="85"/>
  <c r="P104" i="68"/>
  <c r="O14" i="85"/>
  <c r="AE104" i="68"/>
  <c r="AD14" i="85"/>
  <c r="L104" i="68"/>
  <c r="K14" i="85"/>
  <c r="U104" i="68"/>
  <c r="T14" i="85"/>
  <c r="AG104" i="68"/>
  <c r="AF14" i="85"/>
  <c r="X104" i="68"/>
  <c r="W14" i="85"/>
  <c r="W104" i="68"/>
  <c r="V14" i="85"/>
  <c r="N104" i="68"/>
  <c r="M14" i="85"/>
  <c r="M104" i="68"/>
  <c r="L14" i="85"/>
  <c r="J104" i="68"/>
  <c r="I14" i="85"/>
  <c r="AF104" i="68"/>
  <c r="AE14" i="85"/>
  <c r="V104" i="68"/>
  <c r="U14" i="85"/>
  <c r="Y104" i="68"/>
  <c r="X14" i="85"/>
  <c r="Z104" i="68"/>
  <c r="Y14" i="85"/>
  <c r="AD104" i="68"/>
  <c r="AC14" i="85"/>
  <c r="T104" i="68"/>
  <c r="S14" i="85"/>
  <c r="Q92" i="75"/>
  <c r="AB92" i="75"/>
  <c r="K92" i="75"/>
  <c r="R92" i="75"/>
  <c r="S92" i="75"/>
  <c r="Q82" i="73"/>
  <c r="Q106" i="73" s="1"/>
  <c r="K82" i="72"/>
  <c r="K106" i="72" s="1"/>
  <c r="I82" i="73"/>
  <c r="I106" i="73" s="1"/>
  <c r="P82" i="82"/>
  <c r="P106" i="82" s="1"/>
  <c r="L82" i="73"/>
  <c r="L106" i="73" s="1"/>
  <c r="M82" i="73"/>
  <c r="M106" i="73" s="1"/>
  <c r="P82" i="72"/>
  <c r="P106" i="72" s="1"/>
  <c r="Q82" i="72"/>
  <c r="Q106" i="72" s="1"/>
  <c r="J82" i="82"/>
  <c r="J106" i="82" s="1"/>
  <c r="Q82" i="82"/>
  <c r="Q106" i="82" s="1"/>
  <c r="J82" i="73"/>
  <c r="J106" i="73" s="1"/>
  <c r="I82" i="82"/>
  <c r="I106" i="82" s="1"/>
  <c r="M82" i="72"/>
  <c r="M106" i="72" s="1"/>
  <c r="O82" i="72"/>
  <c r="O106" i="72" s="1"/>
  <c r="L82" i="72"/>
  <c r="L106" i="72" s="1"/>
  <c r="O82" i="82"/>
  <c r="O106" i="82" s="1"/>
  <c r="M82" i="82"/>
  <c r="M106" i="82" s="1"/>
  <c r="P82" i="81"/>
  <c r="P106" i="81" s="1"/>
  <c r="K82" i="73"/>
  <c r="K106" i="73" s="1"/>
  <c r="J82" i="72"/>
  <c r="J106" i="72" s="1"/>
  <c r="N82" i="72"/>
  <c r="N106" i="72" s="1"/>
  <c r="N82" i="73"/>
  <c r="N106" i="73" s="1"/>
  <c r="N82" i="82"/>
  <c r="N106" i="82" s="1"/>
  <c r="I82" i="72"/>
  <c r="I106" i="72" s="1"/>
  <c r="O82" i="73"/>
  <c r="O106" i="73" s="1"/>
  <c r="P82" i="73"/>
  <c r="P106" i="73" s="1"/>
  <c r="L82" i="82"/>
  <c r="L106" i="82" s="1"/>
  <c r="Q82" i="81"/>
  <c r="Q106" i="81" s="1"/>
  <c r="K82" i="82"/>
  <c r="K106" i="82" s="1"/>
  <c r="AD92" i="75"/>
  <c r="U92" i="75"/>
  <c r="N92" i="75"/>
  <c r="Z92" i="75"/>
  <c r="I92" i="75"/>
  <c r="AF92" i="75"/>
  <c r="J92" i="75"/>
  <c r="M92" i="75"/>
  <c r="O92" i="75"/>
  <c r="P92" i="75"/>
  <c r="Y92" i="75"/>
  <c r="W92" i="75"/>
  <c r="L92" i="75"/>
  <c r="AA92" i="75"/>
  <c r="T92" i="75"/>
  <c r="AC92" i="75"/>
  <c r="X92" i="75"/>
  <c r="V92" i="75"/>
  <c r="AG92" i="75"/>
  <c r="AE92" i="75"/>
  <c r="AD85" i="72"/>
  <c r="AD104" i="72" s="1"/>
  <c r="AD48" i="75"/>
  <c r="AD50" i="75" s="1"/>
  <c r="AD40" i="85" s="1"/>
  <c r="Z85" i="72"/>
  <c r="Z104" i="72" s="1"/>
  <c r="Z48" i="75"/>
  <c r="Z50" i="75" s="1"/>
  <c r="Z40" i="85" s="1"/>
  <c r="AG85" i="81"/>
  <c r="AG104" i="81" s="1"/>
  <c r="AG34" i="75"/>
  <c r="AG36" i="75" s="1"/>
  <c r="AF12" i="85" s="1"/>
  <c r="AE85" i="81"/>
  <c r="AE104" i="81" s="1"/>
  <c r="AE34" i="75"/>
  <c r="AE36" i="75" s="1"/>
  <c r="AD12" i="85" s="1"/>
  <c r="AE85" i="73"/>
  <c r="AE104" i="73" s="1"/>
  <c r="AE62" i="75"/>
  <c r="AE64" i="75" s="1"/>
  <c r="S85" i="73"/>
  <c r="S104" i="73" s="1"/>
  <c r="S62" i="75"/>
  <c r="S64" i="75" s="1"/>
  <c r="R85" i="81"/>
  <c r="R104" i="81" s="1"/>
  <c r="R34" i="75"/>
  <c r="R36" i="75" s="1"/>
  <c r="AB85" i="81"/>
  <c r="AB104" i="81" s="1"/>
  <c r="AB34" i="75"/>
  <c r="AB36" i="75" s="1"/>
  <c r="AA12" i="85" s="1"/>
  <c r="R85" i="72"/>
  <c r="R104" i="72" s="1"/>
  <c r="R48" i="75"/>
  <c r="R50" i="75" s="1"/>
  <c r="R40" i="85" s="1"/>
  <c r="S85" i="81"/>
  <c r="S104" i="81" s="1"/>
  <c r="S34" i="75"/>
  <c r="S36" i="75" s="1"/>
  <c r="S85" i="72"/>
  <c r="S104" i="72" s="1"/>
  <c r="S48" i="75"/>
  <c r="S50" i="75" s="1"/>
  <c r="S40" i="85" s="1"/>
  <c r="AB85" i="82"/>
  <c r="AB104" i="82" s="1"/>
  <c r="AB76" i="75"/>
  <c r="AB78" i="75" s="1"/>
  <c r="AB85" i="72"/>
  <c r="AB104" i="72" s="1"/>
  <c r="AB48" i="75"/>
  <c r="AB50" i="75" s="1"/>
  <c r="AB40" i="85" s="1"/>
  <c r="R85" i="73"/>
  <c r="R104" i="73" s="1"/>
  <c r="R62" i="75"/>
  <c r="R64" i="75" s="1"/>
  <c r="AD85" i="82"/>
  <c r="AD104" i="82" s="1"/>
  <c r="AD76" i="75"/>
  <c r="AD78" i="75" s="1"/>
  <c r="R85" i="82"/>
  <c r="R104" i="82" s="1"/>
  <c r="R76" i="75"/>
  <c r="R78" i="75" s="1"/>
  <c r="S85" i="82"/>
  <c r="S104" i="82" s="1"/>
  <c r="S76" i="75"/>
  <c r="S78" i="75" s="1"/>
  <c r="U85" i="81"/>
  <c r="U104" i="81" s="1"/>
  <c r="U34" i="75"/>
  <c r="U36" i="75" s="1"/>
  <c r="Z85" i="82"/>
  <c r="Z104" i="82" s="1"/>
  <c r="Z76" i="75"/>
  <c r="Z78" i="75" s="1"/>
  <c r="AD85" i="73"/>
  <c r="AD104" i="73" s="1"/>
  <c r="AD62" i="75"/>
  <c r="AD64" i="75" s="1"/>
  <c r="Z85" i="73"/>
  <c r="Z104" i="73" s="1"/>
  <c r="Z62" i="75"/>
  <c r="Z64" i="75" s="1"/>
  <c r="AF85" i="72"/>
  <c r="AF104" i="72" s="1"/>
  <c r="AF48" i="75"/>
  <c r="AF50" i="75" s="1"/>
  <c r="AF40" i="85" s="1"/>
  <c r="U85" i="82"/>
  <c r="U104" i="82" s="1"/>
  <c r="U76" i="75"/>
  <c r="U78" i="75" s="1"/>
  <c r="Z85" i="81"/>
  <c r="Z104" i="81" s="1"/>
  <c r="Z34" i="75"/>
  <c r="Z36" i="75" s="1"/>
  <c r="AF85" i="82"/>
  <c r="AF104" i="82" s="1"/>
  <c r="AF76" i="75"/>
  <c r="AF78" i="75" s="1"/>
  <c r="U85" i="72"/>
  <c r="U104" i="72" s="1"/>
  <c r="U48" i="75"/>
  <c r="U50" i="75" s="1"/>
  <c r="U40" i="85" s="1"/>
  <c r="AF85" i="73"/>
  <c r="AF104" i="73" s="1"/>
  <c r="AF62" i="75"/>
  <c r="AF64" i="75" s="1"/>
  <c r="J85" i="81"/>
  <c r="J104" i="81" s="1"/>
  <c r="J34" i="75"/>
  <c r="J36" i="75" s="1"/>
  <c r="U85" i="73"/>
  <c r="U104" i="73" s="1"/>
  <c r="U62" i="75"/>
  <c r="U64" i="75" s="1"/>
  <c r="AF85" i="81"/>
  <c r="AF104" i="81" s="1"/>
  <c r="AF34" i="75"/>
  <c r="AF36" i="75" s="1"/>
  <c r="AE12" i="85" s="1"/>
  <c r="W85" i="72"/>
  <c r="W104" i="72" s="1"/>
  <c r="W48" i="75"/>
  <c r="W50" i="75" s="1"/>
  <c r="W40" i="85" s="1"/>
  <c r="Y85" i="73"/>
  <c r="Y104" i="73" s="1"/>
  <c r="Y62" i="75"/>
  <c r="Y64" i="75" s="1"/>
  <c r="W85" i="81"/>
  <c r="W104" i="81" s="1"/>
  <c r="W34" i="75"/>
  <c r="W36" i="75" s="1"/>
  <c r="AA85" i="72"/>
  <c r="AA104" i="72" s="1"/>
  <c r="AA48" i="75"/>
  <c r="AA50" i="75" s="1"/>
  <c r="AA40" i="85" s="1"/>
  <c r="O85" i="81"/>
  <c r="O104" i="81" s="1"/>
  <c r="O34" i="75"/>
  <c r="O36" i="75" s="1"/>
  <c r="Y85" i="81"/>
  <c r="Y104" i="81" s="1"/>
  <c r="Y34" i="75"/>
  <c r="Y36" i="75" s="1"/>
  <c r="AA85" i="82"/>
  <c r="AA104" i="82" s="1"/>
  <c r="AA76" i="75"/>
  <c r="AA78" i="75" s="1"/>
  <c r="L85" i="81"/>
  <c r="L104" i="81" s="1"/>
  <c r="L34" i="75"/>
  <c r="L36" i="75" s="1"/>
  <c r="AB85" i="73"/>
  <c r="AB104" i="73" s="1"/>
  <c r="AB62" i="75"/>
  <c r="AB64" i="75" s="1"/>
  <c r="AD85" i="81"/>
  <c r="AD104" i="81" s="1"/>
  <c r="AD34" i="75"/>
  <c r="AD36" i="75" s="1"/>
  <c r="AC12" i="85" s="1"/>
  <c r="Y85" i="72"/>
  <c r="Y104" i="72" s="1"/>
  <c r="Y48" i="75"/>
  <c r="Y50" i="75" s="1"/>
  <c r="Y40" i="85" s="1"/>
  <c r="AC85" i="73"/>
  <c r="AC104" i="73" s="1"/>
  <c r="AC62" i="75"/>
  <c r="AC64" i="75" s="1"/>
  <c r="K85" i="81"/>
  <c r="K104" i="81" s="1"/>
  <c r="K34" i="75"/>
  <c r="K36" i="75" s="1"/>
  <c r="N85" i="81"/>
  <c r="N104" i="81" s="1"/>
  <c r="N34" i="75"/>
  <c r="N36" i="75" s="1"/>
  <c r="W85" i="73"/>
  <c r="W104" i="73" s="1"/>
  <c r="W62" i="75"/>
  <c r="W64" i="75" s="1"/>
  <c r="AA85" i="81"/>
  <c r="AA104" i="81" s="1"/>
  <c r="AA34" i="75"/>
  <c r="AA36" i="75" s="1"/>
  <c r="Z12" i="85" s="1"/>
  <c r="T85" i="82"/>
  <c r="T104" i="82" s="1"/>
  <c r="T76" i="75"/>
  <c r="T78" i="75" s="1"/>
  <c r="X85" i="81"/>
  <c r="X104" i="81" s="1"/>
  <c r="X34" i="75"/>
  <c r="X36" i="75" s="1"/>
  <c r="V85" i="73"/>
  <c r="V104" i="73" s="1"/>
  <c r="V62" i="75"/>
  <c r="V64" i="75" s="1"/>
  <c r="AG85" i="72"/>
  <c r="AG104" i="72" s="1"/>
  <c r="AG48" i="75"/>
  <c r="AG50" i="75" s="1"/>
  <c r="AG40" i="85" s="1"/>
  <c r="AC85" i="72"/>
  <c r="AC104" i="72" s="1"/>
  <c r="AC48" i="75"/>
  <c r="AC50" i="75" s="1"/>
  <c r="AC40" i="85" s="1"/>
  <c r="I85" i="81"/>
  <c r="I104" i="81" s="1"/>
  <c r="I34" i="75"/>
  <c r="M85" i="81"/>
  <c r="M104" i="81" s="1"/>
  <c r="M34" i="75"/>
  <c r="M36" i="75" s="1"/>
  <c r="Y85" i="82"/>
  <c r="Y104" i="82" s="1"/>
  <c r="Y76" i="75"/>
  <c r="Y78" i="75" s="1"/>
  <c r="X85" i="73"/>
  <c r="X104" i="73" s="1"/>
  <c r="X62" i="75"/>
  <c r="X64" i="75" s="1"/>
  <c r="T85" i="72"/>
  <c r="T104" i="72" s="1"/>
  <c r="T48" i="75"/>
  <c r="T50" i="75" s="1"/>
  <c r="T40" i="85" s="1"/>
  <c r="X85" i="82"/>
  <c r="X104" i="82" s="1"/>
  <c r="X76" i="75"/>
  <c r="X78" i="75" s="1"/>
  <c r="V85" i="82"/>
  <c r="V104" i="82" s="1"/>
  <c r="V76" i="75"/>
  <c r="V78" i="75" s="1"/>
  <c r="AG85" i="82"/>
  <c r="AG104" i="82" s="1"/>
  <c r="AG76" i="75"/>
  <c r="AG78" i="75" s="1"/>
  <c r="AE85" i="72"/>
  <c r="AE104" i="72" s="1"/>
  <c r="AE48" i="75"/>
  <c r="AE50" i="75" s="1"/>
  <c r="AE40" i="85" s="1"/>
  <c r="AC85" i="81"/>
  <c r="AC104" i="81" s="1"/>
  <c r="AC34" i="75"/>
  <c r="AC36" i="75" s="1"/>
  <c r="AB12" i="85" s="1"/>
  <c r="W85" i="82"/>
  <c r="W104" i="82" s="1"/>
  <c r="W76" i="75"/>
  <c r="W78" i="75" s="1"/>
  <c r="AA85" i="73"/>
  <c r="AA104" i="73" s="1"/>
  <c r="AA62" i="75"/>
  <c r="AA64" i="75" s="1"/>
  <c r="T85" i="81"/>
  <c r="T104" i="81" s="1"/>
  <c r="T34" i="75"/>
  <c r="T36" i="75" s="1"/>
  <c r="V85" i="72"/>
  <c r="V104" i="72" s="1"/>
  <c r="V48" i="75"/>
  <c r="V50" i="75" s="1"/>
  <c r="V40" i="85" s="1"/>
  <c r="T85" i="73"/>
  <c r="T104" i="73" s="1"/>
  <c r="T62" i="75"/>
  <c r="T64" i="75" s="1"/>
  <c r="X85" i="72"/>
  <c r="X104" i="72" s="1"/>
  <c r="X48" i="75"/>
  <c r="X50" i="75" s="1"/>
  <c r="X40" i="85" s="1"/>
  <c r="V85" i="81"/>
  <c r="V104" i="81" s="1"/>
  <c r="V34" i="75"/>
  <c r="V36" i="75" s="1"/>
  <c r="AG85" i="73"/>
  <c r="AG104" i="73" s="1"/>
  <c r="AG62" i="75"/>
  <c r="AG64" i="75" s="1"/>
  <c r="AE85" i="82"/>
  <c r="AE104" i="82" s="1"/>
  <c r="AE76" i="75"/>
  <c r="AE78" i="75" s="1"/>
  <c r="AC85" i="82"/>
  <c r="AC104" i="82" s="1"/>
  <c r="AC76" i="75"/>
  <c r="AC78" i="75" s="1"/>
  <c r="H13" i="33"/>
  <c r="H12" i="33"/>
  <c r="Z108" i="68" l="1" a="1"/>
  <c r="Z108" i="68" s="1"/>
  <c r="Z113" i="68" a="1"/>
  <c r="Z113" i="68" s="1"/>
  <c r="Z115" i="68" a="1"/>
  <c r="Z115" i="68" s="1"/>
  <c r="Z114" i="68" a="1"/>
  <c r="Z114" i="68" s="1"/>
  <c r="Z111" i="68" a="1"/>
  <c r="Z111" i="68" s="1"/>
  <c r="Z110" i="68" a="1"/>
  <c r="Z110" i="68" s="1"/>
  <c r="Z109" i="68" a="1"/>
  <c r="Z109" i="68" s="1"/>
  <c r="Z112" i="68" a="1"/>
  <c r="Z112" i="68" s="1"/>
  <c r="Q115" i="68" a="1"/>
  <c r="Q115" i="68" s="1"/>
  <c r="Q109" i="68" a="1"/>
  <c r="Q109" i="68" s="1"/>
  <c r="Q113" i="68" a="1"/>
  <c r="Q113" i="68" s="1"/>
  <c r="Q111" i="68" a="1"/>
  <c r="Q111" i="68" s="1"/>
  <c r="Q110" i="68" a="1"/>
  <c r="Q110" i="68" s="1"/>
  <c r="Q112" i="68" a="1"/>
  <c r="Q112" i="68" s="1"/>
  <c r="Q114" i="68" a="1"/>
  <c r="Q114" i="68" s="1"/>
  <c r="Q108" i="68" a="1"/>
  <c r="Q108" i="68" s="1"/>
  <c r="AA109" i="68" a="1"/>
  <c r="AA109" i="68" s="1"/>
  <c r="AA113" i="68" a="1"/>
  <c r="AA113" i="68" s="1"/>
  <c r="AA108" i="68" a="1"/>
  <c r="AA108" i="68" s="1"/>
  <c r="AA115" i="68" a="1"/>
  <c r="AA115" i="68" s="1"/>
  <c r="AA114" i="68" a="1"/>
  <c r="AA114" i="68" s="1"/>
  <c r="AA110" i="68" a="1"/>
  <c r="AA110" i="68" s="1"/>
  <c r="AA111" i="68" a="1"/>
  <c r="AA111" i="68" s="1"/>
  <c r="AA112" i="68" a="1"/>
  <c r="AA112" i="68" s="1"/>
  <c r="Y112" i="68" a="1"/>
  <c r="Y112" i="68" s="1"/>
  <c r="Y110" i="68" a="1"/>
  <c r="Y110" i="68" s="1"/>
  <c r="Y113" i="68" a="1"/>
  <c r="Y113" i="68" s="1"/>
  <c r="Y114" i="68" a="1"/>
  <c r="Y114" i="68" s="1"/>
  <c r="Y111" i="68" a="1"/>
  <c r="Y111" i="68" s="1"/>
  <c r="Y108" i="68" a="1"/>
  <c r="Y108" i="68" s="1"/>
  <c r="Y115" i="68" a="1"/>
  <c r="Y115" i="68" s="1"/>
  <c r="Y109" i="68" a="1"/>
  <c r="Y109" i="68" s="1"/>
  <c r="I108" i="68" a="1"/>
  <c r="I108" i="68" s="1"/>
  <c r="I111" i="68" a="1"/>
  <c r="I111" i="68" s="1"/>
  <c r="I113" i="68" a="1"/>
  <c r="I113" i="68" s="1"/>
  <c r="I115" i="68" a="1"/>
  <c r="I115" i="68" s="1"/>
  <c r="I112" i="68" a="1"/>
  <c r="I112" i="68" s="1"/>
  <c r="I109" i="68" a="1"/>
  <c r="I109" i="68" s="1"/>
  <c r="I110" i="68" a="1"/>
  <c r="I110" i="68" s="1"/>
  <c r="I114" i="68" a="1"/>
  <c r="I114" i="68" s="1"/>
  <c r="P115" i="68" a="1"/>
  <c r="P115" i="68" s="1"/>
  <c r="P109" i="68" a="1"/>
  <c r="P109" i="68" s="1"/>
  <c r="P113" i="68" a="1"/>
  <c r="P113" i="68" s="1"/>
  <c r="P110" i="68" a="1"/>
  <c r="P110" i="68" s="1"/>
  <c r="P112" i="68" a="1"/>
  <c r="P112" i="68" s="1"/>
  <c r="P114" i="68" a="1"/>
  <c r="P114" i="68" s="1"/>
  <c r="P108" i="68" a="1"/>
  <c r="P108" i="68" s="1"/>
  <c r="P111" i="68" a="1"/>
  <c r="P111" i="68" s="1"/>
  <c r="AC110" i="68" a="1"/>
  <c r="AC110" i="68" s="1"/>
  <c r="AC113" i="68" a="1"/>
  <c r="AC113" i="68" s="1"/>
  <c r="AC108" i="68" a="1"/>
  <c r="AC108" i="68" s="1"/>
  <c r="AC114" i="68" a="1"/>
  <c r="AC114" i="68" s="1"/>
  <c r="AC111" i="68" a="1"/>
  <c r="AC111" i="68" s="1"/>
  <c r="AC112" i="68" a="1"/>
  <c r="AC112" i="68" s="1"/>
  <c r="AC115" i="68" a="1"/>
  <c r="AC115" i="68" s="1"/>
  <c r="AC109" i="68" a="1"/>
  <c r="AC109" i="68" s="1"/>
  <c r="AF112" i="68" a="1"/>
  <c r="AF112" i="68" s="1"/>
  <c r="AF110" i="68" a="1"/>
  <c r="AF110" i="68" s="1"/>
  <c r="AF111" i="68" a="1"/>
  <c r="AF111" i="68" s="1"/>
  <c r="AF109" i="68" a="1"/>
  <c r="AF109" i="68" s="1"/>
  <c r="AF113" i="68" a="1"/>
  <c r="AF113" i="68" s="1"/>
  <c r="AF108" i="68" a="1"/>
  <c r="AF108" i="68" s="1"/>
  <c r="AF115" i="68" a="1"/>
  <c r="AF115" i="68" s="1"/>
  <c r="AF114" i="68" a="1"/>
  <c r="AF114" i="68" s="1"/>
  <c r="AG115" i="68" a="1"/>
  <c r="AG115" i="68" s="1"/>
  <c r="AG114" i="68" a="1"/>
  <c r="AG114" i="68" s="1"/>
  <c r="AG113" i="68" a="1"/>
  <c r="AG113" i="68" s="1"/>
  <c r="AG112" i="68" a="1"/>
  <c r="AG112" i="68" s="1"/>
  <c r="AG111" i="68" a="1"/>
  <c r="AG111" i="68" s="1"/>
  <c r="AG108" i="68" a="1"/>
  <c r="AG108" i="68" s="1"/>
  <c r="AG110" i="68" a="1"/>
  <c r="AG110" i="68" s="1"/>
  <c r="AG109" i="68" a="1"/>
  <c r="AG109" i="68" s="1"/>
  <c r="R113" i="68" a="1"/>
  <c r="R113" i="68" s="1"/>
  <c r="R114" i="68" a="1"/>
  <c r="R114" i="68" s="1"/>
  <c r="R110" i="68" a="1"/>
  <c r="R110" i="68" s="1"/>
  <c r="R108" i="68" a="1"/>
  <c r="R108" i="68" s="1"/>
  <c r="R112" i="68" a="1"/>
  <c r="R112" i="68" s="1"/>
  <c r="R111" i="68" a="1"/>
  <c r="R111" i="68" s="1"/>
  <c r="R109" i="68" a="1"/>
  <c r="R109" i="68" s="1"/>
  <c r="R115" i="68" a="1"/>
  <c r="R115" i="68" s="1"/>
  <c r="K111" i="68" a="1"/>
  <c r="K111" i="68" s="1"/>
  <c r="K109" i="68" a="1"/>
  <c r="K109" i="68" s="1"/>
  <c r="K110" i="68" a="1"/>
  <c r="K110" i="68" s="1"/>
  <c r="K115" i="68" a="1"/>
  <c r="K115" i="68" s="1"/>
  <c r="K108" i="68" a="1"/>
  <c r="K108" i="68" s="1"/>
  <c r="K112" i="68" a="1"/>
  <c r="K112" i="68" s="1"/>
  <c r="K113" i="68" a="1"/>
  <c r="K113" i="68" s="1"/>
  <c r="K114" i="68" a="1"/>
  <c r="K114" i="68" s="1"/>
  <c r="AE112" i="68" a="1"/>
  <c r="AE112" i="68" s="1"/>
  <c r="AE109" i="68" a="1"/>
  <c r="AE109" i="68" s="1"/>
  <c r="AE108" i="68" a="1"/>
  <c r="AE108" i="68" s="1"/>
  <c r="AE114" i="68" a="1"/>
  <c r="AE114" i="68" s="1"/>
  <c r="AE110" i="68" a="1"/>
  <c r="AE110" i="68" s="1"/>
  <c r="AE113" i="68" a="1"/>
  <c r="AE113" i="68" s="1"/>
  <c r="AE111" i="68" a="1"/>
  <c r="AE111" i="68" s="1"/>
  <c r="AE115" i="68" a="1"/>
  <c r="AE115" i="68" s="1"/>
  <c r="X109" i="68" a="1"/>
  <c r="X109" i="68" s="1"/>
  <c r="X110" i="68" a="1"/>
  <c r="X110" i="68" s="1"/>
  <c r="X113" i="68" a="1"/>
  <c r="X113" i="68" s="1"/>
  <c r="X111" i="68" a="1"/>
  <c r="X111" i="68" s="1"/>
  <c r="X108" i="68" a="1"/>
  <c r="X108" i="68" s="1"/>
  <c r="X115" i="68" a="1"/>
  <c r="X115" i="68" s="1"/>
  <c r="X112" i="68" a="1"/>
  <c r="X112" i="68" s="1"/>
  <c r="X114" i="68" a="1"/>
  <c r="X114" i="68" s="1"/>
  <c r="W109" i="68" a="1"/>
  <c r="W109" i="68" s="1"/>
  <c r="W113" i="68" a="1"/>
  <c r="W113" i="68" s="1"/>
  <c r="W112" i="68" a="1"/>
  <c r="W112" i="68" s="1"/>
  <c r="W110" i="68" a="1"/>
  <c r="W110" i="68" s="1"/>
  <c r="W114" i="68" a="1"/>
  <c r="W114" i="68" s="1"/>
  <c r="W115" i="68" a="1"/>
  <c r="W115" i="68" s="1"/>
  <c r="W111" i="68" a="1"/>
  <c r="W111" i="68" s="1"/>
  <c r="W108" i="68" a="1"/>
  <c r="W108" i="68" s="1"/>
  <c r="T112" i="68" a="1"/>
  <c r="T112" i="68" s="1"/>
  <c r="T109" i="68" a="1"/>
  <c r="T109" i="68" s="1"/>
  <c r="T110" i="68" a="1"/>
  <c r="T110" i="68" s="1"/>
  <c r="T115" i="68" a="1"/>
  <c r="T115" i="68" s="1"/>
  <c r="T108" i="68" a="1"/>
  <c r="T108" i="68" s="1"/>
  <c r="T113" i="68" a="1"/>
  <c r="T113" i="68" s="1"/>
  <c r="T111" i="68" a="1"/>
  <c r="T111" i="68" s="1"/>
  <c r="T114" i="68" a="1"/>
  <c r="T114" i="68" s="1"/>
  <c r="J113" i="68" a="1"/>
  <c r="J113" i="68" s="1"/>
  <c r="J110" i="68" a="1"/>
  <c r="J110" i="68" s="1"/>
  <c r="J114" i="68" a="1"/>
  <c r="J114" i="68" s="1"/>
  <c r="J111" i="68" a="1"/>
  <c r="J111" i="68" s="1"/>
  <c r="J112" i="68" a="1"/>
  <c r="J112" i="68" s="1"/>
  <c r="J108" i="68" a="1"/>
  <c r="J108" i="68" s="1"/>
  <c r="J109" i="68" a="1"/>
  <c r="J109" i="68" s="1"/>
  <c r="J115" i="68" a="1"/>
  <c r="J115" i="68" s="1"/>
  <c r="U111" i="68" a="1"/>
  <c r="U111" i="68" s="1"/>
  <c r="U108" i="68" a="1"/>
  <c r="U108" i="68" s="1"/>
  <c r="U113" i="68" a="1"/>
  <c r="U113" i="68" s="1"/>
  <c r="U112" i="68" a="1"/>
  <c r="U112" i="68" s="1"/>
  <c r="U109" i="68" a="1"/>
  <c r="U109" i="68" s="1"/>
  <c r="U114" i="68" a="1"/>
  <c r="U114" i="68" s="1"/>
  <c r="U110" i="68" a="1"/>
  <c r="U110" i="68" s="1"/>
  <c r="U115" i="68" a="1"/>
  <c r="U115" i="68" s="1"/>
  <c r="AB112" i="68" a="1"/>
  <c r="AB112" i="68" s="1"/>
  <c r="AB111" i="68" a="1"/>
  <c r="AB111" i="68" s="1"/>
  <c r="AB110" i="68" a="1"/>
  <c r="AB110" i="68" s="1"/>
  <c r="AB109" i="68" a="1"/>
  <c r="AB109" i="68" s="1"/>
  <c r="AB113" i="68" a="1"/>
  <c r="AB113" i="68" s="1"/>
  <c r="AB114" i="68" a="1"/>
  <c r="AB114" i="68" s="1"/>
  <c r="AB108" i="68" a="1"/>
  <c r="AB108" i="68" s="1"/>
  <c r="AB115" i="68" a="1"/>
  <c r="AB115" i="68" s="1"/>
  <c r="O110" i="68" a="1"/>
  <c r="O110" i="68" s="1"/>
  <c r="O112" i="68" a="1"/>
  <c r="O112" i="68" s="1"/>
  <c r="O115" i="68" a="1"/>
  <c r="O115" i="68" s="1"/>
  <c r="O111" i="68" a="1"/>
  <c r="O111" i="68" s="1"/>
  <c r="O114" i="68" a="1"/>
  <c r="O114" i="68" s="1"/>
  <c r="O109" i="68" a="1"/>
  <c r="O109" i="68" s="1"/>
  <c r="O113" i="68" a="1"/>
  <c r="O113" i="68" s="1"/>
  <c r="O108" i="68" a="1"/>
  <c r="O108" i="68" s="1"/>
  <c r="V112" i="68" a="1"/>
  <c r="V112" i="68" s="1"/>
  <c r="V108" i="68" a="1"/>
  <c r="V108" i="68" s="1"/>
  <c r="V109" i="68" a="1"/>
  <c r="V109" i="68" s="1"/>
  <c r="V110" i="68" a="1"/>
  <c r="V110" i="68" s="1"/>
  <c r="V113" i="68" a="1"/>
  <c r="V113" i="68" s="1"/>
  <c r="V115" i="68" a="1"/>
  <c r="V115" i="68" s="1"/>
  <c r="V114" i="68" a="1"/>
  <c r="V114" i="68" s="1"/>
  <c r="V111" i="68" a="1"/>
  <c r="V111" i="68" s="1"/>
  <c r="N108" i="68" a="1"/>
  <c r="N108" i="68" s="1"/>
  <c r="N109" i="68" a="1"/>
  <c r="N109" i="68" s="1"/>
  <c r="N114" i="68" a="1"/>
  <c r="N114" i="68" s="1"/>
  <c r="N115" i="68" a="1"/>
  <c r="N115" i="68" s="1"/>
  <c r="N112" i="68" a="1"/>
  <c r="N112" i="68" s="1"/>
  <c r="N111" i="68" a="1"/>
  <c r="N111" i="68" s="1"/>
  <c r="N113" i="68" a="1"/>
  <c r="N113" i="68" s="1"/>
  <c r="N110" i="68" a="1"/>
  <c r="N110" i="68" s="1"/>
  <c r="F14" i="85"/>
  <c r="C90" i="85" s="1"/>
  <c r="F39" i="33" s="1"/>
  <c r="AD114" i="68" a="1"/>
  <c r="AD114" i="68" s="1"/>
  <c r="AD108" i="68" a="1"/>
  <c r="AD108" i="68" s="1"/>
  <c r="AD115" i="68" a="1"/>
  <c r="AD115" i="68" s="1"/>
  <c r="AD110" i="68" a="1"/>
  <c r="AD110" i="68" s="1"/>
  <c r="AD112" i="68" a="1"/>
  <c r="AD112" i="68" s="1"/>
  <c r="AD113" i="68" a="1"/>
  <c r="AD113" i="68" s="1"/>
  <c r="AD111" i="68" a="1"/>
  <c r="AD111" i="68" s="1"/>
  <c r="AD109" i="68" a="1"/>
  <c r="AD109" i="68" s="1"/>
  <c r="M109" i="68" a="1"/>
  <c r="M109" i="68" s="1"/>
  <c r="M112" i="68" a="1"/>
  <c r="M112" i="68" s="1"/>
  <c r="M111" i="68" a="1"/>
  <c r="M111" i="68" s="1"/>
  <c r="M115" i="68" a="1"/>
  <c r="M115" i="68" s="1"/>
  <c r="M113" i="68" a="1"/>
  <c r="M113" i="68" s="1"/>
  <c r="M110" i="68" a="1"/>
  <c r="M110" i="68" s="1"/>
  <c r="M114" i="68" a="1"/>
  <c r="M114" i="68" s="1"/>
  <c r="M108" i="68" a="1"/>
  <c r="M108" i="68" s="1"/>
  <c r="L113" i="68" a="1"/>
  <c r="L113" i="68" s="1"/>
  <c r="L108" i="68" a="1"/>
  <c r="L108" i="68" s="1"/>
  <c r="L110" i="68" a="1"/>
  <c r="L110" i="68" s="1"/>
  <c r="L114" i="68" a="1"/>
  <c r="L114" i="68" s="1"/>
  <c r="L111" i="68" a="1"/>
  <c r="L111" i="68" s="1"/>
  <c r="L109" i="68" a="1"/>
  <c r="L109" i="68" s="1"/>
  <c r="L115" i="68" a="1"/>
  <c r="L115" i="68" s="1"/>
  <c r="L112" i="68" a="1"/>
  <c r="L112" i="68" s="1"/>
  <c r="S115" i="68" a="1"/>
  <c r="S115" i="68" s="1"/>
  <c r="S109" i="68" a="1"/>
  <c r="S109" i="68" s="1"/>
  <c r="S112" i="68" a="1"/>
  <c r="S112" i="68" s="1"/>
  <c r="S110" i="68" a="1"/>
  <c r="S110" i="68" s="1"/>
  <c r="S108" i="68" a="1"/>
  <c r="S108" i="68" s="1"/>
  <c r="S113" i="68" a="1"/>
  <c r="S113" i="68" s="1"/>
  <c r="S114" i="68" a="1"/>
  <c r="S114" i="68" s="1"/>
  <c r="S111" i="68" a="1"/>
  <c r="S111" i="68" s="1"/>
  <c r="P85" i="72"/>
  <c r="P104" i="72" s="1"/>
  <c r="P108" i="72" s="1" a="1"/>
  <c r="P108" i="72" s="1"/>
  <c r="P48" i="75"/>
  <c r="P50" i="75" s="1"/>
  <c r="P40" i="85" s="1"/>
  <c r="P34" i="75"/>
  <c r="P36" i="75" s="1"/>
  <c r="K48" i="75"/>
  <c r="P85" i="81"/>
  <c r="P104" i="81" s="1"/>
  <c r="P109" i="81" s="1" a="1"/>
  <c r="P109" i="81" s="1"/>
  <c r="K85" i="72"/>
  <c r="K104" i="72" s="1"/>
  <c r="K112" i="72" s="1" a="1"/>
  <c r="K112" i="72" s="1"/>
  <c r="J48" i="75"/>
  <c r="J50" i="75" s="1"/>
  <c r="J40" i="85" s="1"/>
  <c r="J85" i="72"/>
  <c r="J104" i="72" s="1"/>
  <c r="J113" i="72" s="1" a="1"/>
  <c r="J113" i="72" s="1"/>
  <c r="AB109" i="82" a="1"/>
  <c r="AB109" i="82" s="1"/>
  <c r="AB73" i="85" s="1"/>
  <c r="AB115" i="82" a="1"/>
  <c r="AB115" i="82" s="1"/>
  <c r="AB112" i="82" a="1"/>
  <c r="AB112" i="82" s="1"/>
  <c r="AB76" i="85" s="1"/>
  <c r="AB108" i="82" a="1"/>
  <c r="AB108" i="82" s="1"/>
  <c r="AB72" i="85" s="1"/>
  <c r="AB110" i="82" a="1"/>
  <c r="AB110" i="82" s="1"/>
  <c r="AB74" i="85" s="1"/>
  <c r="AB113" i="82" a="1"/>
  <c r="AB113" i="82" s="1"/>
  <c r="AB111" i="82" a="1"/>
  <c r="AB111" i="82" s="1"/>
  <c r="AB75" i="85" s="1"/>
  <c r="AB114" i="82" a="1"/>
  <c r="AB114" i="82" s="1"/>
  <c r="AB70" i="85"/>
  <c r="L76" i="75"/>
  <c r="L78" i="75" s="1"/>
  <c r="X110" i="82" a="1"/>
  <c r="X110" i="82" s="1"/>
  <c r="X74" i="85" s="1"/>
  <c r="X113" i="82" a="1"/>
  <c r="X113" i="82" s="1"/>
  <c r="X109" i="82" a="1"/>
  <c r="X109" i="82" s="1"/>
  <c r="X73" i="85" s="1"/>
  <c r="X115" i="82" a="1"/>
  <c r="X115" i="82" s="1"/>
  <c r="X112" i="82" a="1"/>
  <c r="X112" i="82" s="1"/>
  <c r="X76" i="85" s="1"/>
  <c r="X114" i="82" a="1"/>
  <c r="X114" i="82" s="1"/>
  <c r="X111" i="82" a="1"/>
  <c r="X111" i="82" s="1"/>
  <c r="X75" i="85" s="1"/>
  <c r="X108" i="82" a="1"/>
  <c r="X108" i="82" s="1"/>
  <c r="X72" i="85" s="1"/>
  <c r="X70" i="85"/>
  <c r="AA113" i="82" a="1"/>
  <c r="AA113" i="82" s="1"/>
  <c r="AA109" i="82" a="1"/>
  <c r="AA109" i="82" s="1"/>
  <c r="AA73" i="85" s="1"/>
  <c r="AA115" i="82" a="1"/>
  <c r="AA115" i="82" s="1"/>
  <c r="AA112" i="82" a="1"/>
  <c r="AA112" i="82" s="1"/>
  <c r="AA76" i="85" s="1"/>
  <c r="AA110" i="82" a="1"/>
  <c r="AA110" i="82" s="1"/>
  <c r="AA74" i="85" s="1"/>
  <c r="AA114" i="82" a="1"/>
  <c r="AA114" i="82" s="1"/>
  <c r="AA108" i="82" a="1"/>
  <c r="AA108" i="82" s="1"/>
  <c r="AA72" i="85" s="1"/>
  <c r="AA111" i="82" a="1"/>
  <c r="AA111" i="82" s="1"/>
  <c r="AA75" i="85" s="1"/>
  <c r="AA70" i="85"/>
  <c r="V111" i="72" a="1"/>
  <c r="V111" i="72" s="1"/>
  <c r="V108" i="72" a="1"/>
  <c r="V108" i="72" s="1"/>
  <c r="V114" i="72" a="1"/>
  <c r="V114" i="72" s="1"/>
  <c r="V110" i="72" a="1"/>
  <c r="V110" i="72" s="1"/>
  <c r="V113" i="72" a="1"/>
  <c r="V113" i="72" s="1"/>
  <c r="V115" i="72" a="1"/>
  <c r="V115" i="72" s="1"/>
  <c r="V112" i="72" a="1"/>
  <c r="V112" i="72" s="1"/>
  <c r="V109" i="72" a="1"/>
  <c r="V109" i="72" s="1"/>
  <c r="V42" i="85"/>
  <c r="U111" i="72" a="1"/>
  <c r="U111" i="72" s="1"/>
  <c r="U108" i="72" a="1"/>
  <c r="U108" i="72" s="1"/>
  <c r="U114" i="72" a="1"/>
  <c r="U114" i="72" s="1"/>
  <c r="U110" i="72" a="1"/>
  <c r="U110" i="72" s="1"/>
  <c r="U115" i="72" a="1"/>
  <c r="U115" i="72" s="1"/>
  <c r="U112" i="72" a="1"/>
  <c r="U112" i="72" s="1"/>
  <c r="U109" i="72" a="1"/>
  <c r="U109" i="72" s="1"/>
  <c r="U113" i="72" a="1"/>
  <c r="U113" i="72" s="1"/>
  <c r="U42" i="85"/>
  <c r="S111" i="82" a="1"/>
  <c r="S111" i="82" s="1"/>
  <c r="S75" i="85" s="1"/>
  <c r="S114" i="82" a="1"/>
  <c r="S114" i="82" s="1"/>
  <c r="S110" i="82" a="1"/>
  <c r="S110" i="82" s="1"/>
  <c r="S74" i="85" s="1"/>
  <c r="S113" i="82" a="1"/>
  <c r="S113" i="82" s="1"/>
  <c r="S112" i="82" a="1"/>
  <c r="S112" i="82" s="1"/>
  <c r="S76" i="85" s="1"/>
  <c r="S109" i="82" a="1"/>
  <c r="S109" i="82" s="1"/>
  <c r="S73" i="85" s="1"/>
  <c r="S115" i="82" a="1"/>
  <c r="S115" i="82" s="1"/>
  <c r="S108" i="82" a="1"/>
  <c r="S108" i="82" s="1"/>
  <c r="S72" i="85" s="1"/>
  <c r="S70" i="85"/>
  <c r="AD113" i="72" a="1"/>
  <c r="AD113" i="72" s="1"/>
  <c r="AD109" i="72" a="1"/>
  <c r="AD109" i="72" s="1"/>
  <c r="AD112" i="72" a="1"/>
  <c r="AD112" i="72" s="1"/>
  <c r="AD114" i="72" a="1"/>
  <c r="AD114" i="72" s="1"/>
  <c r="AD111" i="72" a="1"/>
  <c r="AD111" i="72" s="1"/>
  <c r="AD110" i="72" a="1"/>
  <c r="AD110" i="72" s="1"/>
  <c r="AD115" i="72" a="1"/>
  <c r="AD115" i="72" s="1"/>
  <c r="AD108" i="72" a="1"/>
  <c r="AD108" i="72" s="1"/>
  <c r="AD42" i="85"/>
  <c r="T115" i="72" a="1"/>
  <c r="T115" i="72" s="1"/>
  <c r="T111" i="72" a="1"/>
  <c r="T111" i="72" s="1"/>
  <c r="T108" i="72" a="1"/>
  <c r="T108" i="72" s="1"/>
  <c r="T114" i="72" a="1"/>
  <c r="T114" i="72" s="1"/>
  <c r="T110" i="72" a="1"/>
  <c r="T110" i="72" s="1"/>
  <c r="T112" i="72" a="1"/>
  <c r="T112" i="72" s="1"/>
  <c r="T109" i="72" a="1"/>
  <c r="T109" i="72" s="1"/>
  <c r="T113" i="72" a="1"/>
  <c r="T113" i="72" s="1"/>
  <c r="T42" i="85"/>
  <c r="AD114" i="73" a="1"/>
  <c r="AD114" i="73" s="1"/>
  <c r="AD109" i="73" a="1"/>
  <c r="AD109" i="73" s="1"/>
  <c r="AD59" i="85" s="1"/>
  <c r="AD111" i="73" a="1"/>
  <c r="AD111" i="73" s="1"/>
  <c r="AD61" i="85" s="1"/>
  <c r="AD113" i="73" a="1"/>
  <c r="AD113" i="73" s="1"/>
  <c r="AD108" i="73" a="1"/>
  <c r="AD108" i="73" s="1"/>
  <c r="AD58" i="85" s="1"/>
  <c r="AD115" i="73" a="1"/>
  <c r="AD115" i="73" s="1"/>
  <c r="AD112" i="73" a="1"/>
  <c r="AD112" i="73" s="1"/>
  <c r="AD62" i="85" s="1"/>
  <c r="AD110" i="73" a="1"/>
  <c r="AD110" i="73" s="1"/>
  <c r="AD60" i="85" s="1"/>
  <c r="AD56" i="85"/>
  <c r="L85" i="72"/>
  <c r="L104" i="72" s="1"/>
  <c r="AA111" i="73" a="1"/>
  <c r="AA111" i="73" s="1"/>
  <c r="AA61" i="85" s="1"/>
  <c r="AA110" i="73" a="1"/>
  <c r="AA110" i="73" s="1"/>
  <c r="AA60" i="85" s="1"/>
  <c r="AA114" i="73" a="1"/>
  <c r="AA114" i="73" s="1"/>
  <c r="AA112" i="73" a="1"/>
  <c r="AA112" i="73" s="1"/>
  <c r="AA62" i="85" s="1"/>
  <c r="AA115" i="73" a="1"/>
  <c r="AA115" i="73" s="1"/>
  <c r="AA108" i="73" a="1"/>
  <c r="AA108" i="73" s="1"/>
  <c r="AA58" i="85" s="1"/>
  <c r="AA113" i="73" a="1"/>
  <c r="AA113" i="73" s="1"/>
  <c r="AA109" i="73" a="1"/>
  <c r="AA109" i="73" s="1"/>
  <c r="AA59" i="85" s="1"/>
  <c r="AA56" i="85"/>
  <c r="Z110" i="72" a="1"/>
  <c r="Z110" i="72" s="1"/>
  <c r="Z113" i="72" a="1"/>
  <c r="Z113" i="72" s="1"/>
  <c r="Z109" i="72" a="1"/>
  <c r="Z109" i="72" s="1"/>
  <c r="Z115" i="72" a="1"/>
  <c r="Z115" i="72" s="1"/>
  <c r="Z112" i="72" a="1"/>
  <c r="Z112" i="72" s="1"/>
  <c r="Z108" i="72" a="1"/>
  <c r="Z108" i="72" s="1"/>
  <c r="Z114" i="72" a="1"/>
  <c r="Z114" i="72" s="1"/>
  <c r="Z111" i="72" a="1"/>
  <c r="Z111" i="72" s="1"/>
  <c r="Z42" i="85"/>
  <c r="L85" i="82"/>
  <c r="L104" i="82" s="1"/>
  <c r="AC114" i="73" a="1"/>
  <c r="AC114" i="73" s="1"/>
  <c r="AC109" i="73" a="1"/>
  <c r="AC109" i="73" s="1"/>
  <c r="AC59" i="85" s="1"/>
  <c r="AC111" i="73" a="1"/>
  <c r="AC111" i="73" s="1"/>
  <c r="AC61" i="85" s="1"/>
  <c r="AC113" i="73" a="1"/>
  <c r="AC113" i="73" s="1"/>
  <c r="AC108" i="73" a="1"/>
  <c r="AC108" i="73" s="1"/>
  <c r="AC58" i="85" s="1"/>
  <c r="AC115" i="73" a="1"/>
  <c r="AC115" i="73" s="1"/>
  <c r="AC110" i="73" a="1"/>
  <c r="AC110" i="73" s="1"/>
  <c r="AC60" i="85" s="1"/>
  <c r="AC112" i="73" a="1"/>
  <c r="AC112" i="73" s="1"/>
  <c r="AC62" i="85" s="1"/>
  <c r="AC56" i="85"/>
  <c r="R108" i="82" a="1"/>
  <c r="R108" i="82" s="1"/>
  <c r="R72" i="85" s="1"/>
  <c r="R114" i="82" a="1"/>
  <c r="R114" i="82" s="1"/>
  <c r="R111" i="82" a="1"/>
  <c r="R111" i="82" s="1"/>
  <c r="R75" i="85" s="1"/>
  <c r="R110" i="82" a="1"/>
  <c r="R110" i="82" s="1"/>
  <c r="R74" i="85" s="1"/>
  <c r="R113" i="82" a="1"/>
  <c r="R113" i="82" s="1"/>
  <c r="R112" i="82" a="1"/>
  <c r="R112" i="82" s="1"/>
  <c r="R76" i="85" s="1"/>
  <c r="R109" i="82" a="1"/>
  <c r="R109" i="82" s="1"/>
  <c r="R73" i="85" s="1"/>
  <c r="R115" i="82" a="1"/>
  <c r="R115" i="82" s="1"/>
  <c r="R70" i="85"/>
  <c r="AE113" i="72" a="1"/>
  <c r="AE113" i="72" s="1"/>
  <c r="AE112" i="72" a="1"/>
  <c r="AE112" i="72" s="1"/>
  <c r="AE115" i="72" a="1"/>
  <c r="AE115" i="72" s="1"/>
  <c r="AE111" i="72" a="1"/>
  <c r="AE111" i="72" s="1"/>
  <c r="AE108" i="72" a="1"/>
  <c r="AE108" i="72" s="1"/>
  <c r="AE109" i="72" a="1"/>
  <c r="AE109" i="72" s="1"/>
  <c r="AE110" i="72" a="1"/>
  <c r="AE110" i="72" s="1"/>
  <c r="AE114" i="72" a="1"/>
  <c r="AE114" i="72" s="1"/>
  <c r="AE42" i="85"/>
  <c r="S113" i="73" a="1"/>
  <c r="S113" i="73" s="1"/>
  <c r="S108" i="73" a="1"/>
  <c r="S108" i="73" s="1"/>
  <c r="S58" i="85" s="1"/>
  <c r="S110" i="73" a="1"/>
  <c r="S110" i="73" s="1"/>
  <c r="S60" i="85" s="1"/>
  <c r="S115" i="73" a="1"/>
  <c r="S115" i="73" s="1"/>
  <c r="S112" i="73" a="1"/>
  <c r="S112" i="73" s="1"/>
  <c r="S62" i="85" s="1"/>
  <c r="S114" i="73" a="1"/>
  <c r="S114" i="73" s="1"/>
  <c r="S109" i="73" a="1"/>
  <c r="S109" i="73" s="1"/>
  <c r="S59" i="85" s="1"/>
  <c r="S111" i="73" a="1"/>
  <c r="S111" i="73" s="1"/>
  <c r="S61" i="85" s="1"/>
  <c r="S56" i="85"/>
  <c r="X114" i="72" a="1"/>
  <c r="X114" i="72" s="1"/>
  <c r="X110" i="72" a="1"/>
  <c r="X110" i="72" s="1"/>
  <c r="X113" i="72" a="1"/>
  <c r="X113" i="72" s="1"/>
  <c r="X115" i="72" a="1"/>
  <c r="X115" i="72" s="1"/>
  <c r="X111" i="72" a="1"/>
  <c r="X111" i="72" s="1"/>
  <c r="X112" i="72" a="1"/>
  <c r="X112" i="72" s="1"/>
  <c r="X108" i="72" a="1"/>
  <c r="X108" i="72" s="1"/>
  <c r="X109" i="72" a="1"/>
  <c r="X109" i="72" s="1"/>
  <c r="X42" i="85"/>
  <c r="X115" i="73" a="1"/>
  <c r="X115" i="73" s="1"/>
  <c r="X114" i="73" a="1"/>
  <c r="X114" i="73" s="1"/>
  <c r="X109" i="73" a="1"/>
  <c r="X109" i="73" s="1"/>
  <c r="X59" i="85" s="1"/>
  <c r="X110" i="73" a="1"/>
  <c r="X110" i="73" s="1"/>
  <c r="X60" i="85" s="1"/>
  <c r="X108" i="73" a="1"/>
  <c r="X108" i="73" s="1"/>
  <c r="X58" i="85" s="1"/>
  <c r="X112" i="73" a="1"/>
  <c r="X112" i="73" s="1"/>
  <c r="X62" i="85" s="1"/>
  <c r="X113" i="73" a="1"/>
  <c r="X113" i="73" s="1"/>
  <c r="X111" i="73" a="1"/>
  <c r="X111" i="73" s="1"/>
  <c r="X61" i="85" s="1"/>
  <c r="X56" i="85"/>
  <c r="Y110" i="82" a="1"/>
  <c r="Y110" i="82" s="1"/>
  <c r="Y74" i="85" s="1"/>
  <c r="Y113" i="82" a="1"/>
  <c r="Y113" i="82" s="1"/>
  <c r="Y109" i="82" a="1"/>
  <c r="Y109" i="82" s="1"/>
  <c r="Y73" i="85" s="1"/>
  <c r="Y115" i="82" a="1"/>
  <c r="Y115" i="82" s="1"/>
  <c r="Y112" i="82" a="1"/>
  <c r="Y112" i="82" s="1"/>
  <c r="Y76" i="85" s="1"/>
  <c r="Y114" i="82" a="1"/>
  <c r="Y114" i="82" s="1"/>
  <c r="Y108" i="82" a="1"/>
  <c r="Y108" i="82" s="1"/>
  <c r="Y72" i="85" s="1"/>
  <c r="Y111" i="82" a="1"/>
  <c r="Y111" i="82" s="1"/>
  <c r="Y75" i="85" s="1"/>
  <c r="Y70" i="85"/>
  <c r="AF111" i="73" a="1"/>
  <c r="AF111" i="73" s="1"/>
  <c r="AF61" i="85" s="1"/>
  <c r="AF113" i="73" a="1"/>
  <c r="AF113" i="73" s="1"/>
  <c r="AF108" i="73" a="1"/>
  <c r="AF108" i="73" s="1"/>
  <c r="AF58" i="85" s="1"/>
  <c r="AF110" i="73" a="1"/>
  <c r="AF110" i="73" s="1"/>
  <c r="AF60" i="85" s="1"/>
  <c r="AF109" i="73" a="1"/>
  <c r="AF109" i="73" s="1"/>
  <c r="AF59" i="85" s="1"/>
  <c r="AF115" i="73" a="1"/>
  <c r="AF115" i="73" s="1"/>
  <c r="AF112" i="73" a="1"/>
  <c r="AF112" i="73" s="1"/>
  <c r="AF62" i="85" s="1"/>
  <c r="AF114" i="73" a="1"/>
  <c r="AF114" i="73" s="1"/>
  <c r="AF56" i="85"/>
  <c r="W113" i="82" a="1"/>
  <c r="W113" i="82" s="1"/>
  <c r="W109" i="82" a="1"/>
  <c r="W109" i="82" s="1"/>
  <c r="W73" i="85" s="1"/>
  <c r="W115" i="82" a="1"/>
  <c r="W115" i="82" s="1"/>
  <c r="W112" i="82" a="1"/>
  <c r="W112" i="82" s="1"/>
  <c r="W76" i="85" s="1"/>
  <c r="W114" i="82" a="1"/>
  <c r="W114" i="82" s="1"/>
  <c r="W110" i="82" a="1"/>
  <c r="W110" i="82" s="1"/>
  <c r="W74" i="85" s="1"/>
  <c r="W108" i="82" a="1"/>
  <c r="W108" i="82" s="1"/>
  <c r="W72" i="85" s="1"/>
  <c r="W111" i="82" a="1"/>
  <c r="W111" i="82" s="1"/>
  <c r="W75" i="85" s="1"/>
  <c r="W70" i="85"/>
  <c r="AC109" i="82" a="1"/>
  <c r="AC109" i="82" s="1"/>
  <c r="AC73" i="85" s="1"/>
  <c r="AC115" i="82" a="1"/>
  <c r="AC115" i="82" s="1"/>
  <c r="AC112" i="82" a="1"/>
  <c r="AC112" i="82" s="1"/>
  <c r="AC76" i="85" s="1"/>
  <c r="AC108" i="82" a="1"/>
  <c r="AC108" i="82" s="1"/>
  <c r="AC72" i="85" s="1"/>
  <c r="AC111" i="82" a="1"/>
  <c r="AC111" i="82" s="1"/>
  <c r="AC75" i="85" s="1"/>
  <c r="AC110" i="82" a="1"/>
  <c r="AC110" i="82" s="1"/>
  <c r="AC74" i="85" s="1"/>
  <c r="AC113" i="82" a="1"/>
  <c r="AC113" i="82" s="1"/>
  <c r="AC114" i="82" a="1"/>
  <c r="AC114" i="82" s="1"/>
  <c r="AC70" i="85"/>
  <c r="AE109" i="82" a="1"/>
  <c r="AE109" i="82" s="1"/>
  <c r="AE73" i="85" s="1"/>
  <c r="AE115" i="82" a="1"/>
  <c r="AE115" i="82" s="1"/>
  <c r="AE112" i="82" a="1"/>
  <c r="AE112" i="82" s="1"/>
  <c r="AE76" i="85" s="1"/>
  <c r="AE108" i="82" a="1"/>
  <c r="AE108" i="82" s="1"/>
  <c r="AE72" i="85" s="1"/>
  <c r="AE111" i="82" a="1"/>
  <c r="AE111" i="82" s="1"/>
  <c r="AE75" i="85" s="1"/>
  <c r="AE114" i="82" a="1"/>
  <c r="AE114" i="82" s="1"/>
  <c r="AE113" i="82" a="1"/>
  <c r="AE113" i="82" s="1"/>
  <c r="AE110" i="82" a="1"/>
  <c r="AE110" i="82" s="1"/>
  <c r="AE74" i="85" s="1"/>
  <c r="AE70" i="85"/>
  <c r="Y114" i="72" a="1"/>
  <c r="Y114" i="72" s="1"/>
  <c r="Y113" i="72" a="1"/>
  <c r="Y113" i="72" s="1"/>
  <c r="Y112" i="72" a="1"/>
  <c r="Y112" i="72" s="1"/>
  <c r="Y108" i="72" a="1"/>
  <c r="Y108" i="72" s="1"/>
  <c r="Y109" i="72" a="1"/>
  <c r="Y109" i="72" s="1"/>
  <c r="Y110" i="72" a="1"/>
  <c r="Y110" i="72" s="1"/>
  <c r="Y115" i="72" a="1"/>
  <c r="Y115" i="72" s="1"/>
  <c r="Y111" i="72" a="1"/>
  <c r="Y111" i="72" s="1"/>
  <c r="Y42" i="85"/>
  <c r="L48" i="75"/>
  <c r="L50" i="75" s="1"/>
  <c r="L40" i="85" s="1"/>
  <c r="R115" i="72" a="1"/>
  <c r="R115" i="72" s="1"/>
  <c r="R111" i="72" a="1"/>
  <c r="R111" i="72" s="1"/>
  <c r="R108" i="72" a="1"/>
  <c r="R108" i="72" s="1"/>
  <c r="R114" i="72" a="1"/>
  <c r="R114" i="72" s="1"/>
  <c r="R109" i="72" a="1"/>
  <c r="R109" i="72" s="1"/>
  <c r="R110" i="72" a="1"/>
  <c r="R110" i="72" s="1"/>
  <c r="R112" i="72" a="1"/>
  <c r="R112" i="72" s="1"/>
  <c r="R113" i="72" a="1"/>
  <c r="R113" i="72" s="1"/>
  <c r="R42" i="85"/>
  <c r="AA110" i="72" a="1"/>
  <c r="AA110" i="72" s="1"/>
  <c r="AA113" i="72" a="1"/>
  <c r="AA113" i="72" s="1"/>
  <c r="AA109" i="72" a="1"/>
  <c r="AA109" i="72" s="1"/>
  <c r="AA112" i="72" a="1"/>
  <c r="AA112" i="72" s="1"/>
  <c r="AA108" i="72" a="1"/>
  <c r="AA108" i="72" s="1"/>
  <c r="AA114" i="72" a="1"/>
  <c r="AA114" i="72" s="1"/>
  <c r="AA115" i="72" a="1"/>
  <c r="AA115" i="72" s="1"/>
  <c r="AA111" i="72" a="1"/>
  <c r="AA111" i="72" s="1"/>
  <c r="AA42" i="85"/>
  <c r="AG111" i="73" a="1"/>
  <c r="AG111" i="73" s="1"/>
  <c r="AG61" i="85" s="1"/>
  <c r="AG108" i="73" a="1"/>
  <c r="AG108" i="73" s="1"/>
  <c r="AG58" i="85" s="1"/>
  <c r="AG110" i="73" a="1"/>
  <c r="AG110" i="73" s="1"/>
  <c r="AG60" i="85" s="1"/>
  <c r="AG112" i="73" a="1"/>
  <c r="AG112" i="73" s="1"/>
  <c r="AG62" i="85" s="1"/>
  <c r="AG109" i="73" a="1"/>
  <c r="AG109" i="73" s="1"/>
  <c r="AG59" i="85" s="1"/>
  <c r="AG115" i="73" a="1"/>
  <c r="AG115" i="73" s="1"/>
  <c r="AG114" i="73" a="1"/>
  <c r="AG114" i="73" s="1"/>
  <c r="AG113" i="73" a="1"/>
  <c r="AG113" i="73" s="1"/>
  <c r="AG56" i="85"/>
  <c r="AG115" i="82" a="1"/>
  <c r="AG115" i="82" s="1"/>
  <c r="AG112" i="82" a="1"/>
  <c r="AG112" i="82" s="1"/>
  <c r="AG76" i="85" s="1"/>
  <c r="AG108" i="82" a="1"/>
  <c r="AG108" i="82" s="1"/>
  <c r="AG72" i="85" s="1"/>
  <c r="AG111" i="82" a="1"/>
  <c r="AG111" i="82" s="1"/>
  <c r="AG75" i="85" s="1"/>
  <c r="AG114" i="82" a="1"/>
  <c r="AG114" i="82" s="1"/>
  <c r="AG109" i="82" a="1"/>
  <c r="AG109" i="82" s="1"/>
  <c r="AG73" i="85" s="1"/>
  <c r="AG110" i="82" a="1"/>
  <c r="AG110" i="82" s="1"/>
  <c r="AG74" i="85" s="1"/>
  <c r="AG113" i="82" a="1"/>
  <c r="AG113" i="82" s="1"/>
  <c r="AG70" i="85"/>
  <c r="AG109" i="72" a="1"/>
  <c r="AG109" i="72" s="1"/>
  <c r="AG115" i="72" a="1"/>
  <c r="AG115" i="72" s="1"/>
  <c r="AG108" i="72" a="1"/>
  <c r="AG108" i="72" s="1"/>
  <c r="AG111" i="72" a="1"/>
  <c r="AG111" i="72" s="1"/>
  <c r="AG112" i="72" a="1"/>
  <c r="AG112" i="72" s="1"/>
  <c r="AG113" i="72" a="1"/>
  <c r="AG113" i="72" s="1"/>
  <c r="AG110" i="72" a="1"/>
  <c r="AG110" i="72" s="1"/>
  <c r="AG114" i="72" a="1"/>
  <c r="AG114" i="72" s="1"/>
  <c r="AG42" i="85"/>
  <c r="Y112" i="73" a="1"/>
  <c r="Y112" i="73" s="1"/>
  <c r="Y62" i="85" s="1"/>
  <c r="Y114" i="73" a="1"/>
  <c r="Y114" i="73" s="1"/>
  <c r="Y109" i="73" a="1"/>
  <c r="Y109" i="73" s="1"/>
  <c r="Y59" i="85" s="1"/>
  <c r="Y111" i="73" a="1"/>
  <c r="Y111" i="73" s="1"/>
  <c r="Y61" i="85" s="1"/>
  <c r="Y113" i="73" a="1"/>
  <c r="Y113" i="73" s="1"/>
  <c r="Y110" i="73" a="1"/>
  <c r="Y110" i="73" s="1"/>
  <c r="Y60" i="85" s="1"/>
  <c r="Y115" i="73" a="1"/>
  <c r="Y115" i="73" s="1"/>
  <c r="Y108" i="73" a="1"/>
  <c r="Y108" i="73" s="1"/>
  <c r="Y58" i="85" s="1"/>
  <c r="Y56" i="85"/>
  <c r="U110" i="82" a="1"/>
  <c r="U110" i="82" s="1"/>
  <c r="U74" i="85" s="1"/>
  <c r="U113" i="82" a="1"/>
  <c r="U113" i="82" s="1"/>
  <c r="U108" i="82" a="1"/>
  <c r="U108" i="82" s="1"/>
  <c r="U72" i="85" s="1"/>
  <c r="U115" i="82" a="1"/>
  <c r="U115" i="82" s="1"/>
  <c r="U114" i="82" a="1"/>
  <c r="U114" i="82" s="1"/>
  <c r="U111" i="82" a="1"/>
  <c r="U111" i="82" s="1"/>
  <c r="U75" i="85" s="1"/>
  <c r="U109" i="82" a="1"/>
  <c r="U109" i="82" s="1"/>
  <c r="U73" i="85" s="1"/>
  <c r="U112" i="82" a="1"/>
  <c r="U112" i="82" s="1"/>
  <c r="U76" i="85" s="1"/>
  <c r="U70" i="85"/>
  <c r="R113" i="73" a="1"/>
  <c r="R113" i="73" s="1"/>
  <c r="R108" i="73" a="1"/>
  <c r="R108" i="73" s="1"/>
  <c r="R58" i="85" s="1"/>
  <c r="R110" i="73" a="1"/>
  <c r="R110" i="73" s="1"/>
  <c r="R60" i="85" s="1"/>
  <c r="R115" i="73" a="1"/>
  <c r="R115" i="73" s="1"/>
  <c r="R112" i="73" a="1"/>
  <c r="R112" i="73" s="1"/>
  <c r="R62" i="85" s="1"/>
  <c r="R109" i="73" a="1"/>
  <c r="R109" i="73" s="1"/>
  <c r="R59" i="85" s="1"/>
  <c r="R114" i="73" a="1"/>
  <c r="R114" i="73" s="1"/>
  <c r="R111" i="73" a="1"/>
  <c r="R111" i="73" s="1"/>
  <c r="R61" i="85" s="1"/>
  <c r="R56" i="85"/>
  <c r="AE111" i="73" a="1"/>
  <c r="AE111" i="73" s="1"/>
  <c r="AE61" i="85" s="1"/>
  <c r="AE113" i="73" a="1"/>
  <c r="AE113" i="73" s="1"/>
  <c r="AE108" i="73" a="1"/>
  <c r="AE108" i="73" s="1"/>
  <c r="AE58" i="85" s="1"/>
  <c r="AE115" i="73" a="1"/>
  <c r="AE115" i="73" s="1"/>
  <c r="AE109" i="73" a="1"/>
  <c r="AE109" i="73" s="1"/>
  <c r="AE59" i="85" s="1"/>
  <c r="AE112" i="73" a="1"/>
  <c r="AE112" i="73" s="1"/>
  <c r="AE62" i="85" s="1"/>
  <c r="AE110" i="73" a="1"/>
  <c r="AE110" i="73" s="1"/>
  <c r="AE60" i="85" s="1"/>
  <c r="AE114" i="73" a="1"/>
  <c r="AE114" i="73" s="1"/>
  <c r="AE56" i="85"/>
  <c r="P109" i="72" a="1"/>
  <c r="P109" i="72" s="1"/>
  <c r="AF109" i="72" a="1"/>
  <c r="AF109" i="72" s="1"/>
  <c r="AF112" i="72" a="1"/>
  <c r="AF112" i="72" s="1"/>
  <c r="AF115" i="72" a="1"/>
  <c r="AF115" i="72" s="1"/>
  <c r="AF108" i="72" a="1"/>
  <c r="AF108" i="72" s="1"/>
  <c r="AF111" i="72" a="1"/>
  <c r="AF111" i="72" s="1"/>
  <c r="AF113" i="72" a="1"/>
  <c r="AF113" i="72" s="1"/>
  <c r="AF110" i="72" a="1"/>
  <c r="AF110" i="72" s="1"/>
  <c r="AF114" i="72" a="1"/>
  <c r="AF114" i="72" s="1"/>
  <c r="AF42" i="85"/>
  <c r="T115" i="73" a="1"/>
  <c r="T115" i="73" s="1"/>
  <c r="T112" i="73" a="1"/>
  <c r="T112" i="73" s="1"/>
  <c r="T62" i="85" s="1"/>
  <c r="T114" i="73" a="1"/>
  <c r="T114" i="73" s="1"/>
  <c r="T113" i="73" a="1"/>
  <c r="T113" i="73" s="1"/>
  <c r="T110" i="73" a="1"/>
  <c r="T110" i="73" s="1"/>
  <c r="T60" i="85" s="1"/>
  <c r="T108" i="73" a="1"/>
  <c r="T108" i="73" s="1"/>
  <c r="T58" i="85" s="1"/>
  <c r="T109" i="73" a="1"/>
  <c r="T109" i="73" s="1"/>
  <c r="T59" i="85" s="1"/>
  <c r="T111" i="73" a="1"/>
  <c r="T111" i="73" s="1"/>
  <c r="T61" i="85" s="1"/>
  <c r="T56" i="85"/>
  <c r="T114" i="82" a="1"/>
  <c r="T114" i="82" s="1"/>
  <c r="T110" i="82" a="1"/>
  <c r="T110" i="82" s="1"/>
  <c r="T74" i="85" s="1"/>
  <c r="T113" i="82" a="1"/>
  <c r="T113" i="82" s="1"/>
  <c r="T111" i="82" a="1"/>
  <c r="T111" i="82" s="1"/>
  <c r="T75" i="85" s="1"/>
  <c r="T112" i="82" a="1"/>
  <c r="T112" i="82" s="1"/>
  <c r="T76" i="85" s="1"/>
  <c r="T115" i="82" a="1"/>
  <c r="T115" i="82" s="1"/>
  <c r="T108" i="82" a="1"/>
  <c r="T108" i="82" s="1"/>
  <c r="T72" i="85" s="1"/>
  <c r="T109" i="82" a="1"/>
  <c r="T109" i="82" s="1"/>
  <c r="T73" i="85" s="1"/>
  <c r="T70" i="85"/>
  <c r="U110" i="73" a="1"/>
  <c r="U110" i="73" s="1"/>
  <c r="U60" i="85" s="1"/>
  <c r="U112" i="73" a="1"/>
  <c r="U112" i="73" s="1"/>
  <c r="U62" i="85" s="1"/>
  <c r="U114" i="73" a="1"/>
  <c r="U114" i="73" s="1"/>
  <c r="U113" i="73" a="1"/>
  <c r="U113" i="73" s="1"/>
  <c r="U115" i="73" a="1"/>
  <c r="U115" i="73" s="1"/>
  <c r="U111" i="73" a="1"/>
  <c r="U111" i="73" s="1"/>
  <c r="U61" i="85" s="1"/>
  <c r="U108" i="73" a="1"/>
  <c r="U108" i="73" s="1"/>
  <c r="U58" i="85" s="1"/>
  <c r="U109" i="73" a="1"/>
  <c r="U109" i="73" s="1"/>
  <c r="U59" i="85" s="1"/>
  <c r="U56" i="85"/>
  <c r="Z113" i="82" a="1"/>
  <c r="Z113" i="82" s="1"/>
  <c r="Z109" i="82" a="1"/>
  <c r="Z109" i="82" s="1"/>
  <c r="Z73" i="85" s="1"/>
  <c r="Z115" i="82" a="1"/>
  <c r="Z115" i="82" s="1"/>
  <c r="Z112" i="82" a="1"/>
  <c r="Z112" i="82" s="1"/>
  <c r="Z76" i="85" s="1"/>
  <c r="Z110" i="82" a="1"/>
  <c r="Z110" i="82" s="1"/>
  <c r="Z74" i="85" s="1"/>
  <c r="Z108" i="82" a="1"/>
  <c r="Z108" i="82" s="1"/>
  <c r="Z72" i="85" s="1"/>
  <c r="Z111" i="82" a="1"/>
  <c r="Z111" i="82" s="1"/>
  <c r="Z75" i="85" s="1"/>
  <c r="Z114" i="82" a="1"/>
  <c r="Z114" i="82" s="1"/>
  <c r="Z70" i="85"/>
  <c r="AC113" i="72" a="1"/>
  <c r="AC113" i="72" s="1"/>
  <c r="AC109" i="72" a="1"/>
  <c r="AC109" i="72" s="1"/>
  <c r="AC112" i="72" a="1"/>
  <c r="AC112" i="72" s="1"/>
  <c r="AC111" i="72" a="1"/>
  <c r="AC111" i="72" s="1"/>
  <c r="AC108" i="72" a="1"/>
  <c r="AC108" i="72" s="1"/>
  <c r="AC110" i="72" a="1"/>
  <c r="AC110" i="72" s="1"/>
  <c r="AC114" i="72" a="1"/>
  <c r="AC114" i="72" s="1"/>
  <c r="AC115" i="72" a="1"/>
  <c r="AC115" i="72" s="1"/>
  <c r="AC42" i="85"/>
  <c r="Z112" i="73" a="1"/>
  <c r="Z112" i="73" s="1"/>
  <c r="Z62" i="85" s="1"/>
  <c r="Z114" i="73" a="1"/>
  <c r="Z114" i="73" s="1"/>
  <c r="Z109" i="73" a="1"/>
  <c r="Z109" i="73" s="1"/>
  <c r="Z59" i="85" s="1"/>
  <c r="Z111" i="73" a="1"/>
  <c r="Z111" i="73" s="1"/>
  <c r="Z61" i="85" s="1"/>
  <c r="Z110" i="73" a="1"/>
  <c r="Z110" i="73" s="1"/>
  <c r="Z60" i="85" s="1"/>
  <c r="Z115" i="73" a="1"/>
  <c r="Z115" i="73" s="1"/>
  <c r="Z113" i="73" a="1"/>
  <c r="Z113" i="73" s="1"/>
  <c r="Z108" i="73" a="1"/>
  <c r="Z108" i="73" s="1"/>
  <c r="Z58" i="85" s="1"/>
  <c r="Z56" i="85"/>
  <c r="S115" i="72" a="1"/>
  <c r="S115" i="72" s="1"/>
  <c r="S114" i="72" a="1"/>
  <c r="S114" i="72" s="1"/>
  <c r="S110" i="72" a="1"/>
  <c r="S110" i="72" s="1"/>
  <c r="S111" i="72" a="1"/>
  <c r="S111" i="72" s="1"/>
  <c r="S113" i="72" a="1"/>
  <c r="S113" i="72" s="1"/>
  <c r="S108" i="72" a="1"/>
  <c r="S108" i="72" s="1"/>
  <c r="S112" i="72" a="1"/>
  <c r="S112" i="72" s="1"/>
  <c r="S109" i="72" a="1"/>
  <c r="S109" i="72" s="1"/>
  <c r="S42" i="85"/>
  <c r="W110" i="73" a="1"/>
  <c r="W110" i="73" s="1"/>
  <c r="W60" i="85" s="1"/>
  <c r="W115" i="73" a="1"/>
  <c r="W115" i="73" s="1"/>
  <c r="W112" i="73" a="1"/>
  <c r="W112" i="73" s="1"/>
  <c r="W62" i="85" s="1"/>
  <c r="W114" i="73" a="1"/>
  <c r="W114" i="73" s="1"/>
  <c r="W109" i="73" a="1"/>
  <c r="W109" i="73" s="1"/>
  <c r="W59" i="85" s="1"/>
  <c r="W113" i="73" a="1"/>
  <c r="W113" i="73" s="1"/>
  <c r="W108" i="73" a="1"/>
  <c r="W108" i="73" s="1"/>
  <c r="W58" i="85" s="1"/>
  <c r="W111" i="73" a="1"/>
  <c r="W111" i="73" s="1"/>
  <c r="W61" i="85" s="1"/>
  <c r="W56" i="85"/>
  <c r="AF115" i="82" a="1"/>
  <c r="AF115" i="82" s="1"/>
  <c r="AF112" i="82" a="1"/>
  <c r="AF112" i="82" s="1"/>
  <c r="AF76" i="85" s="1"/>
  <c r="AF108" i="82" a="1"/>
  <c r="AF108" i="82" s="1"/>
  <c r="AF72" i="85" s="1"/>
  <c r="AF111" i="82" a="1"/>
  <c r="AF111" i="82" s="1"/>
  <c r="AF75" i="85" s="1"/>
  <c r="AF114" i="82" a="1"/>
  <c r="AF114" i="82" s="1"/>
  <c r="AF113" i="82" a="1"/>
  <c r="AF113" i="82" s="1"/>
  <c r="AF109" i="82" a="1"/>
  <c r="AF109" i="82" s="1"/>
  <c r="AF73" i="85" s="1"/>
  <c r="AF110" i="82" a="1"/>
  <c r="AF110" i="82" s="1"/>
  <c r="AF74" i="85" s="1"/>
  <c r="AF70" i="85"/>
  <c r="AD109" i="82" a="1"/>
  <c r="AD109" i="82" s="1"/>
  <c r="AD73" i="85" s="1"/>
  <c r="AD115" i="82" a="1"/>
  <c r="AD115" i="82" s="1"/>
  <c r="AD112" i="82" a="1"/>
  <c r="AD112" i="82" s="1"/>
  <c r="AD76" i="85" s="1"/>
  <c r="AD108" i="82" a="1"/>
  <c r="AD108" i="82" s="1"/>
  <c r="AD72" i="85" s="1"/>
  <c r="AD111" i="82" a="1"/>
  <c r="AD111" i="82" s="1"/>
  <c r="AD75" i="85" s="1"/>
  <c r="AD114" i="82" a="1"/>
  <c r="AD114" i="82" s="1"/>
  <c r="AD110" i="82" a="1"/>
  <c r="AD110" i="82" s="1"/>
  <c r="AD74" i="85" s="1"/>
  <c r="AD113" i="82" a="1"/>
  <c r="AD113" i="82" s="1"/>
  <c r="AD70" i="85"/>
  <c r="V110" i="82" a="1"/>
  <c r="V110" i="82" s="1"/>
  <c r="V74" i="85" s="1"/>
  <c r="V113" i="82" a="1"/>
  <c r="V113" i="82" s="1"/>
  <c r="V109" i="82" a="1"/>
  <c r="V109" i="82" s="1"/>
  <c r="V73" i="85" s="1"/>
  <c r="V115" i="82" a="1"/>
  <c r="V115" i="82" s="1"/>
  <c r="V114" i="82" a="1"/>
  <c r="V114" i="82" s="1"/>
  <c r="V111" i="82" a="1"/>
  <c r="V111" i="82" s="1"/>
  <c r="V75" i="85" s="1"/>
  <c r="V112" i="82" a="1"/>
  <c r="V112" i="82" s="1"/>
  <c r="V76" i="85" s="1"/>
  <c r="V108" i="82" a="1"/>
  <c r="V108" i="82" s="1"/>
  <c r="V72" i="85" s="1"/>
  <c r="V70" i="85"/>
  <c r="V110" i="73" a="1"/>
  <c r="V110" i="73" s="1"/>
  <c r="V60" i="85" s="1"/>
  <c r="V115" i="73" a="1"/>
  <c r="V115" i="73" s="1"/>
  <c r="V112" i="73" a="1"/>
  <c r="V112" i="73" s="1"/>
  <c r="V62" i="85" s="1"/>
  <c r="V114" i="73" a="1"/>
  <c r="V114" i="73" s="1"/>
  <c r="V109" i="73" a="1"/>
  <c r="V109" i="73" s="1"/>
  <c r="V59" i="85" s="1"/>
  <c r="V113" i="73" a="1"/>
  <c r="V113" i="73" s="1"/>
  <c r="V111" i="73" a="1"/>
  <c r="V111" i="73" s="1"/>
  <c r="V61" i="85" s="1"/>
  <c r="V108" i="73" a="1"/>
  <c r="V108" i="73" s="1"/>
  <c r="V58" i="85" s="1"/>
  <c r="V56" i="85"/>
  <c r="AB114" i="73" a="1"/>
  <c r="AB114" i="73" s="1"/>
  <c r="AB109" i="73" a="1"/>
  <c r="AB109" i="73" s="1"/>
  <c r="AB59" i="85" s="1"/>
  <c r="AB111" i="73" a="1"/>
  <c r="AB111" i="73" s="1"/>
  <c r="AB61" i="85" s="1"/>
  <c r="AB115" i="73" a="1"/>
  <c r="AB115" i="73" s="1"/>
  <c r="AB113" i="73" a="1"/>
  <c r="AB113" i="73" s="1"/>
  <c r="AB110" i="73" a="1"/>
  <c r="AB110" i="73" s="1"/>
  <c r="AB60" i="85" s="1"/>
  <c r="AB108" i="73" a="1"/>
  <c r="AB108" i="73" s="1"/>
  <c r="AB58" i="85" s="1"/>
  <c r="AB112" i="73" a="1"/>
  <c r="AB112" i="73" s="1"/>
  <c r="AB62" i="85" s="1"/>
  <c r="AB56" i="85"/>
  <c r="W110" i="72" a="1"/>
  <c r="W110" i="72" s="1"/>
  <c r="W113" i="72" a="1"/>
  <c r="W113" i="72" s="1"/>
  <c r="W111" i="72" a="1"/>
  <c r="W111" i="72" s="1"/>
  <c r="W112" i="72" a="1"/>
  <c r="W112" i="72" s="1"/>
  <c r="W108" i="72" a="1"/>
  <c r="W108" i="72" s="1"/>
  <c r="W115" i="72" a="1"/>
  <c r="W115" i="72" s="1"/>
  <c r="W114" i="72" a="1"/>
  <c r="W114" i="72" s="1"/>
  <c r="W109" i="72" a="1"/>
  <c r="W109" i="72" s="1"/>
  <c r="W42" i="85"/>
  <c r="AB110" i="72" a="1"/>
  <c r="AB110" i="72" s="1"/>
  <c r="AB109" i="72" a="1"/>
  <c r="AB109" i="72" s="1"/>
  <c r="AB112" i="72" a="1"/>
  <c r="AB112" i="72" s="1"/>
  <c r="AB111" i="72" a="1"/>
  <c r="AB111" i="72" s="1"/>
  <c r="AB114" i="72" a="1"/>
  <c r="AB114" i="72" s="1"/>
  <c r="AB108" i="72" a="1"/>
  <c r="AB108" i="72" s="1"/>
  <c r="AB115" i="72" a="1"/>
  <c r="AB115" i="72" s="1"/>
  <c r="AB113" i="72" a="1"/>
  <c r="AB113" i="72" s="1"/>
  <c r="AB42" i="85"/>
  <c r="J112" i="81" a="1"/>
  <c r="J112" i="81" s="1"/>
  <c r="J110" i="81" a="1"/>
  <c r="J110" i="81" s="1"/>
  <c r="J115" i="81" a="1"/>
  <c r="J115" i="81" s="1"/>
  <c r="J109" i="81" a="1"/>
  <c r="J109" i="81" s="1"/>
  <c r="J113" i="81" a="1"/>
  <c r="J113" i="81" s="1"/>
  <c r="J111" i="81" a="1"/>
  <c r="J111" i="81" s="1"/>
  <c r="J108" i="81" a="1"/>
  <c r="J108" i="81" s="1"/>
  <c r="J114" i="81" a="1"/>
  <c r="J114" i="81" s="1"/>
  <c r="M111" i="81" a="1"/>
  <c r="M111" i="81" s="1"/>
  <c r="M108" i="81" a="1"/>
  <c r="M108" i="81" s="1"/>
  <c r="M109" i="81" a="1"/>
  <c r="M109" i="81" s="1"/>
  <c r="M114" i="81" a="1"/>
  <c r="M114" i="81" s="1"/>
  <c r="M113" i="81" a="1"/>
  <c r="M113" i="81" s="1"/>
  <c r="M112" i="81" a="1"/>
  <c r="M112" i="81" s="1"/>
  <c r="M110" i="81" a="1"/>
  <c r="M110" i="81" s="1"/>
  <c r="M115" i="81" a="1"/>
  <c r="M115" i="81" s="1"/>
  <c r="K109" i="81" a="1"/>
  <c r="K109" i="81" s="1"/>
  <c r="K114" i="81" a="1"/>
  <c r="K114" i="81" s="1"/>
  <c r="K112" i="81" a="1"/>
  <c r="K112" i="81" s="1"/>
  <c r="K110" i="81" a="1"/>
  <c r="K110" i="81" s="1"/>
  <c r="K115" i="81" a="1"/>
  <c r="K115" i="81" s="1"/>
  <c r="K113" i="81" a="1"/>
  <c r="K113" i="81" s="1"/>
  <c r="K111" i="81" a="1"/>
  <c r="K111" i="81" s="1"/>
  <c r="K108" i="81" a="1"/>
  <c r="K108" i="81" s="1"/>
  <c r="L109" i="81" a="1"/>
  <c r="L109" i="81" s="1"/>
  <c r="L114" i="81" a="1"/>
  <c r="L114" i="81" s="1"/>
  <c r="L112" i="81" a="1"/>
  <c r="L112" i="81" s="1"/>
  <c r="L111" i="81" a="1"/>
  <c r="L111" i="81" s="1"/>
  <c r="L108" i="81" a="1"/>
  <c r="L108" i="81" s="1"/>
  <c r="L110" i="81" a="1"/>
  <c r="L110" i="81" s="1"/>
  <c r="L115" i="81" a="1"/>
  <c r="L115" i="81" s="1"/>
  <c r="L113" i="81" a="1"/>
  <c r="L113" i="81" s="1"/>
  <c r="I114" i="81" a="1"/>
  <c r="I114" i="81" s="1"/>
  <c r="I112" i="81" a="1"/>
  <c r="I112" i="81" s="1"/>
  <c r="I110" i="81" a="1"/>
  <c r="I110" i="81" s="1"/>
  <c r="I108" i="81" a="1"/>
  <c r="I108" i="81" s="1"/>
  <c r="I113" i="81" a="1"/>
  <c r="I113" i="81" s="1"/>
  <c r="I109" i="81" a="1"/>
  <c r="I109" i="81" s="1"/>
  <c r="I111" i="81" a="1"/>
  <c r="I111" i="81" s="1"/>
  <c r="I115" i="81" a="1"/>
  <c r="I115" i="81" s="1"/>
  <c r="X112" i="81" a="1"/>
  <c r="X112" i="81" s="1"/>
  <c r="X109" i="81" a="1"/>
  <c r="X109" i="81" s="1"/>
  <c r="X108" i="81" a="1"/>
  <c r="X108" i="81" s="1"/>
  <c r="X110" i="81" a="1"/>
  <c r="X110" i="81" s="1"/>
  <c r="X114" i="81" a="1"/>
  <c r="X114" i="81" s="1"/>
  <c r="X111" i="81" a="1"/>
  <c r="X111" i="81" s="1"/>
  <c r="X113" i="81" a="1"/>
  <c r="X113" i="81" s="1"/>
  <c r="X115" i="81" a="1"/>
  <c r="X115" i="81" s="1"/>
  <c r="AF113" i="81" a="1"/>
  <c r="AF113" i="81" s="1"/>
  <c r="AF110" i="81" a="1"/>
  <c r="AF110" i="81" s="1"/>
  <c r="AF114" i="81" a="1"/>
  <c r="AF114" i="81" s="1"/>
  <c r="AF111" i="81" a="1"/>
  <c r="AF111" i="81" s="1"/>
  <c r="AF108" i="81" a="1"/>
  <c r="AF108" i="81" s="1"/>
  <c r="AF112" i="81" a="1"/>
  <c r="AF112" i="81" s="1"/>
  <c r="AF109" i="81" a="1"/>
  <c r="AF109" i="81" s="1"/>
  <c r="AF115" i="81" a="1"/>
  <c r="AF115" i="81" s="1"/>
  <c r="W109" i="81" a="1"/>
  <c r="W109" i="81" s="1"/>
  <c r="W108" i="81" a="1"/>
  <c r="W108" i="81" s="1"/>
  <c r="W113" i="81" a="1"/>
  <c r="W113" i="81" s="1"/>
  <c r="W114" i="81" a="1"/>
  <c r="W114" i="81" s="1"/>
  <c r="W111" i="81" a="1"/>
  <c r="W111" i="81" s="1"/>
  <c r="W110" i="81" a="1"/>
  <c r="W110" i="81" s="1"/>
  <c r="W115" i="81" a="1"/>
  <c r="W115" i="81" s="1"/>
  <c r="W112" i="81" a="1"/>
  <c r="W112" i="81" s="1"/>
  <c r="AG108" i="81" a="1"/>
  <c r="AG108" i="81" s="1"/>
  <c r="AG113" i="81" a="1"/>
  <c r="AG113" i="81" s="1"/>
  <c r="AG114" i="81" a="1"/>
  <c r="AG114" i="81" s="1"/>
  <c r="AG111" i="81" a="1"/>
  <c r="AG111" i="81" s="1"/>
  <c r="AG109" i="81" a="1"/>
  <c r="AG109" i="81" s="1"/>
  <c r="AG112" i="81" a="1"/>
  <c r="AG112" i="81" s="1"/>
  <c r="AG110" i="81" a="1"/>
  <c r="AG110" i="81" s="1"/>
  <c r="AG115" i="81" a="1"/>
  <c r="AG115" i="81" s="1"/>
  <c r="Y115" i="81" a="1"/>
  <c r="Y115" i="81" s="1"/>
  <c r="Y112" i="81" a="1"/>
  <c r="Y112" i="81" s="1"/>
  <c r="Y109" i="81" a="1"/>
  <c r="Y109" i="81" s="1"/>
  <c r="Y113" i="81" a="1"/>
  <c r="Y113" i="81" s="1"/>
  <c r="Y110" i="81" a="1"/>
  <c r="Y110" i="81" s="1"/>
  <c r="Y114" i="81" a="1"/>
  <c r="Y114" i="81" s="1"/>
  <c r="Y111" i="81" a="1"/>
  <c r="Y111" i="81" s="1"/>
  <c r="Y108" i="81" a="1"/>
  <c r="Y108" i="81" s="1"/>
  <c r="T110" i="81" a="1"/>
  <c r="T110" i="81" s="1"/>
  <c r="T114" i="81" a="1"/>
  <c r="T114" i="81" s="1"/>
  <c r="T115" i="81" a="1"/>
  <c r="T115" i="81" s="1"/>
  <c r="T111" i="81" a="1"/>
  <c r="T111" i="81" s="1"/>
  <c r="T112" i="81" a="1"/>
  <c r="T112" i="81" s="1"/>
  <c r="T109" i="81" a="1"/>
  <c r="T109" i="81" s="1"/>
  <c r="T113" i="81" a="1"/>
  <c r="T113" i="81" s="1"/>
  <c r="T108" i="81" a="1"/>
  <c r="T108" i="81" s="1"/>
  <c r="O115" i="81" a="1"/>
  <c r="O115" i="81" s="1"/>
  <c r="O112" i="81" a="1"/>
  <c r="O112" i="81" s="1"/>
  <c r="O109" i="81" a="1"/>
  <c r="O109" i="81" s="1"/>
  <c r="O108" i="81" a="1"/>
  <c r="O108" i="81" s="1"/>
  <c r="O113" i="81" a="1"/>
  <c r="O113" i="81" s="1"/>
  <c r="O110" i="81" a="1"/>
  <c r="O110" i="81" s="1"/>
  <c r="O114" i="81" a="1"/>
  <c r="O114" i="81" s="1"/>
  <c r="O111" i="81" a="1"/>
  <c r="O111" i="81" s="1"/>
  <c r="U113" i="81" a="1"/>
  <c r="U113" i="81" s="1"/>
  <c r="U110" i="81" a="1"/>
  <c r="U110" i="81" s="1"/>
  <c r="U111" i="81" a="1"/>
  <c r="U111" i="81" s="1"/>
  <c r="U115" i="81" a="1"/>
  <c r="U115" i="81" s="1"/>
  <c r="U114" i="81" a="1"/>
  <c r="U114" i="81" s="1"/>
  <c r="U112" i="81" a="1"/>
  <c r="U112" i="81" s="1"/>
  <c r="U109" i="81" a="1"/>
  <c r="U109" i="81" s="1"/>
  <c r="U108" i="81" a="1"/>
  <c r="U108" i="81" s="1"/>
  <c r="AC114" i="81" a="1"/>
  <c r="AC114" i="81" s="1"/>
  <c r="AC111" i="81" a="1"/>
  <c r="AC111" i="81" s="1"/>
  <c r="AC115" i="81" a="1"/>
  <c r="AC115" i="81" s="1"/>
  <c r="AC112" i="81" a="1"/>
  <c r="AC112" i="81" s="1"/>
  <c r="AC109" i="81" a="1"/>
  <c r="AC109" i="81" s="1"/>
  <c r="AC113" i="81" a="1"/>
  <c r="AC113" i="81" s="1"/>
  <c r="AC110" i="81" a="1"/>
  <c r="AC110" i="81" s="1"/>
  <c r="AC108" i="81" a="1"/>
  <c r="AC108" i="81" s="1"/>
  <c r="Z115" i="81" a="1"/>
  <c r="Z115" i="81" s="1"/>
  <c r="Z112" i="81" a="1"/>
  <c r="Z112" i="81" s="1"/>
  <c r="Z113" i="81" a="1"/>
  <c r="Z113" i="81" s="1"/>
  <c r="Z110" i="81" a="1"/>
  <c r="Z110" i="81" s="1"/>
  <c r="Z114" i="81" a="1"/>
  <c r="Z114" i="81" s="1"/>
  <c r="Z108" i="81" a="1"/>
  <c r="Z108" i="81" s="1"/>
  <c r="Z111" i="81" a="1"/>
  <c r="Z111" i="81" s="1"/>
  <c r="Z109" i="81" a="1"/>
  <c r="Z109" i="81" s="1"/>
  <c r="AA111" i="81" a="1"/>
  <c r="AA111" i="81" s="1"/>
  <c r="AA115" i="81" a="1"/>
  <c r="AA115" i="81" s="1"/>
  <c r="AA109" i="81" a="1"/>
  <c r="AA109" i="81" s="1"/>
  <c r="AA108" i="81" a="1"/>
  <c r="AA108" i="81" s="1"/>
  <c r="AA113" i="81" a="1"/>
  <c r="AA113" i="81" s="1"/>
  <c r="AA110" i="81" a="1"/>
  <c r="AA110" i="81" s="1"/>
  <c r="AA114" i="81" a="1"/>
  <c r="AA114" i="81" s="1"/>
  <c r="AA112" i="81" a="1"/>
  <c r="AA112" i="81" s="1"/>
  <c r="S114" i="81" a="1"/>
  <c r="S114" i="81" s="1"/>
  <c r="S111" i="81" a="1"/>
  <c r="S111" i="81" s="1"/>
  <c r="S115" i="81" a="1"/>
  <c r="S115" i="81" s="1"/>
  <c r="S112" i="81" a="1"/>
  <c r="S112" i="81" s="1"/>
  <c r="S109" i="81" a="1"/>
  <c r="S109" i="81" s="1"/>
  <c r="S108" i="81" a="1"/>
  <c r="S108" i="81" s="1"/>
  <c r="S110" i="81" a="1"/>
  <c r="S110" i="81" s="1"/>
  <c r="S113" i="81" a="1"/>
  <c r="S113" i="81" s="1"/>
  <c r="AB114" i="81" a="1"/>
  <c r="AB114" i="81" s="1"/>
  <c r="AB111" i="81" a="1"/>
  <c r="AB111" i="81" s="1"/>
  <c r="AB112" i="81" a="1"/>
  <c r="AB112" i="81" s="1"/>
  <c r="AB109" i="81" a="1"/>
  <c r="AB109" i="81" s="1"/>
  <c r="AB108" i="81" a="1"/>
  <c r="AB108" i="81" s="1"/>
  <c r="AB113" i="81" a="1"/>
  <c r="AB113" i="81" s="1"/>
  <c r="AB110" i="81" a="1"/>
  <c r="AB110" i="81" s="1"/>
  <c r="AB115" i="81" a="1"/>
  <c r="AB115" i="81" s="1"/>
  <c r="R114" i="81" a="1"/>
  <c r="R114" i="81" s="1"/>
  <c r="R111" i="81" a="1"/>
  <c r="R111" i="81" s="1"/>
  <c r="R112" i="81" a="1"/>
  <c r="R112" i="81" s="1"/>
  <c r="R109" i="81" a="1"/>
  <c r="R109" i="81" s="1"/>
  <c r="R108" i="81" a="1"/>
  <c r="R108" i="81" s="1"/>
  <c r="R115" i="81" a="1"/>
  <c r="R115" i="81" s="1"/>
  <c r="R113" i="81" a="1"/>
  <c r="R113" i="81" s="1"/>
  <c r="R110" i="81" a="1"/>
  <c r="R110" i="81" s="1"/>
  <c r="AD110" i="81" a="1"/>
  <c r="AD110" i="81" s="1"/>
  <c r="AD114" i="81" a="1"/>
  <c r="AD114" i="81" s="1"/>
  <c r="AD111" i="81" a="1"/>
  <c r="AD111" i="81" s="1"/>
  <c r="AD115" i="81" a="1"/>
  <c r="AD115" i="81" s="1"/>
  <c r="AD112" i="81" a="1"/>
  <c r="AD112" i="81" s="1"/>
  <c r="AD113" i="81" a="1"/>
  <c r="AD113" i="81" s="1"/>
  <c r="AD109" i="81" a="1"/>
  <c r="AD109" i="81" s="1"/>
  <c r="AD108" i="81" a="1"/>
  <c r="AD108" i="81" s="1"/>
  <c r="V113" i="81" a="1"/>
  <c r="V113" i="81" s="1"/>
  <c r="V110" i="81" a="1"/>
  <c r="V110" i="81" s="1"/>
  <c r="V114" i="81" a="1"/>
  <c r="V114" i="81" s="1"/>
  <c r="V111" i="81" a="1"/>
  <c r="V111" i="81" s="1"/>
  <c r="V115" i="81" a="1"/>
  <c r="V115" i="81" s="1"/>
  <c r="V112" i="81" a="1"/>
  <c r="V112" i="81" s="1"/>
  <c r="V109" i="81" a="1"/>
  <c r="V109" i="81" s="1"/>
  <c r="V108" i="81" a="1"/>
  <c r="V108" i="81" s="1"/>
  <c r="AE110" i="81" a="1"/>
  <c r="AE110" i="81" s="1"/>
  <c r="AE115" i="81" a="1"/>
  <c r="AE115" i="81" s="1"/>
  <c r="AE108" i="81" a="1"/>
  <c r="AE108" i="81" s="1"/>
  <c r="AE113" i="81" a="1"/>
  <c r="AE113" i="81" s="1"/>
  <c r="AE112" i="81" a="1"/>
  <c r="AE112" i="81" s="1"/>
  <c r="AE109" i="81" a="1"/>
  <c r="AE109" i="81" s="1"/>
  <c r="AE114" i="81" a="1"/>
  <c r="AE114" i="81" s="1"/>
  <c r="AE111" i="81" a="1"/>
  <c r="AE111" i="81" s="1"/>
  <c r="N111" i="81" a="1"/>
  <c r="N111" i="81" s="1"/>
  <c r="N114" i="81" a="1"/>
  <c r="N114" i="81" s="1"/>
  <c r="N109" i="81" a="1"/>
  <c r="N109" i="81" s="1"/>
  <c r="N112" i="81" a="1"/>
  <c r="N112" i="81" s="1"/>
  <c r="N115" i="81" a="1"/>
  <c r="N115" i="81" s="1"/>
  <c r="N110" i="81" a="1"/>
  <c r="N110" i="81" s="1"/>
  <c r="N113" i="81" a="1"/>
  <c r="N113" i="81" s="1"/>
  <c r="N108" i="81" a="1"/>
  <c r="N108" i="81" s="1"/>
  <c r="P85" i="73"/>
  <c r="P104" i="73" s="1"/>
  <c r="N48" i="75"/>
  <c r="N50" i="75" s="1"/>
  <c r="N40" i="85" s="1"/>
  <c r="O62" i="75"/>
  <c r="O64" i="75" s="1"/>
  <c r="N85" i="72"/>
  <c r="N104" i="72" s="1"/>
  <c r="M62" i="75"/>
  <c r="M64" i="75" s="1"/>
  <c r="O85" i="73"/>
  <c r="O104" i="73" s="1"/>
  <c r="J76" i="75"/>
  <c r="J78" i="75" s="1"/>
  <c r="M85" i="73"/>
  <c r="M104" i="73" s="1"/>
  <c r="J62" i="75"/>
  <c r="J64" i="75" s="1"/>
  <c r="J85" i="73"/>
  <c r="J104" i="73" s="1"/>
  <c r="N62" i="75"/>
  <c r="N64" i="75" s="1"/>
  <c r="K62" i="75"/>
  <c r="K64" i="75" s="1"/>
  <c r="N85" i="73"/>
  <c r="N104" i="73" s="1"/>
  <c r="Q62" i="75"/>
  <c r="Q64" i="75" s="1"/>
  <c r="I62" i="75"/>
  <c r="I64" i="75" s="1"/>
  <c r="Q76" i="75"/>
  <c r="Q78" i="75" s="1"/>
  <c r="M85" i="82"/>
  <c r="M104" i="82" s="1"/>
  <c r="Q85" i="73"/>
  <c r="Q104" i="73" s="1"/>
  <c r="K85" i="73"/>
  <c r="K104" i="73" s="1"/>
  <c r="Q85" i="82"/>
  <c r="Q104" i="82" s="1"/>
  <c r="M76" i="75"/>
  <c r="M78" i="75" s="1"/>
  <c r="P62" i="75"/>
  <c r="P64" i="75" s="1"/>
  <c r="M48" i="75"/>
  <c r="M50" i="75" s="1"/>
  <c r="M40" i="85" s="1"/>
  <c r="M85" i="72"/>
  <c r="M104" i="72" s="1"/>
  <c r="I85" i="73"/>
  <c r="P76" i="75"/>
  <c r="P78" i="75" s="1"/>
  <c r="I76" i="75"/>
  <c r="I78" i="75" s="1"/>
  <c r="Q34" i="75"/>
  <c r="Q36" i="75" s="1"/>
  <c r="O85" i="82"/>
  <c r="O104" i="82" s="1"/>
  <c r="Q48" i="75"/>
  <c r="Q50" i="75" s="1"/>
  <c r="Q40" i="85" s="1"/>
  <c r="Q85" i="72"/>
  <c r="Q104" i="72" s="1"/>
  <c r="L85" i="73"/>
  <c r="L104" i="73" s="1"/>
  <c r="N85" i="82"/>
  <c r="N104" i="82" s="1"/>
  <c r="O85" i="72"/>
  <c r="O104" i="72" s="1"/>
  <c r="K76" i="75"/>
  <c r="K78" i="75" s="1"/>
  <c r="O76" i="75"/>
  <c r="O78" i="75" s="1"/>
  <c r="I48" i="75"/>
  <c r="I85" i="72"/>
  <c r="I104" i="72" s="1"/>
  <c r="O48" i="75"/>
  <c r="O50" i="75" s="1"/>
  <c r="O40" i="85" s="1"/>
  <c r="L62" i="75"/>
  <c r="L64" i="75" s="1"/>
  <c r="P85" i="82"/>
  <c r="P104" i="82" s="1"/>
  <c r="I85" i="82"/>
  <c r="I104" i="82" s="1"/>
  <c r="Q85" i="81"/>
  <c r="N76" i="75"/>
  <c r="N78" i="75" s="1"/>
  <c r="K85" i="82"/>
  <c r="K104" i="82" s="1"/>
  <c r="J85" i="82"/>
  <c r="J104" i="82" s="1"/>
  <c r="K50" i="75"/>
  <c r="K40" i="85" s="1"/>
  <c r="I36" i="75"/>
  <c r="F52" i="75"/>
  <c r="G11" i="33" s="1"/>
  <c r="P115" i="72" l="1" a="1"/>
  <c r="P115" i="72" s="1"/>
  <c r="P112" i="72" a="1"/>
  <c r="P112" i="72" s="1"/>
  <c r="P42" i="85"/>
  <c r="P110" i="72" a="1"/>
  <c r="P110" i="72" s="1"/>
  <c r="P113" i="72" a="1"/>
  <c r="P113" i="72" s="1"/>
  <c r="P114" i="72" a="1"/>
  <c r="P114" i="72" s="1"/>
  <c r="P111" i="72" a="1"/>
  <c r="P111" i="72" s="1"/>
  <c r="P113" i="81" a="1"/>
  <c r="P113" i="81" s="1"/>
  <c r="P110" i="81" a="1"/>
  <c r="P110" i="81" s="1"/>
  <c r="P108" i="81" a="1"/>
  <c r="P108" i="81" s="1"/>
  <c r="K42" i="85"/>
  <c r="P111" i="81" a="1"/>
  <c r="P111" i="81" s="1"/>
  <c r="P112" i="81" a="1"/>
  <c r="P112" i="81" s="1"/>
  <c r="P115" i="81" a="1"/>
  <c r="P115" i="81" s="1"/>
  <c r="K109" i="72" a="1"/>
  <c r="K109" i="72" s="1"/>
  <c r="P114" i="81" a="1"/>
  <c r="P114" i="81" s="1"/>
  <c r="K113" i="72" a="1"/>
  <c r="K113" i="72" s="1"/>
  <c r="J42" i="85"/>
  <c r="J108" i="72" a="1"/>
  <c r="J108" i="72" s="1"/>
  <c r="J111" i="72" a="1"/>
  <c r="J111" i="72" s="1"/>
  <c r="K108" i="72" a="1"/>
  <c r="K108" i="72" s="1"/>
  <c r="J114" i="72" a="1"/>
  <c r="J114" i="72" s="1"/>
  <c r="K114" i="72" a="1"/>
  <c r="K114" i="72" s="1"/>
  <c r="J110" i="72" a="1"/>
  <c r="J110" i="72" s="1"/>
  <c r="K111" i="72" a="1"/>
  <c r="K111" i="72" s="1"/>
  <c r="J115" i="72" a="1"/>
  <c r="J115" i="72" s="1"/>
  <c r="J112" i="72" a="1"/>
  <c r="J112" i="72" s="1"/>
  <c r="K110" i="72" a="1"/>
  <c r="K110" i="72" s="1"/>
  <c r="J109" i="72" a="1"/>
  <c r="J109" i="72" s="1"/>
  <c r="K115" i="72" a="1"/>
  <c r="K115" i="72" s="1"/>
  <c r="I109" i="82" a="1"/>
  <c r="I109" i="82" s="1"/>
  <c r="I73" i="85" s="1"/>
  <c r="I112" i="82" a="1"/>
  <c r="I112" i="82" s="1"/>
  <c r="I76" i="85" s="1"/>
  <c r="I115" i="82" a="1"/>
  <c r="I115" i="82" s="1"/>
  <c r="I108" i="82" a="1"/>
  <c r="I108" i="82" s="1"/>
  <c r="I72" i="85" s="1"/>
  <c r="I114" i="82" a="1"/>
  <c r="I114" i="82" s="1"/>
  <c r="I110" i="82" a="1"/>
  <c r="I110" i="82" s="1"/>
  <c r="I74" i="85" s="1"/>
  <c r="I113" i="82" a="1"/>
  <c r="I113" i="82" s="1"/>
  <c r="I111" i="82" a="1"/>
  <c r="I111" i="82" s="1"/>
  <c r="I75" i="85" s="1"/>
  <c r="I70" i="85"/>
  <c r="AC65" i="85"/>
  <c r="AC64" i="85"/>
  <c r="AC63" i="85"/>
  <c r="K114" i="73" a="1"/>
  <c r="K114" i="73" s="1"/>
  <c r="K109" i="73" a="1"/>
  <c r="K109" i="73" s="1"/>
  <c r="K59" i="85" s="1"/>
  <c r="K111" i="73" a="1"/>
  <c r="K111" i="73" s="1"/>
  <c r="K61" i="85" s="1"/>
  <c r="K113" i="73" a="1"/>
  <c r="K113" i="73" s="1"/>
  <c r="K108" i="73" a="1"/>
  <c r="K108" i="73" s="1"/>
  <c r="K58" i="85" s="1"/>
  <c r="K112" i="73" a="1"/>
  <c r="K112" i="73" s="1"/>
  <c r="K62" i="85" s="1"/>
  <c r="K115" i="73" a="1"/>
  <c r="K115" i="73" s="1"/>
  <c r="K110" i="73" a="1"/>
  <c r="K110" i="73" s="1"/>
  <c r="K60" i="85" s="1"/>
  <c r="K56" i="85"/>
  <c r="AE65" i="85"/>
  <c r="AE63" i="85"/>
  <c r="AE64" i="85"/>
  <c r="I104" i="73"/>
  <c r="AC79" i="85"/>
  <c r="AC77" i="85"/>
  <c r="AC78" i="85"/>
  <c r="AF64" i="85"/>
  <c r="AF65" i="85"/>
  <c r="AF63" i="85"/>
  <c r="Y64" i="85"/>
  <c r="Y65" i="85"/>
  <c r="Y63" i="85"/>
  <c r="AA64" i="85"/>
  <c r="AA63" i="85"/>
  <c r="AA65" i="85"/>
  <c r="S77" i="85"/>
  <c r="S78" i="85"/>
  <c r="S79" i="85"/>
  <c r="AG79" i="85"/>
  <c r="AG78" i="85"/>
  <c r="AG77" i="85"/>
  <c r="I110" i="72" a="1"/>
  <c r="I110" i="72" s="1"/>
  <c r="I113" i="72" a="1"/>
  <c r="I113" i="72" s="1"/>
  <c r="I109" i="72" a="1"/>
  <c r="I109" i="72" s="1"/>
  <c r="I112" i="72" a="1"/>
  <c r="I112" i="72" s="1"/>
  <c r="I114" i="72" a="1"/>
  <c r="I114" i="72" s="1"/>
  <c r="I111" i="72" a="1"/>
  <c r="I111" i="72" s="1"/>
  <c r="I115" i="72" a="1"/>
  <c r="I115" i="72" s="1"/>
  <c r="I108" i="72" a="1"/>
  <c r="I108" i="72" s="1"/>
  <c r="I42" i="85"/>
  <c r="V77" i="85"/>
  <c r="V79" i="85"/>
  <c r="V78" i="85"/>
  <c r="O109" i="72" a="1"/>
  <c r="O109" i="72" s="1"/>
  <c r="O112" i="72" a="1"/>
  <c r="O112" i="72" s="1"/>
  <c r="O115" i="72" a="1"/>
  <c r="O115" i="72" s="1"/>
  <c r="O108" i="72" a="1"/>
  <c r="O108" i="72" s="1"/>
  <c r="O111" i="72" a="1"/>
  <c r="O111" i="72" s="1"/>
  <c r="O113" i="72" a="1"/>
  <c r="O113" i="72" s="1"/>
  <c r="O110" i="72" a="1"/>
  <c r="O110" i="72" s="1"/>
  <c r="O114" i="72" a="1"/>
  <c r="O114" i="72" s="1"/>
  <c r="O42" i="85"/>
  <c r="AA77" i="85"/>
  <c r="AA79" i="85"/>
  <c r="AA78" i="85"/>
  <c r="S63" i="85"/>
  <c r="S65" i="85"/>
  <c r="S64" i="85"/>
  <c r="Q111" i="82" a="1"/>
  <c r="Q111" i="82" s="1"/>
  <c r="Q75" i="85" s="1"/>
  <c r="Q108" i="82" a="1"/>
  <c r="Q108" i="82" s="1"/>
  <c r="Q72" i="85" s="1"/>
  <c r="Q114" i="82" a="1"/>
  <c r="Q114" i="82" s="1"/>
  <c r="Q110" i="82" a="1"/>
  <c r="Q110" i="82" s="1"/>
  <c r="Q74" i="85" s="1"/>
  <c r="Q113" i="82" a="1"/>
  <c r="Q113" i="82" s="1"/>
  <c r="Q112" i="82" a="1"/>
  <c r="Q112" i="82" s="1"/>
  <c r="Q76" i="85" s="1"/>
  <c r="Q109" i="82" a="1"/>
  <c r="Q109" i="82" s="1"/>
  <c r="Q73" i="85" s="1"/>
  <c r="Q115" i="82" a="1"/>
  <c r="Q115" i="82" s="1"/>
  <c r="Q70" i="85"/>
  <c r="L109" i="82" a="1"/>
  <c r="L109" i="82" s="1"/>
  <c r="L73" i="85" s="1"/>
  <c r="L115" i="82" a="1"/>
  <c r="L115" i="82" s="1"/>
  <c r="L112" i="82" a="1"/>
  <c r="L112" i="82" s="1"/>
  <c r="L76" i="85" s="1"/>
  <c r="L108" i="82" a="1"/>
  <c r="L108" i="82" s="1"/>
  <c r="L72" i="85" s="1"/>
  <c r="L111" i="82" a="1"/>
  <c r="L111" i="82" s="1"/>
  <c r="L75" i="85" s="1"/>
  <c r="L114" i="82" a="1"/>
  <c r="L114" i="82" s="1"/>
  <c r="L110" i="82" a="1"/>
  <c r="L110" i="82" s="1"/>
  <c r="L74" i="85" s="1"/>
  <c r="L113" i="82" a="1"/>
  <c r="L113" i="82" s="1"/>
  <c r="L70" i="85"/>
  <c r="N115" i="82" a="1"/>
  <c r="N115" i="82" s="1"/>
  <c r="N108" i="82" a="1"/>
  <c r="N108" i="82" s="1"/>
  <c r="N72" i="85" s="1"/>
  <c r="N111" i="82" a="1"/>
  <c r="N111" i="82" s="1"/>
  <c r="N75" i="85" s="1"/>
  <c r="N114" i="82" a="1"/>
  <c r="N114" i="82" s="1"/>
  <c r="N112" i="82" a="1"/>
  <c r="N112" i="82" s="1"/>
  <c r="N76" i="85" s="1"/>
  <c r="N109" i="82" a="1"/>
  <c r="N109" i="82" s="1"/>
  <c r="N73" i="85" s="1"/>
  <c r="N110" i="82" a="1"/>
  <c r="N110" i="82" s="1"/>
  <c r="N74" i="85" s="1"/>
  <c r="N113" i="82" a="1"/>
  <c r="N113" i="82" s="1"/>
  <c r="N70" i="85"/>
  <c r="N111" i="73" a="1"/>
  <c r="N111" i="73" s="1"/>
  <c r="N61" i="85" s="1"/>
  <c r="N108" i="73" a="1"/>
  <c r="N108" i="73" s="1"/>
  <c r="N58" i="85" s="1"/>
  <c r="N113" i="73" a="1"/>
  <c r="N113" i="73" s="1"/>
  <c r="N110" i="73" a="1"/>
  <c r="N110" i="73" s="1"/>
  <c r="N60" i="85" s="1"/>
  <c r="N112" i="73" a="1"/>
  <c r="N112" i="73" s="1"/>
  <c r="N62" i="85" s="1"/>
  <c r="N109" i="73" a="1"/>
  <c r="N109" i="73" s="1"/>
  <c r="N59" i="85" s="1"/>
  <c r="N114" i="73" a="1"/>
  <c r="N114" i="73" s="1"/>
  <c r="N115" i="73" a="1"/>
  <c r="N115" i="73" s="1"/>
  <c r="N56" i="85"/>
  <c r="AD77" i="85"/>
  <c r="AD79" i="85"/>
  <c r="AD78" i="85"/>
  <c r="W63" i="85"/>
  <c r="W64" i="85"/>
  <c r="W65" i="85"/>
  <c r="AE77" i="85"/>
  <c r="AE79" i="85"/>
  <c r="AE78" i="85"/>
  <c r="N109" i="72" a="1"/>
  <c r="N109" i="72" s="1"/>
  <c r="N115" i="72" a="1"/>
  <c r="N115" i="72" s="1"/>
  <c r="N108" i="72" a="1"/>
  <c r="N108" i="72" s="1"/>
  <c r="N111" i="72" a="1"/>
  <c r="N111" i="72" s="1"/>
  <c r="N114" i="72" a="1"/>
  <c r="N114" i="72" s="1"/>
  <c r="N110" i="72" a="1"/>
  <c r="N110" i="72" s="1"/>
  <c r="N113" i="72" a="1"/>
  <c r="N113" i="72" s="1"/>
  <c r="N112" i="72" a="1"/>
  <c r="N112" i="72" s="1"/>
  <c r="N42" i="85"/>
  <c r="Z65" i="85"/>
  <c r="Z64" i="85"/>
  <c r="Z63" i="85"/>
  <c r="Y78" i="85"/>
  <c r="Y79" i="85"/>
  <c r="Y77" i="85"/>
  <c r="AB78" i="85"/>
  <c r="AB79" i="85"/>
  <c r="AB77" i="85"/>
  <c r="K112" i="82" a="1"/>
  <c r="K112" i="82" s="1"/>
  <c r="K76" i="85" s="1"/>
  <c r="K109" i="82" a="1"/>
  <c r="K109" i="82" s="1"/>
  <c r="K73" i="85" s="1"/>
  <c r="K115" i="82" a="1"/>
  <c r="K115" i="82" s="1"/>
  <c r="K108" i="82" a="1"/>
  <c r="K108" i="82" s="1"/>
  <c r="K72" i="85" s="1"/>
  <c r="K111" i="82" a="1"/>
  <c r="K111" i="82" s="1"/>
  <c r="K75" i="85" s="1"/>
  <c r="K113" i="82" a="1"/>
  <c r="K113" i="82" s="1"/>
  <c r="K114" i="82" a="1"/>
  <c r="K114" i="82" s="1"/>
  <c r="K110" i="82" a="1"/>
  <c r="K110" i="82" s="1"/>
  <c r="K74" i="85" s="1"/>
  <c r="K70" i="85"/>
  <c r="M112" i="72" a="1"/>
  <c r="M112" i="72" s="1"/>
  <c r="M115" i="72" a="1"/>
  <c r="M115" i="72" s="1"/>
  <c r="M108" i="72" a="1"/>
  <c r="M108" i="72" s="1"/>
  <c r="M111" i="72" a="1"/>
  <c r="M111" i="72" s="1"/>
  <c r="M114" i="72" a="1"/>
  <c r="M114" i="72" s="1"/>
  <c r="M109" i="72" a="1"/>
  <c r="M109" i="72" s="1"/>
  <c r="M113" i="72" a="1"/>
  <c r="M113" i="72" s="1"/>
  <c r="M110" i="72" a="1"/>
  <c r="M110" i="72" s="1"/>
  <c r="M42" i="85"/>
  <c r="U79" i="85"/>
  <c r="U78" i="85"/>
  <c r="U77" i="85"/>
  <c r="X79" i="85"/>
  <c r="X77" i="85"/>
  <c r="X78" i="85"/>
  <c r="R78" i="85"/>
  <c r="R79" i="85"/>
  <c r="R77" i="85"/>
  <c r="AF78" i="85"/>
  <c r="AF77" i="85"/>
  <c r="AF79" i="85"/>
  <c r="P111" i="73" a="1"/>
  <c r="P111" i="73" s="1"/>
  <c r="P61" i="85" s="1"/>
  <c r="P113" i="73" a="1"/>
  <c r="P113" i="73" s="1"/>
  <c r="P110" i="73" a="1"/>
  <c r="P110" i="73" s="1"/>
  <c r="P60" i="85" s="1"/>
  <c r="P115" i="73" a="1"/>
  <c r="P115" i="73" s="1"/>
  <c r="P108" i="73" a="1"/>
  <c r="P108" i="73" s="1"/>
  <c r="P58" i="85" s="1"/>
  <c r="P114" i="73" a="1"/>
  <c r="P114" i="73" s="1"/>
  <c r="P109" i="73" a="1"/>
  <c r="P109" i="73" s="1"/>
  <c r="P59" i="85" s="1"/>
  <c r="P112" i="73" a="1"/>
  <c r="P112" i="73" s="1"/>
  <c r="P62" i="85" s="1"/>
  <c r="P56" i="85"/>
  <c r="Q108" i="73" a="1"/>
  <c r="Q108" i="73" s="1"/>
  <c r="Q58" i="85" s="1"/>
  <c r="Q110" i="73" a="1"/>
  <c r="Q110" i="73" s="1"/>
  <c r="Q60" i="85" s="1"/>
  <c r="Q115" i="73" a="1"/>
  <c r="Q115" i="73" s="1"/>
  <c r="Q109" i="73" a="1"/>
  <c r="Q109" i="73" s="1"/>
  <c r="Q59" i="85" s="1"/>
  <c r="Q113" i="73" a="1"/>
  <c r="Q113" i="73" s="1"/>
  <c r="Q114" i="73" a="1"/>
  <c r="Q114" i="73" s="1"/>
  <c r="Q112" i="73" a="1"/>
  <c r="Q112" i="73" s="1"/>
  <c r="Q62" i="85" s="1"/>
  <c r="Q111" i="73" a="1"/>
  <c r="Q111" i="73" s="1"/>
  <c r="Q61" i="85" s="1"/>
  <c r="Q56" i="85"/>
  <c r="M112" i="82" a="1"/>
  <c r="M112" i="82" s="1"/>
  <c r="M76" i="85" s="1"/>
  <c r="M115" i="82" a="1"/>
  <c r="M115" i="82" s="1"/>
  <c r="M108" i="82" a="1"/>
  <c r="M108" i="82" s="1"/>
  <c r="M72" i="85" s="1"/>
  <c r="M111" i="82" a="1"/>
  <c r="M111" i="82" s="1"/>
  <c r="M75" i="85" s="1"/>
  <c r="M114" i="82" a="1"/>
  <c r="M114" i="82" s="1"/>
  <c r="M109" i="82" a="1"/>
  <c r="M109" i="82" s="1"/>
  <c r="M73" i="85" s="1"/>
  <c r="M110" i="82" a="1"/>
  <c r="M110" i="82" s="1"/>
  <c r="M74" i="85" s="1"/>
  <c r="M113" i="82" a="1"/>
  <c r="M113" i="82" s="1"/>
  <c r="M70" i="85"/>
  <c r="J109" i="73" a="1"/>
  <c r="J109" i="73" s="1"/>
  <c r="J59" i="85" s="1"/>
  <c r="J114" i="73" a="1"/>
  <c r="J114" i="73" s="1"/>
  <c r="J111" i="73" a="1"/>
  <c r="J111" i="73" s="1"/>
  <c r="J61" i="85" s="1"/>
  <c r="J113" i="73" a="1"/>
  <c r="J113" i="73" s="1"/>
  <c r="J112" i="73" a="1"/>
  <c r="J112" i="73" s="1"/>
  <c r="J62" i="85" s="1"/>
  <c r="J115" i="73" a="1"/>
  <c r="J115" i="73" s="1"/>
  <c r="J108" i="73" a="1"/>
  <c r="J108" i="73" s="1"/>
  <c r="J58" i="85" s="1"/>
  <c r="J110" i="73" a="1"/>
  <c r="J110" i="73" s="1"/>
  <c r="J60" i="85" s="1"/>
  <c r="J56" i="85"/>
  <c r="O111" i="82" a="1"/>
  <c r="O111" i="82" s="1"/>
  <c r="O75" i="85" s="1"/>
  <c r="O114" i="82" a="1"/>
  <c r="O114" i="82" s="1"/>
  <c r="O112" i="82" a="1"/>
  <c r="O112" i="82" s="1"/>
  <c r="O76" i="85" s="1"/>
  <c r="O108" i="82" a="1"/>
  <c r="O108" i="82" s="1"/>
  <c r="O72" i="85" s="1"/>
  <c r="O109" i="82" a="1"/>
  <c r="O109" i="82" s="1"/>
  <c r="O73" i="85" s="1"/>
  <c r="O115" i="82" a="1"/>
  <c r="O115" i="82" s="1"/>
  <c r="O113" i="82" a="1"/>
  <c r="O113" i="82" s="1"/>
  <c r="O110" i="82" a="1"/>
  <c r="O110" i="82" s="1"/>
  <c r="O74" i="85" s="1"/>
  <c r="O70" i="85"/>
  <c r="V65" i="85"/>
  <c r="V63" i="85"/>
  <c r="V64" i="85"/>
  <c r="R64" i="85"/>
  <c r="R65" i="85"/>
  <c r="R63" i="85"/>
  <c r="W77" i="85"/>
  <c r="W78" i="85"/>
  <c r="W79" i="85"/>
  <c r="AB63" i="85"/>
  <c r="AB64" i="85"/>
  <c r="AB65" i="85"/>
  <c r="T79" i="85"/>
  <c r="T77" i="85"/>
  <c r="T78" i="85"/>
  <c r="L109" i="73" a="1"/>
  <c r="L109" i="73" s="1"/>
  <c r="L59" i="85" s="1"/>
  <c r="L111" i="73" a="1"/>
  <c r="L111" i="73" s="1"/>
  <c r="L61" i="85" s="1"/>
  <c r="L113" i="73" a="1"/>
  <c r="L113" i="73" s="1"/>
  <c r="L108" i="73" a="1"/>
  <c r="L108" i="73" s="1"/>
  <c r="L58" i="85" s="1"/>
  <c r="L112" i="73" a="1"/>
  <c r="L112" i="73" s="1"/>
  <c r="L62" i="85" s="1"/>
  <c r="L115" i="73" a="1"/>
  <c r="L115" i="73" s="1"/>
  <c r="L110" i="73" a="1"/>
  <c r="L110" i="73" s="1"/>
  <c r="L60" i="85" s="1"/>
  <c r="L114" i="73" a="1"/>
  <c r="L114" i="73" s="1"/>
  <c r="L56" i="85"/>
  <c r="Q112" i="72" a="1"/>
  <c r="Q112" i="72" s="1"/>
  <c r="Q111" i="72" a="1"/>
  <c r="Q111" i="72" s="1"/>
  <c r="Q108" i="72" a="1"/>
  <c r="Q108" i="72" s="1"/>
  <c r="Q114" i="72" a="1"/>
  <c r="Q114" i="72" s="1"/>
  <c r="Q113" i="72" a="1"/>
  <c r="Q113" i="72" s="1"/>
  <c r="Q109" i="72" a="1"/>
  <c r="Q109" i="72" s="1"/>
  <c r="Q115" i="72" a="1"/>
  <c r="Q115" i="72" s="1"/>
  <c r="Q110" i="72" a="1"/>
  <c r="Q110" i="72" s="1"/>
  <c r="Q42" i="85"/>
  <c r="AG65" i="85"/>
  <c r="AG63" i="85"/>
  <c r="AG64" i="85"/>
  <c r="T65" i="85"/>
  <c r="T63" i="85"/>
  <c r="T64" i="85"/>
  <c r="X65" i="85"/>
  <c r="X63" i="85"/>
  <c r="X64" i="85"/>
  <c r="L109" i="72" a="1"/>
  <c r="L109" i="72" s="1"/>
  <c r="L112" i="72" a="1"/>
  <c r="L112" i="72" s="1"/>
  <c r="L115" i="72" a="1"/>
  <c r="L115" i="72" s="1"/>
  <c r="L110" i="72" a="1"/>
  <c r="L110" i="72" s="1"/>
  <c r="L114" i="72" a="1"/>
  <c r="L114" i="72" s="1"/>
  <c r="L111" i="72" a="1"/>
  <c r="L111" i="72" s="1"/>
  <c r="L108" i="72" a="1"/>
  <c r="L108" i="72" s="1"/>
  <c r="L113" i="72" a="1"/>
  <c r="L113" i="72" s="1"/>
  <c r="L42" i="85"/>
  <c r="AD64" i="85"/>
  <c r="AD63" i="85"/>
  <c r="AD65" i="85"/>
  <c r="Z79" i="85"/>
  <c r="Z77" i="85"/>
  <c r="Z78" i="85"/>
  <c r="M108" i="73" a="1"/>
  <c r="M108" i="73" s="1"/>
  <c r="M58" i="85" s="1"/>
  <c r="M113" i="73" a="1"/>
  <c r="M113" i="73" s="1"/>
  <c r="M111" i="73" a="1"/>
  <c r="M111" i="73" s="1"/>
  <c r="M61" i="85" s="1"/>
  <c r="M110" i="73" a="1"/>
  <c r="M110" i="73" s="1"/>
  <c r="M60" i="85" s="1"/>
  <c r="M109" i="73" a="1"/>
  <c r="M109" i="73" s="1"/>
  <c r="M59" i="85" s="1"/>
  <c r="M114" i="73" a="1"/>
  <c r="M114" i="73" s="1"/>
  <c r="M115" i="73" a="1"/>
  <c r="M115" i="73" s="1"/>
  <c r="M112" i="73" a="1"/>
  <c r="M112" i="73" s="1"/>
  <c r="M62" i="85" s="1"/>
  <c r="M56" i="85"/>
  <c r="P108" i="82" a="1"/>
  <c r="P108" i="82" s="1"/>
  <c r="P72" i="85" s="1"/>
  <c r="P111" i="82" a="1"/>
  <c r="P111" i="82" s="1"/>
  <c r="P75" i="85" s="1"/>
  <c r="P114" i="82" a="1"/>
  <c r="P114" i="82" s="1"/>
  <c r="P112" i="82" a="1"/>
  <c r="P112" i="82" s="1"/>
  <c r="P76" i="85" s="1"/>
  <c r="P109" i="82" a="1"/>
  <c r="P109" i="82" s="1"/>
  <c r="P73" i="85" s="1"/>
  <c r="P115" i="82" a="1"/>
  <c r="P115" i="82" s="1"/>
  <c r="P113" i="82" a="1"/>
  <c r="P113" i="82" s="1"/>
  <c r="P110" i="82" a="1"/>
  <c r="P110" i="82" s="1"/>
  <c r="P74" i="85" s="1"/>
  <c r="P70" i="85"/>
  <c r="J109" i="82" a="1"/>
  <c r="J109" i="82" s="1"/>
  <c r="J73" i="85" s="1"/>
  <c r="J112" i="82" a="1"/>
  <c r="J112" i="82" s="1"/>
  <c r="J76" i="85" s="1"/>
  <c r="J115" i="82" a="1"/>
  <c r="J115" i="82" s="1"/>
  <c r="J108" i="82" a="1"/>
  <c r="J108" i="82" s="1"/>
  <c r="J72" i="85" s="1"/>
  <c r="J111" i="82" a="1"/>
  <c r="J111" i="82" s="1"/>
  <c r="J75" i="85" s="1"/>
  <c r="J110" i="82" a="1"/>
  <c r="J110" i="82" s="1"/>
  <c r="J74" i="85" s="1"/>
  <c r="J113" i="82" a="1"/>
  <c r="J113" i="82" s="1"/>
  <c r="J114" i="82" a="1"/>
  <c r="J114" i="82" s="1"/>
  <c r="J70" i="85"/>
  <c r="O111" i="73" a="1"/>
  <c r="O111" i="73" s="1"/>
  <c r="O61" i="85" s="1"/>
  <c r="O108" i="73" a="1"/>
  <c r="O108" i="73" s="1"/>
  <c r="O58" i="85" s="1"/>
  <c r="O113" i="73" a="1"/>
  <c r="O113" i="73" s="1"/>
  <c r="O110" i="73" a="1"/>
  <c r="O110" i="73" s="1"/>
  <c r="O60" i="85" s="1"/>
  <c r="O115" i="73" a="1"/>
  <c r="O115" i="73" s="1"/>
  <c r="O112" i="73" a="1"/>
  <c r="O112" i="73" s="1"/>
  <c r="O62" i="85" s="1"/>
  <c r="O109" i="73" a="1"/>
  <c r="O109" i="73" s="1"/>
  <c r="O59" i="85" s="1"/>
  <c r="O114" i="73" a="1"/>
  <c r="O114" i="73" s="1"/>
  <c r="O56" i="85"/>
  <c r="U65" i="85"/>
  <c r="U63" i="85"/>
  <c r="U64" i="85"/>
  <c r="I50" i="75"/>
  <c r="I40" i="85" s="1"/>
  <c r="F34" i="75" a="1"/>
  <c r="F34" i="75" s="1"/>
  <c r="F39" i="75" s="1"/>
  <c r="H10" i="33" s="1"/>
  <c r="F48" i="75"/>
  <c r="F53" i="75" s="1"/>
  <c r="H11" i="33" s="1"/>
  <c r="F65" i="75" a="1"/>
  <c r="F65" i="75" s="1"/>
  <c r="F79" i="75" a="1"/>
  <c r="F79" i="75" s="1"/>
  <c r="F62" i="75"/>
  <c r="F67" i="75" s="1"/>
  <c r="F76" i="75"/>
  <c r="F81" i="75" s="1"/>
  <c r="Q104" i="81"/>
  <c r="F66" i="75"/>
  <c r="G12" i="33" s="1"/>
  <c r="F38" i="75"/>
  <c r="G10" i="33" s="1"/>
  <c r="F51" i="75" l="1" a="1"/>
  <c r="F51" i="75" s="1"/>
  <c r="F70" i="85"/>
  <c r="F76" i="85"/>
  <c r="J44" i="33" s="1"/>
  <c r="F42" i="85"/>
  <c r="N65" i="85"/>
  <c r="N63" i="85"/>
  <c r="N64" i="85"/>
  <c r="L63" i="85"/>
  <c r="L64" i="85"/>
  <c r="L65" i="85"/>
  <c r="O79" i="85"/>
  <c r="O77" i="85"/>
  <c r="O78" i="85"/>
  <c r="I114" i="73" a="1"/>
  <c r="I114" i="73" s="1"/>
  <c r="I111" i="73" a="1"/>
  <c r="I111" i="73" s="1"/>
  <c r="I61" i="85" s="1"/>
  <c r="F61" i="85" s="1"/>
  <c r="I108" i="73" a="1"/>
  <c r="I108" i="73" s="1"/>
  <c r="I58" i="85" s="1"/>
  <c r="F58" i="85" s="1"/>
  <c r="I110" i="73" a="1"/>
  <c r="I110" i="73" s="1"/>
  <c r="I60" i="85" s="1"/>
  <c r="F60" i="85" s="1"/>
  <c r="I112" i="73" a="1"/>
  <c r="I112" i="73" s="1"/>
  <c r="I62" i="85" s="1"/>
  <c r="F62" i="85" s="1"/>
  <c r="I44" i="33" s="1"/>
  <c r="I115" i="73" a="1"/>
  <c r="I115" i="73" s="1"/>
  <c r="I113" i="73" a="1"/>
  <c r="I113" i="73" s="1"/>
  <c r="I109" i="73" a="1"/>
  <c r="I109" i="73" s="1"/>
  <c r="I59" i="85" s="1"/>
  <c r="F59" i="85" s="1"/>
  <c r="I56" i="85"/>
  <c r="F56" i="85" s="1"/>
  <c r="J64" i="85"/>
  <c r="J63" i="85"/>
  <c r="J65" i="85"/>
  <c r="I78" i="85"/>
  <c r="I79" i="85"/>
  <c r="I77" i="85"/>
  <c r="M63" i="85"/>
  <c r="M65" i="85"/>
  <c r="M64" i="85"/>
  <c r="Q78" i="85"/>
  <c r="Q79" i="85"/>
  <c r="Q77" i="85"/>
  <c r="K64" i="85"/>
  <c r="K65" i="85"/>
  <c r="K63" i="85"/>
  <c r="N79" i="85"/>
  <c r="N78" i="85"/>
  <c r="N77" i="85"/>
  <c r="J78" i="85"/>
  <c r="J79" i="85"/>
  <c r="J77" i="85"/>
  <c r="Q65" i="85"/>
  <c r="Q64" i="85"/>
  <c r="Q63" i="85"/>
  <c r="O64" i="85"/>
  <c r="O63" i="85"/>
  <c r="O65" i="85"/>
  <c r="M77" i="85"/>
  <c r="M79" i="85"/>
  <c r="M78" i="85"/>
  <c r="L78" i="85"/>
  <c r="L77" i="85"/>
  <c r="L79" i="85"/>
  <c r="P64" i="85"/>
  <c r="P63" i="85"/>
  <c r="P65" i="85"/>
  <c r="P79" i="85"/>
  <c r="P77" i="85"/>
  <c r="P78" i="85"/>
  <c r="K77" i="85"/>
  <c r="K79" i="85"/>
  <c r="K78" i="85"/>
  <c r="Q111" i="81" a="1"/>
  <c r="Q111" i="81" s="1"/>
  <c r="Q115" i="81" a="1"/>
  <c r="Q115" i="81" s="1"/>
  <c r="Q109" i="81" a="1"/>
  <c r="Q109" i="81" s="1"/>
  <c r="Q108" i="81" a="1"/>
  <c r="Q108" i="81" s="1"/>
  <c r="Q114" i="81" a="1"/>
  <c r="Q114" i="81" s="1"/>
  <c r="Q112" i="81" a="1"/>
  <c r="Q112" i="81" s="1"/>
  <c r="Q113" i="81" a="1"/>
  <c r="Q113" i="81" s="1"/>
  <c r="Q110" i="81" a="1"/>
  <c r="Q110" i="81" s="1"/>
  <c r="F25" i="75"/>
  <c r="H9" i="33" s="1"/>
  <c r="F24" i="75"/>
  <c r="G9" i="33" s="1"/>
  <c r="F37" i="75" a="1"/>
  <c r="F37" i="75" s="1"/>
  <c r="I10" i="33" s="1"/>
  <c r="I11" i="33"/>
  <c r="I12" i="33"/>
  <c r="F16" i="75" a="1"/>
  <c r="F16" i="75" s="1"/>
  <c r="I13" i="33"/>
  <c r="F23" i="75" a="1"/>
  <c r="F23" i="75" s="1"/>
  <c r="I9" i="33" s="1"/>
  <c r="F77" i="85" l="1"/>
  <c r="J45" i="33" s="1"/>
  <c r="I63" i="85"/>
  <c r="F63" i="85" s="1"/>
  <c r="I45" i="33" s="1"/>
  <c r="I64" i="85"/>
  <c r="F64" i="85" s="1"/>
  <c r="I65" i="85"/>
  <c r="F65" i="85" s="1"/>
  <c r="F79" i="85"/>
  <c r="F78" i="85"/>
  <c r="F73" i="85"/>
  <c r="F72" i="85"/>
  <c r="F75" i="85"/>
  <c r="F74" i="85"/>
  <c r="G18" i="33"/>
  <c r="C18" i="33" s="1"/>
  <c r="F80" i="75"/>
  <c r="G13" i="33" s="1"/>
  <c r="D18" i="33" l="1"/>
  <c r="C26" i="33" l="1"/>
  <c r="I31" i="33" l="1"/>
  <c r="J31" i="33"/>
  <c r="F30" i="33"/>
  <c r="H30" i="33"/>
  <c r="G31" i="33"/>
  <c r="H31" i="33"/>
  <c r="A91" i="75"/>
  <c r="J30" i="33"/>
  <c r="G30" i="33"/>
  <c r="F31" i="33"/>
  <c r="I30" i="33"/>
  <c r="N91" i="75" l="1" a="1"/>
  <c r="N91" i="75" s="1"/>
  <c r="Y91" i="75" a="1"/>
  <c r="Y91" i="75" s="1"/>
  <c r="O91" i="75" a="1"/>
  <c r="O91" i="75" s="1"/>
  <c r="Z91" i="75" a="1"/>
  <c r="Z91" i="75" s="1"/>
  <c r="P91" i="75" a="1"/>
  <c r="P91" i="75" s="1"/>
  <c r="AA91" i="75" a="1"/>
  <c r="AA91" i="75" s="1"/>
  <c r="Q91" i="75" a="1"/>
  <c r="Q91" i="75" s="1"/>
  <c r="AB91" i="75" a="1"/>
  <c r="AB91" i="75" s="1"/>
  <c r="R91" i="75" a="1"/>
  <c r="R91" i="75" s="1"/>
  <c r="AC91" i="75" a="1"/>
  <c r="AC91" i="75" s="1"/>
  <c r="T91" i="75" a="1"/>
  <c r="T91" i="75" s="1"/>
  <c r="AE91" i="75" a="1"/>
  <c r="AE91" i="75" s="1"/>
  <c r="U91" i="75" a="1"/>
  <c r="U91" i="75" s="1"/>
  <c r="J91" i="75" a="1"/>
  <c r="J91" i="75" s="1"/>
  <c r="V91" i="75" a="1"/>
  <c r="V91" i="75" s="1"/>
  <c r="W91" i="75" a="1"/>
  <c r="W91" i="75" s="1"/>
  <c r="I91" i="75" a="1"/>
  <c r="I91" i="75" s="1"/>
  <c r="M91" i="75" a="1"/>
  <c r="M91" i="75" s="1"/>
  <c r="X91" i="75" a="1"/>
  <c r="X91" i="75" s="1"/>
  <c r="S91" i="75" a="1"/>
  <c r="S91" i="75" s="1"/>
  <c r="AD91" i="75" a="1"/>
  <c r="AD91" i="75" s="1"/>
  <c r="AF91" i="75" a="1"/>
  <c r="AF91" i="75" s="1"/>
  <c r="K91" i="75" a="1"/>
  <c r="K91" i="75" s="1"/>
  <c r="AG91" i="75" a="1"/>
  <c r="AG91" i="75" s="1"/>
  <c r="L91" i="75" a="1"/>
  <c r="L91" i="75" s="1"/>
  <c r="H91" i="75"/>
  <c r="L30" i="33"/>
  <c r="L31" i="33"/>
  <c r="D28" i="85" l="1"/>
  <c r="J39" i="33" l="1"/>
  <c r="I39" i="33"/>
  <c r="J43" i="33"/>
  <c r="J41" i="33"/>
  <c r="J42" i="33"/>
  <c r="I41" i="33"/>
  <c r="I42" i="33"/>
  <c r="J40" i="33"/>
  <c r="I43" i="33"/>
  <c r="I40" i="33"/>
  <c r="B22" i="85" l="1"/>
  <c r="D22" i="85" s="1"/>
  <c r="B21" i="85"/>
  <c r="D21" i="85" s="1"/>
  <c r="G113" i="81"/>
  <c r="B46" i="85"/>
  <c r="D46" i="85" s="1"/>
  <c r="G114" i="81"/>
  <c r="B17" i="85"/>
  <c r="D17" i="85" s="1"/>
  <c r="B36" i="85"/>
  <c r="B19" i="85"/>
  <c r="D19" i="85" s="1"/>
  <c r="B20" i="85"/>
  <c r="D20" i="85" s="1"/>
  <c r="G111" i="81"/>
  <c r="B23" i="85"/>
  <c r="D23" i="85" s="1"/>
  <c r="B18" i="85"/>
  <c r="D18" i="85" s="1"/>
  <c r="B33" i="85"/>
  <c r="B49" i="85"/>
  <c r="D49" i="85" s="1"/>
  <c r="G112" i="81"/>
  <c r="B34" i="85"/>
  <c r="B35" i="85"/>
  <c r="D35" i="85" s="1"/>
  <c r="B51" i="85"/>
  <c r="D51" i="85" s="1"/>
  <c r="G110" i="81"/>
  <c r="G115" i="81"/>
  <c r="B47" i="85"/>
  <c r="D47" i="85" s="1"/>
  <c r="B37" i="85"/>
  <c r="D37" i="85" s="1"/>
  <c r="G109" i="81"/>
  <c r="B31" i="85"/>
  <c r="B32" i="85"/>
  <c r="B16" i="85"/>
  <c r="D16" i="85" s="1"/>
  <c r="H18" i="85" l="1"/>
  <c r="AF18" i="85"/>
  <c r="AE18" i="85"/>
  <c r="AG18" i="85"/>
  <c r="AC18" i="85"/>
  <c r="AD18" i="85"/>
  <c r="Y18" i="85"/>
  <c r="AA18" i="85"/>
  <c r="AB18" i="85"/>
  <c r="S18" i="85"/>
  <c r="N18" i="85"/>
  <c r="T18" i="85"/>
  <c r="Q18" i="85"/>
  <c r="R18" i="85"/>
  <c r="M18" i="85"/>
  <c r="V18" i="85"/>
  <c r="U18" i="85"/>
  <c r="Z18" i="85"/>
  <c r="P18" i="85"/>
  <c r="W18" i="85"/>
  <c r="O18" i="85"/>
  <c r="L18" i="85"/>
  <c r="K18" i="85"/>
  <c r="X18" i="85"/>
  <c r="I18" i="85"/>
  <c r="J18" i="85"/>
  <c r="H23" i="85"/>
  <c r="AE23" i="85"/>
  <c r="AF23" i="85"/>
  <c r="AG23" i="85"/>
  <c r="AD23" i="85"/>
  <c r="AC23" i="85"/>
  <c r="S23" i="85"/>
  <c r="M23" i="85"/>
  <c r="AB23" i="85"/>
  <c r="Y23" i="85"/>
  <c r="Z23" i="85"/>
  <c r="N23" i="85"/>
  <c r="O23" i="85"/>
  <c r="Q23" i="85"/>
  <c r="X23" i="85"/>
  <c r="T23" i="85"/>
  <c r="L23" i="85"/>
  <c r="V23" i="85"/>
  <c r="U23" i="85"/>
  <c r="P23" i="85"/>
  <c r="W23" i="85"/>
  <c r="R23" i="85"/>
  <c r="K23" i="85"/>
  <c r="AA23" i="85"/>
  <c r="I23" i="85"/>
  <c r="J23" i="85"/>
  <c r="H47" i="85"/>
  <c r="AF47" i="85"/>
  <c r="X47" i="85"/>
  <c r="V47" i="85"/>
  <c r="S47" i="85"/>
  <c r="Y47" i="85"/>
  <c r="R47" i="85"/>
  <c r="AA47" i="85"/>
  <c r="T47" i="85"/>
  <c r="AE47" i="85"/>
  <c r="U47" i="85"/>
  <c r="Z47" i="85"/>
  <c r="J47" i="85"/>
  <c r="P47" i="85"/>
  <c r="AG47" i="85"/>
  <c r="K47" i="85"/>
  <c r="W47" i="85"/>
  <c r="AC47" i="85"/>
  <c r="AB47" i="85"/>
  <c r="AD47" i="85"/>
  <c r="L47" i="85"/>
  <c r="M47" i="85"/>
  <c r="I47" i="85"/>
  <c r="N47" i="85"/>
  <c r="Q47" i="85"/>
  <c r="O47" i="85"/>
  <c r="H46" i="85"/>
  <c r="W46" i="85"/>
  <c r="AG46" i="85"/>
  <c r="T46" i="85"/>
  <c r="R46" i="85"/>
  <c r="AE46" i="85"/>
  <c r="Z46" i="85"/>
  <c r="V46" i="85"/>
  <c r="AB46" i="85"/>
  <c r="AA46" i="85"/>
  <c r="AD46" i="85"/>
  <c r="P46" i="85"/>
  <c r="Y46" i="85"/>
  <c r="S46" i="85"/>
  <c r="X46" i="85"/>
  <c r="U46" i="85"/>
  <c r="J46" i="85"/>
  <c r="AC46" i="85"/>
  <c r="K46" i="85"/>
  <c r="AF46" i="85"/>
  <c r="I46" i="85"/>
  <c r="N46" i="85"/>
  <c r="O46" i="85"/>
  <c r="L46" i="85"/>
  <c r="Q46" i="85"/>
  <c r="M46" i="85"/>
  <c r="H20" i="85"/>
  <c r="AF20" i="85"/>
  <c r="AE20" i="85"/>
  <c r="AG20" i="85"/>
  <c r="AD20" i="85"/>
  <c r="AC20" i="85"/>
  <c r="V20" i="85"/>
  <c r="Y20" i="85"/>
  <c r="R20" i="85"/>
  <c r="U20" i="85"/>
  <c r="AA20" i="85"/>
  <c r="M20" i="85"/>
  <c r="X20" i="85"/>
  <c r="L20" i="85"/>
  <c r="T20" i="85"/>
  <c r="O20" i="85"/>
  <c r="S20" i="85"/>
  <c r="Q20" i="85"/>
  <c r="K20" i="85"/>
  <c r="Z20" i="85"/>
  <c r="AB20" i="85"/>
  <c r="N20" i="85"/>
  <c r="W20" i="85"/>
  <c r="P20" i="85"/>
  <c r="I20" i="85"/>
  <c r="J20" i="85"/>
  <c r="H21" i="85"/>
  <c r="AF21" i="85"/>
  <c r="AE21" i="85"/>
  <c r="AG21" i="85"/>
  <c r="AD21" i="85"/>
  <c r="AC21" i="85"/>
  <c r="S21" i="85"/>
  <c r="M21" i="85"/>
  <c r="AB21" i="85"/>
  <c r="Z21" i="85"/>
  <c r="Y21" i="85"/>
  <c r="X21" i="85"/>
  <c r="AA21" i="85"/>
  <c r="T21" i="85"/>
  <c r="Q21" i="85"/>
  <c r="N21" i="85"/>
  <c r="O21" i="85"/>
  <c r="R21" i="85"/>
  <c r="K21" i="85"/>
  <c r="V21" i="85"/>
  <c r="W21" i="85"/>
  <c r="P21" i="85"/>
  <c r="L21" i="85"/>
  <c r="U21" i="85"/>
  <c r="I21" i="85"/>
  <c r="J21" i="85"/>
  <c r="H49" i="85"/>
  <c r="Z49" i="85"/>
  <c r="P49" i="85"/>
  <c r="J49" i="85"/>
  <c r="AD49" i="85"/>
  <c r="T49" i="85"/>
  <c r="AA49" i="85"/>
  <c r="AF49" i="85"/>
  <c r="AE49" i="85"/>
  <c r="AC49" i="85"/>
  <c r="K49" i="85"/>
  <c r="W49" i="85"/>
  <c r="AG49" i="85"/>
  <c r="U49" i="85"/>
  <c r="S49" i="85"/>
  <c r="R49" i="85"/>
  <c r="Y49" i="85"/>
  <c r="V49" i="85"/>
  <c r="AB49" i="85"/>
  <c r="X49" i="85"/>
  <c r="M49" i="85"/>
  <c r="N49" i="85"/>
  <c r="I49" i="85"/>
  <c r="O49" i="85"/>
  <c r="Q49" i="85"/>
  <c r="L49" i="85"/>
  <c r="H16" i="85"/>
  <c r="AE16" i="85"/>
  <c r="AF16" i="85"/>
  <c r="AG16" i="85"/>
  <c r="AD16" i="85"/>
  <c r="AC16" i="85"/>
  <c r="X16" i="85"/>
  <c r="R16" i="85"/>
  <c r="L16" i="85"/>
  <c r="Q16" i="85"/>
  <c r="S16" i="85"/>
  <c r="W16" i="85"/>
  <c r="M16" i="85"/>
  <c r="V16" i="85"/>
  <c r="K16" i="85"/>
  <c r="Z16" i="85"/>
  <c r="Y16" i="85"/>
  <c r="AB16" i="85"/>
  <c r="P16" i="85"/>
  <c r="AA16" i="85"/>
  <c r="O16" i="85"/>
  <c r="T16" i="85"/>
  <c r="U16" i="85"/>
  <c r="N16" i="85"/>
  <c r="I16" i="85"/>
  <c r="J16" i="85"/>
  <c r="H19" i="85"/>
  <c r="AF19" i="85"/>
  <c r="AE19" i="85"/>
  <c r="AG19" i="85"/>
  <c r="AD19" i="85"/>
  <c r="AC19" i="85"/>
  <c r="Q19" i="85"/>
  <c r="W19" i="85"/>
  <c r="U19" i="85"/>
  <c r="L19" i="85"/>
  <c r="AA19" i="85"/>
  <c r="T19" i="85"/>
  <c r="X19" i="85"/>
  <c r="Y19" i="85"/>
  <c r="V19" i="85"/>
  <c r="K19" i="85"/>
  <c r="M19" i="85"/>
  <c r="R19" i="85"/>
  <c r="P19" i="85"/>
  <c r="O19" i="85"/>
  <c r="S19" i="85"/>
  <c r="Z19" i="85"/>
  <c r="N19" i="85"/>
  <c r="AB19" i="85"/>
  <c r="I19" i="85"/>
  <c r="J19" i="85"/>
  <c r="H51" i="85"/>
  <c r="AF51" i="85"/>
  <c r="AB51" i="85"/>
  <c r="J51" i="85"/>
  <c r="Z51" i="85"/>
  <c r="X51" i="85"/>
  <c r="AA51" i="85"/>
  <c r="R51" i="85"/>
  <c r="T51" i="85"/>
  <c r="AD51" i="85"/>
  <c r="Y51" i="85"/>
  <c r="V51" i="85"/>
  <c r="AE51" i="85"/>
  <c r="P51" i="85"/>
  <c r="U51" i="85"/>
  <c r="AG51" i="85"/>
  <c r="AC51" i="85"/>
  <c r="K51" i="85"/>
  <c r="W51" i="85"/>
  <c r="S51" i="85"/>
  <c r="N51" i="85"/>
  <c r="L51" i="85"/>
  <c r="I51" i="85"/>
  <c r="O51" i="85"/>
  <c r="Q51" i="85"/>
  <c r="M51" i="85"/>
  <c r="H17" i="85"/>
  <c r="AF17" i="85"/>
  <c r="AE17" i="85"/>
  <c r="AG17" i="85"/>
  <c r="AD17" i="85"/>
  <c r="AC17" i="85"/>
  <c r="V17" i="85"/>
  <c r="O17" i="85"/>
  <c r="X17" i="85"/>
  <c r="W17" i="85"/>
  <c r="N17" i="85"/>
  <c r="Z17" i="85"/>
  <c r="S17" i="85"/>
  <c r="AB17" i="85"/>
  <c r="Y17" i="85"/>
  <c r="K17" i="85"/>
  <c r="L17" i="85"/>
  <c r="M17" i="85"/>
  <c r="T17" i="85"/>
  <c r="U17" i="85"/>
  <c r="Q17" i="85"/>
  <c r="R17" i="85"/>
  <c r="P17" i="85"/>
  <c r="AA17" i="85"/>
  <c r="J17" i="85"/>
  <c r="I17" i="85"/>
  <c r="H22" i="85"/>
  <c r="AF22" i="85"/>
  <c r="AE22" i="85"/>
  <c r="AG22" i="85"/>
  <c r="AD22" i="85"/>
  <c r="AC22" i="85"/>
  <c r="Z22" i="85"/>
  <c r="Y22" i="85"/>
  <c r="AB22" i="85"/>
  <c r="N22" i="85"/>
  <c r="O22" i="85"/>
  <c r="X22" i="85"/>
  <c r="AA22" i="85"/>
  <c r="Q22" i="85"/>
  <c r="R22" i="85"/>
  <c r="W22" i="85"/>
  <c r="V22" i="85"/>
  <c r="T22" i="85"/>
  <c r="M22" i="85"/>
  <c r="P22" i="85"/>
  <c r="K22" i="85"/>
  <c r="L22" i="85"/>
  <c r="S22" i="85"/>
  <c r="U22" i="85"/>
  <c r="I22" i="85"/>
  <c r="J22" i="85"/>
  <c r="B45" i="85"/>
  <c r="D45" i="85" s="1"/>
  <c r="B50" i="85"/>
  <c r="D50" i="85" s="1"/>
  <c r="D33" i="85"/>
  <c r="G108" i="81"/>
  <c r="N37" i="85" s="1"/>
  <c r="B30" i="85"/>
  <c r="B48" i="85"/>
  <c r="D48" i="85" s="1"/>
  <c r="B44" i="85"/>
  <c r="D44" i="85" s="1"/>
  <c r="D31" i="85"/>
  <c r="D32" i="85"/>
  <c r="D34" i="85"/>
  <c r="D36" i="85"/>
  <c r="V35" i="85" l="1"/>
  <c r="AA35" i="85"/>
  <c r="AE37" i="85"/>
  <c r="L37" i="85"/>
  <c r="T37" i="85"/>
  <c r="W32" i="85"/>
  <c r="AA36" i="85"/>
  <c r="AF35" i="85"/>
  <c r="O33" i="85"/>
  <c r="AG37" i="85"/>
  <c r="Q35" i="85"/>
  <c r="O35" i="85"/>
  <c r="H35" i="85"/>
  <c r="R37" i="85"/>
  <c r="AB35" i="85"/>
  <c r="V37" i="85"/>
  <c r="K35" i="85"/>
  <c r="H37" i="85"/>
  <c r="S35" i="85"/>
  <c r="T35" i="85"/>
  <c r="AC35" i="85"/>
  <c r="Q37" i="85"/>
  <c r="P35" i="85"/>
  <c r="K34" i="85"/>
  <c r="K37" i="85"/>
  <c r="U35" i="85"/>
  <c r="AE35" i="85"/>
  <c r="N31" i="85"/>
  <c r="Z36" i="85"/>
  <c r="AB36" i="85"/>
  <c r="X35" i="85"/>
  <c r="Y35" i="85"/>
  <c r="J35" i="85"/>
  <c r="F20" i="85"/>
  <c r="C95" i="85" s="1"/>
  <c r="F44" i="33" s="1"/>
  <c r="U36" i="85"/>
  <c r="F22" i="85"/>
  <c r="J31" i="85"/>
  <c r="Q36" i="85"/>
  <c r="F51" i="85"/>
  <c r="F47" i="85"/>
  <c r="U32" i="85"/>
  <c r="F16" i="85"/>
  <c r="C91" i="85" s="1"/>
  <c r="F40" i="33" s="1"/>
  <c r="F49" i="85"/>
  <c r="J32" i="85"/>
  <c r="F46" i="85"/>
  <c r="F17" i="85"/>
  <c r="C92" i="85" s="1"/>
  <c r="F41" i="33" s="1"/>
  <c r="R34" i="85"/>
  <c r="P34" i="85"/>
  <c r="H50" i="85"/>
  <c r="X50" i="85"/>
  <c r="K50" i="85"/>
  <c r="AC50" i="85"/>
  <c r="AD50" i="85"/>
  <c r="V50" i="85"/>
  <c r="AG50" i="85"/>
  <c r="Z50" i="85"/>
  <c r="AE50" i="85"/>
  <c r="AF50" i="85"/>
  <c r="P50" i="85"/>
  <c r="U50" i="85"/>
  <c r="J50" i="85"/>
  <c r="AA50" i="85"/>
  <c r="R50" i="85"/>
  <c r="W50" i="85"/>
  <c r="S50" i="85"/>
  <c r="T50" i="85"/>
  <c r="Y50" i="85"/>
  <c r="AB50" i="85"/>
  <c r="Q50" i="85"/>
  <c r="I50" i="85"/>
  <c r="N50" i="85"/>
  <c r="L50" i="85"/>
  <c r="O50" i="85"/>
  <c r="M50" i="85"/>
  <c r="H48" i="85"/>
  <c r="W48" i="85"/>
  <c r="AF48" i="85"/>
  <c r="J48" i="85"/>
  <c r="AA48" i="85"/>
  <c r="AC48" i="85"/>
  <c r="U48" i="85"/>
  <c r="R48" i="85"/>
  <c r="AE48" i="85"/>
  <c r="S48" i="85"/>
  <c r="Z48" i="85"/>
  <c r="AB48" i="85"/>
  <c r="P48" i="85"/>
  <c r="AD48" i="85"/>
  <c r="AG48" i="85"/>
  <c r="K48" i="85"/>
  <c r="X48" i="85"/>
  <c r="V48" i="85"/>
  <c r="T48" i="85"/>
  <c r="Y48" i="85"/>
  <c r="N48" i="85"/>
  <c r="M48" i="85"/>
  <c r="Q48" i="85"/>
  <c r="O48" i="85"/>
  <c r="I48" i="85"/>
  <c r="L48" i="85"/>
  <c r="N34" i="85"/>
  <c r="H44" i="85"/>
  <c r="J44" i="85"/>
  <c r="U44" i="85"/>
  <c r="AD44" i="85"/>
  <c r="R44" i="85"/>
  <c r="AA44" i="85"/>
  <c r="AE44" i="85"/>
  <c r="Z44" i="85"/>
  <c r="S44" i="85"/>
  <c r="T44" i="85"/>
  <c r="AB44" i="85"/>
  <c r="AF44" i="85"/>
  <c r="AC44" i="85"/>
  <c r="K44" i="85"/>
  <c r="AG44" i="85"/>
  <c r="P44" i="85"/>
  <c r="X44" i="85"/>
  <c r="W44" i="85"/>
  <c r="V44" i="85"/>
  <c r="Y44" i="85"/>
  <c r="I44" i="85"/>
  <c r="N44" i="85"/>
  <c r="O44" i="85"/>
  <c r="L44" i="85"/>
  <c r="Q44" i="85"/>
  <c r="M44" i="85"/>
  <c r="AE34" i="85"/>
  <c r="W34" i="85"/>
  <c r="H45" i="85"/>
  <c r="W45" i="85"/>
  <c r="P45" i="85"/>
  <c r="AC45" i="85"/>
  <c r="R45" i="85"/>
  <c r="AE45" i="85"/>
  <c r="T45" i="85"/>
  <c r="U45" i="85"/>
  <c r="AG45" i="85"/>
  <c r="Y45" i="85"/>
  <c r="AB45" i="85"/>
  <c r="K45" i="85"/>
  <c r="Z45" i="85"/>
  <c r="AA45" i="85"/>
  <c r="V45" i="85"/>
  <c r="X45" i="85"/>
  <c r="AD45" i="85"/>
  <c r="AF45" i="85"/>
  <c r="S45" i="85"/>
  <c r="Q45" i="85"/>
  <c r="J45" i="85"/>
  <c r="O45" i="85"/>
  <c r="M45" i="85"/>
  <c r="L45" i="85"/>
  <c r="I45" i="85"/>
  <c r="N45" i="85"/>
  <c r="Q34" i="85"/>
  <c r="X36" i="85"/>
  <c r="O32" i="85"/>
  <c r="M32" i="85"/>
  <c r="AB32" i="85"/>
  <c r="AF36" i="85"/>
  <c r="AC34" i="85"/>
  <c r="AF34" i="85"/>
  <c r="H32" i="85"/>
  <c r="H46" i="33"/>
  <c r="H45" i="33"/>
  <c r="H47" i="33"/>
  <c r="T34" i="85"/>
  <c r="N33" i="85"/>
  <c r="I34" i="85"/>
  <c r="V32" i="85"/>
  <c r="AF32" i="85"/>
  <c r="S31" i="85"/>
  <c r="Y34" i="85"/>
  <c r="X32" i="85"/>
  <c r="L34" i="85"/>
  <c r="U34" i="85"/>
  <c r="AD34" i="85"/>
  <c r="I32" i="85"/>
  <c r="R32" i="85"/>
  <c r="U31" i="85"/>
  <c r="L35" i="85"/>
  <c r="AG35" i="85"/>
  <c r="I35" i="85"/>
  <c r="H31" i="85"/>
  <c r="T31" i="85"/>
  <c r="Y33" i="85"/>
  <c r="X31" i="85"/>
  <c r="K31" i="85"/>
  <c r="M35" i="85"/>
  <c r="AB33" i="85"/>
  <c r="AA33" i="85"/>
  <c r="AE31" i="85"/>
  <c r="Z33" i="85"/>
  <c r="U33" i="85"/>
  <c r="AG33" i="85"/>
  <c r="M31" i="85"/>
  <c r="F23" i="85"/>
  <c r="Q33" i="85"/>
  <c r="V33" i="85"/>
  <c r="W31" i="85"/>
  <c r="I31" i="85"/>
  <c r="AD31" i="85"/>
  <c r="V31" i="85"/>
  <c r="Z31" i="85"/>
  <c r="R31" i="85"/>
  <c r="Q31" i="85"/>
  <c r="L31" i="85"/>
  <c r="P31" i="85"/>
  <c r="Y31" i="85"/>
  <c r="P33" i="85"/>
  <c r="H34" i="85"/>
  <c r="AC31" i="85"/>
  <c r="Q32" i="85"/>
  <c r="L32" i="85"/>
  <c r="AE32" i="85"/>
  <c r="Z32" i="85"/>
  <c r="K32" i="85"/>
  <c r="AD32" i="85"/>
  <c r="T32" i="85"/>
  <c r="AA32" i="85"/>
  <c r="Y32" i="85"/>
  <c r="P32" i="85"/>
  <c r="S32" i="85"/>
  <c r="X33" i="85"/>
  <c r="O36" i="85"/>
  <c r="AC36" i="85"/>
  <c r="S36" i="85"/>
  <c r="AG36" i="85"/>
  <c r="H36" i="85"/>
  <c r="AD36" i="85"/>
  <c r="L36" i="85"/>
  <c r="R36" i="85"/>
  <c r="M36" i="85"/>
  <c r="Y36" i="85"/>
  <c r="I36" i="85"/>
  <c r="F19" i="85"/>
  <c r="P37" i="85"/>
  <c r="AA31" i="85"/>
  <c r="AA37" i="85"/>
  <c r="O34" i="85"/>
  <c r="N32" i="85"/>
  <c r="J36" i="85"/>
  <c r="AF37" i="85"/>
  <c r="R33" i="85"/>
  <c r="AE33" i="85"/>
  <c r="T33" i="85"/>
  <c r="F18" i="85"/>
  <c r="AD33" i="85"/>
  <c r="L33" i="85"/>
  <c r="AC33" i="85"/>
  <c r="X34" i="85"/>
  <c r="AC32" i="85"/>
  <c r="AA34" i="85"/>
  <c r="P36" i="85"/>
  <c r="M37" i="85"/>
  <c r="W37" i="85"/>
  <c r="AF33" i="85"/>
  <c r="I33" i="85"/>
  <c r="W33" i="85"/>
  <c r="S34" i="85"/>
  <c r="J34" i="85"/>
  <c r="V34" i="85"/>
  <c r="Z34" i="85"/>
  <c r="N36" i="85"/>
  <c r="AG34" i="85"/>
  <c r="D30" i="85"/>
  <c r="W30" i="85" s="1"/>
  <c r="AG31" i="85"/>
  <c r="K36" i="85"/>
  <c r="R35" i="85"/>
  <c r="V36" i="85"/>
  <c r="AE36" i="85"/>
  <c r="O31" i="85"/>
  <c r="H33" i="85"/>
  <c r="S33" i="85"/>
  <c r="J33" i="85"/>
  <c r="K33" i="85"/>
  <c r="M33" i="85"/>
  <c r="M34" i="85"/>
  <c r="U28" i="85"/>
  <c r="Z37" i="85"/>
  <c r="AF28" i="85"/>
  <c r="Z28" i="85"/>
  <c r="J28" i="85"/>
  <c r="Q28" i="85"/>
  <c r="S28" i="85"/>
  <c r="I28" i="85"/>
  <c r="AC37" i="85"/>
  <c r="W28" i="85"/>
  <c r="AD28" i="85"/>
  <c r="O28" i="85"/>
  <c r="H28" i="85"/>
  <c r="AC28" i="85"/>
  <c r="AB28" i="85"/>
  <c r="AA28" i="85"/>
  <c r="K28" i="85"/>
  <c r="N28" i="85"/>
  <c r="Y37" i="85"/>
  <c r="R28" i="85"/>
  <c r="P28" i="85"/>
  <c r="AG28" i="85"/>
  <c r="J37" i="85"/>
  <c r="V28" i="85"/>
  <c r="O37" i="85"/>
  <c r="U37" i="85"/>
  <c r="M28" i="85"/>
  <c r="AE28" i="85"/>
  <c r="I37" i="85"/>
  <c r="AD37" i="85"/>
  <c r="AD35" i="85"/>
  <c r="N35" i="85"/>
  <c r="L28" i="85"/>
  <c r="X37" i="85"/>
  <c r="T28" i="85"/>
  <c r="AB37" i="85"/>
  <c r="S37" i="85"/>
  <c r="Y28" i="85"/>
  <c r="X28" i="85"/>
  <c r="AB31" i="85"/>
  <c r="AB34" i="85"/>
  <c r="W35" i="85"/>
  <c r="T36" i="85"/>
  <c r="W36" i="85"/>
  <c r="AF31" i="85"/>
  <c r="AG32" i="85"/>
  <c r="F21" i="85"/>
  <c r="Z35" i="85"/>
  <c r="F44" i="85" l="1"/>
  <c r="F45" i="85"/>
  <c r="F50" i="85"/>
  <c r="F48" i="85"/>
  <c r="E90" i="85"/>
  <c r="H39" i="33" s="1"/>
  <c r="E92" i="85"/>
  <c r="H41" i="33" s="1"/>
  <c r="E95" i="85"/>
  <c r="H44" i="33" s="1"/>
  <c r="E91" i="85"/>
  <c r="H40" i="33" s="1"/>
  <c r="E94" i="85"/>
  <c r="H43" i="33" s="1"/>
  <c r="E93" i="85"/>
  <c r="H42" i="33" s="1"/>
  <c r="C94" i="85"/>
  <c r="F43" i="33" s="1"/>
  <c r="C93" i="85"/>
  <c r="F42" i="33" s="1"/>
  <c r="F28" i="85"/>
  <c r="F32" i="85"/>
  <c r="D93" i="85" s="1"/>
  <c r="F37" i="85"/>
  <c r="F35" i="85"/>
  <c r="AD30" i="85"/>
  <c r="V30" i="85"/>
  <c r="Q30" i="85"/>
  <c r="AF30" i="85"/>
  <c r="O30" i="85"/>
  <c r="F36" i="85"/>
  <c r="J30" i="85"/>
  <c r="K30" i="85"/>
  <c r="S30" i="85"/>
  <c r="AA30" i="85"/>
  <c r="P30" i="85"/>
  <c r="R30" i="85"/>
  <c r="AC30" i="85"/>
  <c r="F33" i="85"/>
  <c r="D94" i="85" s="1"/>
  <c r="X30" i="85"/>
  <c r="AG30" i="85"/>
  <c r="I30" i="85"/>
  <c r="Z30" i="85"/>
  <c r="T30" i="85"/>
  <c r="U30" i="85"/>
  <c r="H30" i="85"/>
  <c r="M30" i="85"/>
  <c r="F34" i="85"/>
  <c r="D95" i="85" s="1"/>
  <c r="Y30" i="85"/>
  <c r="L30" i="85"/>
  <c r="AB30" i="85"/>
  <c r="AE30" i="85"/>
  <c r="N30" i="85"/>
  <c r="F31" i="85"/>
  <c r="D92" i="85" s="1"/>
  <c r="D90" i="85" l="1"/>
  <c r="G39" i="33" s="1"/>
  <c r="G44" i="33"/>
  <c r="I95" i="85"/>
  <c r="K95" i="85" s="1"/>
  <c r="L44" i="33" s="1"/>
  <c r="I92" i="85"/>
  <c r="K92" i="85" s="1"/>
  <c r="L41" i="33" s="1"/>
  <c r="G41" i="33"/>
  <c r="G43" i="33"/>
  <c r="I94" i="85"/>
  <c r="K94" i="85" s="1"/>
  <c r="L43" i="33" s="1"/>
  <c r="G42" i="33"/>
  <c r="I93" i="85"/>
  <c r="K93" i="85" s="1"/>
  <c r="L42" i="33" s="1"/>
  <c r="F30" i="85"/>
  <c r="D91" i="85" s="1"/>
  <c r="I90" i="85" l="1"/>
  <c r="K90" i="85" s="1"/>
  <c r="L39" i="33" s="1"/>
  <c r="G40" i="33"/>
  <c r="I91" i="85"/>
  <c r="K91" i="85" s="1"/>
  <c r="L40" i="33" s="1"/>
  <c r="G47" i="33"/>
  <c r="I98" i="85"/>
  <c r="K98" i="85" s="1"/>
  <c r="L47" i="33" s="1"/>
  <c r="G45" i="33"/>
  <c r="I96" i="85"/>
  <c r="K96" i="85" s="1"/>
  <c r="L45" i="33" s="1"/>
  <c r="G46" i="33"/>
  <c r="I97" i="8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<sst xmlns="http://schemas.openxmlformats.org/spreadsheetml/2006/main" count="864" uniqueCount="339">
  <si>
    <t>Powercor</t>
  </si>
  <si>
    <t>Worst served customers TRG-WBL</t>
  </si>
  <si>
    <t>Model number:</t>
  </si>
  <si>
    <t>SUMMARY</t>
  </si>
  <si>
    <t>RESULTS</t>
  </si>
  <si>
    <t>PV of costs</t>
  </si>
  <si>
    <t>PV of benefits</t>
  </si>
  <si>
    <t>NPV</t>
  </si>
  <si>
    <t>Option</t>
  </si>
  <si>
    <t>Preferred option:</t>
  </si>
  <si>
    <t>PREFERRED OPTION</t>
  </si>
  <si>
    <t>Preferred Option</t>
  </si>
  <si>
    <t>Expenditure forecast</t>
  </si>
  <si>
    <t>Total</t>
  </si>
  <si>
    <t>Capital expenditure</t>
  </si>
  <si>
    <t>Operating expenditure</t>
  </si>
  <si>
    <t>SENSITIVITIES</t>
  </si>
  <si>
    <t>Sensitivity</t>
  </si>
  <si>
    <t>Preferred option</t>
  </si>
  <si>
    <t>Project</t>
  </si>
  <si>
    <t>Business:</t>
  </si>
  <si>
    <t xml:space="preserve">Descripton: </t>
  </si>
  <si>
    <t>TRG024-WBL012 Tie upgrade</t>
  </si>
  <si>
    <t xml:space="preserve">Date of cost inputs: </t>
  </si>
  <si>
    <t>December</t>
  </si>
  <si>
    <t>Description</t>
  </si>
  <si>
    <t>No change to existing practices</t>
  </si>
  <si>
    <t>Compliance project</t>
  </si>
  <si>
    <t>No</t>
  </si>
  <si>
    <t>Expenditure starts</t>
  </si>
  <si>
    <t>2026-27</t>
  </si>
  <si>
    <t>[start]</t>
  </si>
  <si>
    <t>Timing &amp; WACC</t>
  </si>
  <si>
    <t>Input dollars</t>
  </si>
  <si>
    <t>[input_dollars]</t>
  </si>
  <si>
    <t>Pre-tax real WACC</t>
  </si>
  <si>
    <t>[real_disc]</t>
  </si>
  <si>
    <t>VCR date</t>
  </si>
  <si>
    <t>[vcr_date]</t>
  </si>
  <si>
    <t>Analysis period (years)</t>
  </si>
  <si>
    <t>[years]\</t>
  </si>
  <si>
    <t>Output dollars</t>
  </si>
  <si>
    <t>[output_dollars]</t>
  </si>
  <si>
    <t>Other benefits date</t>
  </si>
  <si>
    <t>[custval_date]</t>
  </si>
  <si>
    <r>
      <t>Value of CO</t>
    </r>
    <r>
      <rPr>
        <vertAlign val="subscript"/>
        <sz val="8.5"/>
        <color theme="1"/>
        <rFont val="Calibri"/>
        <family val="2"/>
      </rPr>
      <t>2</t>
    </r>
    <r>
      <rPr>
        <sz val="10"/>
        <color theme="1"/>
        <rFont val="Calibri"/>
        <family val="2"/>
        <scheme val="minor"/>
      </rPr>
      <t xml:space="preserve"> reductions input date</t>
    </r>
  </si>
  <si>
    <t>VCR</t>
  </si>
  <si>
    <t>TRG weighted average</t>
  </si>
  <si>
    <t>2024 VCR ($/MWh)</t>
  </si>
  <si>
    <t>VNR</t>
  </si>
  <si>
    <t>($/MWh)</t>
  </si>
  <si>
    <t>Terang</t>
  </si>
  <si>
    <t>6-12h VCR</t>
  </si>
  <si>
    <t>Proportion</t>
  </si>
  <si>
    <t>Domestic</t>
  </si>
  <si>
    <t>Commercial</t>
  </si>
  <si>
    <t>Industrial</t>
  </si>
  <si>
    <t>Agricultural</t>
  </si>
  <si>
    <t>Risks</t>
  </si>
  <si>
    <t>SAFETY</t>
  </si>
  <si>
    <t>Value of statistical life</t>
  </si>
  <si>
    <t>Value of injury</t>
  </si>
  <si>
    <t>^ Public or employee</t>
  </si>
  <si>
    <t>Incident type</t>
  </si>
  <si>
    <t>Value</t>
  </si>
  <si>
    <t>Probability</t>
  </si>
  <si>
    <t>DF selected</t>
  </si>
  <si>
    <t>Description/comment</t>
  </si>
  <si>
    <t>Safety (fatality)</t>
  </si>
  <si>
    <t>Safety (injury)</t>
  </si>
  <si>
    <t>UNPLANNED REPLACEMENT/REPAIR</t>
  </si>
  <si>
    <t>Major failure (replace)</t>
  </si>
  <si>
    <t>Minor failure (repair)</t>
  </si>
  <si>
    <t>Premium for failure</t>
  </si>
  <si>
    <t>Other benefits</t>
  </si>
  <si>
    <t>ENVIRONMENTAL</t>
  </si>
  <si>
    <t>2027-28</t>
  </si>
  <si>
    <t>2028-29</t>
  </si>
  <si>
    <t>2029-30</t>
  </si>
  <si>
    <t>2030-31</t>
  </si>
  <si>
    <t>2031-32</t>
  </si>
  <si>
    <r>
      <t>Value of CO</t>
    </r>
    <r>
      <rPr>
        <vertAlign val="subscript"/>
        <sz val="8.5"/>
        <color theme="1"/>
        <rFont val="Calibri"/>
        <family val="2"/>
      </rPr>
      <t>2</t>
    </r>
    <r>
      <rPr>
        <sz val="10"/>
        <color theme="1"/>
        <rFont val="Calibri"/>
        <family val="2"/>
        <scheme val="minor"/>
      </rPr>
      <t xml:space="preserve"> reductions</t>
    </r>
  </si>
  <si>
    <t>$/kWh</t>
  </si>
  <si>
    <t>CUSTOMER VALUE</t>
  </si>
  <si>
    <t>Reliability in worst-served areas</t>
  </si>
  <si>
    <t>per MWh</t>
  </si>
  <si>
    <t>Enabling solar exports</t>
  </si>
  <si>
    <t>Customer value per kWh of storage capacity in local community:</t>
  </si>
  <si>
    <t>per customer</t>
  </si>
  <si>
    <t>Customer value of time - residential</t>
  </si>
  <si>
    <t>per customer minute</t>
  </si>
  <si>
    <t>Customer value of time - business</t>
  </si>
  <si>
    <t>Communication</t>
  </si>
  <si>
    <t>Information accessibility</t>
  </si>
  <si>
    <t>Sensitivities</t>
  </si>
  <si>
    <t>Capex</t>
  </si>
  <si>
    <t>Total benefits</t>
  </si>
  <si>
    <t>OPTION 1 (base case)</t>
  </si>
  <si>
    <t>Count</t>
  </si>
  <si>
    <r>
      <t>Value of CO</t>
    </r>
    <r>
      <rPr>
        <i/>
        <vertAlign val="subscript"/>
        <sz val="7.65"/>
        <color theme="1" tint="0.499984740745262"/>
        <rFont val="Calibri"/>
        <family val="2"/>
      </rPr>
      <t>2</t>
    </r>
    <r>
      <rPr>
        <i/>
        <sz val="9"/>
        <color theme="1" tint="0.499984740745262"/>
        <rFont val="Calibri"/>
        <family val="2"/>
        <scheme val="minor"/>
      </rPr>
      <t xml:space="preserve"> reductions</t>
    </r>
  </si>
  <si>
    <t>$/MWh</t>
  </si>
  <si>
    <t>Units</t>
  </si>
  <si>
    <t>INVESTMENT &amp; OPERATING COST</t>
  </si>
  <si>
    <t>Asset life (yrs)</t>
  </si>
  <si>
    <t>&lt; Enter description &gt;</t>
  </si>
  <si>
    <t>RISK ASSUMPTIONS</t>
  </si>
  <si>
    <t>PoF (major)</t>
  </si>
  <si>
    <t>PoF (reparable)</t>
  </si>
  <si>
    <t>Energy at risk (weighted)</t>
  </si>
  <si>
    <t>MWh</t>
  </si>
  <si>
    <t>Energy at risk value</t>
  </si>
  <si>
    <t>Safety consequence</t>
  </si>
  <si>
    <t>(after DF)</t>
  </si>
  <si>
    <t>Unplanned replacements</t>
  </si>
  <si>
    <t>Environmental consequence</t>
  </si>
  <si>
    <t>&lt; Other risk - enter description &gt;</t>
  </si>
  <si>
    <t>Total risk cost</t>
  </si>
  <si>
    <t>OTHER BENEFITS</t>
  </si>
  <si>
    <r>
      <t>Reduction in CO</t>
    </r>
    <r>
      <rPr>
        <vertAlign val="subscript"/>
        <sz val="8.5"/>
        <color theme="1"/>
        <rFont val="Calibri"/>
        <family val="2"/>
      </rPr>
      <t>2</t>
    </r>
    <r>
      <rPr>
        <sz val="10"/>
        <color theme="1"/>
        <rFont val="Calibri"/>
        <family val="2"/>
        <scheme val="minor"/>
      </rPr>
      <t xml:space="preserve"> emissions</t>
    </r>
  </si>
  <si>
    <r>
      <t>Value of reduction in CO</t>
    </r>
    <r>
      <rPr>
        <vertAlign val="subscript"/>
        <sz val="8.5"/>
        <color theme="1"/>
        <rFont val="Calibri"/>
        <family val="2"/>
      </rPr>
      <t>2</t>
    </r>
    <r>
      <rPr>
        <sz val="10"/>
        <color theme="1"/>
        <rFont val="Calibri"/>
        <family val="2"/>
        <scheme val="minor"/>
      </rPr>
      <t xml:space="preserve"> emissions</t>
    </r>
  </si>
  <si>
    <t>$</t>
  </si>
  <si>
    <t>Incremental reliability in worst-served areas</t>
  </si>
  <si>
    <t>Incremental network resilience (domestic)</t>
  </si>
  <si>
    <t>Incremental network resilience (commercial)</t>
  </si>
  <si>
    <t>Incremental network resilience (industrial)</t>
  </si>
  <si>
    <t>Incremental network resilience (agricultural)</t>
  </si>
  <si>
    <t>Other benefits 1</t>
  </si>
  <si>
    <t>Other benefits 2</t>
  </si>
  <si>
    <t>Total other benefits</t>
  </si>
  <si>
    <t>Risks mitigated vs base case</t>
  </si>
  <si>
    <t>Cumulative capex</t>
  </si>
  <si>
    <t>Annualised capex</t>
  </si>
  <si>
    <t>Total annualised capex</t>
  </si>
  <si>
    <t>Risk mitigated</t>
  </si>
  <si>
    <t>Other benefits value</t>
  </si>
  <si>
    <t>Net benefits</t>
  </si>
  <si>
    <t>OPTION 2</t>
  </si>
  <si>
    <t>First capex year</t>
  </si>
  <si>
    <t>First year</t>
  </si>
  <si>
    <t>OPTION 3</t>
  </si>
  <si>
    <t>OPTION 4</t>
  </si>
  <si>
    <t>OPTION 5</t>
  </si>
  <si>
    <t>CONSOLIDATED</t>
  </si>
  <si>
    <t>Discount factor</t>
  </si>
  <si>
    <t>Analysis period</t>
  </si>
  <si>
    <t>COSTS</t>
  </si>
  <si>
    <t>PV</t>
  </si>
  <si>
    <t>CHART DATA</t>
  </si>
  <si>
    <t>Energy at risk</t>
  </si>
  <si>
    <t>SENSITIVITY CALCULATIONS</t>
  </si>
  <si>
    <t>Option 2</t>
  </si>
  <si>
    <t>Option 3</t>
  </si>
  <si>
    <t>Option 4</t>
  </si>
  <si>
    <t>Option 5</t>
  </si>
  <si>
    <t>Max</t>
  </si>
  <si>
    <t>Preferred</t>
  </si>
  <si>
    <t>None</t>
  </si>
  <si>
    <t>WORKINGS - COSTS</t>
  </si>
  <si>
    <t>1. Scope of Works</t>
  </si>
  <si>
    <t>It is proposed to install a tie line between TRG024 and WBL012 feeder to allow for the transfer of customers between the two feeders. The transfer will be completed using remote controlled switch equipment on the two feeders. Works will include the installation of 0.75km of new overhead HV, 8.6km of upgrades to existing HV overhead lines and the installation of 3 remote controllable ACR's.</t>
  </si>
  <si>
    <r>
      <t>·</t>
    </r>
    <r>
      <rPr>
        <sz val="7"/>
        <color theme="1"/>
        <rFont val="Times New Roman"/>
        <family val="1"/>
      </rPr>
      <t xml:space="preserve">         </t>
    </r>
    <r>
      <rPr>
        <sz val="10"/>
        <color theme="1"/>
        <rFont val="Calibri"/>
        <family val="2"/>
      </rPr>
      <t>Upgrade Nirranda Sth P53 LIS- 3644 to Irvine P16 – LIS 732970 - 8.6 km</t>
    </r>
  </si>
  <si>
    <r>
      <t>·</t>
    </r>
    <r>
      <rPr>
        <sz val="7"/>
        <color theme="1"/>
        <rFont val="Times New Roman"/>
        <family val="1"/>
      </rPr>
      <t xml:space="preserve">         </t>
    </r>
    <r>
      <rPr>
        <sz val="10"/>
        <color theme="1"/>
        <rFont val="Calibri"/>
        <family val="2"/>
      </rPr>
      <t>New tie line – Irvine P16 – LIS 732970 to Temporary Pole 3 – LIS 407056 – 0.75km</t>
    </r>
  </si>
  <si>
    <r>
      <t>·</t>
    </r>
    <r>
      <rPr>
        <sz val="7"/>
        <color theme="1"/>
        <rFont val="Times New Roman"/>
        <family val="1"/>
      </rPr>
      <t xml:space="preserve">         </t>
    </r>
    <r>
      <rPr>
        <sz val="10"/>
        <color theme="1"/>
        <rFont val="Calibri"/>
        <family val="2"/>
      </rPr>
      <t>Remote controlled Switch at Nirranda Sth Pole 1 # 15966</t>
    </r>
  </si>
  <si>
    <r>
      <t>·</t>
    </r>
    <r>
      <rPr>
        <sz val="7"/>
        <color theme="1"/>
        <rFont val="Times New Roman"/>
        <family val="1"/>
      </rPr>
      <t xml:space="preserve">         </t>
    </r>
    <r>
      <rPr>
        <sz val="10"/>
        <color theme="1"/>
        <rFont val="Calibri"/>
        <family val="2"/>
      </rPr>
      <t>Remote controlled switch at Peterborough P125 – LIS 406971</t>
    </r>
  </si>
  <si>
    <r>
      <t>·</t>
    </r>
    <r>
      <rPr>
        <sz val="7"/>
        <color theme="1"/>
        <rFont val="Times New Roman"/>
        <family val="1"/>
      </rPr>
      <t xml:space="preserve">         </t>
    </r>
    <r>
      <rPr>
        <sz val="10"/>
        <color theme="1"/>
        <rFont val="Calibri"/>
        <family val="2"/>
      </rPr>
      <t>Remote controlled switch at new open point.</t>
    </r>
  </si>
  <si>
    <r>
      <t>·</t>
    </r>
    <r>
      <rPr>
        <sz val="7"/>
        <color theme="1"/>
        <rFont val="Times New Roman"/>
        <family val="1"/>
      </rPr>
      <t xml:space="preserve">         </t>
    </r>
    <r>
      <rPr>
        <sz val="10"/>
        <color theme="1"/>
        <rFont val="Calibri"/>
        <family val="2"/>
      </rPr>
      <t>REFCL feeder hardening on WBL012 – replacement of surge diverters at 75 locations.</t>
    </r>
  </si>
  <si>
    <t>2. Cost Build Up</t>
  </si>
  <si>
    <t>Volume</t>
  </si>
  <si>
    <t>Cost per Unit</t>
  </si>
  <si>
    <t>New Line - km</t>
  </si>
  <si>
    <t>New U/G - km</t>
  </si>
  <si>
    <t>Reconductor Line - km</t>
  </si>
  <si>
    <t>REFCL Hardening</t>
  </si>
  <si>
    <t>Capex profile</t>
  </si>
  <si>
    <t>WORKINGS - BENEFITS</t>
  </si>
  <si>
    <t xml:space="preserve">1. Customer History </t>
  </si>
  <si>
    <t>Customers In Benefit Area</t>
  </si>
  <si>
    <t>Feeder</t>
  </si>
  <si>
    <t>Feeder Category</t>
  </si>
  <si>
    <t>No of NMI's</t>
  </si>
  <si>
    <t>5 Yr Avg SAIFI</t>
  </si>
  <si>
    <t>5 Yr Avg SAIDI</t>
  </si>
  <si>
    <t>5 Yr Avg Cust Int</t>
  </si>
  <si>
    <t>5 Yr Avg CMOS</t>
  </si>
  <si>
    <t>Avg CAIDI</t>
  </si>
  <si>
    <t>Energy Not Supplied</t>
  </si>
  <si>
    <t>Total Energy Not Supplied</t>
  </si>
  <si>
    <t>TRG024</t>
  </si>
  <si>
    <t>Rural Long</t>
  </si>
  <si>
    <t>WBL012</t>
  </si>
  <si>
    <t>1. MWh Reliability Calulator - Converts Cust Affected and Customer Minutes to Energy Lost</t>
  </si>
  <si>
    <t>2021-2026 Incentive Rate Calculation</t>
  </si>
  <si>
    <t>Urban</t>
  </si>
  <si>
    <t>Rural Short</t>
  </si>
  <si>
    <t>VCR $/MWh</t>
  </si>
  <si>
    <t>CPI</t>
  </si>
  <si>
    <t>w_n</t>
  </si>
  <si>
    <t>Energy Supplied MWh</t>
  </si>
  <si>
    <t>Revenue $</t>
  </si>
  <si>
    <t>SAIDI</t>
  </si>
  <si>
    <t>SAIFI</t>
  </si>
  <si>
    <t>MAIFI</t>
  </si>
  <si>
    <t>Incentive Rate</t>
  </si>
  <si>
    <t>ir - SAIDI</t>
  </si>
  <si>
    <t>ir - SAIFI</t>
  </si>
  <si>
    <t>ir - MAIFI (% of SAIFI)</t>
  </si>
  <si>
    <t>Value of Reliability Calulations</t>
  </si>
  <si>
    <t>2022-2026 Smoothed Revenue $m</t>
  </si>
  <si>
    <t>$ per Unit</t>
  </si>
  <si>
    <t>Cust</t>
  </si>
  <si>
    <t>$ per Outage Type</t>
  </si>
  <si>
    <t>SAIDI - $ per CMOS</t>
  </si>
  <si>
    <t>SAIFI - $ per Sustained Cust</t>
  </si>
  <si>
    <t>MAIFI - $ per Momentary Cust</t>
  </si>
  <si>
    <t>MWh by Outage Type</t>
  </si>
  <si>
    <t>MWh per CMOS</t>
  </si>
  <si>
    <t>MWh per Sustained Cust</t>
  </si>
  <si>
    <t>MWh per Momentary Cust Int</t>
  </si>
  <si>
    <t>2. Customer Improvements</t>
  </si>
  <si>
    <t xml:space="preserve">SAIDI/SAIFI Improvement from installing the tie line is influenced by a number of factors. These include location of fault, capacity of tie to pick up load tranmsfer, operational restictions due temprary network re-configurations, REFCl opeerating mode and restictions. </t>
  </si>
  <si>
    <t>Factors to consider</t>
  </si>
  <si>
    <r>
      <rPr>
        <b/>
        <sz val="10"/>
        <color theme="1"/>
        <rFont val="Calibri"/>
        <family val="2"/>
        <scheme val="minor"/>
      </rPr>
      <t>Fault Location</t>
    </r>
    <r>
      <rPr>
        <sz val="10"/>
        <color theme="1"/>
        <rFont val="Calibri"/>
        <family val="2"/>
        <scheme val="minor"/>
      </rPr>
      <t xml:space="preserve">
Fault is within transfer zone</t>
    </r>
  </si>
  <si>
    <r>
      <rPr>
        <b/>
        <sz val="10"/>
        <color theme="1"/>
        <rFont val="Calibri"/>
        <family val="2"/>
        <scheme val="minor"/>
      </rPr>
      <t>Transfer Capacity</t>
    </r>
    <r>
      <rPr>
        <sz val="10"/>
        <color theme="1"/>
        <rFont val="Calibri"/>
        <family val="2"/>
        <scheme val="minor"/>
      </rPr>
      <t xml:space="preserve">
Ability of healthy tie feeder to pickup transfer. 
(% time unable to transfer)</t>
    </r>
  </si>
  <si>
    <r>
      <rPr>
        <b/>
        <sz val="10"/>
        <color theme="1"/>
        <rFont val="Calibri"/>
        <family val="2"/>
        <scheme val="minor"/>
      </rPr>
      <t>Operational Constraints</t>
    </r>
    <r>
      <rPr>
        <sz val="10"/>
        <color theme="1"/>
        <rFont val="Calibri"/>
        <family val="2"/>
        <scheme val="minor"/>
      </rPr>
      <t xml:space="preserve">
Restriction on the ability to transfer customers as the system is switch abormally. Reclose suppression for tree clearing or live line work. Ability to complete auto transfer between Zone Substations.
(% time restriction in place)</t>
    </r>
  </si>
  <si>
    <r>
      <rPr>
        <b/>
        <sz val="10"/>
        <color theme="1"/>
        <rFont val="Calibri"/>
        <family val="2"/>
        <scheme val="minor"/>
      </rPr>
      <t xml:space="preserve">REFCL Operation Mode (Fire v's Non Fire season)
</t>
    </r>
    <r>
      <rPr>
        <sz val="10"/>
        <color theme="1"/>
        <rFont val="Calibri"/>
        <family val="2"/>
        <scheme val="minor"/>
      </rPr>
      <t>Electricity safety Acr specifies requirement for certain sections of the network to be protected by REFCL's during the declared fire danger period. This restrictions limits duration/time of temporary transfers.
(% Time restriction in place)</t>
    </r>
  </si>
  <si>
    <t>Reliability Improvement</t>
  </si>
  <si>
    <t>No. Customers to Benefit</t>
  </si>
  <si>
    <t>SAIFI Improvements</t>
  </si>
  <si>
    <t>SAIDI Improvements</t>
  </si>
  <si>
    <t>Cust Int saving</t>
  </si>
  <si>
    <t>CMOS Saving</t>
  </si>
  <si>
    <t>Energy Not Supplied Saved</t>
  </si>
  <si>
    <t>WSC</t>
  </si>
  <si>
    <t>TRG024-WBL012 Tie Tie</t>
  </si>
  <si>
    <t>WSC Benefits</t>
  </si>
  <si>
    <t>Benefit Summary</t>
  </si>
  <si>
    <t>WSC Cust Benefit</t>
  </si>
  <si>
    <t>Reliability Benefit</t>
  </si>
  <si>
    <t>ESCALATION &amp; OTHER</t>
  </si>
  <si>
    <t>Year end</t>
  </si>
  <si>
    <t>Actual/forecast CPI (June to June)</t>
  </si>
  <si>
    <t>HY ending</t>
  </si>
  <si>
    <t>FY ending</t>
  </si>
  <si>
    <t>Actual cumulative HY escalation</t>
  </si>
  <si>
    <t>Convert from input dollars</t>
  </si>
  <si>
    <t>To output dollars</t>
  </si>
  <si>
    <t>Conversion from input dollars to output dollars</t>
  </si>
  <si>
    <t>Convert from VCR date</t>
  </si>
  <si>
    <t>To input dollars</t>
  </si>
  <si>
    <t>VCR escalation</t>
  </si>
  <si>
    <t>Start_year</t>
  </si>
  <si>
    <t>FIRST YEAR</t>
  </si>
  <si>
    <t>Option included</t>
  </si>
  <si>
    <t>Option 1 (base case)</t>
  </si>
  <si>
    <t>Message</t>
  </si>
  <si>
    <t>DATA</t>
  </si>
  <si>
    <t>Options</t>
  </si>
  <si>
    <t>Not used</t>
  </si>
  <si>
    <t>Text</t>
  </si>
  <si>
    <t>Flags for compliance project</t>
  </si>
  <si>
    <t>Option1</t>
  </si>
  <si>
    <t>Option2</t>
  </si>
  <si>
    <t>Option3</t>
  </si>
  <si>
    <t>Option4</t>
  </si>
  <si>
    <t>Option5</t>
  </si>
  <si>
    <t>Yes</t>
  </si>
  <si>
    <t>Not applicable (compliance)</t>
  </si>
  <si>
    <t xml:space="preserve"> </t>
  </si>
  <si>
    <t>For conditional formatting of preferred option on Summary :</t>
  </si>
  <si>
    <t>Categories</t>
  </si>
  <si>
    <t>Short categ</t>
  </si>
  <si>
    <t>Benefits</t>
  </si>
  <si>
    <t>Flag to include</t>
  </si>
  <si>
    <t>Defined value</t>
  </si>
  <si>
    <t>Unserved energy</t>
  </si>
  <si>
    <t>Energy</t>
  </si>
  <si>
    <t>Safety</t>
  </si>
  <si>
    <t>Unplanned replacement</t>
  </si>
  <si>
    <t>UnRepl</t>
  </si>
  <si>
    <t>Bushfire</t>
  </si>
  <si>
    <t>Fire</t>
  </si>
  <si>
    <t>Carbon</t>
  </si>
  <si>
    <t>Other</t>
  </si>
  <si>
    <t>Network resilience</t>
  </si>
  <si>
    <t>Aesthetics</t>
  </si>
  <si>
    <t>Customers impacted</t>
  </si>
  <si>
    <t>Customer minutes</t>
  </si>
  <si>
    <t>Value of benefits</t>
  </si>
  <si>
    <t>per customer impacted</t>
  </si>
  <si>
    <t>per minute customer time</t>
  </si>
  <si>
    <t>Conversions</t>
  </si>
  <si>
    <t>thous_conv</t>
  </si>
  <si>
    <t>mill_conv</t>
  </si>
  <si>
    <t>Enter asset life</t>
  </si>
  <si>
    <t>Error message</t>
  </si>
  <si>
    <t>Remove inputs prior to start year</t>
  </si>
  <si>
    <t>Disproportionate factors applied to various bushfire and other risk valuations</t>
  </si>
  <si>
    <t>- Select -</t>
  </si>
  <si>
    <t>Harm to property from network</t>
  </si>
  <si>
    <t>Harm to property from bushfire</t>
  </si>
  <si>
    <t>Harm to environment</t>
  </si>
  <si>
    <t>Safety - Public trespass</t>
  </si>
  <si>
    <t>Safety - Single fatality or serious injury ^</t>
  </si>
  <si>
    <r>
      <t xml:space="preserve">Safety from bushfire in </t>
    </r>
    <r>
      <rPr>
        <sz val="8"/>
        <color theme="1"/>
        <rFont val="Calibri"/>
        <family val="2"/>
      </rPr>
      <t>HBRA</t>
    </r>
  </si>
  <si>
    <t>Safety - Multiple fatality or serious injury ^</t>
  </si>
  <si>
    <t>Safety from bushfire (REFCL declared areas)</t>
  </si>
  <si>
    <t>Safety from bushfire (electric line construction areas)</t>
  </si>
  <si>
    <t>DROPDOWN LISTS</t>
  </si>
  <si>
    <t>Business</t>
  </si>
  <si>
    <t>Type</t>
  </si>
  <si>
    <t>Include</t>
  </si>
  <si>
    <t>Dollar inputs - month</t>
  </si>
  <si>
    <t>Not used options</t>
  </si>
  <si>
    <t>Dollar inputs - year</t>
  </si>
  <si>
    <t>Compliance</t>
  </si>
  <si>
    <t>Capex first year</t>
  </si>
  <si>
    <t>CitiPower</t>
  </si>
  <si>
    <t>CP</t>
  </si>
  <si>
    <t>CP:</t>
  </si>
  <si>
    <t>June</t>
  </si>
  <si>
    <t>CY</t>
  </si>
  <si>
    <t>PA</t>
  </si>
  <si>
    <t>PAL:</t>
  </si>
  <si>
    <t>FY</t>
  </si>
  <si>
    <t>2025-26</t>
  </si>
  <si>
    <t>United Energy</t>
  </si>
  <si>
    <t>UE</t>
  </si>
  <si>
    <t>UE:</t>
  </si>
  <si>
    <t>Opex</t>
  </si>
  <si>
    <t>2024-25</t>
  </si>
  <si>
    <t>WSC Outages</t>
  </si>
  <si>
    <t>Revised regulatory proposal 2026-31</t>
  </si>
  <si>
    <t>3.3.04</t>
  </si>
  <si>
    <t>km</t>
  </si>
  <si>
    <t>Remote Sw</t>
  </si>
  <si>
    <t>Remote ACR's</t>
  </si>
  <si>
    <t>Regulator</t>
  </si>
  <si>
    <t>each</t>
  </si>
  <si>
    <t>Indicative Cost ($ 2023)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</si>
</sst>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2">
    <numFmt numFmtId="41" formatCode="_-* #,##0_-;\-* #,##0_-;_-* &quot;-&quot;_-;_-@_-"/>
    <numFmt numFmtId="44" formatCode="_-&quot;$&quot;* #,##0.00_-;\-&quot;$&quot;* #,##0.00_-;_-&quot;$&quot;* &quot;-&quot;??_-;_-@_-"/>
    <numFmt numFmtId="43" formatCode="_-* #,##0.00_-;\-* #,##0.00_-;_-* &quot;-&quot;??_-;_-@_-"/>
    <numFmt numFmtId="164" formatCode="_(* #,##0_);_(* \(#,##0\);_(* &quot;-&quot;??_);_(@_)"/>
    <numFmt numFmtId="165" formatCode="_-* #,##0_-;* \(#,##0\)_-;_-* &quot;-&quot;??_-;_-@_-"/>
    <numFmt numFmtId="166" formatCode="#,##0_);\(#,##0\);\-\-_)"/>
    <numFmt numFmtId="167" formatCode="#,##0;[Red]\ \-#,##0;\ &quot;-&quot;"/>
    <numFmt numFmtId="168" formatCode="&quot;$&quot;\ mmm\ yyyy"/>
    <numFmt numFmtId="169" formatCode="&quot;$&quot;#,##0.00"/>
    <numFmt numFmtId="170" formatCode="&quot;$&quot;#,##0"/>
    <numFmt numFmtId="171" formatCode="0.000"/>
    <numFmt numFmtId="172" formatCode="mmmm"/>
    <numFmt numFmtId="173" formatCode="#,##0;[Red]\ \(#,##0\);\ &quot;-&quot;"/>
    <numFmt numFmtId="174" formatCode="0.0000"/>
    <numFmt numFmtId="175" formatCode="#,##0.000;[Red]\ \-#,##0.000;\ &quot;-&quot;"/>
    <numFmt numFmtId="176" formatCode="#,##0;[Red]\ \ \-\ #,##0;\ &quot;-&quot;"/>
    <numFmt numFmtId="177" formatCode="#,##0.00;[Red]\ \-#,##0.00;\ &quot;-&quot;"/>
    <numFmt numFmtId="178" formatCode="#,##0.0;[Red]\ \(#,##0.0\);\ &quot;-&quot;"/>
    <numFmt numFmtId="179" formatCode="#,##0.0;[Red]\ \-#,##0.0;\ &quot;-&quot;"/>
    <numFmt numFmtId="180" formatCode="&quot;$&quot;#,##0;\ \-&quot;$&quot;#,##0;\ &quot;-&quot;"/>
    <numFmt numFmtId="181" formatCode="0;\ \-0;\ &quot;&quot;"/>
    <numFmt numFmtId="182" formatCode="#,##0.00000;[Red]\ \-#,##0.00000;\ &quot;-&quot;"/>
    <numFmt numFmtId="183" formatCode="0;\ \-0;\ &quot;-&quot;"/>
    <numFmt numFmtId="184" formatCode="#,##0.000000;\ \-#,##0.000000;\ &quot;-&quot;"/>
    <numFmt numFmtId="185" formatCode="#,##0;\ \-#,##0;\ &quot;-&quot;"/>
    <numFmt numFmtId="186" formatCode="&quot;year &quot;#"/>
    <numFmt numFmtId="187" formatCode="#,##0.0000000;[Red]\ \-#,##0.0000000;\ &quot;-&quot;"/>
    <numFmt numFmtId="188" formatCode="&quot;$&quot;&quot;m&quot;\ mmm\ yyyy"/>
    <numFmt numFmtId="189" formatCode="\+0%;[Red]\ \ \-0%;\ &quot;-&quot;"/>
    <numFmt numFmtId="190" formatCode="#,##0.00_ ;[Red]\-#,##0.00\ "/>
    <numFmt numFmtId="191" formatCode="#,##0.0;[Red]\ \-#,##0.0;\ &quot;&quot;"/>
    <numFmt numFmtId="192" formatCode="0.000000000000000"/>
    <numFmt numFmtId="193" formatCode="0%;[Red]\ \ \-0%;\ &quot;-&quot;"/>
    <numFmt numFmtId="194" formatCode="mmm\ yyyy"/>
    <numFmt numFmtId="195" formatCode="&quot;$&quot;\ 0,\ \k"/>
    <numFmt numFmtId="196" formatCode="_-* #,##0_-;\-* #,##0_-;_-* &quot;-&quot;??_-;_-@_-"/>
    <numFmt numFmtId="197" formatCode="_-&quot;$&quot;* #,##0_-;\-&quot;$&quot;* #,##0_-;_-&quot;$&quot;* &quot;-&quot;??_-;_-@_-"/>
    <numFmt numFmtId="198" formatCode="_(* #,##0.00_);_(* \(#,##0.00\);_(* &quot;-&quot;??_);_(@_)"/>
    <numFmt numFmtId="199" formatCode="_-* #,##0.0000000_-;\-* #,##0.0000000_-;_-* &quot;-&quot;??_-;_-@_-"/>
    <numFmt numFmtId="200" formatCode="0.00000"/>
    <numFmt numFmtId="202" formatCode="d\ mmmm\ yyyy"/>
    <numFmt numFmtId="203" formatCode="&quot;$&quot;#,##0;[Red]\ \-&quot;$&quot;#,##0;\ &quot;-&quot;"/>
  </numFmts>
  <fonts count="105" x14ac:knownFonts="1">
    <font>
      <sz val="10"/>
      <color theme="1"/>
      <name val="Verdana"/>
      <family val="2"/>
    </font>
    <font>
      <sz val="10"/>
      <color theme="1"/>
      <name val="Calibri"/>
      <family val="2"/>
    </font>
    <font>
      <sz val="10"/>
      <color theme="3"/>
      <name val="Arial"/>
      <family val="2"/>
    </font>
    <font>
      <sz val="11"/>
      <color theme="1"/>
      <name val="Arial"/>
      <family val="2"/>
    </font>
    <font>
      <sz val="10"/>
      <color theme="0" tint="-0.34998626667073579"/>
      <name val="Arial"/>
      <family val="2"/>
    </font>
    <font>
      <sz val="10"/>
      <name val="Arial"/>
      <family val="2"/>
    </font>
    <font>
      <sz val="10"/>
      <color theme="1"/>
      <name val="Arial"/>
      <family val="2"/>
    </font>
    <font>
      <sz val="10"/>
      <color theme="9" tint="-0.499984740745262"/>
      <name val="Arial"/>
      <family val="2"/>
    </font>
    <font>
      <sz val="10"/>
      <color theme="0"/>
      <name val="Arial"/>
      <family val="2"/>
    </font>
    <font>
      <sz val="10"/>
      <color theme="0" tint="-0.499984740745262"/>
      <name val="Arial"/>
      <family val="2"/>
    </font>
    <font>
      <i/>
      <sz val="10"/>
      <color theme="0" tint="-0.34998626667073579"/>
      <name val="Arial"/>
      <family val="2"/>
    </font>
    <font>
      <b/>
      <sz val="14"/>
      <color indexed="9"/>
      <name val="Arial"/>
      <family val="2"/>
    </font>
    <font>
      <b/>
      <u/>
      <sz val="10"/>
      <color theme="1"/>
      <name val="Arial"/>
      <family val="2"/>
    </font>
    <font>
      <b/>
      <sz val="10"/>
      <color theme="1"/>
      <name val="Arial"/>
      <family val="2"/>
    </font>
    <font>
      <u/>
      <sz val="10"/>
      <color theme="1"/>
      <name val="Arial"/>
      <family val="2"/>
    </font>
    <font>
      <b/>
      <sz val="12"/>
      <color indexed="9"/>
      <name val="Arial"/>
      <family val="2"/>
    </font>
    <font>
      <sz val="10"/>
      <color theme="1"/>
      <name val="Calibri"/>
      <family val="2"/>
      <scheme val="minor"/>
    </font>
    <font>
      <sz val="10"/>
      <color rgb="FF000000"/>
      <name val="Calibri"/>
      <family val="2"/>
      <scheme val="minor"/>
    </font>
    <font>
      <b/>
      <sz val="10"/>
      <color theme="1"/>
      <name val="Calibri"/>
      <family val="2"/>
      <scheme val="minor"/>
    </font>
    <font>
      <sz val="11"/>
      <color theme="1"/>
      <name val="Calibri"/>
      <family val="2"/>
      <scheme val="minor"/>
    </font>
    <font>
      <b/>
      <sz val="10"/>
      <color rgb="FFFFFFFF"/>
      <name val="Calibri"/>
      <family val="2"/>
      <scheme val="minor"/>
    </font>
    <font>
      <b/>
      <sz val="12"/>
      <color theme="1"/>
      <name val="Calibri"/>
      <family val="2"/>
      <scheme val="minor"/>
    </font>
    <font>
      <sz val="10"/>
      <name val="Calibri"/>
      <family val="2"/>
    </font>
    <font>
      <sz val="9"/>
      <name val="Calibri"/>
      <family val="2"/>
      <scheme val="minor"/>
    </font>
    <font>
      <sz val="9"/>
      <color theme="1"/>
      <name val="Calibri"/>
      <family val="2"/>
      <scheme val="minor"/>
    </font>
    <font>
      <b/>
      <sz val="11"/>
      <color rgb="FFFFFFFF"/>
      <name val="Calibri"/>
      <family val="2"/>
      <scheme val="minor"/>
    </font>
    <font>
      <b/>
      <sz val="14"/>
      <color indexed="9"/>
      <name val="Calibri"/>
      <family val="2"/>
      <scheme val="minor"/>
    </font>
    <font>
      <i/>
      <sz val="10"/>
      <color theme="1"/>
      <name val="Calibri"/>
      <family val="2"/>
      <scheme val="minor"/>
    </font>
    <font>
      <sz val="10"/>
      <color rgb="FF3333FF"/>
      <name val="Calibri"/>
      <family val="2"/>
      <scheme val="minor"/>
    </font>
    <font>
      <sz val="8"/>
      <color rgb="FF767676"/>
      <name val="Arial"/>
      <family val="2"/>
    </font>
    <font>
      <vertAlign val="subscript"/>
      <sz val="8.5"/>
      <color theme="1"/>
      <name val="Calibri"/>
      <family val="2"/>
    </font>
    <font>
      <b/>
      <sz val="10"/>
      <color rgb="FF000000"/>
      <name val="Calibri"/>
      <family val="2"/>
      <scheme val="minor"/>
    </font>
    <font>
      <b/>
      <sz val="11"/>
      <color indexed="9"/>
      <name val="Calibri"/>
      <family val="2"/>
      <scheme val="minor"/>
    </font>
    <font>
      <b/>
      <sz val="11"/>
      <color indexed="9"/>
      <name val="Calibri"/>
      <family val="2"/>
    </font>
    <font>
      <sz val="10"/>
      <color rgb="FF0000CC"/>
      <name val="Calibri"/>
      <family val="2"/>
    </font>
    <font>
      <sz val="10"/>
      <name val="Calibri"/>
      <family val="2"/>
      <scheme val="minor"/>
    </font>
    <font>
      <b/>
      <sz val="14"/>
      <color theme="1"/>
      <name val="Calibri"/>
      <family val="2"/>
      <scheme val="minor"/>
    </font>
    <font>
      <b/>
      <sz val="10"/>
      <name val="Calibri"/>
      <family val="2"/>
      <scheme val="minor"/>
    </font>
    <font>
      <b/>
      <sz val="10"/>
      <color rgb="FF3333FF"/>
      <name val="Calibri"/>
      <family val="2"/>
      <scheme val="minor"/>
    </font>
    <font>
      <sz val="8"/>
      <color theme="0" tint="-0.34998626667073579"/>
      <name val="Calibri"/>
      <family val="2"/>
      <scheme val="minor"/>
    </font>
    <font>
      <i/>
      <sz val="9"/>
      <color theme="1" tint="0.499984740745262"/>
      <name val="Calibri"/>
      <family val="2"/>
      <scheme val="minor"/>
    </font>
    <font>
      <b/>
      <i/>
      <sz val="9"/>
      <color theme="1" tint="0.499984740745262"/>
      <name val="Calibri"/>
      <family val="2"/>
      <scheme val="minor"/>
    </font>
    <font>
      <sz val="9"/>
      <color theme="0"/>
      <name val="Calibri"/>
      <family val="2"/>
      <scheme val="minor"/>
    </font>
    <font>
      <b/>
      <sz val="12"/>
      <color indexed="9"/>
      <name val="Calibri"/>
      <family val="2"/>
      <scheme val="minor"/>
    </font>
    <font>
      <i/>
      <sz val="10"/>
      <color theme="1" tint="0.249977111117893"/>
      <name val="Calibri"/>
      <family val="2"/>
      <scheme val="minor"/>
    </font>
    <font>
      <sz val="10"/>
      <color theme="1" tint="0.249977111117893"/>
      <name val="Calibri"/>
      <family val="2"/>
      <scheme val="minor"/>
    </font>
    <font>
      <i/>
      <sz val="10"/>
      <color theme="1" tint="0.499984740745262"/>
      <name val="Calibri"/>
      <family val="2"/>
      <scheme val="minor"/>
    </font>
    <font>
      <i/>
      <sz val="8"/>
      <color theme="1" tint="0.499984740745262"/>
      <name val="Calibri"/>
      <family val="2"/>
      <scheme val="minor"/>
    </font>
    <font>
      <sz val="10"/>
      <color theme="1" tint="0.14999847407452621"/>
      <name val="Calibri"/>
      <family val="2"/>
      <scheme val="minor"/>
    </font>
    <font>
      <i/>
      <sz val="9"/>
      <name val="Calibri"/>
      <family val="2"/>
      <scheme val="minor"/>
    </font>
    <font>
      <b/>
      <sz val="10"/>
      <color theme="1"/>
      <name val="Verdana"/>
      <family val="2"/>
    </font>
    <font>
      <b/>
      <i/>
      <sz val="10"/>
      <color theme="1"/>
      <name val="Calibri"/>
      <family val="2"/>
      <scheme val="minor"/>
    </font>
    <font>
      <b/>
      <sz val="11"/>
      <name val="Calibri"/>
      <family val="2"/>
      <scheme val="minor"/>
    </font>
    <font>
      <b/>
      <i/>
      <sz val="12"/>
      <color rgb="FFFF0000"/>
      <name val="Calibri"/>
      <family val="2"/>
      <scheme val="minor"/>
    </font>
    <font>
      <sz val="8"/>
      <color theme="1"/>
      <name val="Calibri"/>
      <family val="2"/>
    </font>
    <font>
      <i/>
      <vertAlign val="subscript"/>
      <sz val="7.65"/>
      <color theme="1" tint="0.499984740745262"/>
      <name val="Calibri"/>
      <family val="2"/>
    </font>
    <font>
      <sz val="10"/>
      <color indexed="8"/>
      <name val="Calibri"/>
      <family val="2"/>
      <scheme val="minor"/>
    </font>
    <font>
      <b/>
      <sz val="10"/>
      <color theme="0"/>
      <name val="Calibri"/>
      <family val="2"/>
      <scheme val="minor"/>
    </font>
    <font>
      <sz val="10"/>
      <color theme="0"/>
      <name val="Calibri"/>
      <family val="2"/>
      <scheme val="minor"/>
    </font>
    <font>
      <sz val="12"/>
      <color theme="1"/>
      <name val="Calibri"/>
      <family val="2"/>
      <scheme val="minor"/>
    </font>
    <font>
      <b/>
      <sz val="10"/>
      <color indexed="8"/>
      <name val="Calibri"/>
      <family val="2"/>
      <scheme val="minor"/>
    </font>
    <font>
      <sz val="8"/>
      <color theme="1"/>
      <name val="Verdana"/>
      <family val="2"/>
    </font>
    <font>
      <b/>
      <sz val="9"/>
      <color theme="1"/>
      <name val="Calibri"/>
      <family val="2"/>
      <scheme val="minor"/>
    </font>
    <font>
      <b/>
      <sz val="9"/>
      <color theme="0"/>
      <name val="Calibri"/>
      <family val="2"/>
      <scheme val="minor"/>
    </font>
    <font>
      <b/>
      <sz val="11"/>
      <color theme="1"/>
      <name val="Calibri"/>
      <family val="2"/>
      <scheme val="minor"/>
    </font>
    <font>
      <b/>
      <sz val="8"/>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b/>
      <sz val="8"/>
      <color indexed="8"/>
      <name val="Calibri"/>
      <family val="2"/>
      <scheme val="minor"/>
    </font>
    <font>
      <b/>
      <sz val="8"/>
      <color rgb="FF000000"/>
      <name val="Calibri"/>
      <family val="2"/>
      <scheme val="minor"/>
    </font>
    <font>
      <b/>
      <sz val="8"/>
      <color theme="1"/>
      <name val="Verdana"/>
      <family val="2"/>
    </font>
    <font>
      <b/>
      <sz val="10"/>
      <color theme="5"/>
      <name val="Calibri"/>
      <family val="2"/>
      <scheme val="minor"/>
    </font>
    <font>
      <sz val="8"/>
      <name val="Calibri"/>
      <family val="2"/>
      <scheme val="minor"/>
    </font>
    <font>
      <b/>
      <sz val="8"/>
      <color indexed="9"/>
      <name val="Calibri"/>
      <family val="2"/>
    </font>
    <font>
      <i/>
      <sz val="10"/>
      <color rgb="FF000000"/>
      <name val="Calibri"/>
      <family val="2"/>
      <scheme val="minor"/>
    </font>
    <font>
      <i/>
      <sz val="8"/>
      <color theme="0" tint="-0.34998626667073579"/>
      <name val="Calibri"/>
      <family val="2"/>
      <scheme val="minor"/>
    </font>
    <font>
      <i/>
      <sz val="10"/>
      <color indexed="8"/>
      <name val="Calibri"/>
      <family val="2"/>
      <scheme val="minor"/>
    </font>
    <font>
      <b/>
      <sz val="10"/>
      <color rgb="FFFF0000"/>
      <name val="Calibri"/>
      <family val="2"/>
      <scheme val="minor"/>
    </font>
    <font>
      <sz val="8"/>
      <name val="Verdana"/>
      <family val="2"/>
    </font>
    <font>
      <sz val="10"/>
      <color theme="1"/>
      <name val="Verdana"/>
      <family val="2"/>
    </font>
    <font>
      <i/>
      <sz val="9"/>
      <color theme="1"/>
      <name val="Calibri"/>
      <family val="2"/>
      <scheme val="minor"/>
    </font>
    <font>
      <i/>
      <sz val="9"/>
      <color theme="1" tint="0.34998626667073579"/>
      <name val="Calibri"/>
      <family val="2"/>
      <scheme val="minor"/>
    </font>
    <font>
      <sz val="9"/>
      <color theme="1"/>
      <name val="Calibri"/>
      <family val="2"/>
    </font>
    <font>
      <b/>
      <sz val="9"/>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
      <sz val="10"/>
      <color indexed="9"/>
      <name val="Calibri"/>
      <family val="2"/>
    </font>
    <font>
      <sz val="9"/>
      <color rgb="FFFFFFFF"/>
      <name val="Calibri"/>
      <family val="2"/>
      <scheme val="minor"/>
    </font>
    <font>
      <b/>
      <sz val="10"/>
      <color theme="1"/>
      <name val="Calibri"/>
      <family val="2"/>
    </font>
    <font>
      <b/>
      <sz val="14"/>
      <color theme="1"/>
      <name val="Calibri"/>
      <family val="2"/>
    </font>
    <font>
      <sz val="10"/>
      <color theme="1"/>
      <name val="Symbol"/>
      <family val="1"/>
      <charset val="2"/>
    </font>
    <font>
      <sz val="7"/>
      <color theme="1"/>
      <name val="Times New Roman"/>
      <family val="1"/>
    </font>
    <font>
      <sz val="10"/>
      <color rgb="FF000000"/>
      <name val="Calibri"/>
      <family val="2"/>
    </font>
    <font>
      <sz val="11"/>
      <color rgb="FF006100"/>
      <name val="Calibri"/>
      <family val="2"/>
      <scheme val="minor"/>
    </font>
    <font>
      <sz val="10"/>
      <color rgb="FF006100"/>
      <name val="Calibri"/>
      <family val="2"/>
      <scheme val="minor"/>
    </font>
    <font>
      <sz val="8"/>
      <color theme="1"/>
      <name val="Arial"/>
      <family val="2"/>
    </font>
    <font>
      <b/>
      <sz val="10"/>
      <name val="Calibri"/>
      <family val="2"/>
    </font>
    <font>
      <b/>
      <sz val="10"/>
      <color rgb="FF000000"/>
      <name val="Calibri"/>
      <family val="2"/>
    </font>
  </fonts>
  <fills count="26">
    <fill>
      <patternFill patternType="none"/>
    </fill>
    <fill>
      <patternFill patternType="gray125"/>
    </fill>
    <fill>
      <patternFill patternType="solid">
        <fgColor rgb="FFFFFFCC"/>
        <bgColor indexed="64"/>
      </patternFill>
    </fill>
    <fill>
      <patternFill patternType="lightUp">
        <fgColor theme="0" tint="-0.34998626667073579"/>
        <bgColor indexed="65"/>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62"/>
        <bgColor indexed="64"/>
      </patternFill>
    </fill>
    <fill>
      <patternFill patternType="solid">
        <fgColor indexed="65"/>
        <bgColor indexed="64"/>
      </patternFill>
    </fill>
    <fill>
      <patternFill patternType="solid">
        <fgColor rgb="FF002060"/>
        <bgColor indexed="64"/>
      </patternFill>
    </fill>
    <fill>
      <patternFill patternType="solid">
        <fgColor rgb="FFFFFFFF"/>
        <bgColor rgb="FF000000"/>
      </patternFill>
    </fill>
    <fill>
      <patternFill patternType="solid">
        <fgColor rgb="FF003366"/>
        <bgColor indexed="64"/>
      </patternFill>
    </fill>
    <fill>
      <patternFill patternType="solid">
        <fgColor rgb="FF0054A8"/>
        <bgColor indexed="64"/>
      </patternFill>
    </fill>
    <fill>
      <patternFill patternType="solid">
        <fgColor rgb="FFEEECE1"/>
        <bgColor indexed="64"/>
      </patternFill>
    </fill>
    <fill>
      <patternFill patternType="solid">
        <fgColor rgb="FFCCFFFF"/>
        <bgColor indexed="64"/>
      </patternFill>
    </fill>
    <fill>
      <patternFill patternType="solid">
        <fgColor theme="0" tint="-0.14999847407452621"/>
        <bgColor indexed="64"/>
      </patternFill>
    </fill>
    <fill>
      <patternFill patternType="solid">
        <fgColor theme="5"/>
        <bgColor indexed="64"/>
      </patternFill>
    </fill>
    <fill>
      <patternFill patternType="solid">
        <fgColor rgb="FF00215B"/>
        <bgColor indexed="64"/>
      </patternFill>
    </fill>
    <fill>
      <patternFill patternType="solid">
        <fgColor rgb="FFC6EFCE"/>
      </patternFill>
    </fill>
    <fill>
      <patternFill patternType="solid">
        <fgColor rgb="FFCC3300"/>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FFFF66"/>
        <bgColor indexed="64"/>
      </patternFill>
    </fill>
  </fills>
  <borders count="24">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hair">
        <color auto="1"/>
      </left>
      <right style="hair">
        <color auto="1"/>
      </right>
      <top style="hair">
        <color auto="1"/>
      </top>
      <bottom style="hair">
        <color auto="1"/>
      </bottom>
      <diagonal/>
    </border>
    <border>
      <left/>
      <right style="thick">
        <color theme="0"/>
      </right>
      <top/>
      <bottom/>
      <diagonal/>
    </border>
    <border>
      <left style="hair">
        <color auto="1"/>
      </left>
      <right style="hair">
        <color auto="1"/>
      </right>
      <top/>
      <bottom style="hair">
        <color auto="1"/>
      </bottom>
      <diagonal/>
    </border>
    <border>
      <left/>
      <right/>
      <top style="hair">
        <color indexed="64"/>
      </top>
      <bottom/>
      <diagonal/>
    </border>
    <border>
      <left/>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auto="1"/>
      </right>
      <top style="thin">
        <color indexed="64"/>
      </top>
      <bottom style="hair">
        <color indexed="64"/>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style="thin">
        <color indexed="64"/>
      </right>
      <top style="thin">
        <color indexed="64"/>
      </top>
      <bottom style="thin">
        <color indexed="64"/>
      </bottom>
      <diagonal/>
    </border>
  </borders>
  <cellStyleXfs count="40">
    <xf numFmtId="0" fontId="0" fillId="0" borderId="0"/>
    <xf numFmtId="0" fontId="6" fillId="0" borderId="0"/>
    <xf numFmtId="0" fontId="2" fillId="2" borderId="1" applyNumberFormat="0" applyAlignment="0">
      <alignment horizontal="right"/>
      <protection locked="0"/>
    </xf>
    <xf numFmtId="164" fontId="3" fillId="0" borderId="0" applyFont="0" applyFill="0" applyBorder="0" applyAlignment="0" applyProtection="0"/>
    <xf numFmtId="165" fontId="4" fillId="3" borderId="2" applyAlignment="0"/>
    <xf numFmtId="0" fontId="14" fillId="0" borderId="0" applyNumberFormat="0"/>
    <xf numFmtId="0" fontId="5" fillId="0" borderId="3" applyNumberFormat="0" applyAlignment="0"/>
    <xf numFmtId="0" fontId="3" fillId="0" borderId="4" applyNumberFormat="0" applyFont="0" applyFill="0" applyAlignment="0"/>
    <xf numFmtId="0" fontId="5" fillId="0" borderId="0"/>
    <xf numFmtId="0" fontId="6" fillId="1" borderId="0"/>
    <xf numFmtId="0" fontId="7" fillId="4" borderId="5" applyNumberFormat="0" applyAlignment="0"/>
    <xf numFmtId="0" fontId="8" fillId="5" borderId="3" applyNumberFormat="0">
      <alignment horizontal="centerContinuous" vertical="center" wrapText="1"/>
    </xf>
    <xf numFmtId="0" fontId="9" fillId="4" borderId="6" applyNumberFormat="0" applyAlignment="0"/>
    <xf numFmtId="0" fontId="10" fillId="0" borderId="0" applyNumberFormat="0"/>
    <xf numFmtId="0" fontId="12" fillId="7" borderId="0"/>
    <xf numFmtId="0" fontId="13" fillId="0" borderId="0"/>
    <xf numFmtId="166" fontId="11" fillId="6" borderId="0"/>
    <xf numFmtId="166" fontId="15" fillId="6" borderId="0"/>
    <xf numFmtId="0" fontId="16" fillId="0" borderId="0"/>
    <xf numFmtId="9" fontId="19" fillId="0" borderId="0" applyFont="0" applyFill="0" applyBorder="0" applyAlignment="0" applyProtection="0"/>
    <xf numFmtId="0" fontId="19" fillId="0" borderId="0"/>
    <xf numFmtId="0" fontId="29" fillId="9" borderId="0" applyNumberFormat="0">
      <alignment horizontal="center"/>
    </xf>
    <xf numFmtId="170" fontId="22" fillId="0" borderId="8" applyNumberFormat="0" applyProtection="0">
      <alignment horizontal="right"/>
    </xf>
    <xf numFmtId="10" fontId="28" fillId="2" borderId="0" applyNumberFormat="0" applyAlignment="0" applyProtection="0"/>
    <xf numFmtId="10" fontId="48" fillId="12" borderId="0" applyNumberFormat="0" applyBorder="0" applyAlignment="0" applyProtection="0"/>
    <xf numFmtId="0" fontId="5" fillId="0" borderId="0"/>
    <xf numFmtId="0" fontId="80" fillId="0" borderId="0"/>
    <xf numFmtId="9" fontId="80" fillId="0" borderId="0" applyFont="0" applyFill="0" applyBorder="0" applyAlignment="0" applyProtection="0"/>
    <xf numFmtId="0" fontId="19" fillId="0" borderId="0"/>
    <xf numFmtId="44"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4" fontId="80" fillId="0" borderId="0" applyFont="0" applyFill="0" applyBorder="0" applyAlignment="0" applyProtection="0"/>
    <xf numFmtId="9" fontId="80" fillId="0" borderId="0" applyFont="0" applyFill="0" applyBorder="0" applyAlignment="0" applyProtection="0"/>
    <xf numFmtId="0" fontId="19" fillId="0" borderId="0"/>
    <xf numFmtId="198" fontId="5" fillId="0" borderId="0" applyFont="0" applyFill="0" applyBorder="0" applyAlignment="0" applyProtection="0"/>
    <xf numFmtId="0" fontId="100" fillId="17" borderId="0" applyNumberFormat="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cellStyleXfs>
  <cellXfs count="433">
    <xf numFmtId="0" fontId="0" fillId="0" borderId="0" xfId="0"/>
    <xf numFmtId="0" fontId="16" fillId="0" borderId="0" xfId="18"/>
    <xf numFmtId="0" fontId="16" fillId="0" borderId="0" xfId="18" applyAlignment="1">
      <alignment horizontal="right"/>
    </xf>
    <xf numFmtId="0" fontId="18" fillId="0" borderId="0" xfId="18" applyFont="1"/>
    <xf numFmtId="0" fontId="17" fillId="0" borderId="0" xfId="18" applyFont="1" applyAlignment="1">
      <alignment vertical="center"/>
    </xf>
    <xf numFmtId="0" fontId="21" fillId="0" borderId="0" xfId="18" applyFont="1"/>
    <xf numFmtId="0" fontId="16" fillId="0" borderId="0" xfId="0" applyFont="1"/>
    <xf numFmtId="0" fontId="23" fillId="0" borderId="0" xfId="8" applyFont="1"/>
    <xf numFmtId="0" fontId="24" fillId="0" borderId="0" xfId="0" applyFont="1"/>
    <xf numFmtId="166" fontId="26" fillId="8" borderId="0" xfId="16" applyFont="1" applyFill="1"/>
    <xf numFmtId="0" fontId="16" fillId="0" borderId="0" xfId="18" applyAlignment="1">
      <alignment horizontal="left"/>
    </xf>
    <xf numFmtId="0" fontId="28" fillId="2" borderId="0" xfId="0" applyFont="1" applyFill="1"/>
    <xf numFmtId="0" fontId="18" fillId="0" borderId="0" xfId="0" applyFont="1"/>
    <xf numFmtId="166" fontId="26" fillId="10" borderId="0" xfId="16" applyFont="1" applyFill="1"/>
    <xf numFmtId="0" fontId="20" fillId="11" borderId="0" xfId="18" applyFont="1" applyFill="1" applyAlignment="1">
      <alignment vertical="center"/>
    </xf>
    <xf numFmtId="0" fontId="20" fillId="11" borderId="0" xfId="18" applyFont="1" applyFill="1" applyAlignment="1">
      <alignment horizontal="right" vertical="center"/>
    </xf>
    <xf numFmtId="0" fontId="25" fillId="11" borderId="0" xfId="18" applyFont="1" applyFill="1" applyAlignment="1">
      <alignment vertical="center"/>
    </xf>
    <xf numFmtId="166" fontId="32" fillId="10" borderId="0" xfId="16" applyFont="1" applyFill="1"/>
    <xf numFmtId="166" fontId="33" fillId="10" borderId="0" xfId="16" applyFont="1" applyFill="1" applyAlignment="1">
      <alignment horizontal="right"/>
    </xf>
    <xf numFmtId="0" fontId="16" fillId="0" borderId="0" xfId="0" applyFont="1" applyAlignment="1">
      <alignment horizontal="left"/>
    </xf>
    <xf numFmtId="0" fontId="22" fillId="0" borderId="0" xfId="18" applyFont="1"/>
    <xf numFmtId="0" fontId="16" fillId="2" borderId="0" xfId="0" applyFont="1" applyFill="1"/>
    <xf numFmtId="172" fontId="16" fillId="0" borderId="0" xfId="0" applyNumberFormat="1" applyFont="1"/>
    <xf numFmtId="172" fontId="16" fillId="2" borderId="0" xfId="0" applyNumberFormat="1" applyFont="1" applyFill="1" applyAlignment="1">
      <alignment horizontal="left"/>
    </xf>
    <xf numFmtId="0" fontId="18" fillId="0" borderId="0" xfId="18" applyFont="1" applyAlignment="1">
      <alignment horizontal="left"/>
    </xf>
    <xf numFmtId="0" fontId="16" fillId="2" borderId="0" xfId="0" quotePrefix="1" applyFont="1" applyFill="1"/>
    <xf numFmtId="0" fontId="18" fillId="0" borderId="7" xfId="18" applyFont="1" applyBorder="1" applyAlignment="1">
      <alignment horizontal="left"/>
    </xf>
    <xf numFmtId="0" fontId="18" fillId="0" borderId="7" xfId="18" applyFont="1" applyBorder="1"/>
    <xf numFmtId="167" fontId="17" fillId="0" borderId="0" xfId="18" applyNumberFormat="1" applyFont="1" applyAlignment="1">
      <alignment horizontal="right" vertical="center"/>
    </xf>
    <xf numFmtId="167" fontId="28" fillId="2" borderId="8" xfId="18" applyNumberFormat="1" applyFont="1" applyFill="1" applyBorder="1" applyAlignment="1">
      <alignment horizontal="right" vertical="center"/>
    </xf>
    <xf numFmtId="0" fontId="35" fillId="0" borderId="0" xfId="8" applyFont="1"/>
    <xf numFmtId="0" fontId="36" fillId="0" borderId="0" xfId="18" applyFont="1"/>
    <xf numFmtId="0" fontId="16" fillId="13" borderId="4" xfId="18" applyFill="1" applyBorder="1" applyAlignment="1">
      <alignment horizontal="left"/>
    </xf>
    <xf numFmtId="1" fontId="28" fillId="2" borderId="0" xfId="18" quotePrefix="1" applyNumberFormat="1" applyFont="1" applyFill="1" applyAlignment="1">
      <alignment horizontal="center"/>
    </xf>
    <xf numFmtId="166" fontId="39" fillId="0" borderId="0" xfId="18" applyNumberFormat="1" applyFont="1" applyAlignment="1">
      <alignment horizontal="left"/>
    </xf>
    <xf numFmtId="10" fontId="28" fillId="2" borderId="0" xfId="23" applyNumberFormat="1"/>
    <xf numFmtId="171" fontId="34" fillId="2" borderId="0" xfId="18" applyNumberFormat="1" applyFont="1" applyFill="1" applyAlignment="1">
      <alignment horizontal="right"/>
    </xf>
    <xf numFmtId="14" fontId="16" fillId="0" borderId="0" xfId="0" applyNumberFormat="1" applyFont="1"/>
    <xf numFmtId="1" fontId="16" fillId="2" borderId="0" xfId="0" applyNumberFormat="1" applyFont="1" applyFill="1" applyAlignment="1">
      <alignment horizontal="left"/>
    </xf>
    <xf numFmtId="14" fontId="18" fillId="0" borderId="7" xfId="18" applyNumberFormat="1" applyFont="1" applyBorder="1"/>
    <xf numFmtId="0" fontId="41" fillId="0" borderId="7" xfId="18" quotePrefix="1" applyFont="1" applyBorder="1" applyAlignment="1">
      <alignment horizontal="left"/>
    </xf>
    <xf numFmtId="14" fontId="38" fillId="2" borderId="7" xfId="23" applyNumberFormat="1" applyFont="1" applyBorder="1"/>
    <xf numFmtId="166" fontId="26" fillId="10" borderId="0" xfId="16" applyFont="1" applyFill="1" applyAlignment="1">
      <alignment horizontal="left"/>
    </xf>
    <xf numFmtId="0" fontId="0" fillId="0" borderId="0" xfId="0" applyAlignment="1">
      <alignment horizontal="left"/>
    </xf>
    <xf numFmtId="168" fontId="31" fillId="0" borderId="7" xfId="18" applyNumberFormat="1" applyFont="1" applyBorder="1" applyAlignment="1">
      <alignment horizontal="left" vertical="center"/>
    </xf>
    <xf numFmtId="0" fontId="22" fillId="0" borderId="0" xfId="18" applyFont="1" applyAlignment="1">
      <alignment horizontal="left"/>
    </xf>
    <xf numFmtId="167" fontId="31" fillId="0" borderId="4" xfId="18" applyNumberFormat="1" applyFont="1" applyBorder="1" applyAlignment="1">
      <alignment horizontal="right" vertical="center"/>
    </xf>
    <xf numFmtId="0" fontId="18" fillId="0" borderId="7" xfId="0" applyFont="1" applyBorder="1"/>
    <xf numFmtId="168" fontId="42" fillId="10" borderId="0" xfId="18" applyNumberFormat="1" applyFont="1" applyFill="1" applyAlignment="1">
      <alignment horizontal="center" vertical="center"/>
    </xf>
    <xf numFmtId="0" fontId="18" fillId="0" borderId="7" xfId="0" applyFont="1" applyBorder="1" applyAlignment="1">
      <alignment horizontal="right"/>
    </xf>
    <xf numFmtId="166" fontId="43" fillId="10" borderId="0" xfId="16" applyFont="1" applyFill="1"/>
    <xf numFmtId="0" fontId="28" fillId="2" borderId="0" xfId="18" applyFont="1" applyFill="1" applyAlignment="1">
      <alignment horizontal="left"/>
    </xf>
    <xf numFmtId="167" fontId="17" fillId="0" borderId="0" xfId="18" applyNumberFormat="1" applyFont="1" applyAlignment="1">
      <alignment horizontal="left" vertical="center"/>
    </xf>
    <xf numFmtId="0" fontId="16" fillId="0" borderId="7" xfId="0" applyFont="1" applyBorder="1"/>
    <xf numFmtId="172" fontId="28" fillId="2" borderId="9" xfId="18" quotePrefix="1" applyNumberFormat="1" applyFont="1" applyFill="1" applyBorder="1" applyAlignment="1">
      <alignment horizontal="left"/>
    </xf>
    <xf numFmtId="0" fontId="17" fillId="0" borderId="0" xfId="18" applyFont="1" applyAlignment="1">
      <alignment horizontal="left" vertical="top"/>
    </xf>
    <xf numFmtId="168" fontId="16" fillId="0" borderId="0" xfId="18" applyNumberFormat="1" applyAlignment="1">
      <alignment horizontal="left"/>
    </xf>
    <xf numFmtId="172" fontId="16" fillId="2" borderId="0" xfId="0" quotePrefix="1" applyNumberFormat="1" applyFont="1" applyFill="1" applyAlignment="1">
      <alignment horizontal="left"/>
    </xf>
    <xf numFmtId="0" fontId="46" fillId="0" borderId="0" xfId="0" applyFont="1" applyAlignment="1">
      <alignment horizontal="right"/>
    </xf>
    <xf numFmtId="0" fontId="44" fillId="0" borderId="0" xfId="0" applyFont="1" applyAlignment="1">
      <alignment horizontal="left" indent="1"/>
    </xf>
    <xf numFmtId="168" fontId="22" fillId="0" borderId="8" xfId="22" applyNumberFormat="1">
      <alignment horizontal="right"/>
    </xf>
    <xf numFmtId="0" fontId="47" fillId="0" borderId="0" xfId="18" quotePrefix="1" applyFont="1" applyAlignment="1">
      <alignment horizontal="left"/>
    </xf>
    <xf numFmtId="168" fontId="45" fillId="0" borderId="0" xfId="23" applyNumberFormat="1" applyFont="1" applyFill="1" applyAlignment="1">
      <alignment horizontal="right"/>
    </xf>
    <xf numFmtId="0" fontId="18" fillId="0" borderId="7" xfId="18" applyFont="1" applyBorder="1" applyAlignment="1">
      <alignment horizontal="right"/>
    </xf>
    <xf numFmtId="0" fontId="45" fillId="0" borderId="0" xfId="18" applyFont="1" applyAlignment="1">
      <alignment horizontal="left" indent="1"/>
    </xf>
    <xf numFmtId="0" fontId="16" fillId="0" borderId="0" xfId="18" applyAlignment="1">
      <alignment horizontal="left" vertical="top" wrapText="1"/>
    </xf>
    <xf numFmtId="0" fontId="18" fillId="0" borderId="7" xfId="18" applyFont="1" applyBorder="1" applyAlignment="1">
      <alignment horizontal="left" vertical="top"/>
    </xf>
    <xf numFmtId="0" fontId="16" fillId="0" borderId="7" xfId="18" applyBorder="1" applyAlignment="1">
      <alignment horizontal="left" vertical="top"/>
    </xf>
    <xf numFmtId="14" fontId="16" fillId="0" borderId="0" xfId="18" applyNumberFormat="1"/>
    <xf numFmtId="14" fontId="16" fillId="0" borderId="7" xfId="18" applyNumberFormat="1" applyBorder="1"/>
    <xf numFmtId="14" fontId="28" fillId="2" borderId="0" xfId="18" applyNumberFormat="1" applyFont="1" applyFill="1"/>
    <xf numFmtId="10" fontId="35" fillId="0" borderId="0" xfId="23" applyNumberFormat="1" applyFont="1" applyFill="1"/>
    <xf numFmtId="0" fontId="27" fillId="0" borderId="0" xfId="0" applyFont="1"/>
    <xf numFmtId="166" fontId="32" fillId="10" borderId="0" xfId="16" applyFont="1" applyFill="1" applyAlignment="1">
      <alignment horizontal="center"/>
    </xf>
    <xf numFmtId="0" fontId="24" fillId="0" borderId="0" xfId="0" applyFont="1" applyAlignment="1">
      <alignment horizontal="center"/>
    </xf>
    <xf numFmtId="176" fontId="17" fillId="0" borderId="0" xfId="18" applyNumberFormat="1" applyFont="1" applyAlignment="1">
      <alignment horizontal="right" vertical="center"/>
    </xf>
    <xf numFmtId="49" fontId="16" fillId="2" borderId="0" xfId="0" applyNumberFormat="1" applyFont="1" applyFill="1" applyAlignment="1">
      <alignment horizontal="left"/>
    </xf>
    <xf numFmtId="0" fontId="51" fillId="0" borderId="7" xfId="18" applyFont="1" applyBorder="1"/>
    <xf numFmtId="0" fontId="52" fillId="0" borderId="7" xfId="18" applyFont="1" applyBorder="1" applyAlignment="1">
      <alignment vertical="center"/>
    </xf>
    <xf numFmtId="0" fontId="37" fillId="0" borderId="7" xfId="18" applyFont="1" applyBorder="1" applyAlignment="1">
      <alignment vertical="center"/>
    </xf>
    <xf numFmtId="173" fontId="16" fillId="0" borderId="0" xfId="18" applyNumberFormat="1"/>
    <xf numFmtId="0" fontId="22" fillId="13" borderId="8" xfId="22" applyNumberFormat="1" applyFill="1" applyAlignment="1">
      <alignment horizontal="left"/>
    </xf>
    <xf numFmtId="0" fontId="53" fillId="0" borderId="0" xfId="18" applyFont="1"/>
    <xf numFmtId="167" fontId="35" fillId="2" borderId="0" xfId="18" applyNumberFormat="1" applyFont="1" applyFill="1" applyAlignment="1">
      <alignment horizontal="right" vertical="center"/>
    </xf>
    <xf numFmtId="177" fontId="35" fillId="2" borderId="0" xfId="18" applyNumberFormat="1" applyFont="1" applyFill="1" applyAlignment="1">
      <alignment horizontal="right" vertical="center"/>
    </xf>
    <xf numFmtId="173" fontId="17" fillId="0" borderId="0" xfId="18" applyNumberFormat="1" applyFont="1" applyAlignment="1">
      <alignment horizontal="right" vertical="center"/>
    </xf>
    <xf numFmtId="0" fontId="40" fillId="0" borderId="0" xfId="8" applyFont="1"/>
    <xf numFmtId="175" fontId="46" fillId="0" borderId="0" xfId="18" applyNumberFormat="1" applyFont="1" applyAlignment="1">
      <alignment horizontal="right" vertical="center"/>
    </xf>
    <xf numFmtId="0" fontId="40" fillId="0" borderId="0" xfId="8" applyFont="1" applyAlignment="1">
      <alignment horizontal="center"/>
    </xf>
    <xf numFmtId="0" fontId="46" fillId="0" borderId="0" xfId="18" applyFont="1" applyAlignment="1">
      <alignment horizontal="right"/>
    </xf>
    <xf numFmtId="49" fontId="16" fillId="0" borderId="0" xfId="0" applyNumberFormat="1" applyFont="1"/>
    <xf numFmtId="178" fontId="16" fillId="0" borderId="0" xfId="18" applyNumberFormat="1" applyAlignment="1">
      <alignment vertical="top" wrapText="1"/>
    </xf>
    <xf numFmtId="178" fontId="17" fillId="13" borderId="0" xfId="18" applyNumberFormat="1" applyFont="1" applyFill="1" applyAlignment="1">
      <alignment horizontal="right" vertical="center"/>
    </xf>
    <xf numFmtId="179" fontId="17" fillId="0" borderId="0" xfId="18" applyNumberFormat="1" applyFont="1" applyAlignment="1">
      <alignment horizontal="right" vertical="center"/>
    </xf>
    <xf numFmtId="176" fontId="31" fillId="0" borderId="0" xfId="18" applyNumberFormat="1" applyFont="1" applyAlignment="1">
      <alignment horizontal="right" vertical="center"/>
    </xf>
    <xf numFmtId="0" fontId="50" fillId="0" borderId="0" xfId="0" applyFont="1"/>
    <xf numFmtId="167" fontId="31" fillId="0" borderId="0" xfId="18" applyNumberFormat="1" applyFont="1" applyAlignment="1">
      <alignment horizontal="right" vertical="center"/>
    </xf>
    <xf numFmtId="166" fontId="39" fillId="0" borderId="4" xfId="18" applyNumberFormat="1" applyFont="1" applyBorder="1" applyAlignment="1">
      <alignment horizontal="left"/>
    </xf>
    <xf numFmtId="0" fontId="16" fillId="0" borderId="4" xfId="18" applyBorder="1"/>
    <xf numFmtId="0" fontId="52" fillId="0" borderId="0" xfId="18" applyFont="1" applyAlignment="1">
      <alignment vertical="center"/>
    </xf>
    <xf numFmtId="170" fontId="22" fillId="0" borderId="8" xfId="22" applyNumberFormat="1">
      <alignment horizontal="right"/>
    </xf>
    <xf numFmtId="0" fontId="49" fillId="0" borderId="0" xfId="8" applyFont="1"/>
    <xf numFmtId="0" fontId="37" fillId="0" borderId="7" xfId="18" applyFont="1" applyBorder="1" applyAlignment="1">
      <alignment horizontal="right" vertical="center"/>
    </xf>
    <xf numFmtId="0" fontId="23" fillId="0" borderId="0" xfId="8" applyFont="1" applyAlignment="1">
      <alignment horizontal="left"/>
    </xf>
    <xf numFmtId="0" fontId="18" fillId="0" borderId="4" xfId="0" applyFont="1" applyBorder="1" applyAlignment="1">
      <alignment horizontal="left"/>
    </xf>
    <xf numFmtId="0" fontId="56" fillId="0" borderId="0" xfId="18" applyFont="1"/>
    <xf numFmtId="0" fontId="16" fillId="0" borderId="0" xfId="20" applyFont="1"/>
    <xf numFmtId="0" fontId="16" fillId="0" borderId="0" xfId="20" applyFont="1" applyAlignment="1">
      <alignment horizontal="center"/>
    </xf>
    <xf numFmtId="0" fontId="16" fillId="0" borderId="0" xfId="20" applyFont="1" applyAlignment="1">
      <alignment horizontal="left"/>
    </xf>
    <xf numFmtId="0" fontId="19" fillId="0" borderId="0" xfId="20"/>
    <xf numFmtId="0" fontId="16" fillId="2" borderId="0" xfId="20" applyFont="1" applyFill="1"/>
    <xf numFmtId="180" fontId="22" fillId="0" borderId="8" xfId="22" applyNumberFormat="1">
      <alignment horizontal="right"/>
    </xf>
    <xf numFmtId="167" fontId="16" fillId="0" borderId="0" xfId="18" applyNumberFormat="1" applyAlignment="1">
      <alignment horizontal="right" vertical="center"/>
    </xf>
    <xf numFmtId="167" fontId="16" fillId="14" borderId="0" xfId="18" applyNumberFormat="1" applyFill="1" applyAlignment="1">
      <alignment horizontal="right" vertical="center"/>
    </xf>
    <xf numFmtId="49" fontId="16" fillId="0" borderId="0" xfId="18" applyNumberFormat="1"/>
    <xf numFmtId="182" fontId="28" fillId="2" borderId="8" xfId="18" applyNumberFormat="1" applyFont="1" applyFill="1" applyBorder="1" applyAlignment="1">
      <alignment horizontal="right" vertical="center"/>
    </xf>
    <xf numFmtId="176" fontId="16" fillId="0" borderId="0" xfId="18" applyNumberFormat="1"/>
    <xf numFmtId="2" fontId="16" fillId="0" borderId="0" xfId="18" applyNumberFormat="1"/>
    <xf numFmtId="178" fontId="31" fillId="0" borderId="0" xfId="18" applyNumberFormat="1" applyFont="1" applyAlignment="1">
      <alignment horizontal="right" vertical="center"/>
    </xf>
    <xf numFmtId="178" fontId="60" fillId="0" borderId="0" xfId="18" applyNumberFormat="1" applyFont="1" applyAlignment="1">
      <alignment horizontal="right" vertical="center"/>
    </xf>
    <xf numFmtId="0" fontId="25" fillId="11" borderId="0" xfId="18" applyFont="1" applyFill="1" applyAlignment="1">
      <alignment horizontal="right" vertical="center"/>
    </xf>
    <xf numFmtId="167" fontId="17" fillId="0" borderId="4" xfId="18" applyNumberFormat="1" applyFont="1" applyBorder="1" applyAlignment="1">
      <alignment horizontal="right" vertical="center"/>
    </xf>
    <xf numFmtId="0" fontId="16" fillId="0" borderId="4" xfId="0" applyFont="1" applyBorder="1" applyAlignment="1">
      <alignment horizontal="left"/>
    </xf>
    <xf numFmtId="0" fontId="16" fillId="2" borderId="0" xfId="18" applyFill="1"/>
    <xf numFmtId="14" fontId="61" fillId="0" borderId="0" xfId="0" applyNumberFormat="1" applyFont="1"/>
    <xf numFmtId="0" fontId="60" fillId="0" borderId="0" xfId="18" applyFont="1" applyAlignment="1">
      <alignment vertical="center"/>
    </xf>
    <xf numFmtId="167" fontId="28" fillId="2" borderId="0" xfId="18" applyNumberFormat="1" applyFont="1" applyFill="1" applyAlignment="1">
      <alignment horizontal="right" vertical="center"/>
    </xf>
    <xf numFmtId="167" fontId="0" fillId="0" borderId="0" xfId="0" applyNumberFormat="1"/>
    <xf numFmtId="167" fontId="24" fillId="0" borderId="0" xfId="0" applyNumberFormat="1" applyFont="1"/>
    <xf numFmtId="0" fontId="46" fillId="2" borderId="0" xfId="18" applyFont="1" applyFill="1" applyAlignment="1">
      <alignment horizontal="right"/>
    </xf>
    <xf numFmtId="0" fontId="18" fillId="0" borderId="0" xfId="18" applyFont="1" applyAlignment="1">
      <alignment horizontal="center"/>
    </xf>
    <xf numFmtId="167" fontId="35" fillId="2" borderId="0" xfId="18" applyNumberFormat="1" applyFont="1" applyFill="1" applyAlignment="1">
      <alignment horizontal="left" vertical="center"/>
    </xf>
    <xf numFmtId="170" fontId="28" fillId="2" borderId="0" xfId="23" applyNumberFormat="1" applyAlignment="1">
      <alignment horizontal="right"/>
    </xf>
    <xf numFmtId="183" fontId="48" fillId="2" borderId="0" xfId="24" applyNumberFormat="1" applyFill="1" applyAlignment="1">
      <alignment horizontal="right"/>
    </xf>
    <xf numFmtId="0" fontId="18" fillId="0" borderId="7" xfId="0" applyFont="1" applyBorder="1" applyAlignment="1">
      <alignment horizontal="left"/>
    </xf>
    <xf numFmtId="0" fontId="18" fillId="0" borderId="7" xfId="0" applyFont="1" applyBorder="1" applyAlignment="1">
      <alignment horizontal="center"/>
    </xf>
    <xf numFmtId="9" fontId="28" fillId="2" borderId="0" xfId="23" applyNumberFormat="1" applyAlignment="1">
      <alignment horizontal="right"/>
    </xf>
    <xf numFmtId="175" fontId="46" fillId="0" borderId="0" xfId="18" applyNumberFormat="1" applyFont="1" applyAlignment="1">
      <alignment horizontal="left" vertical="center"/>
    </xf>
    <xf numFmtId="0" fontId="18" fillId="0" borderId="0" xfId="0" applyFont="1" applyAlignment="1">
      <alignment horizontal="center"/>
    </xf>
    <xf numFmtId="184" fontId="28" fillId="2" borderId="8" xfId="23" applyNumberFormat="1" applyBorder="1" applyAlignment="1">
      <alignment horizontal="right"/>
    </xf>
    <xf numFmtId="184" fontId="28" fillId="2" borderId="10" xfId="23" applyNumberFormat="1" applyBorder="1" applyAlignment="1">
      <alignment horizontal="right"/>
    </xf>
    <xf numFmtId="185" fontId="28" fillId="2" borderId="10" xfId="23" applyNumberFormat="1" applyBorder="1" applyAlignment="1">
      <alignment horizontal="center"/>
    </xf>
    <xf numFmtId="169" fontId="16" fillId="0" borderId="0" xfId="0" applyNumberFormat="1" applyFont="1"/>
    <xf numFmtId="0" fontId="35" fillId="0" borderId="0" xfId="18" applyFont="1"/>
    <xf numFmtId="179" fontId="28" fillId="2" borderId="8" xfId="18" applyNumberFormat="1" applyFont="1" applyFill="1" applyBorder="1" applyAlignment="1">
      <alignment horizontal="right" vertical="center"/>
    </xf>
    <xf numFmtId="187" fontId="28" fillId="2" borderId="8" xfId="18" applyNumberFormat="1" applyFont="1" applyFill="1" applyBorder="1" applyAlignment="1">
      <alignment horizontal="right" vertical="center"/>
    </xf>
    <xf numFmtId="179" fontId="31" fillId="0" borderId="0" xfId="18" applyNumberFormat="1" applyFont="1" applyAlignment="1">
      <alignment horizontal="right" vertical="center"/>
    </xf>
    <xf numFmtId="0" fontId="16" fillId="0" borderId="7" xfId="18" applyBorder="1"/>
    <xf numFmtId="0" fontId="17" fillId="0" borderId="11" xfId="18" applyFont="1" applyBorder="1" applyAlignment="1">
      <alignment vertical="center"/>
    </xf>
    <xf numFmtId="0" fontId="16" fillId="0" borderId="11" xfId="18" applyBorder="1"/>
    <xf numFmtId="173" fontId="17" fillId="0" borderId="11" xfId="18" applyNumberFormat="1" applyFont="1" applyBorder="1" applyAlignment="1">
      <alignment horizontal="right" vertical="center"/>
    </xf>
    <xf numFmtId="167" fontId="17" fillId="0" borderId="11" xfId="18" applyNumberFormat="1" applyFont="1" applyBorder="1" applyAlignment="1">
      <alignment horizontal="right" vertical="center"/>
    </xf>
    <xf numFmtId="0" fontId="56" fillId="0" borderId="11" xfId="0" applyFont="1" applyBorder="1"/>
    <xf numFmtId="166" fontId="39" fillId="0" borderId="11" xfId="18" applyNumberFormat="1" applyFont="1" applyBorder="1" applyAlignment="1">
      <alignment horizontal="left"/>
    </xf>
    <xf numFmtId="167" fontId="31" fillId="0" borderId="11" xfId="18" applyNumberFormat="1" applyFont="1" applyBorder="1" applyAlignment="1">
      <alignment horizontal="right" vertical="center"/>
    </xf>
    <xf numFmtId="0" fontId="16" fillId="0" borderId="11" xfId="0" applyFont="1" applyBorder="1"/>
    <xf numFmtId="0" fontId="25" fillId="15" borderId="0" xfId="18" applyFont="1" applyFill="1" applyAlignment="1">
      <alignment vertical="center"/>
    </xf>
    <xf numFmtId="0" fontId="25" fillId="15" borderId="0" xfId="18" applyFont="1" applyFill="1" applyAlignment="1">
      <alignment horizontal="right" vertical="center"/>
    </xf>
    <xf numFmtId="0" fontId="20" fillId="15" borderId="0" xfId="18" applyFont="1" applyFill="1" applyAlignment="1">
      <alignment horizontal="right" vertical="center"/>
    </xf>
    <xf numFmtId="188" fontId="16" fillId="0" borderId="7" xfId="18" applyNumberFormat="1" applyBorder="1" applyAlignment="1">
      <alignment horizontal="center"/>
    </xf>
    <xf numFmtId="188" fontId="16" fillId="0" borderId="7" xfId="18" applyNumberFormat="1" applyBorder="1" applyAlignment="1">
      <alignment horizontal="left"/>
    </xf>
    <xf numFmtId="179" fontId="16" fillId="0" borderId="0" xfId="0" applyNumberFormat="1" applyFont="1"/>
    <xf numFmtId="186" fontId="16" fillId="0" borderId="0" xfId="18" applyNumberFormat="1" applyAlignment="1">
      <alignment horizontal="left"/>
    </xf>
    <xf numFmtId="171" fontId="40" fillId="0" borderId="0" xfId="8" applyNumberFormat="1" applyFont="1"/>
    <xf numFmtId="1" fontId="40" fillId="0" borderId="0" xfId="8" applyNumberFormat="1" applyFont="1"/>
    <xf numFmtId="167" fontId="23" fillId="0" borderId="0" xfId="8" applyNumberFormat="1" applyFont="1"/>
    <xf numFmtId="167" fontId="23" fillId="0" borderId="0" xfId="8" applyNumberFormat="1" applyFont="1" applyAlignment="1">
      <alignment horizontal="right"/>
    </xf>
    <xf numFmtId="0" fontId="23" fillId="0" borderId="7" xfId="8" applyFont="1" applyBorder="1" applyAlignment="1">
      <alignment horizontal="left"/>
    </xf>
    <xf numFmtId="0" fontId="24" fillId="0" borderId="7" xfId="0" applyFont="1" applyBorder="1" applyAlignment="1">
      <alignment horizontal="center"/>
    </xf>
    <xf numFmtId="0" fontId="24" fillId="0" borderId="7" xfId="0" applyFont="1" applyBorder="1"/>
    <xf numFmtId="0" fontId="62" fillId="0" borderId="12" xfId="0" applyFont="1" applyBorder="1"/>
    <xf numFmtId="0" fontId="23" fillId="2" borderId="0" xfId="8" applyFont="1" applyFill="1" applyAlignment="1">
      <alignment horizontal="left"/>
    </xf>
    <xf numFmtId="2" fontId="16" fillId="2" borderId="0" xfId="18" applyNumberFormat="1" applyFill="1"/>
    <xf numFmtId="2" fontId="22" fillId="0" borderId="8" xfId="22" applyNumberFormat="1" applyAlignment="1">
      <alignment horizontal="left"/>
    </xf>
    <xf numFmtId="168" fontId="63" fillId="10" borderId="0" xfId="18" applyNumberFormat="1" applyFont="1" applyFill="1" applyAlignment="1">
      <alignment horizontal="center" vertical="center"/>
    </xf>
    <xf numFmtId="168" fontId="63" fillId="10" borderId="0" xfId="18" applyNumberFormat="1" applyFont="1" applyFill="1" applyAlignment="1">
      <alignment horizontal="left" vertical="center"/>
    </xf>
    <xf numFmtId="0" fontId="64" fillId="0" borderId="0" xfId="18" applyFont="1"/>
    <xf numFmtId="0" fontId="65" fillId="0" borderId="7" xfId="18" applyFont="1" applyBorder="1" applyAlignment="1">
      <alignment vertical="center"/>
    </xf>
    <xf numFmtId="0" fontId="66" fillId="0" borderId="0" xfId="18" applyFont="1"/>
    <xf numFmtId="0" fontId="61" fillId="0" borderId="0" xfId="0" applyFont="1"/>
    <xf numFmtId="168" fontId="66" fillId="0" borderId="0" xfId="18" applyNumberFormat="1" applyFont="1" applyAlignment="1">
      <alignment horizontal="left"/>
    </xf>
    <xf numFmtId="0" fontId="65" fillId="0" borderId="0" xfId="18" applyFont="1" applyAlignment="1">
      <alignment vertical="center"/>
    </xf>
    <xf numFmtId="168" fontId="67" fillId="0" borderId="0" xfId="18" applyNumberFormat="1" applyFont="1" applyAlignment="1">
      <alignment horizontal="left"/>
    </xf>
    <xf numFmtId="168" fontId="68" fillId="0" borderId="0" xfId="18" applyNumberFormat="1" applyFont="1" applyAlignment="1">
      <alignment horizontal="left" vertical="center"/>
    </xf>
    <xf numFmtId="0" fontId="65" fillId="0" borderId="0" xfId="18" applyFont="1" applyAlignment="1">
      <alignment horizontal="left" vertical="center"/>
    </xf>
    <xf numFmtId="0" fontId="66" fillId="0" borderId="0" xfId="18" applyFont="1" applyAlignment="1">
      <alignment horizontal="left"/>
    </xf>
    <xf numFmtId="0" fontId="69" fillId="0" borderId="0" xfId="18" applyFont="1" applyAlignment="1">
      <alignment horizontal="left" vertical="center"/>
    </xf>
    <xf numFmtId="0" fontId="68" fillId="0" borderId="0" xfId="18" applyFont="1" applyAlignment="1">
      <alignment horizontal="left" vertical="center"/>
    </xf>
    <xf numFmtId="168" fontId="68" fillId="0" borderId="11" xfId="18" applyNumberFormat="1" applyFont="1" applyBorder="1" applyAlignment="1">
      <alignment horizontal="left" vertical="center"/>
    </xf>
    <xf numFmtId="168" fontId="70" fillId="0" borderId="0" xfId="18" applyNumberFormat="1" applyFont="1" applyAlignment="1">
      <alignment horizontal="left" vertical="center"/>
    </xf>
    <xf numFmtId="0" fontId="71" fillId="0" borderId="0" xfId="0" applyFont="1"/>
    <xf numFmtId="0" fontId="47" fillId="0" borderId="0" xfId="18" applyFont="1"/>
    <xf numFmtId="0" fontId="72" fillId="11" borderId="0" xfId="18" applyFont="1" applyFill="1" applyAlignment="1">
      <alignment horizontal="right" vertical="center"/>
    </xf>
    <xf numFmtId="167" fontId="68" fillId="0" borderId="0" xfId="18" applyNumberFormat="1" applyFont="1" applyAlignment="1">
      <alignment horizontal="right" vertical="center"/>
    </xf>
    <xf numFmtId="0" fontId="65" fillId="0" borderId="7" xfId="18" applyFont="1" applyBorder="1" applyAlignment="1">
      <alignment horizontal="right" vertical="center"/>
    </xf>
    <xf numFmtId="166" fontId="74" fillId="10" borderId="0" xfId="16" applyFont="1" applyFill="1" applyAlignment="1">
      <alignment horizontal="right"/>
    </xf>
    <xf numFmtId="0" fontId="73" fillId="0" borderId="0" xfId="8" applyFont="1" applyAlignment="1">
      <alignment horizontal="right"/>
    </xf>
    <xf numFmtId="168" fontId="68" fillId="0" borderId="0" xfId="18" applyNumberFormat="1" applyFont="1" applyAlignment="1">
      <alignment horizontal="right" vertical="center"/>
    </xf>
    <xf numFmtId="168" fontId="70" fillId="0" borderId="0" xfId="18" applyNumberFormat="1" applyFont="1" applyAlignment="1">
      <alignment horizontal="right" vertical="center"/>
    </xf>
    <xf numFmtId="168" fontId="68" fillId="0" borderId="4" xfId="18" applyNumberFormat="1" applyFont="1" applyBorder="1" applyAlignment="1">
      <alignment horizontal="right" vertical="center"/>
    </xf>
    <xf numFmtId="0" fontId="66" fillId="0" borderId="0" xfId="18" applyFont="1" applyAlignment="1">
      <alignment horizontal="right"/>
    </xf>
    <xf numFmtId="0" fontId="66" fillId="0" borderId="0" xfId="0" applyFont="1" applyAlignment="1">
      <alignment horizontal="right"/>
    </xf>
    <xf numFmtId="0" fontId="75" fillId="0" borderId="0" xfId="18" applyFont="1" applyAlignment="1">
      <alignment vertical="center"/>
    </xf>
    <xf numFmtId="0" fontId="27" fillId="0" borderId="0" xfId="18" applyFont="1"/>
    <xf numFmtId="178" fontId="75" fillId="0" borderId="0" xfId="18" applyNumberFormat="1" applyFont="1" applyAlignment="1">
      <alignment horizontal="right" vertical="center"/>
    </xf>
    <xf numFmtId="167" fontId="49" fillId="0" borderId="0" xfId="8" applyNumberFormat="1" applyFont="1"/>
    <xf numFmtId="166" fontId="76" fillId="0" borderId="0" xfId="18" applyNumberFormat="1" applyFont="1" applyAlignment="1">
      <alignment horizontal="left"/>
    </xf>
    <xf numFmtId="0" fontId="77" fillId="0" borderId="11" xfId="0" applyFont="1" applyBorder="1"/>
    <xf numFmtId="166" fontId="76" fillId="0" borderId="11" xfId="18" applyNumberFormat="1" applyFont="1" applyBorder="1" applyAlignment="1">
      <alignment horizontal="left"/>
    </xf>
    <xf numFmtId="0" fontId="27" fillId="0" borderId="11" xfId="18" applyFont="1" applyBorder="1" applyAlignment="1">
      <alignment horizontal="right"/>
    </xf>
    <xf numFmtId="0" fontId="78" fillId="0" borderId="0" xfId="18" applyFont="1"/>
    <xf numFmtId="168" fontId="45" fillId="0" borderId="0" xfId="23" applyNumberFormat="1" applyFont="1" applyFill="1" applyAlignment="1">
      <alignment horizontal="left"/>
    </xf>
    <xf numFmtId="0" fontId="46" fillId="0" borderId="0" xfId="20" applyFont="1" applyAlignment="1">
      <alignment horizontal="center"/>
    </xf>
    <xf numFmtId="174" fontId="16" fillId="0" borderId="0" xfId="18" applyNumberFormat="1"/>
    <xf numFmtId="189" fontId="16" fillId="0" borderId="0" xfId="18" applyNumberFormat="1"/>
    <xf numFmtId="190" fontId="16" fillId="0" borderId="0" xfId="0" applyNumberFormat="1" applyFont="1"/>
    <xf numFmtId="0" fontId="37" fillId="0" borderId="0" xfId="18" applyFont="1" applyAlignment="1">
      <alignment vertical="center"/>
    </xf>
    <xf numFmtId="0" fontId="37" fillId="0" borderId="0" xfId="18" applyFont="1" applyAlignment="1">
      <alignment horizontal="right" vertical="center"/>
    </xf>
    <xf numFmtId="167" fontId="16" fillId="0" borderId="0" xfId="18" applyNumberFormat="1"/>
    <xf numFmtId="0" fontId="80" fillId="0" borderId="0" xfId="0" applyFont="1"/>
    <xf numFmtId="172" fontId="16" fillId="0" borderId="0" xfId="0" applyNumberFormat="1" applyFont="1" applyAlignment="1">
      <alignment horizontal="left"/>
    </xf>
    <xf numFmtId="9" fontId="16" fillId="0" borderId="0" xfId="18" applyNumberFormat="1"/>
    <xf numFmtId="0" fontId="35" fillId="0" borderId="0" xfId="18" applyFont="1" applyAlignment="1">
      <alignment vertical="center"/>
    </xf>
    <xf numFmtId="171" fontId="40" fillId="0" borderId="0" xfId="8" applyNumberFormat="1" applyFont="1" applyAlignment="1">
      <alignment horizontal="right"/>
    </xf>
    <xf numFmtId="0" fontId="81" fillId="0" borderId="0" xfId="0" applyFont="1"/>
    <xf numFmtId="185" fontId="16" fillId="0" borderId="0" xfId="0" applyNumberFormat="1" applyFont="1" applyAlignment="1">
      <alignment horizontal="left"/>
    </xf>
    <xf numFmtId="0" fontId="18" fillId="0" borderId="0" xfId="0" applyFont="1" applyAlignment="1">
      <alignment horizontal="right"/>
    </xf>
    <xf numFmtId="181" fontId="16" fillId="0" borderId="0" xfId="0" applyNumberFormat="1" applyFont="1" applyAlignment="1">
      <alignment horizontal="left"/>
    </xf>
    <xf numFmtId="181" fontId="16" fillId="0" borderId="14" xfId="0" applyNumberFormat="1" applyFont="1" applyBorder="1" applyAlignment="1">
      <alignment horizontal="left"/>
    </xf>
    <xf numFmtId="191" fontId="16" fillId="0" borderId="0" xfId="0" applyNumberFormat="1" applyFont="1" applyAlignment="1">
      <alignment horizontal="center"/>
    </xf>
    <xf numFmtId="0" fontId="82" fillId="0" borderId="0" xfId="0" applyFont="1"/>
    <xf numFmtId="191" fontId="17" fillId="0" borderId="11" xfId="18" applyNumberFormat="1" applyFont="1" applyBorder="1" applyAlignment="1">
      <alignment horizontal="right" vertical="center"/>
    </xf>
    <xf numFmtId="191" fontId="17" fillId="0" borderId="0" xfId="18" applyNumberFormat="1" applyFont="1" applyAlignment="1">
      <alignment horizontal="right" vertical="center"/>
    </xf>
    <xf numFmtId="0" fontId="16" fillId="0" borderId="0" xfId="0" applyFont="1" applyAlignment="1">
      <alignment horizontal="center"/>
    </xf>
    <xf numFmtId="0" fontId="80" fillId="0" borderId="0" xfId="0" applyFont="1" applyAlignment="1">
      <alignment horizontal="center"/>
    </xf>
    <xf numFmtId="0" fontId="16" fillId="0" borderId="7" xfId="0" applyFont="1" applyBorder="1" applyAlignment="1">
      <alignment horizontal="center"/>
    </xf>
    <xf numFmtId="179" fontId="17" fillId="0" borderId="11" xfId="18" applyNumberFormat="1" applyFont="1" applyBorder="1" applyAlignment="1">
      <alignment horizontal="right" vertical="center"/>
    </xf>
    <xf numFmtId="181" fontId="83" fillId="0" borderId="0" xfId="0" applyNumberFormat="1" applyFont="1" applyAlignment="1">
      <alignment horizontal="center"/>
    </xf>
    <xf numFmtId="179" fontId="24" fillId="0" borderId="0" xfId="0" applyNumberFormat="1" applyFont="1"/>
    <xf numFmtId="0" fontId="28" fillId="2" borderId="0" xfId="18" applyFont="1" applyFill="1"/>
    <xf numFmtId="181" fontId="18" fillId="0" borderId="14" xfId="0" applyNumberFormat="1" applyFont="1" applyBorder="1" applyAlignment="1">
      <alignment horizontal="left"/>
    </xf>
    <xf numFmtId="191" fontId="31" fillId="0" borderId="11" xfId="18" applyNumberFormat="1" applyFont="1" applyBorder="1" applyAlignment="1">
      <alignment horizontal="right" vertical="center"/>
    </xf>
    <xf numFmtId="191" fontId="84" fillId="0" borderId="14" xfId="0" applyNumberFormat="1" applyFont="1" applyBorder="1" applyAlignment="1">
      <alignment horizontal="center"/>
    </xf>
    <xf numFmtId="188" fontId="24" fillId="0" borderId="7" xfId="18" applyNumberFormat="1" applyFont="1" applyBorder="1" applyAlignment="1">
      <alignment horizontal="left"/>
    </xf>
    <xf numFmtId="0" fontId="31" fillId="0" borderId="0" xfId="18" applyFont="1" applyAlignment="1">
      <alignment horizontal="left" vertical="top"/>
    </xf>
    <xf numFmtId="0" fontId="38" fillId="2" borderId="0" xfId="0" applyFont="1" applyFill="1"/>
    <xf numFmtId="192" fontId="0" fillId="0" borderId="0" xfId="0" applyNumberFormat="1"/>
    <xf numFmtId="167" fontId="16" fillId="0" borderId="0" xfId="18" applyNumberFormat="1" applyAlignment="1">
      <alignment horizontal="right"/>
    </xf>
    <xf numFmtId="168" fontId="24" fillId="0" borderId="0" xfId="0" applyNumberFormat="1" applyFont="1"/>
    <xf numFmtId="0" fontId="24" fillId="0" borderId="0" xfId="0" applyFont="1" applyAlignment="1">
      <alignment wrapText="1"/>
    </xf>
    <xf numFmtId="168" fontId="28" fillId="2" borderId="0" xfId="24" applyNumberFormat="1" applyFont="1" applyFill="1" applyAlignment="1">
      <alignment horizontal="left" vertical="center"/>
    </xf>
    <xf numFmtId="0" fontId="81" fillId="0" borderId="7" xfId="18" applyFont="1" applyBorder="1"/>
    <xf numFmtId="183" fontId="16" fillId="0" borderId="0" xfId="18" applyNumberFormat="1" applyAlignment="1">
      <alignment horizontal="left"/>
    </xf>
    <xf numFmtId="193" fontId="16" fillId="0" borderId="0" xfId="18" applyNumberFormat="1"/>
    <xf numFmtId="10" fontId="28" fillId="2" borderId="0" xfId="24" quotePrefix="1" applyNumberFormat="1" applyFont="1" applyFill="1"/>
    <xf numFmtId="168" fontId="28" fillId="2" borderId="0" xfId="24" applyNumberFormat="1" applyFont="1" applyFill="1" applyAlignment="1">
      <alignment horizontal="right"/>
    </xf>
    <xf numFmtId="0" fontId="28" fillId="2" borderId="0" xfId="24" applyNumberFormat="1" applyFont="1" applyFill="1"/>
    <xf numFmtId="168" fontId="28" fillId="2" borderId="0" xfId="24" applyNumberFormat="1" applyFont="1" applyFill="1" applyAlignment="1">
      <alignment horizontal="right" vertical="center"/>
    </xf>
    <xf numFmtId="170" fontId="28" fillId="2" borderId="0" xfId="24" applyNumberFormat="1" applyFont="1" applyFill="1" applyBorder="1" applyAlignment="1">
      <alignment horizontal="right"/>
    </xf>
    <xf numFmtId="169" fontId="28" fillId="2" borderId="0" xfId="24" applyNumberFormat="1" applyFont="1" applyFill="1" applyBorder="1" applyAlignment="1">
      <alignment horizontal="right"/>
    </xf>
    <xf numFmtId="189" fontId="28" fillId="2" borderId="0" xfId="23" applyNumberFormat="1" applyAlignment="1">
      <alignment horizontal="right"/>
    </xf>
    <xf numFmtId="189" fontId="38" fillId="2" borderId="0" xfId="23" applyNumberFormat="1" applyFont="1" applyAlignment="1">
      <alignment horizontal="right"/>
    </xf>
    <xf numFmtId="0" fontId="19" fillId="16" borderId="0" xfId="20" applyFill="1"/>
    <xf numFmtId="0" fontId="85" fillId="0" borderId="0" xfId="20" applyFont="1"/>
    <xf numFmtId="0" fontId="86" fillId="0" borderId="0" xfId="20" applyFont="1"/>
    <xf numFmtId="0" fontId="87" fillId="0" borderId="0" xfId="20" applyFont="1"/>
    <xf numFmtId="0" fontId="88" fillId="0" borderId="0" xfId="20" applyFont="1"/>
    <xf numFmtId="0" fontId="89" fillId="0" borderId="0" xfId="20" applyFont="1"/>
    <xf numFmtId="0" fontId="90" fillId="0" borderId="0" xfId="20" applyFont="1"/>
    <xf numFmtId="0" fontId="92" fillId="0" borderId="0" xfId="20" applyFont="1"/>
    <xf numFmtId="194" fontId="93" fillId="10" borderId="0" xfId="16" applyNumberFormat="1" applyFont="1" applyFill="1" applyAlignment="1">
      <alignment horizontal="right"/>
    </xf>
    <xf numFmtId="194" fontId="94" fillId="15" borderId="0" xfId="18" applyNumberFormat="1" applyFont="1" applyFill="1" applyAlignment="1">
      <alignment horizontal="right" vertical="center"/>
    </xf>
    <xf numFmtId="168" fontId="28" fillId="2" borderId="0" xfId="23" applyNumberFormat="1" applyAlignment="1">
      <alignment horizontal="right"/>
    </xf>
    <xf numFmtId="0" fontId="96" fillId="0" borderId="0" xfId="18" applyFont="1"/>
    <xf numFmtId="0" fontId="25" fillId="18" borderId="0" xfId="18" applyFont="1" applyFill="1" applyAlignment="1">
      <alignment vertical="center"/>
    </xf>
    <xf numFmtId="0" fontId="58" fillId="8" borderId="0" xfId="18" applyFont="1" applyFill="1"/>
    <xf numFmtId="0" fontId="57" fillId="8" borderId="0" xfId="18" applyFont="1" applyFill="1"/>
    <xf numFmtId="0" fontId="97" fillId="0" borderId="0" xfId="0" applyFont="1" applyAlignment="1">
      <alignment horizontal="left" vertical="center" indent="1"/>
    </xf>
    <xf numFmtId="0" fontId="58" fillId="0" borderId="0" xfId="18" applyFont="1"/>
    <xf numFmtId="0" fontId="57" fillId="0" borderId="0" xfId="18" applyFont="1"/>
    <xf numFmtId="0" fontId="58" fillId="0" borderId="0" xfId="0" applyFont="1"/>
    <xf numFmtId="0" fontId="16" fillId="0" borderId="3" xfId="0" applyFont="1" applyBorder="1"/>
    <xf numFmtId="0" fontId="19" fillId="0" borderId="0" xfId="34"/>
    <xf numFmtId="1" fontId="16" fillId="0" borderId="0" xfId="0" applyNumberFormat="1" applyFont="1"/>
    <xf numFmtId="43" fontId="16" fillId="0" borderId="3" xfId="31" applyFont="1" applyBorder="1" applyAlignment="1"/>
    <xf numFmtId="0" fontId="18" fillId="20" borderId="17" xfId="0" applyFont="1" applyFill="1" applyBorder="1"/>
    <xf numFmtId="0" fontId="16" fillId="20" borderId="4" xfId="0" applyFont="1" applyFill="1" applyBorder="1"/>
    <xf numFmtId="0" fontId="16" fillId="20" borderId="18" xfId="0" applyFont="1" applyFill="1" applyBorder="1"/>
    <xf numFmtId="0" fontId="18" fillId="20" borderId="21" xfId="0" applyFont="1" applyFill="1" applyBorder="1"/>
    <xf numFmtId="0" fontId="16" fillId="20" borderId="0" xfId="0" applyFont="1" applyFill="1"/>
    <xf numFmtId="0" fontId="16" fillId="20" borderId="22" xfId="0" applyFont="1" applyFill="1" applyBorder="1"/>
    <xf numFmtId="0" fontId="16" fillId="20" borderId="21" xfId="0" applyFont="1" applyFill="1" applyBorder="1"/>
    <xf numFmtId="197" fontId="35" fillId="20" borderId="0" xfId="32" applyNumberFormat="1" applyFont="1" applyFill="1" applyBorder="1" applyAlignment="1">
      <alignment horizontal="right"/>
    </xf>
    <xf numFmtId="197" fontId="35" fillId="20" borderId="22" xfId="32" applyNumberFormat="1" applyFont="1" applyFill="1" applyBorder="1" applyAlignment="1">
      <alignment horizontal="right"/>
    </xf>
    <xf numFmtId="2" fontId="35" fillId="20" borderId="0" xfId="0" applyNumberFormat="1" applyFont="1" applyFill="1" applyAlignment="1">
      <alignment horizontal="right"/>
    </xf>
    <xf numFmtId="2" fontId="35" fillId="20" borderId="22" xfId="0" applyNumberFormat="1" applyFont="1" applyFill="1" applyBorder="1" applyAlignment="1">
      <alignment horizontal="right"/>
    </xf>
    <xf numFmtId="1" fontId="35" fillId="20" borderId="0" xfId="0" applyNumberFormat="1" applyFont="1" applyFill="1" applyAlignment="1">
      <alignment horizontal="right"/>
    </xf>
    <xf numFmtId="1" fontId="35" fillId="20" borderId="22" xfId="0" applyNumberFormat="1" applyFont="1" applyFill="1" applyBorder="1" applyAlignment="1">
      <alignment horizontal="right"/>
    </xf>
    <xf numFmtId="196" fontId="35" fillId="20" borderId="0" xfId="31" applyNumberFormat="1" applyFont="1" applyFill="1" applyBorder="1" applyAlignment="1">
      <alignment horizontal="right"/>
    </xf>
    <xf numFmtId="196" fontId="35" fillId="20" borderId="22" xfId="31" applyNumberFormat="1" applyFont="1" applyFill="1" applyBorder="1" applyAlignment="1">
      <alignment horizontal="right"/>
    </xf>
    <xf numFmtId="196" fontId="35" fillId="20" borderId="0" xfId="35" applyNumberFormat="1" applyFont="1" applyFill="1" applyBorder="1" applyAlignment="1">
      <alignment horizontal="right"/>
    </xf>
    <xf numFmtId="196" fontId="35" fillId="20" borderId="22" xfId="35" applyNumberFormat="1" applyFont="1" applyFill="1" applyBorder="1" applyAlignment="1">
      <alignment horizontal="right"/>
    </xf>
    <xf numFmtId="171" fontId="35" fillId="20" borderId="0" xfId="0" applyNumberFormat="1" applyFont="1" applyFill="1" applyAlignment="1">
      <alignment horizontal="right"/>
    </xf>
    <xf numFmtId="171" fontId="35" fillId="20" borderId="22" xfId="0" applyNumberFormat="1" applyFont="1" applyFill="1" applyBorder="1" applyAlignment="1">
      <alignment horizontal="right"/>
    </xf>
    <xf numFmtId="199" fontId="16" fillId="0" borderId="0" xfId="31" applyNumberFormat="1" applyFont="1"/>
    <xf numFmtId="0" fontId="35" fillId="21" borderId="21" xfId="0" applyFont="1" applyFill="1" applyBorder="1"/>
    <xf numFmtId="200" fontId="101" fillId="21" borderId="0" xfId="36" applyNumberFormat="1" applyFont="1" applyFill="1" applyBorder="1" applyAlignment="1">
      <alignment horizontal="right"/>
    </xf>
    <xf numFmtId="200" fontId="101" fillId="21" borderId="22" xfId="36" applyNumberFormat="1" applyFont="1" applyFill="1" applyBorder="1" applyAlignment="1">
      <alignment horizontal="right"/>
    </xf>
    <xf numFmtId="9" fontId="35" fillId="20" borderId="19" xfId="0" applyNumberFormat="1" applyFont="1" applyFill="1" applyBorder="1"/>
    <xf numFmtId="0" fontId="16" fillId="20" borderId="7" xfId="0" applyFont="1" applyFill="1" applyBorder="1"/>
    <xf numFmtId="0" fontId="16" fillId="20" borderId="20" xfId="0" applyFont="1" applyFill="1" applyBorder="1"/>
    <xf numFmtId="9" fontId="37" fillId="22" borderId="17" xfId="0" applyNumberFormat="1" applyFont="1" applyFill="1" applyBorder="1"/>
    <xf numFmtId="0" fontId="16" fillId="22" borderId="4" xfId="0" applyFont="1" applyFill="1" applyBorder="1"/>
    <xf numFmtId="0" fontId="16" fillId="22" borderId="18" xfId="0" applyFont="1" applyFill="1" applyBorder="1"/>
    <xf numFmtId="9" fontId="35" fillId="22" borderId="21" xfId="0" applyNumberFormat="1" applyFont="1" applyFill="1" applyBorder="1"/>
    <xf numFmtId="0" fontId="16" fillId="22" borderId="0" xfId="0" applyFont="1" applyFill="1"/>
    <xf numFmtId="0" fontId="16" fillId="22" borderId="22" xfId="0" applyFont="1" applyFill="1" applyBorder="1"/>
    <xf numFmtId="44" fontId="16" fillId="22" borderId="0" xfId="32" applyFont="1" applyFill="1" applyBorder="1"/>
    <xf numFmtId="44" fontId="16" fillId="22" borderId="22" xfId="32" applyFont="1" applyFill="1" applyBorder="1"/>
    <xf numFmtId="0" fontId="16" fillId="23" borderId="21" xfId="0" applyFont="1" applyFill="1" applyBorder="1"/>
    <xf numFmtId="197" fontId="16" fillId="23" borderId="0" xfId="32" applyNumberFormat="1" applyFont="1" applyFill="1" applyBorder="1"/>
    <xf numFmtId="197" fontId="16" fillId="23" borderId="22" xfId="32" applyNumberFormat="1" applyFont="1" applyFill="1" applyBorder="1"/>
    <xf numFmtId="0" fontId="16" fillId="22" borderId="21" xfId="0" applyFont="1" applyFill="1" applyBorder="1"/>
    <xf numFmtId="196" fontId="16" fillId="22" borderId="0" xfId="31" applyNumberFormat="1" applyFont="1" applyFill="1" applyBorder="1"/>
    <xf numFmtId="196" fontId="16" fillId="22" borderId="22" xfId="31" applyNumberFormat="1" applyFont="1" applyFill="1" applyBorder="1"/>
    <xf numFmtId="0" fontId="16" fillId="22" borderId="19" xfId="0" applyFont="1" applyFill="1" applyBorder="1"/>
    <xf numFmtId="196" fontId="16" fillId="22" borderId="7" xfId="31" applyNumberFormat="1" applyFont="1" applyFill="1" applyBorder="1"/>
    <xf numFmtId="196" fontId="16" fillId="22" borderId="20" xfId="31" applyNumberFormat="1" applyFont="1" applyFill="1" applyBorder="1"/>
    <xf numFmtId="0" fontId="18" fillId="24" borderId="17" xfId="0" applyFont="1" applyFill="1" applyBorder="1"/>
    <xf numFmtId="0" fontId="16" fillId="24" borderId="4" xfId="0" applyFont="1" applyFill="1" applyBorder="1"/>
    <xf numFmtId="0" fontId="16" fillId="24" borderId="18" xfId="0" applyFont="1" applyFill="1" applyBorder="1"/>
    <xf numFmtId="0" fontId="16" fillId="24" borderId="21" xfId="0" applyFont="1" applyFill="1" applyBorder="1"/>
    <xf numFmtId="0" fontId="16" fillId="24" borderId="0" xfId="0" applyFont="1" applyFill="1"/>
    <xf numFmtId="0" fontId="16" fillId="24" borderId="22" xfId="0" applyFont="1" applyFill="1" applyBorder="1"/>
    <xf numFmtId="0" fontId="16" fillId="19" borderId="21" xfId="0" applyFont="1" applyFill="1" applyBorder="1"/>
    <xf numFmtId="44" fontId="16" fillId="19" borderId="0" xfId="0" applyNumberFormat="1" applyFont="1" applyFill="1"/>
    <xf numFmtId="44" fontId="16" fillId="19" borderId="22" xfId="0" applyNumberFormat="1" applyFont="1" applyFill="1" applyBorder="1"/>
    <xf numFmtId="0" fontId="16" fillId="24" borderId="19" xfId="0" applyFont="1" applyFill="1" applyBorder="1"/>
    <xf numFmtId="44" fontId="16" fillId="24" borderId="7" xfId="0" applyNumberFormat="1" applyFont="1" applyFill="1" applyBorder="1"/>
    <xf numFmtId="44" fontId="16" fillId="24" borderId="20" xfId="0" applyNumberFormat="1" applyFont="1" applyFill="1" applyBorder="1"/>
    <xf numFmtId="0" fontId="18" fillId="2" borderId="17" xfId="0" applyFont="1" applyFill="1" applyBorder="1"/>
    <xf numFmtId="0" fontId="16" fillId="2" borderId="4" xfId="0" applyFont="1" applyFill="1" applyBorder="1"/>
    <xf numFmtId="0" fontId="16" fillId="2" borderId="18" xfId="0" applyFont="1" applyFill="1" applyBorder="1"/>
    <xf numFmtId="0" fontId="16" fillId="2" borderId="21" xfId="0" applyFont="1" applyFill="1" applyBorder="1"/>
    <xf numFmtId="0" fontId="16" fillId="2" borderId="0" xfId="0" applyFont="1" applyFill="1" applyAlignment="1">
      <alignment horizontal="center"/>
    </xf>
    <xf numFmtId="0" fontId="16" fillId="2" borderId="22" xfId="0" applyFont="1" applyFill="1" applyBorder="1" applyAlignment="1">
      <alignment horizontal="center"/>
    </xf>
    <xf numFmtId="0" fontId="16" fillId="25" borderId="21" xfId="0" applyFont="1" applyFill="1" applyBorder="1"/>
    <xf numFmtId="199" fontId="16" fillId="25" borderId="0" xfId="31" applyNumberFormat="1" applyFont="1" applyFill="1" applyBorder="1"/>
    <xf numFmtId="199" fontId="16" fillId="25" borderId="22" xfId="31" applyNumberFormat="1" applyFont="1" applyFill="1" applyBorder="1"/>
    <xf numFmtId="0" fontId="16" fillId="2" borderId="19" xfId="0" applyFont="1" applyFill="1" applyBorder="1"/>
    <xf numFmtId="0" fontId="16" fillId="2" borderId="7" xfId="0" applyFont="1" applyFill="1" applyBorder="1"/>
    <xf numFmtId="0" fontId="16" fillId="2" borderId="20" xfId="0" applyFont="1" applyFill="1" applyBorder="1"/>
    <xf numFmtId="43" fontId="16" fillId="0" borderId="0" xfId="18" applyNumberFormat="1"/>
    <xf numFmtId="0" fontId="16" fillId="0" borderId="0" xfId="18" applyAlignment="1">
      <alignment wrapText="1"/>
    </xf>
    <xf numFmtId="0" fontId="0" fillId="0" borderId="0" xfId="0" applyAlignment="1">
      <alignment wrapText="1"/>
    </xf>
    <xf numFmtId="0" fontId="18" fillId="0" borderId="3" xfId="0" applyFont="1" applyBorder="1"/>
    <xf numFmtId="9" fontId="18" fillId="0" borderId="3" xfId="33" applyFont="1" applyBorder="1"/>
    <xf numFmtId="196" fontId="16" fillId="0" borderId="3" xfId="31" applyNumberFormat="1" applyFont="1" applyBorder="1"/>
    <xf numFmtId="0" fontId="102" fillId="0" borderId="0" xfId="0" applyFont="1"/>
    <xf numFmtId="1" fontId="102" fillId="0" borderId="0" xfId="0" applyNumberFormat="1" applyFont="1"/>
    <xf numFmtId="0" fontId="18" fillId="0" borderId="3" xfId="18" applyFont="1" applyBorder="1"/>
    <xf numFmtId="196" fontId="16" fillId="0" borderId="3" xfId="0" applyNumberFormat="1" applyFont="1" applyBorder="1"/>
    <xf numFmtId="0" fontId="16" fillId="0" borderId="3" xfId="18" applyBorder="1"/>
    <xf numFmtId="43" fontId="16" fillId="0" borderId="3" xfId="38" applyFont="1" applyBorder="1"/>
    <xf numFmtId="177" fontId="28" fillId="2" borderId="8" xfId="18" applyNumberFormat="1" applyFont="1" applyFill="1" applyBorder="1" applyAlignment="1">
      <alignment horizontal="right" vertical="center"/>
    </xf>
    <xf numFmtId="43" fontId="28" fillId="2" borderId="8" xfId="31" applyFont="1" applyFill="1" applyBorder="1" applyAlignment="1">
      <alignment horizontal="right" vertical="center"/>
    </xf>
    <xf numFmtId="185" fontId="103" fillId="0" borderId="7" xfId="22" applyNumberFormat="1" applyFont="1" applyBorder="1" applyAlignment="1">
      <alignment horizontal="left"/>
    </xf>
    <xf numFmtId="0" fontId="16" fillId="0" borderId="7" xfId="20" applyFont="1" applyBorder="1" applyAlignment="1">
      <alignment horizontal="center"/>
    </xf>
    <xf numFmtId="185" fontId="103" fillId="0" borderId="7" xfId="22" applyNumberFormat="1" applyFont="1" applyBorder="1">
      <alignment horizontal="right"/>
    </xf>
    <xf numFmtId="185" fontId="22" fillId="0" borderId="0" xfId="22" applyNumberFormat="1" applyBorder="1" applyAlignment="1">
      <alignment horizontal="left"/>
    </xf>
    <xf numFmtId="9" fontId="28" fillId="2" borderId="0" xfId="24" applyNumberFormat="1" applyFont="1" applyFill="1" applyBorder="1" applyAlignment="1">
      <alignment horizontal="right"/>
    </xf>
    <xf numFmtId="0" fontId="89" fillId="0" borderId="0" xfId="20" applyFont="1" applyAlignment="1">
      <alignment horizontal="left"/>
    </xf>
    <xf numFmtId="14" fontId="86" fillId="16" borderId="0" xfId="20" applyNumberFormat="1" applyFont="1" applyFill="1"/>
    <xf numFmtId="9" fontId="19" fillId="16" borderId="0" xfId="20" applyNumberFormat="1" applyFill="1"/>
    <xf numFmtId="191" fontId="21" fillId="0" borderId="0" xfId="18" applyNumberFormat="1" applyFont="1" applyAlignment="1">
      <alignment horizontal="left" indent="1"/>
    </xf>
    <xf numFmtId="191" fontId="59" fillId="0" borderId="0" xfId="18" applyNumberFormat="1" applyFont="1" applyAlignment="1">
      <alignment horizontal="left" indent="1"/>
    </xf>
    <xf numFmtId="202" fontId="91" fillId="0" borderId="0" xfId="20" applyNumberFormat="1" applyFont="1" applyAlignment="1">
      <alignment horizontal="left"/>
    </xf>
    <xf numFmtId="0" fontId="16" fillId="13" borderId="4" xfId="18" applyFill="1" applyBorder="1" applyAlignment="1">
      <alignment horizontal="left" vertical="top"/>
    </xf>
    <xf numFmtId="0" fontId="16" fillId="0" borderId="4" xfId="18" applyBorder="1" applyAlignment="1">
      <alignment horizontal="left" vertical="top" wrapText="1"/>
    </xf>
    <xf numFmtId="0" fontId="0" fillId="0" borderId="4" xfId="0" applyBorder="1" applyAlignment="1">
      <alignment horizontal="left" vertical="top" wrapText="1"/>
    </xf>
    <xf numFmtId="0" fontId="16" fillId="0" borderId="0" xfId="18" applyAlignment="1">
      <alignment horizontal="left" vertical="top" wrapText="1"/>
    </xf>
    <xf numFmtId="0" fontId="0" fillId="0" borderId="0" xfId="0" applyAlignment="1">
      <alignment horizontal="left" vertical="top" wrapText="1"/>
    </xf>
    <xf numFmtId="185" fontId="28" fillId="2" borderId="13" xfId="23" applyNumberFormat="1" applyBorder="1" applyAlignment="1">
      <alignment horizontal="left"/>
    </xf>
    <xf numFmtId="185" fontId="28" fillId="2" borderId="14" xfId="23" applyNumberFormat="1" applyBorder="1" applyAlignment="1">
      <alignment horizontal="left"/>
    </xf>
    <xf numFmtId="185" fontId="28" fillId="2" borderId="15" xfId="23" applyNumberFormat="1" applyBorder="1" applyAlignment="1">
      <alignment horizontal="left"/>
    </xf>
    <xf numFmtId="0" fontId="38" fillId="2" borderId="0" xfId="0" applyFont="1" applyFill="1" applyAlignment="1">
      <alignment horizontal="left"/>
    </xf>
    <xf numFmtId="0" fontId="28" fillId="2" borderId="0" xfId="24" applyNumberFormat="1" applyFont="1" applyFill="1" applyBorder="1" applyAlignment="1">
      <alignment horizontal="left" vertical="top"/>
    </xf>
    <xf numFmtId="0" fontId="28" fillId="2" borderId="0" xfId="18" applyFont="1" applyFill="1" applyAlignment="1">
      <alignment horizontal="left" vertical="top"/>
    </xf>
    <xf numFmtId="0" fontId="16" fillId="0" borderId="0" xfId="18" applyAlignment="1">
      <alignment wrapText="1"/>
    </xf>
    <xf numFmtId="0" fontId="0" fillId="0" borderId="0" xfId="0" applyAlignment="1">
      <alignment wrapText="1"/>
    </xf>
    <xf numFmtId="0" fontId="18" fillId="0" borderId="0" xfId="18" applyFont="1" applyAlignment="1">
      <alignment wrapText="1"/>
    </xf>
    <xf numFmtId="0" fontId="50" fillId="0" borderId="0" xfId="0" applyFont="1" applyAlignment="1">
      <alignment wrapText="1"/>
    </xf>
    <xf numFmtId="0" fontId="95" fillId="0" borderId="7" xfId="0" applyFont="1" applyBorder="1" applyAlignment="1">
      <alignment vertical="center" wrapText="1"/>
    </xf>
    <xf numFmtId="0" fontId="95" fillId="0" borderId="7" xfId="0" applyFont="1" applyBorder="1" applyAlignment="1">
      <alignment horizontal="right" vertical="center" wrapText="1"/>
    </xf>
    <xf numFmtId="0" fontId="1" fillId="0" borderId="0" xfId="0" applyFont="1" applyAlignment="1">
      <alignment vertical="center" wrapText="1"/>
    </xf>
    <xf numFmtId="0" fontId="99" fillId="2" borderId="0" xfId="0" applyFont="1" applyFill="1" applyAlignment="1">
      <alignment horizontal="center" vertical="center" wrapText="1"/>
    </xf>
    <xf numFmtId="185" fontId="99" fillId="2" borderId="0" xfId="0" applyNumberFormat="1" applyFont="1" applyFill="1" applyAlignment="1">
      <alignment vertical="center" wrapText="1"/>
    </xf>
    <xf numFmtId="203" fontId="99" fillId="0" borderId="0" xfId="0" applyNumberFormat="1" applyFont="1" applyAlignment="1">
      <alignment vertical="center" wrapText="1"/>
    </xf>
    <xf numFmtId="0" fontId="95" fillId="0" borderId="4" xfId="0" applyFont="1" applyBorder="1" applyAlignment="1">
      <alignment vertical="center" wrapText="1"/>
    </xf>
    <xf numFmtId="0" fontId="99" fillId="0" borderId="4" xfId="0" applyFont="1" applyBorder="1" applyAlignment="1">
      <alignment horizontal="center" vertical="center" wrapText="1"/>
    </xf>
    <xf numFmtId="195" fontId="99" fillId="0" borderId="4" xfId="0" applyNumberFormat="1" applyFont="1" applyBorder="1" applyAlignment="1">
      <alignment vertical="center" wrapText="1"/>
    </xf>
    <xf numFmtId="203" fontId="104" fillId="0" borderId="4" xfId="0" applyNumberFormat="1" applyFont="1" applyBorder="1" applyAlignment="1">
      <alignment vertical="center" wrapText="1"/>
    </xf>
    <xf numFmtId="0" fontId="95" fillId="0" borderId="7" xfId="0" applyFont="1" applyBorder="1" applyAlignment="1">
      <alignment horizontal="center" vertical="center" wrapText="1"/>
    </xf>
    <xf numFmtId="0" fontId="95" fillId="0" borderId="7" xfId="0" applyFont="1" applyBorder="1" applyAlignment="1">
      <alignment horizontal="right" vertical="center"/>
    </xf>
    <xf numFmtId="43" fontId="16" fillId="0" borderId="0" xfId="0" applyNumberFormat="1" applyFont="1"/>
    <xf numFmtId="196" fontId="16" fillId="2" borderId="0" xfId="31" applyNumberFormat="1" applyFont="1" applyFill="1" applyBorder="1" applyAlignment="1">
      <alignment horizontal="center"/>
    </xf>
    <xf numFmtId="43" fontId="16" fillId="2" borderId="0" xfId="31" applyFont="1" applyFill="1" applyBorder="1"/>
    <xf numFmtId="196" fontId="16" fillId="2" borderId="0" xfId="31" applyNumberFormat="1" applyFont="1" applyFill="1" applyBorder="1"/>
    <xf numFmtId="196" fontId="16" fillId="0" borderId="0" xfId="31" applyNumberFormat="1" applyFont="1" applyFill="1" applyBorder="1"/>
    <xf numFmtId="43" fontId="16" fillId="0" borderId="0" xfId="31" applyFont="1" applyFill="1" applyBorder="1" applyAlignment="1"/>
    <xf numFmtId="43" fontId="16" fillId="0" borderId="0" xfId="31" applyFont="1" applyBorder="1"/>
    <xf numFmtId="43" fontId="58" fillId="0" borderId="0" xfId="31" applyFont="1" applyBorder="1"/>
    <xf numFmtId="41" fontId="16" fillId="2" borderId="0" xfId="31" applyNumberFormat="1" applyFont="1" applyFill="1" applyBorder="1"/>
    <xf numFmtId="43" fontId="58" fillId="0" borderId="0" xfId="31" applyFont="1" applyFill="1" applyBorder="1"/>
    <xf numFmtId="0" fontId="16" fillId="0" borderId="0" xfId="18" applyBorder="1"/>
    <xf numFmtId="0" fontId="16" fillId="0" borderId="0" xfId="0" applyFont="1" applyBorder="1"/>
    <xf numFmtId="0" fontId="18" fillId="0" borderId="16" xfId="18" applyFont="1" applyBorder="1" applyAlignment="1">
      <alignment horizontal="centerContinuous"/>
    </xf>
    <xf numFmtId="0" fontId="0" fillId="0" borderId="23" xfId="0" applyBorder="1" applyAlignment="1">
      <alignment horizontal="centerContinuous"/>
    </xf>
    <xf numFmtId="0" fontId="18" fillId="0" borderId="16" xfId="0" applyFont="1" applyBorder="1" applyAlignment="1">
      <alignment horizontal="center" wrapText="1"/>
    </xf>
    <xf numFmtId="0" fontId="18" fillId="0" borderId="23" xfId="0" applyFont="1" applyBorder="1" applyAlignment="1">
      <alignment horizontal="center" wrapText="1"/>
    </xf>
    <xf numFmtId="9" fontId="18" fillId="0" borderId="16" xfId="33" applyFont="1" applyFill="1" applyBorder="1" applyAlignment="1">
      <alignment horizontal="center" wrapText="1"/>
    </xf>
    <xf numFmtId="9" fontId="18" fillId="0" borderId="23" xfId="33" applyFont="1" applyFill="1" applyBorder="1" applyAlignment="1">
      <alignment horizontal="center" wrapText="1"/>
    </xf>
    <xf numFmtId="0" fontId="18" fillId="0" borderId="23" xfId="0" applyFont="1" applyBorder="1"/>
    <xf numFmtId="0" fontId="16" fillId="0" borderId="23" xfId="0" applyFont="1" applyBorder="1"/>
    <xf numFmtId="196" fontId="16" fillId="2" borderId="3" xfId="31" applyNumberFormat="1" applyFont="1" applyFill="1" applyBorder="1" applyAlignment="1">
      <alignment horizontal="center"/>
    </xf>
    <xf numFmtId="9" fontId="16" fillId="0" borderId="3" xfId="33" applyFont="1" applyFill="1" applyBorder="1" applyAlignment="1">
      <alignment horizontal="center"/>
    </xf>
    <xf numFmtId="0" fontId="16" fillId="0" borderId="23" xfId="18" applyBorder="1"/>
    <xf numFmtId="43" fontId="16" fillId="0" borderId="3" xfId="39" applyFont="1" applyBorder="1"/>
    <xf numFmtId="0" fontId="0" fillId="0" borderId="0" xfId="0" applyAlignment="1">
      <alignment horizontal="left" vertical="top"/>
    </xf>
    <xf numFmtId="0" fontId="0" fillId="0" borderId="0" xfId="0" applyBorder="1" applyAlignment="1">
      <alignment horizontal="left" vertical="top"/>
    </xf>
    <xf numFmtId="0" fontId="16" fillId="0" borderId="22" xfId="18" applyBorder="1" applyAlignment="1">
      <alignment horizontal="left" vertical="top" wrapText="1"/>
    </xf>
    <xf numFmtId="9" fontId="16" fillId="2" borderId="16" xfId="33" applyFont="1" applyFill="1" applyBorder="1" applyAlignment="1">
      <alignment horizontal="center" vertical="center" wrapText="1"/>
    </xf>
    <xf numFmtId="9" fontId="16" fillId="2" borderId="23" xfId="33" applyFont="1" applyFill="1" applyBorder="1" applyAlignment="1">
      <alignment horizontal="center" vertical="center" wrapText="1"/>
    </xf>
  </cellXfs>
  <cellStyles count="40">
    <cellStyle name="Assumption" xfId="23" xr:uid="{E21B85CB-AE39-493C-90CF-A6033D394DF7}"/>
    <cellStyle name="Base_Input" xfId="12" xr:uid="{00000000-0005-0000-0000-000000000000}"/>
    <cellStyle name="Comma" xfId="31" builtinId="3"/>
    <cellStyle name="Comma [0] 2" xfId="3" xr:uid="{00000000-0005-0000-0000-000002000000}"/>
    <cellStyle name="Comma 2" xfId="30" xr:uid="{50BDA386-AB13-404C-8C84-0EDF43721243}"/>
    <cellStyle name="Comma 2 2" xfId="35" xr:uid="{688BB773-98A5-45E2-B316-9103465E3674}"/>
    <cellStyle name="Comma 4" xfId="37" xr:uid="{B454AC57-937E-422E-BE72-066B122679DC}"/>
    <cellStyle name="Comma 6" xfId="38" xr:uid="{2DA1275C-BC3C-48F7-A268-B34B162887F2}"/>
    <cellStyle name="Comma 8" xfId="39" xr:uid="{A09CA667-1AC7-4A9A-8F34-FB79FCFD96A4}"/>
    <cellStyle name="Currency" xfId="32" builtinId="4"/>
    <cellStyle name="Currency 2 2" xfId="29" xr:uid="{F29057D5-5718-441F-8CAD-00B1D320E1EF}"/>
    <cellStyle name="Empty_Cell" xfId="9" xr:uid="{00000000-0005-0000-0000-000004000000}"/>
    <cellStyle name="Explanatory Text" xfId="1" builtinId="53" customBuiltin="1"/>
    <cellStyle name="Fixed_input" xfId="24" xr:uid="{0B0B930C-107A-4F05-8A3E-C5F6EECE17A8}"/>
    <cellStyle name="Flag" xfId="4" xr:uid="{00000000-0005-0000-0000-000006000000}"/>
    <cellStyle name="Good 2" xfId="36" xr:uid="{DFF791DB-F37B-4BCE-836D-BB5323589C69}"/>
    <cellStyle name="Header1" xfId="16" xr:uid="{00000000-0005-0000-0000-000007000000}"/>
    <cellStyle name="Header1A" xfId="17" xr:uid="{00000000-0005-0000-0000-000008000000}"/>
    <cellStyle name="Header2" xfId="14" xr:uid="{00000000-0005-0000-0000-000009000000}"/>
    <cellStyle name="Header3" xfId="5" xr:uid="{00000000-0005-0000-0000-00000A000000}"/>
    <cellStyle name="Header4" xfId="15" xr:uid="{00000000-0005-0000-0000-00000B000000}"/>
    <cellStyle name="Insheet" xfId="6" xr:uid="{00000000-0005-0000-0000-00000D000000}"/>
    <cellStyle name="Line_SubTotal" xfId="7" xr:uid="{00000000-0005-0000-0000-00000E000000}"/>
    <cellStyle name="Normal" xfId="0" builtinId="0" customBuiltin="1"/>
    <cellStyle name="Normal 10" xfId="8" xr:uid="{00000000-0005-0000-0000-000011000000}"/>
    <cellStyle name="Normal 2" xfId="18" xr:uid="{59EBAEB1-13C8-4373-8DB4-B4C525DCEC98}"/>
    <cellStyle name="Normal 2 2" xfId="25" xr:uid="{D49C4081-9D03-4C8F-8778-34555D4B3E0F}"/>
    <cellStyle name="Normal 3" xfId="20" xr:uid="{9D4C47DD-E890-4097-9475-8567B8B53D92}"/>
    <cellStyle name="Normal 3 2" xfId="26" xr:uid="{50613177-AD5A-4CE0-A391-A4160267F944}"/>
    <cellStyle name="Normal 4" xfId="34" xr:uid="{8333A6CF-891E-4DDD-99D4-928B6FF8F037}"/>
    <cellStyle name="Normal 8" xfId="28" xr:uid="{A72DEBFF-D704-40A2-B10B-0D568324BDB3}"/>
    <cellStyle name="Offsheet" xfId="10" xr:uid="{00000000-0005-0000-0000-000012000000}"/>
    <cellStyle name="Percent" xfId="33" builtinId="5"/>
    <cellStyle name="Percent 2" xfId="19" xr:uid="{39961233-90E2-46DE-A48A-52E8009F685E}"/>
    <cellStyle name="Percent 2 2" xfId="27" xr:uid="{E4F6E093-BFA5-41AA-B689-F440D86C5D1D}"/>
    <cellStyle name="Result" xfId="22" xr:uid="{6557DBFB-C674-4413-A044-F9C12EE60C25}"/>
    <cellStyle name="Table_Heading" xfId="11" xr:uid="{00000000-0005-0000-0000-000013000000}"/>
    <cellStyle name="Unit" xfId="13" xr:uid="{00000000-0005-0000-0000-000014000000}"/>
    <cellStyle name="Units" xfId="21" xr:uid="{1AB48B31-3307-411F-96E5-E0E849D0DDE8}"/>
    <cellStyle name="User_Input_Actual" xfId="2" xr:uid="{00000000-0005-0000-0000-000015000000}"/>
  </cellStyles>
  <dxfs count="23">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1" tint="0.499984740745262"/>
      </font>
    </dxf>
    <dxf>
      <font>
        <color rgb="FFFF0000"/>
      </font>
    </dxf>
    <dxf>
      <font>
        <color theme="1" tint="0.499984740745262"/>
      </font>
    </dxf>
    <dxf>
      <font>
        <b val="0"/>
        <i val="0"/>
        <color theme="1" tint="0.34998626667073579"/>
      </font>
    </dxf>
    <dxf>
      <fill>
        <patternFill>
          <bgColor rgb="FFCCFFFF"/>
        </patternFill>
      </fill>
    </dxf>
    <dxf>
      <font>
        <color theme="0" tint="-0.24994659260841701"/>
      </font>
    </dxf>
    <dxf>
      <font>
        <color theme="0"/>
      </font>
    </dxf>
    <dxf>
      <font>
        <color theme="0"/>
      </font>
    </dxf>
    <dxf>
      <font>
        <color theme="0"/>
      </font>
    </dxf>
  </dxfs>
  <tableStyles count="0" defaultTableStyle="TableStyleMedium2" defaultPivotStyle="PivotStyleMedium9"/>
  <colors>
    <mruColors>
      <color rgb="FF66FFFF"/>
      <color rgb="FF00215B"/>
      <color rgb="FF3333FF"/>
      <color rgb="FFFFFFCC"/>
      <color rgb="FFF2F2F2"/>
      <color rgb="FFFABFA8"/>
      <color rgb="FF882B3C"/>
      <color rgb="FFEE2A24"/>
      <color rgb="FFCCFF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8</xdr:col>
      <xdr:colOff>590550</xdr:colOff>
      <xdr:row>1</xdr:row>
      <xdr:rowOff>19050</xdr:rowOff>
    </xdr:from>
    <xdr:to>
      <xdr:col>10</xdr:col>
      <xdr:colOff>247650</xdr:colOff>
      <xdr:row>5</xdr:row>
      <xdr:rowOff>19050</xdr:rowOff>
    </xdr:to>
    <xdr:pic>
      <xdr:nvPicPr>
        <xdr:cNvPr id="6" name="Picture 5">
          <a:extLst>
            <a:ext uri="{FF2B5EF4-FFF2-40B4-BE49-F238E27FC236}">
              <a16:creationId xmlns:a16="http://schemas.microsoft.com/office/drawing/2014/main" id="{B7B0DFB7-A4DA-8835-9143-74793CE3E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62600" y="209550"/>
          <a:ext cx="876300"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729751</xdr:colOff>
          <xdr:row>8</xdr:row>
          <xdr:rowOff>118773</xdr:rowOff>
        </xdr:from>
        <xdr:to>
          <xdr:col>13</xdr:col>
          <xdr:colOff>61447</xdr:colOff>
          <xdr:row>10</xdr:row>
          <xdr:rowOff>131089</xdr:rowOff>
        </xdr:to>
        <xdr:pic>
          <xdr:nvPicPr>
            <xdr:cNvPr id="3" name="Picture 2">
              <a:extLst>
                <a:ext uri="{FF2B5EF4-FFF2-40B4-BE49-F238E27FC236}">
                  <a16:creationId xmlns:a16="http://schemas.microsoft.com/office/drawing/2014/main" id="{E82B1651-56B8-002E-EA93-9D5D6C5D8096}"/>
                </a:ext>
              </a:extLst>
            </xdr:cNvPr>
            <xdr:cNvPicPr>
              <a:picLocks noChangeAspect="1" noChangeArrowheads="1"/>
              <a:extLst>
                <a:ext uri="{84589F7E-364E-4C9E-8A38-B11213B215E9}">
                  <a14:cameraTool cellRange="Data!$AA$31:$AD$32" spid="_x0000_s25371"/>
                </a:ext>
              </a:extLst>
            </xdr:cNvPicPr>
          </xdr:nvPicPr>
          <xdr:blipFill>
            <a:blip xmlns:r="http://schemas.openxmlformats.org/officeDocument/2006/relationships" r:embed="rId1"/>
            <a:srcRect/>
            <a:stretch>
              <a:fillRect/>
            </a:stretch>
          </xdr:blipFill>
          <xdr:spPr bwMode="auto">
            <a:xfrm>
              <a:off x="5799168" y="1536940"/>
              <a:ext cx="3596779" cy="329816"/>
            </a:xfrm>
            <a:prstGeom prst="rect">
              <a:avLst/>
            </a:prstGeom>
            <a:solidFill>
              <a:schemeClr val="bg1"/>
            </a:solidFill>
            <a:effec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433916</xdr:colOff>
          <xdr:row>0</xdr:row>
          <xdr:rowOff>232834</xdr:rowOff>
        </xdr:from>
        <xdr:to>
          <xdr:col>18</xdr:col>
          <xdr:colOff>535516</xdr:colOff>
          <xdr:row>6</xdr:row>
          <xdr:rowOff>83609</xdr:rowOff>
        </xdr:to>
        <xdr:pic>
          <xdr:nvPicPr>
            <xdr:cNvPr id="4" name="Picture 3">
              <a:extLst>
                <a:ext uri="{FF2B5EF4-FFF2-40B4-BE49-F238E27FC236}">
                  <a16:creationId xmlns:a16="http://schemas.microsoft.com/office/drawing/2014/main" id="{8F508DEC-47D7-CD31-F6EB-2DEF0BD75E9C}"/>
                </a:ext>
              </a:extLst>
            </xdr:cNvPr>
            <xdr:cNvPicPr>
              <a:picLocks noChangeAspect="1" noChangeArrowheads="1"/>
              <a:extLst>
                <a:ext uri="{84589F7E-364E-4C9E-8A38-B11213B215E9}">
                  <a14:cameraTool cellRange="Data!$AA$14:$AA$19" spid="_x0000_s25372"/>
                </a:ext>
              </a:extLst>
            </xdr:cNvPicPr>
          </xdr:nvPicPr>
          <xdr:blipFill>
            <a:blip xmlns:r="http://schemas.openxmlformats.org/officeDocument/2006/relationships" r:embed="rId2"/>
            <a:srcRect/>
            <a:stretch>
              <a:fillRect/>
            </a:stretch>
          </xdr:blipFill>
          <xdr:spPr bwMode="auto">
            <a:xfrm>
              <a:off x="11641666" y="232834"/>
              <a:ext cx="1477433" cy="9620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93A8B-21F5-49D4-989F-F3848DBC1145}">
  <sheetPr codeName="Sheet11">
    <tabColor theme="2" tint="-0.749992370372631"/>
  </sheetPr>
  <dimension ref="A1:S41"/>
  <sheetViews>
    <sheetView showGridLines="0" tabSelected="1" zoomScaleNormal="100" workbookViewId="0">
      <selection activeCell="A36" sqref="A36"/>
    </sheetView>
  </sheetViews>
  <sheetFormatPr defaultColWidth="0" defaultRowHeight="15" customHeight="1" zeroHeight="1" x14ac:dyDescent="0.25"/>
  <cols>
    <col min="1" max="1" width="8" style="109" customWidth="1"/>
    <col min="2" max="2" width="1.875" style="109" customWidth="1"/>
    <col min="3" max="3" width="14" style="109" customWidth="1"/>
    <col min="4" max="4" width="8" style="109" customWidth="1"/>
    <col min="5" max="5" width="9.375" style="109" customWidth="1"/>
    <col min="6" max="11" width="8" style="109" customWidth="1"/>
    <col min="12" max="19" width="8" style="109" hidden="1" customWidth="1"/>
    <col min="20" max="16384" width="0" style="109" hidden="1"/>
  </cols>
  <sheetData>
    <row r="1" spans="1:19" x14ac:dyDescent="0.25">
      <c r="A1" s="262"/>
    </row>
    <row r="2" spans="1:19" ht="23.25" x14ac:dyDescent="0.35">
      <c r="A2" s="262"/>
      <c r="C2" s="263" t="s">
        <v>0</v>
      </c>
      <c r="D2" s="264"/>
      <c r="E2" s="264"/>
    </row>
    <row r="3" spans="1:19" ht="15.75" x14ac:dyDescent="0.25">
      <c r="A3" s="262"/>
      <c r="C3" s="265" t="s">
        <v>331</v>
      </c>
      <c r="D3" s="264"/>
      <c r="E3" s="264"/>
    </row>
    <row r="4" spans="1:19" x14ac:dyDescent="0.25">
      <c r="A4" s="262"/>
      <c r="D4" s="264"/>
      <c r="E4" s="264"/>
    </row>
    <row r="5" spans="1:19" x14ac:dyDescent="0.25">
      <c r="A5" s="262"/>
      <c r="C5" s="266" t="s">
        <v>1</v>
      </c>
    </row>
    <row r="6" spans="1:19" x14ac:dyDescent="0.25">
      <c r="A6" s="262"/>
      <c r="C6" s="267" t="s">
        <v>2</v>
      </c>
      <c r="D6" s="371" t="s">
        <v>332</v>
      </c>
      <c r="E6" s="267"/>
    </row>
    <row r="7" spans="1:19" x14ac:dyDescent="0.25">
      <c r="A7" s="262"/>
      <c r="F7" s="268"/>
      <c r="G7" s="268"/>
      <c r="H7" s="268"/>
      <c r="J7" s="268"/>
      <c r="K7" s="268"/>
      <c r="L7" s="268"/>
      <c r="M7" s="268"/>
      <c r="N7" s="268"/>
      <c r="O7" s="268"/>
      <c r="P7" s="268"/>
      <c r="Q7" s="268"/>
      <c r="R7" s="268"/>
      <c r="S7" s="268"/>
    </row>
    <row r="8" spans="1:19" x14ac:dyDescent="0.25">
      <c r="A8" s="262"/>
      <c r="C8" s="376">
        <v>45992</v>
      </c>
      <c r="F8" s="268"/>
      <c r="G8" s="268"/>
      <c r="H8" s="268"/>
      <c r="J8" s="268"/>
      <c r="K8" s="268"/>
      <c r="L8" s="268"/>
      <c r="M8" s="268"/>
      <c r="N8" s="268"/>
      <c r="O8" s="268"/>
      <c r="P8" s="268"/>
      <c r="Q8" s="268"/>
      <c r="R8" s="268"/>
      <c r="S8" s="268"/>
    </row>
    <row r="9" spans="1:19" x14ac:dyDescent="0.25">
      <c r="A9" s="262"/>
      <c r="C9" s="269"/>
      <c r="D9" s="269"/>
      <c r="F9" s="268"/>
      <c r="G9" s="268"/>
      <c r="H9" s="268"/>
      <c r="I9" s="268"/>
      <c r="J9" s="268"/>
      <c r="K9" s="268"/>
      <c r="L9" s="268"/>
      <c r="M9" s="268"/>
      <c r="N9" s="268"/>
      <c r="O9" s="268"/>
      <c r="P9" s="268"/>
      <c r="Q9" s="268"/>
      <c r="R9" s="268"/>
      <c r="S9" s="268"/>
    </row>
    <row r="10" spans="1:19" x14ac:dyDescent="0.25">
      <c r="A10" s="262"/>
      <c r="C10" s="269"/>
      <c r="D10" s="269"/>
      <c r="F10" s="268"/>
      <c r="G10" s="268"/>
      <c r="H10" s="268"/>
      <c r="I10" s="268"/>
      <c r="J10" s="268"/>
      <c r="K10" s="268"/>
      <c r="L10" s="268"/>
      <c r="M10" s="268"/>
      <c r="N10" s="268"/>
      <c r="O10" s="268"/>
      <c r="P10" s="268"/>
      <c r="Q10" s="268"/>
      <c r="R10" s="268"/>
      <c r="S10" s="268"/>
    </row>
    <row r="11" spans="1:19" x14ac:dyDescent="0.25">
      <c r="A11" s="262"/>
      <c r="C11" s="269"/>
      <c r="D11" s="269"/>
      <c r="F11" s="268"/>
      <c r="G11" s="268"/>
      <c r="H11" s="268"/>
      <c r="I11" s="268"/>
      <c r="J11" s="268"/>
      <c r="K11" s="268"/>
      <c r="L11" s="268"/>
      <c r="M11" s="268"/>
      <c r="N11" s="268"/>
      <c r="O11" s="268"/>
      <c r="P11" s="268"/>
      <c r="Q11" s="268"/>
      <c r="R11" s="268"/>
      <c r="S11" s="268"/>
    </row>
    <row r="12" spans="1:19" x14ac:dyDescent="0.25">
      <c r="A12" s="262"/>
      <c r="C12" s="269"/>
      <c r="D12" s="269"/>
      <c r="F12" s="268"/>
      <c r="G12" s="268"/>
      <c r="H12" s="268"/>
      <c r="I12" s="268"/>
      <c r="J12" s="268"/>
      <c r="K12" s="268"/>
      <c r="L12" s="268"/>
      <c r="M12" s="268"/>
      <c r="N12" s="268"/>
      <c r="O12" s="268"/>
      <c r="P12" s="268"/>
      <c r="Q12" s="268"/>
      <c r="R12" s="268"/>
      <c r="S12" s="268"/>
    </row>
    <row r="13" spans="1:19" x14ac:dyDescent="0.25">
      <c r="A13" s="262"/>
      <c r="C13" s="269"/>
      <c r="D13" s="269"/>
      <c r="F13" s="268"/>
      <c r="G13" s="268"/>
      <c r="H13" s="268"/>
      <c r="I13" s="268"/>
      <c r="J13" s="268"/>
      <c r="K13" s="268"/>
      <c r="L13" s="268"/>
      <c r="M13" s="268"/>
      <c r="N13" s="268"/>
      <c r="O13" s="268"/>
      <c r="P13" s="268"/>
      <c r="Q13" s="268"/>
      <c r="R13" s="268"/>
      <c r="S13" s="268"/>
    </row>
    <row r="14" spans="1:19" x14ac:dyDescent="0.25">
      <c r="A14" s="262"/>
      <c r="C14" s="268"/>
      <c r="D14" s="268"/>
      <c r="E14" s="268"/>
      <c r="F14" s="268"/>
      <c r="G14" s="268"/>
      <c r="H14" s="268"/>
      <c r="I14" s="268"/>
      <c r="J14" s="268"/>
      <c r="K14" s="268"/>
      <c r="L14" s="268"/>
      <c r="M14" s="268"/>
      <c r="N14" s="268"/>
      <c r="O14" s="268"/>
      <c r="P14" s="268"/>
      <c r="Q14" s="268"/>
      <c r="R14" s="268"/>
      <c r="S14" s="268"/>
    </row>
    <row r="15" spans="1:19" x14ac:dyDescent="0.25">
      <c r="A15" s="262"/>
      <c r="C15" s="266"/>
      <c r="D15" s="268"/>
      <c r="E15" s="268"/>
      <c r="F15" s="268"/>
      <c r="G15" s="268"/>
      <c r="H15" s="268"/>
      <c r="I15" s="268"/>
      <c r="J15" s="268"/>
      <c r="K15" s="268"/>
      <c r="L15" s="268"/>
      <c r="M15" s="268"/>
      <c r="N15" s="268"/>
      <c r="O15" s="268"/>
      <c r="P15" s="268"/>
      <c r="Q15" s="268"/>
      <c r="R15" s="268"/>
      <c r="S15" s="268"/>
    </row>
    <row r="16" spans="1:19" x14ac:dyDescent="0.25">
      <c r="A16" s="262"/>
      <c r="C16" s="266"/>
      <c r="D16" s="268"/>
      <c r="E16" s="268"/>
      <c r="F16" s="268"/>
      <c r="G16" s="268"/>
      <c r="H16" s="268"/>
      <c r="I16" s="268"/>
      <c r="J16" s="268"/>
      <c r="K16" s="268"/>
      <c r="L16" s="268"/>
      <c r="M16" s="268"/>
      <c r="N16" s="268"/>
      <c r="O16" s="268"/>
      <c r="P16" s="268"/>
      <c r="Q16" s="268"/>
      <c r="R16" s="268"/>
      <c r="S16" s="268"/>
    </row>
    <row r="17" spans="1:19" x14ac:dyDescent="0.25">
      <c r="A17" s="262"/>
      <c r="C17" s="268"/>
      <c r="D17" s="268"/>
      <c r="E17" s="268"/>
      <c r="F17" s="268"/>
      <c r="G17" s="268"/>
      <c r="H17" s="268"/>
      <c r="I17" s="268"/>
      <c r="J17" s="268"/>
      <c r="K17" s="268"/>
      <c r="L17" s="268"/>
      <c r="M17" s="268"/>
      <c r="N17" s="268"/>
      <c r="O17" s="268"/>
      <c r="P17" s="268"/>
      <c r="Q17" s="268"/>
      <c r="R17" s="268"/>
      <c r="S17" s="268"/>
    </row>
    <row r="18" spans="1:19" x14ac:dyDescent="0.25">
      <c r="A18" s="262"/>
      <c r="C18" s="268"/>
      <c r="D18" s="268"/>
      <c r="E18" s="268"/>
      <c r="F18" s="268"/>
      <c r="G18" s="268"/>
      <c r="H18" s="268"/>
      <c r="I18" s="268"/>
      <c r="J18" s="268"/>
      <c r="K18" s="268"/>
      <c r="L18" s="268"/>
      <c r="M18" s="268"/>
      <c r="N18" s="268"/>
      <c r="O18" s="268"/>
      <c r="P18" s="268"/>
      <c r="Q18" s="268"/>
      <c r="R18" s="268"/>
      <c r="S18" s="268"/>
    </row>
    <row r="19" spans="1:19" x14ac:dyDescent="0.25">
      <c r="A19" s="262"/>
      <c r="C19" s="268"/>
      <c r="D19" s="268"/>
      <c r="E19" s="268"/>
      <c r="F19" s="268"/>
      <c r="G19"/>
      <c r="H19" s="268"/>
      <c r="I19" s="268"/>
      <c r="J19" s="268"/>
      <c r="K19" s="268"/>
      <c r="L19" s="268"/>
      <c r="M19" s="268"/>
      <c r="N19" s="268"/>
      <c r="O19" s="268"/>
      <c r="P19" s="268"/>
      <c r="Q19" s="268"/>
      <c r="R19" s="268"/>
      <c r="S19" s="268"/>
    </row>
    <row r="20" spans="1:19" x14ac:dyDescent="0.25">
      <c r="A20" s="262"/>
      <c r="C20" s="268"/>
      <c r="D20" s="268"/>
      <c r="E20" s="268"/>
      <c r="F20" s="268"/>
      <c r="G20" s="268"/>
      <c r="H20" s="268"/>
      <c r="I20" s="268"/>
      <c r="J20" s="268"/>
      <c r="K20" s="268"/>
      <c r="L20" s="268"/>
      <c r="M20" s="268"/>
      <c r="N20" s="268"/>
      <c r="O20" s="268"/>
      <c r="P20" s="268"/>
      <c r="Q20" s="268"/>
      <c r="R20" s="268"/>
      <c r="S20" s="268"/>
    </row>
    <row r="21" spans="1:19" x14ac:dyDescent="0.25">
      <c r="A21" s="262"/>
      <c r="C21" s="268"/>
      <c r="D21" s="268"/>
      <c r="E21" s="268"/>
      <c r="F21" s="268"/>
      <c r="G21" s="268"/>
      <c r="H21" s="268"/>
      <c r="I21" s="268"/>
      <c r="J21" s="268"/>
      <c r="K21" s="268"/>
      <c r="L21" s="268"/>
      <c r="M21" s="268"/>
      <c r="N21" s="268"/>
      <c r="O21" s="268"/>
      <c r="P21" s="268"/>
      <c r="Q21" s="268"/>
      <c r="R21" s="268"/>
      <c r="S21" s="268"/>
    </row>
    <row r="22" spans="1:19" x14ac:dyDescent="0.25">
      <c r="A22" s="262"/>
      <c r="C22" s="268"/>
      <c r="D22" s="268"/>
      <c r="E22" s="268"/>
      <c r="F22" s="268"/>
      <c r="G22" s="268"/>
      <c r="H22" s="268"/>
      <c r="I22" s="268"/>
      <c r="J22" s="268"/>
      <c r="K22" s="268"/>
      <c r="L22" s="268"/>
      <c r="M22" s="268"/>
      <c r="N22" s="268"/>
      <c r="O22" s="268"/>
      <c r="P22" s="268"/>
      <c r="Q22" s="268"/>
      <c r="R22" s="268"/>
      <c r="S22" s="268"/>
    </row>
    <row r="23" spans="1:19" x14ac:dyDescent="0.25">
      <c r="A23" s="262"/>
      <c r="C23" s="268"/>
      <c r="D23" s="268"/>
      <c r="E23" s="268"/>
      <c r="F23" s="268"/>
      <c r="G23" s="268"/>
      <c r="H23" s="268"/>
      <c r="I23" s="268"/>
      <c r="J23" s="268"/>
      <c r="K23" s="268"/>
      <c r="L23" s="268"/>
      <c r="M23" s="268"/>
      <c r="N23" s="268"/>
      <c r="O23" s="268"/>
      <c r="P23" s="268"/>
      <c r="Q23" s="268"/>
      <c r="R23" s="268"/>
      <c r="S23" s="268"/>
    </row>
    <row r="24" spans="1:19" x14ac:dyDescent="0.25">
      <c r="A24" s="262"/>
      <c r="C24" s="268"/>
      <c r="D24" s="268"/>
      <c r="E24" s="268"/>
      <c r="F24" s="268"/>
      <c r="G24" s="268"/>
      <c r="H24" s="268"/>
      <c r="I24" s="268"/>
      <c r="J24" s="268"/>
      <c r="K24" s="268"/>
      <c r="L24" s="268"/>
      <c r="M24" s="268"/>
      <c r="N24" s="268"/>
      <c r="O24" s="268"/>
      <c r="P24" s="268"/>
      <c r="Q24" s="268"/>
      <c r="R24" s="268"/>
      <c r="S24" s="268"/>
    </row>
    <row r="25" spans="1:19" x14ac:dyDescent="0.25">
      <c r="A25" s="262"/>
      <c r="C25" s="268"/>
      <c r="D25" s="268"/>
      <c r="E25" s="268"/>
      <c r="F25" s="268"/>
      <c r="G25" s="268"/>
      <c r="H25" s="268"/>
      <c r="I25" s="268"/>
      <c r="J25" s="268"/>
      <c r="K25" s="268"/>
      <c r="L25" s="268"/>
      <c r="M25" s="268"/>
      <c r="N25" s="268"/>
      <c r="O25" s="268"/>
      <c r="P25" s="268"/>
      <c r="Q25" s="268"/>
      <c r="R25" s="268"/>
      <c r="S25" s="268"/>
    </row>
    <row r="26" spans="1:19" x14ac:dyDescent="0.25">
      <c r="A26" s="373"/>
      <c r="C26" s="268"/>
      <c r="D26" s="268"/>
      <c r="E26" s="268"/>
      <c r="F26" s="268"/>
      <c r="G26" s="268"/>
      <c r="H26" s="268"/>
      <c r="I26" s="268"/>
      <c r="J26" s="268"/>
      <c r="K26" s="268"/>
      <c r="L26" s="268"/>
      <c r="M26" s="268"/>
      <c r="N26" s="268"/>
      <c r="O26" s="268"/>
      <c r="P26" s="268"/>
      <c r="Q26" s="268"/>
      <c r="R26" s="268"/>
      <c r="S26" s="268"/>
    </row>
    <row r="27" spans="1:19" x14ac:dyDescent="0.25">
      <c r="A27" s="262"/>
      <c r="C27" s="268"/>
      <c r="D27" s="268"/>
      <c r="E27" s="268"/>
      <c r="F27" s="268"/>
      <c r="G27" s="268"/>
      <c r="H27" s="268"/>
      <c r="I27" s="268"/>
      <c r="J27" s="268"/>
      <c r="K27" s="268"/>
      <c r="L27" s="268"/>
      <c r="M27" s="268"/>
      <c r="N27" s="268"/>
      <c r="O27" s="268"/>
      <c r="P27" s="268"/>
      <c r="Q27" s="268"/>
      <c r="R27" s="268"/>
      <c r="S27" s="268"/>
    </row>
    <row r="28" spans="1:19" x14ac:dyDescent="0.25">
      <c r="A28" s="262"/>
      <c r="C28" s="268"/>
      <c r="D28" s="268"/>
      <c r="E28" s="268"/>
      <c r="F28" s="268"/>
      <c r="G28" s="268"/>
      <c r="H28" s="268"/>
      <c r="I28" s="268"/>
      <c r="J28" s="268"/>
      <c r="K28" s="268"/>
      <c r="L28" s="268"/>
      <c r="M28" s="268"/>
      <c r="N28" s="268"/>
      <c r="O28" s="268"/>
      <c r="P28" s="268"/>
      <c r="Q28" s="268"/>
      <c r="R28" s="268"/>
      <c r="S28" s="268"/>
    </row>
    <row r="29" spans="1:19" x14ac:dyDescent="0.25">
      <c r="A29" s="262"/>
      <c r="C29" s="268"/>
      <c r="D29" s="268"/>
      <c r="E29" s="268"/>
      <c r="F29" s="268"/>
      <c r="G29" s="268"/>
      <c r="H29" s="268"/>
      <c r="I29" s="268"/>
      <c r="J29" s="268"/>
      <c r="K29" s="268"/>
      <c r="L29" s="268"/>
      <c r="M29" s="268"/>
      <c r="N29" s="268"/>
      <c r="O29" s="268"/>
      <c r="P29" s="268"/>
      <c r="Q29" s="268"/>
      <c r="R29" s="268"/>
      <c r="S29" s="268"/>
    </row>
    <row r="30" spans="1:19" x14ac:dyDescent="0.25">
      <c r="A30" s="262"/>
      <c r="C30" s="268"/>
      <c r="E30" s="268"/>
      <c r="F30" s="268"/>
      <c r="G30" s="268"/>
      <c r="H30" s="268"/>
      <c r="I30" s="268"/>
      <c r="J30" s="268"/>
      <c r="K30" s="268"/>
      <c r="L30" s="268"/>
      <c r="M30" s="268"/>
      <c r="N30" s="268"/>
      <c r="O30" s="268"/>
      <c r="P30" s="268"/>
      <c r="Q30" s="268"/>
      <c r="R30" s="268"/>
      <c r="S30" s="268"/>
    </row>
    <row r="31" spans="1:19" x14ac:dyDescent="0.25">
      <c r="A31" s="262"/>
      <c r="C31" s="268"/>
      <c r="D31" s="268"/>
      <c r="E31" s="268"/>
      <c r="F31" s="268"/>
      <c r="G31" s="268"/>
      <c r="H31" s="268"/>
      <c r="I31" s="268"/>
      <c r="J31" s="268"/>
      <c r="K31" s="268"/>
      <c r="L31" s="268"/>
      <c r="M31" s="268"/>
      <c r="N31" s="268"/>
      <c r="O31" s="268"/>
      <c r="P31" s="268"/>
      <c r="Q31" s="268"/>
      <c r="R31" s="268"/>
      <c r="S31" s="268"/>
    </row>
    <row r="32" spans="1:19" x14ac:dyDescent="0.25">
      <c r="A32" s="262"/>
      <c r="C32" s="268"/>
      <c r="D32" s="268"/>
      <c r="E32" s="268"/>
      <c r="F32" s="268"/>
      <c r="G32" s="268"/>
      <c r="H32" s="268"/>
      <c r="I32" s="268"/>
      <c r="J32" s="268"/>
      <c r="K32" s="268"/>
      <c r="L32" s="268"/>
      <c r="M32" s="268"/>
      <c r="N32" s="268"/>
      <c r="O32" s="268"/>
      <c r="P32" s="268"/>
      <c r="Q32" s="268"/>
      <c r="R32" s="268"/>
      <c r="S32" s="268"/>
    </row>
    <row r="33" spans="1:19" x14ac:dyDescent="0.25">
      <c r="A33" s="262"/>
      <c r="E33" s="268"/>
      <c r="F33" s="268"/>
      <c r="G33" s="268"/>
      <c r="H33" s="268"/>
      <c r="I33" s="268"/>
      <c r="J33" s="268"/>
      <c r="K33" s="268"/>
      <c r="L33" s="268"/>
      <c r="M33" s="268"/>
      <c r="N33" s="268"/>
      <c r="O33" s="268"/>
      <c r="P33" s="268"/>
      <c r="Q33" s="268"/>
      <c r="R33" s="268"/>
      <c r="S33" s="268"/>
    </row>
    <row r="34" spans="1:19" x14ac:dyDescent="0.25">
      <c r="A34" s="262"/>
      <c r="C34" s="268"/>
      <c r="D34" s="268"/>
      <c r="E34" s="268"/>
      <c r="F34" s="268"/>
      <c r="G34" s="268"/>
      <c r="H34" s="268"/>
      <c r="I34" s="268"/>
      <c r="J34" s="268"/>
      <c r="K34" s="268"/>
      <c r="L34" s="268"/>
      <c r="M34" s="268"/>
      <c r="N34" s="268"/>
      <c r="O34" s="268"/>
      <c r="P34" s="268"/>
      <c r="Q34" s="268"/>
      <c r="R34" s="268"/>
      <c r="S34" s="268"/>
    </row>
    <row r="35" spans="1:19" x14ac:dyDescent="0.25">
      <c r="A35" s="262"/>
      <c r="C35" s="268"/>
      <c r="D35" s="268"/>
      <c r="E35" s="268"/>
      <c r="F35" s="268"/>
      <c r="G35" s="268"/>
      <c r="H35" s="268"/>
      <c r="I35" s="268"/>
      <c r="J35" s="268"/>
      <c r="K35" s="268"/>
      <c r="L35" s="268"/>
      <c r="M35" s="268"/>
      <c r="N35" s="268"/>
      <c r="O35" s="268"/>
      <c r="P35" s="268"/>
      <c r="Q35" s="268"/>
      <c r="R35" s="268"/>
      <c r="S35" s="268"/>
    </row>
    <row r="36" spans="1:19" x14ac:dyDescent="0.25">
      <c r="A36" s="262"/>
    </row>
    <row r="37" spans="1:19" x14ac:dyDescent="0.25">
      <c r="A37" s="262"/>
    </row>
    <row r="38" spans="1:19" x14ac:dyDescent="0.25">
      <c r="A38" s="262"/>
    </row>
    <row r="39" spans="1:19" x14ac:dyDescent="0.25">
      <c r="A39" s="262"/>
    </row>
    <row r="40" spans="1:19" x14ac:dyDescent="0.25">
      <c r="A40" s="262">
        <f ca="1">_xlfn.SHEETS()</f>
        <v>15</v>
      </c>
    </row>
    <row r="41" spans="1:19" x14ac:dyDescent="0.25">
      <c r="A41" s="372">
        <v>45791</v>
      </c>
    </row>
  </sheetData>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1737E-41CF-42A2-A119-76A4B8382B50}">
  <sheetPr codeName="Sheet19">
    <tabColor rgb="FFFFFF00"/>
    <pageSetUpPr fitToPage="1"/>
  </sheetPr>
  <dimension ref="A1:AK1328"/>
  <sheetViews>
    <sheetView showGridLines="0" zoomScale="70" zoomScaleNormal="70" workbookViewId="0">
      <pane xSplit="7" ySplit="10" topLeftCell="H11" activePane="bottomRight" state="frozen"/>
      <selection pane="topRight" activeCell="D33" sqref="D33"/>
      <selection pane="bottomLeft" activeCell="D33" sqref="D33"/>
      <selection pane="bottomRight" activeCell="H11" sqref="H11"/>
    </sheetView>
  </sheetViews>
  <sheetFormatPr defaultColWidth="0" defaultRowHeight="12.75" zeroHeight="1" outlineLevelRow="1" x14ac:dyDescent="0.2"/>
  <cols>
    <col min="1" max="1" width="8.125" style="8" customWidth="1"/>
    <col min="2" max="2" width="20.75" style="8" customWidth="1"/>
    <col min="3" max="3" width="20.5" style="8" customWidth="1"/>
    <col min="4" max="4" width="16.875" style="8" bestFit="1" customWidth="1"/>
    <col min="5" max="5" width="12.375" style="8" customWidth="1"/>
    <col min="6" max="6" width="14.25" customWidth="1"/>
    <col min="7" max="7" width="11.625" style="8" customWidth="1"/>
    <col min="8" max="8" width="10" style="8" customWidth="1"/>
    <col min="9" max="33" width="11" style="8" customWidth="1"/>
    <col min="34" max="35" width="9" style="8" customWidth="1"/>
    <col min="36" max="37" width="0" style="8" hidden="1" customWidth="1"/>
    <col min="38" max="16384" width="9" style="8" hidden="1"/>
  </cols>
  <sheetData>
    <row r="1" spans="1:33" s="6" customFormat="1" ht="18.75" x14ac:dyDescent="0.3">
      <c r="A1" s="13" t="str">
        <f>bus</f>
        <v>Powercor</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row>
    <row r="2" spans="1:33" s="6" customFormat="1" ht="18.75" x14ac:dyDescent="0.3">
      <c r="A2" s="50" t="str">
        <f>proj</f>
        <v>TRG024-WBL012 Tie upgrade</v>
      </c>
      <c r="B2" s="50"/>
      <c r="C2" s="50"/>
      <c r="D2" s="50"/>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row>
    <row r="3" spans="1:33" s="2" customFormat="1" ht="18.75" x14ac:dyDescent="0.3">
      <c r="A3" s="176" t="s">
        <v>149</v>
      </c>
      <c r="B3" s="5"/>
      <c r="D3" s="31"/>
      <c r="E3" s="31"/>
      <c r="F3" s="31"/>
      <c r="G3" s="30"/>
      <c r="H3" s="30"/>
      <c r="I3" s="30"/>
      <c r="J3" s="30"/>
      <c r="K3" s="30"/>
      <c r="L3" s="30"/>
      <c r="M3" s="30"/>
      <c r="N3" s="30"/>
      <c r="O3" s="30"/>
      <c r="P3" s="30"/>
      <c r="Q3" s="30"/>
      <c r="R3" s="30"/>
      <c r="S3" s="30"/>
      <c r="T3" s="30"/>
      <c r="U3" s="30"/>
      <c r="V3" s="30"/>
      <c r="W3" s="30"/>
      <c r="X3" s="30"/>
      <c r="Y3" s="30"/>
      <c r="Z3" s="30"/>
      <c r="AA3" s="30"/>
      <c r="AB3" s="30"/>
      <c r="AC3" s="30"/>
      <c r="AD3" s="30"/>
      <c r="AE3" s="30"/>
      <c r="AF3" s="30"/>
      <c r="AG3" s="30"/>
    </row>
    <row r="4" spans="1:33" s="2" customFormat="1" ht="6.75" customHeight="1" x14ac:dyDescent="0.2">
      <c r="A4" s="101"/>
      <c r="B4" s="101"/>
      <c r="D4" s="86"/>
      <c r="E4" s="86"/>
      <c r="F4" s="86"/>
      <c r="G4" s="89"/>
      <c r="H4" s="89"/>
      <c r="I4" s="89"/>
      <c r="J4" s="89"/>
      <c r="K4" s="89"/>
      <c r="L4" s="89"/>
      <c r="M4" s="89"/>
      <c r="N4" s="89"/>
      <c r="O4" s="89"/>
      <c r="P4" s="89"/>
      <c r="Q4" s="89"/>
      <c r="R4" s="89"/>
      <c r="S4" s="89"/>
      <c r="T4" s="89"/>
      <c r="U4" s="89"/>
      <c r="V4" s="89"/>
      <c r="W4" s="89"/>
      <c r="X4" s="89"/>
      <c r="Y4" s="89"/>
      <c r="Z4" s="89"/>
      <c r="AA4" s="89"/>
      <c r="AB4" s="89"/>
      <c r="AC4" s="89"/>
      <c r="AD4" s="89"/>
      <c r="AE4" s="89"/>
      <c r="AF4" s="89"/>
      <c r="AG4" s="89"/>
    </row>
    <row r="5" spans="1:33" s="2" customFormat="1" hidden="1" outlineLevel="1" x14ac:dyDescent="0.2">
      <c r="A5" s="86" t="s">
        <v>143</v>
      </c>
      <c r="B5" s="86"/>
      <c r="D5" s="87"/>
      <c r="E5" s="86"/>
      <c r="F5" s="86"/>
      <c r="G5" s="89"/>
      <c r="H5" s="163">
        <f>Consol!H5</f>
        <v>0</v>
      </c>
      <c r="I5" s="163">
        <f>Consol!I5</f>
        <v>0.98294637436598087</v>
      </c>
      <c r="J5" s="163">
        <f>Consol!J5</f>
        <v>0.94970664189949849</v>
      </c>
      <c r="K5" s="163">
        <f>Consol!K5</f>
        <v>0.91759095835700344</v>
      </c>
      <c r="L5" s="163">
        <f>Consol!L5</f>
        <v>0.88656131242222558</v>
      </c>
      <c r="M5" s="163">
        <f>Consol!M5</f>
        <v>0.85658097818572532</v>
      </c>
      <c r="N5" s="163">
        <f>Consol!N5</f>
        <v>0.8276144716770294</v>
      </c>
      <c r="O5" s="163">
        <f>Consol!O5</f>
        <v>0.79962750886669509</v>
      </c>
      <c r="P5" s="163">
        <f>Consol!P5</f>
        <v>0.77258696508859437</v>
      </c>
      <c r="Q5" s="163">
        <f>Consol!Q5</f>
        <v>0.74646083583439071</v>
      </c>
      <c r="R5" s="163">
        <f>Consol!R5</f>
        <v>0.72121819887380756</v>
      </c>
      <c r="S5" s="163">
        <f>Consol!S5</f>
        <v>0.69682917765585273</v>
      </c>
      <c r="T5" s="163">
        <f>Consol!T5</f>
        <v>0.67326490594768384</v>
      </c>
      <c r="U5" s="163">
        <f>Consol!U5</f>
        <v>0.6504974936692598</v>
      </c>
      <c r="V5" s="163">
        <f>Consol!V5</f>
        <v>0.62849999388334288</v>
      </c>
      <c r="W5" s="163">
        <f>Consol!W5</f>
        <v>0.60724637090178057</v>
      </c>
      <c r="X5" s="163">
        <f>Consol!X5</f>
        <v>0.58671146947031949</v>
      </c>
      <c r="Y5" s="163">
        <f>Consol!Y5</f>
        <v>0.56687098499547783</v>
      </c>
      <c r="Z5" s="163">
        <f>Consol!Z5</f>
        <v>0.54770143477823952</v>
      </c>
      <c r="AA5" s="163">
        <f>Consol!AA5</f>
        <v>0.52918013022052135</v>
      </c>
      <c r="AB5" s="163">
        <f>Consol!AB5</f>
        <v>0.5112851499715183</v>
      </c>
      <c r="AC5" s="163">
        <f>Consol!AC5</f>
        <v>0.4939953139821433</v>
      </c>
      <c r="AD5" s="163">
        <f>Consol!AD5</f>
        <v>0.47729015843685346</v>
      </c>
      <c r="AE5" s="163">
        <f>Consol!AE5</f>
        <v>0.46114991153319179</v>
      </c>
      <c r="AF5" s="163">
        <f>Consol!AF5</f>
        <v>0.4455554700803786</v>
      </c>
      <c r="AG5" s="163">
        <f>Consol!AG5</f>
        <v>0.43048837688925473</v>
      </c>
    </row>
    <row r="6" spans="1:33" s="2" customFormat="1" hidden="1" outlineLevel="1" x14ac:dyDescent="0.2">
      <c r="A6" s="164" t="str">
        <f>'Option1 (base case)'!A6</f>
        <v>Count</v>
      </c>
      <c r="B6" s="86"/>
      <c r="D6" s="87"/>
      <c r="E6" s="86"/>
      <c r="F6" s="86"/>
      <c r="G6" s="89"/>
      <c r="H6" s="164">
        <f>Consol!H6</f>
        <v>0</v>
      </c>
      <c r="I6" s="164">
        <f>Consol!I6</f>
        <v>1</v>
      </c>
      <c r="J6" s="164">
        <f>Consol!J6</f>
        <v>2</v>
      </c>
      <c r="K6" s="164">
        <f>Consol!K6</f>
        <v>3</v>
      </c>
      <c r="L6" s="164">
        <f>Consol!L6</f>
        <v>4</v>
      </c>
      <c r="M6" s="164">
        <f>Consol!M6</f>
        <v>5</v>
      </c>
      <c r="N6" s="164">
        <f>Consol!N6</f>
        <v>6</v>
      </c>
      <c r="O6" s="164">
        <f>Consol!O6</f>
        <v>7</v>
      </c>
      <c r="P6" s="164">
        <f>Consol!P6</f>
        <v>8</v>
      </c>
      <c r="Q6" s="164">
        <f>Consol!Q6</f>
        <v>9</v>
      </c>
      <c r="R6" s="164">
        <f>Consol!R6</f>
        <v>10</v>
      </c>
      <c r="S6" s="164">
        <f>Consol!S6</f>
        <v>11</v>
      </c>
      <c r="T6" s="164">
        <f>Consol!T6</f>
        <v>12</v>
      </c>
      <c r="U6" s="164">
        <f>Consol!U6</f>
        <v>13</v>
      </c>
      <c r="V6" s="164">
        <f>Consol!V6</f>
        <v>14</v>
      </c>
      <c r="W6" s="164">
        <f>Consol!W6</f>
        <v>15</v>
      </c>
      <c r="X6" s="164">
        <f>Consol!X6</f>
        <v>16</v>
      </c>
      <c r="Y6" s="164">
        <f>Consol!Y6</f>
        <v>17</v>
      </c>
      <c r="Z6" s="164">
        <f>Consol!Z6</f>
        <v>18</v>
      </c>
      <c r="AA6" s="164">
        <f>Consol!AA6</f>
        <v>19</v>
      </c>
      <c r="AB6" s="164">
        <f>Consol!AB6</f>
        <v>20</v>
      </c>
      <c r="AC6" s="164">
        <f>Consol!AC6</f>
        <v>21</v>
      </c>
      <c r="AD6" s="164">
        <f>Consol!AD6</f>
        <v>22</v>
      </c>
      <c r="AE6" s="164">
        <f>Consol!AE6</f>
        <v>23</v>
      </c>
      <c r="AF6" s="164">
        <f>Consol!AF6</f>
        <v>24</v>
      </c>
      <c r="AG6" s="164">
        <f>Consol!AG6</f>
        <v>25</v>
      </c>
    </row>
    <row r="7" spans="1:33" s="2" customFormat="1" collapsed="1" x14ac:dyDescent="0.2">
      <c r="A7" s="86" t="s">
        <v>144</v>
      </c>
      <c r="B7" s="86"/>
      <c r="D7" s="87"/>
      <c r="E7" s="86"/>
      <c r="F7" s="86"/>
      <c r="G7" s="89"/>
      <c r="H7" s="223" t="b">
        <f>Consol!H7</f>
        <v>1</v>
      </c>
      <c r="I7" s="223" t="b">
        <f>Consol!I7</f>
        <v>1</v>
      </c>
      <c r="J7" s="223" t="b">
        <f>Consol!J7</f>
        <v>1</v>
      </c>
      <c r="K7" s="223" t="b">
        <f>Consol!K7</f>
        <v>1</v>
      </c>
      <c r="L7" s="223" t="b">
        <f>Consol!L7</f>
        <v>1</v>
      </c>
      <c r="M7" s="223" t="b">
        <f>Consol!M7</f>
        <v>1</v>
      </c>
      <c r="N7" s="223" t="b">
        <f>Consol!N7</f>
        <v>1</v>
      </c>
      <c r="O7" s="223" t="b">
        <f>Consol!O7</f>
        <v>1</v>
      </c>
      <c r="P7" s="223" t="b">
        <f>Consol!P7</f>
        <v>1</v>
      </c>
      <c r="Q7" s="223" t="b">
        <f>Consol!Q7</f>
        <v>1</v>
      </c>
      <c r="R7" s="223" t="b">
        <f>Consol!R7</f>
        <v>1</v>
      </c>
      <c r="S7" s="223" t="b">
        <f>Consol!S7</f>
        <v>1</v>
      </c>
      <c r="T7" s="223" t="b">
        <f>Consol!T7</f>
        <v>1</v>
      </c>
      <c r="U7" s="223" t="b">
        <f>Consol!U7</f>
        <v>1</v>
      </c>
      <c r="V7" s="223" t="b">
        <f>Consol!V7</f>
        <v>1</v>
      </c>
      <c r="W7" s="223" t="b">
        <f>Consol!W7</f>
        <v>1</v>
      </c>
      <c r="X7" s="223" t="b">
        <f>Consol!X7</f>
        <v>1</v>
      </c>
      <c r="Y7" s="223" t="b">
        <f>Consol!Y7</f>
        <v>1</v>
      </c>
      <c r="Z7" s="223" t="b">
        <f>Consol!Z7</f>
        <v>1</v>
      </c>
      <c r="AA7" s="223" t="b">
        <f>Consol!AA7</f>
        <v>1</v>
      </c>
      <c r="AB7" s="223" t="b">
        <f>Consol!AB7</f>
        <v>1</v>
      </c>
      <c r="AC7" s="223" t="b">
        <f>Consol!AC7</f>
        <v>1</v>
      </c>
      <c r="AD7" s="223" t="b">
        <f>Consol!AD7</f>
        <v>0</v>
      </c>
      <c r="AE7" s="223" t="b">
        <f>Consol!AE7</f>
        <v>0</v>
      </c>
      <c r="AF7" s="223" t="b">
        <f>Consol!AF7</f>
        <v>0</v>
      </c>
      <c r="AG7" s="223" t="b">
        <f>Consol!AG7</f>
        <v>0</v>
      </c>
    </row>
    <row r="8" spans="1:33" s="2" customFormat="1" ht="4.5" customHeight="1" x14ac:dyDescent="0.2"/>
    <row r="9" spans="1:33" s="2" customFormat="1" ht="15" x14ac:dyDescent="0.25">
      <c r="A9" s="17"/>
      <c r="B9" s="17"/>
      <c r="C9" s="17"/>
      <c r="D9" s="17"/>
      <c r="E9" s="17"/>
      <c r="F9" s="73"/>
      <c r="G9" s="18"/>
      <c r="H9" s="18">
        <f>'Option1 (base case)'!H9</f>
        <v>46203</v>
      </c>
      <c r="I9" s="18" t="str">
        <f>'Option1 (base case)'!I9</f>
        <v>2026-27</v>
      </c>
      <c r="J9" s="18" t="str">
        <f>'Option1 (base case)'!J9</f>
        <v>2027-28</v>
      </c>
      <c r="K9" s="18" t="str">
        <f>'Option1 (base case)'!K9</f>
        <v>2028-29</v>
      </c>
      <c r="L9" s="18" t="str">
        <f>'Option1 (base case)'!L9</f>
        <v>2029-30</v>
      </c>
      <c r="M9" s="18" t="str">
        <f>'Option1 (base case)'!M9</f>
        <v>2030-31</v>
      </c>
      <c r="N9" s="18" t="str">
        <f>'Option1 (base case)'!N9</f>
        <v>2031-32</v>
      </c>
      <c r="O9" s="18" t="str">
        <f>'Option1 (base case)'!O9</f>
        <v>2032-33</v>
      </c>
      <c r="P9" s="18" t="str">
        <f>'Option1 (base case)'!P9</f>
        <v>2033-34</v>
      </c>
      <c r="Q9" s="18" t="str">
        <f>'Option1 (base case)'!Q9</f>
        <v>2034-35</v>
      </c>
      <c r="R9" s="18" t="str">
        <f>'Option1 (base case)'!R9</f>
        <v>2035-36</v>
      </c>
      <c r="S9" s="18" t="str">
        <f>'Option1 (base case)'!S9</f>
        <v>2036-37</v>
      </c>
      <c r="T9" s="18" t="str">
        <f>'Option1 (base case)'!T9</f>
        <v>2037-38</v>
      </c>
      <c r="U9" s="18" t="str">
        <f>'Option1 (base case)'!U9</f>
        <v>2038-39</v>
      </c>
      <c r="V9" s="18" t="str">
        <f>'Option1 (base case)'!V9</f>
        <v>2039-40</v>
      </c>
      <c r="W9" s="18" t="str">
        <f>'Option1 (base case)'!W9</f>
        <v>2040-41</v>
      </c>
      <c r="X9" s="18" t="str">
        <f>'Option1 (base case)'!X9</f>
        <v>2041-42</v>
      </c>
      <c r="Y9" s="18" t="str">
        <f>'Option1 (base case)'!Y9</f>
        <v>2042-43</v>
      </c>
      <c r="Z9" s="18" t="str">
        <f>'Option1 (base case)'!Z9</f>
        <v>2043-44</v>
      </c>
      <c r="AA9" s="18" t="str">
        <f>'Option1 (base case)'!AA9</f>
        <v>2044-45</v>
      </c>
      <c r="AB9" s="18" t="str">
        <f>'Option1 (base case)'!AB9</f>
        <v>2045-46</v>
      </c>
      <c r="AC9" s="18" t="str">
        <f>'Option1 (base case)'!AC9</f>
        <v>2046-47</v>
      </c>
      <c r="AD9" s="18" t="str">
        <f>'Option1 (base case)'!AD9</f>
        <v>2047-48</v>
      </c>
      <c r="AE9" s="18" t="str">
        <f>'Option1 (base case)'!AE9</f>
        <v>2048-49</v>
      </c>
      <c r="AF9" s="18" t="str">
        <f>'Option1 (base case)'!AF9</f>
        <v>2049-50</v>
      </c>
      <c r="AG9" s="18" t="str">
        <f>'Option1 (base case)'!AG9</f>
        <v>2050-51</v>
      </c>
    </row>
    <row r="10" spans="1:33" s="2" customFormat="1" x14ac:dyDescent="0.2">
      <c r="D10" s="7"/>
      <c r="E10" s="7"/>
      <c r="G10" s="193"/>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row>
    <row r="11" spans="1:33" s="2" customFormat="1" ht="15" x14ac:dyDescent="0.2">
      <c r="A11" s="78"/>
      <c r="B11" s="78"/>
      <c r="C11" s="78"/>
      <c r="D11" s="79"/>
      <c r="E11" s="79"/>
      <c r="F11" s="63" t="s">
        <v>146</v>
      </c>
      <c r="G11" s="194"/>
      <c r="H11" s="102" t="str" cm="1">
        <f t="array" ref="H11">IF(H6=$D$4,UPPER($A$4),IF(H6=end, "END", ""))</f>
        <v/>
      </c>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row>
    <row r="12" spans="1:33" s="2" customFormat="1" x14ac:dyDescent="0.2">
      <c r="A12" s="216"/>
      <c r="B12" s="216"/>
      <c r="C12" s="216"/>
      <c r="D12" s="216"/>
      <c r="E12" s="216"/>
      <c r="F12" s="216"/>
      <c r="G12" s="217"/>
      <c r="H12" s="28"/>
      <c r="I12" s="28"/>
      <c r="J12" s="28"/>
      <c r="K12" s="28"/>
      <c r="L12" s="28"/>
      <c r="M12" s="28"/>
      <c r="N12" s="28"/>
      <c r="O12" s="28"/>
      <c r="P12" s="28"/>
      <c r="Q12" s="28"/>
      <c r="R12" s="28"/>
      <c r="S12" s="28"/>
      <c r="T12" s="28"/>
      <c r="U12" s="28"/>
      <c r="V12" s="28"/>
      <c r="W12" s="28"/>
      <c r="X12" s="28"/>
      <c r="Y12" s="28"/>
      <c r="Z12" s="28">
        <f>Consol!AA36</f>
        <v>271746.06894043321</v>
      </c>
      <c r="AA12" s="28">
        <f>Consol!AB36</f>
        <v>271746.06894043321</v>
      </c>
      <c r="AB12" s="28">
        <f>Consol!AC36</f>
        <v>271746.06894043321</v>
      </c>
      <c r="AC12" s="28">
        <f>Consol!AD36</f>
        <v>0</v>
      </c>
      <c r="AD12" s="28">
        <f>Consol!AE36</f>
        <v>0</v>
      </c>
      <c r="AE12" s="28">
        <f>Consol!AF36</f>
        <v>0</v>
      </c>
      <c r="AF12" s="28">
        <f>Consol!AG36</f>
        <v>0</v>
      </c>
      <c r="AG12" s="217"/>
    </row>
    <row r="13" spans="1:33" s="2" customFormat="1" x14ac:dyDescent="0.2">
      <c r="A13" s="216"/>
      <c r="B13" s="216"/>
      <c r="C13" s="216"/>
      <c r="D13" s="216"/>
      <c r="E13" s="216"/>
      <c r="F13" s="216"/>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row>
    <row r="14" spans="1:33" s="2" customFormat="1" x14ac:dyDescent="0.2">
      <c r="A14" s="222" t="s">
        <v>97</v>
      </c>
      <c r="B14" s="222" t="s">
        <v>7</v>
      </c>
      <c r="C14" s="222" t="s">
        <v>135</v>
      </c>
      <c r="D14" s="222" t="str">
        <f>A14&amp;B14</f>
        <v>OPTION 1 (base case)NPV</v>
      </c>
      <c r="E14" s="214"/>
      <c r="F14" s="28">
        <f>SUMPRODUCT($H14:$AG14, $H$5:$AG$5)</f>
        <v>0</v>
      </c>
      <c r="G14" s="217"/>
      <c r="H14" s="28">
        <f>'Option1 (base case)'!I85*conv_2026</f>
        <v>0</v>
      </c>
      <c r="I14" s="28">
        <f>'Option1 (base case)'!J85*conv_2026</f>
        <v>0</v>
      </c>
      <c r="J14" s="28">
        <f>'Option1 (base case)'!K85*conv_2026</f>
        <v>0</v>
      </c>
      <c r="K14" s="28">
        <f>'Option1 (base case)'!L85*conv_2026</f>
        <v>0</v>
      </c>
      <c r="L14" s="28">
        <f>'Option1 (base case)'!M85*conv_2026</f>
        <v>0</v>
      </c>
      <c r="M14" s="28">
        <f>'Option1 (base case)'!N85*conv_2026</f>
        <v>0</v>
      </c>
      <c r="N14" s="28">
        <f>'Option1 (base case)'!O85*conv_2026</f>
        <v>0</v>
      </c>
      <c r="O14" s="28">
        <f>'Option1 (base case)'!P85*conv_2026</f>
        <v>0</v>
      </c>
      <c r="P14" s="28">
        <f>'Option1 (base case)'!Q85*conv_2026</f>
        <v>0</v>
      </c>
      <c r="Q14" s="28">
        <f>'Option1 (base case)'!R85*conv_2026</f>
        <v>0</v>
      </c>
      <c r="R14" s="28">
        <f>'Option1 (base case)'!S85*conv_2026</f>
        <v>0</v>
      </c>
      <c r="S14" s="28">
        <f>'Option1 (base case)'!T85*conv_2026</f>
        <v>0</v>
      </c>
      <c r="T14" s="28">
        <f>'Option1 (base case)'!U85*conv_2026</f>
        <v>0</v>
      </c>
      <c r="U14" s="28">
        <f>'Option1 (base case)'!V85*conv_2026</f>
        <v>0</v>
      </c>
      <c r="V14" s="28">
        <f>'Option1 (base case)'!W85*conv_2026</f>
        <v>0</v>
      </c>
      <c r="W14" s="28">
        <f>'Option1 (base case)'!X85*conv_2026</f>
        <v>0</v>
      </c>
      <c r="X14" s="28">
        <f>'Option1 (base case)'!Y85*conv_2026</f>
        <v>0</v>
      </c>
      <c r="Y14" s="28">
        <f>'Option1 (base case)'!Z85*conv_2026</f>
        <v>0</v>
      </c>
      <c r="Z14" s="28">
        <f>'Option1 (base case)'!AA85*conv_2026</f>
        <v>0</v>
      </c>
      <c r="AA14" s="28">
        <f>'Option1 (base case)'!AB85*conv_2026</f>
        <v>0</v>
      </c>
      <c r="AB14" s="28">
        <f>'Option1 (base case)'!AC85*conv_2026</f>
        <v>0</v>
      </c>
      <c r="AC14" s="28">
        <f>'Option1 (base case)'!AD85*conv_2026</f>
        <v>0</v>
      </c>
      <c r="AD14" s="28">
        <f>'Option1 (base case)'!AE85*conv_2026</f>
        <v>0</v>
      </c>
      <c r="AE14" s="28">
        <f>'Option1 (base case)'!AF85*conv_2026</f>
        <v>0</v>
      </c>
      <c r="AF14" s="28">
        <f>'Option1 (base case)'!AG85*conv_2026</f>
        <v>0</v>
      </c>
      <c r="AG14" s="28">
        <f>'Option1 (base case)'!AH85*conv_2026</f>
        <v>0</v>
      </c>
    </row>
    <row r="15" spans="1:33" s="2" customFormat="1" x14ac:dyDescent="0.2">
      <c r="A15" s="216"/>
      <c r="B15" s="216"/>
      <c r="C15" s="216"/>
      <c r="D15" s="216"/>
      <c r="E15" s="216"/>
      <c r="F15" s="216"/>
      <c r="G15" s="217"/>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row>
    <row r="16" spans="1:33" s="2" customFormat="1" x14ac:dyDescent="0.2">
      <c r="A16" s="222" t="s">
        <v>97</v>
      </c>
      <c r="B16" s="222" t="str">
        <f>'Option1 (base case)'!A108</f>
        <v>sens1</v>
      </c>
      <c r="C16" s="222" t="str">
        <f>'Option1 (base case)'!C108</f>
        <v>Capex 10% higher</v>
      </c>
      <c r="D16" s="222" t="str">
        <f t="shared" ref="D16:D23" si="0">A16&amp;B16</f>
        <v>OPTION 1 (base case)sens1</v>
      </c>
      <c r="E16" s="214"/>
      <c r="F16" s="28">
        <f>SUMPRODUCT($H16:$AG16, $H$5:$AG$5)</f>
        <v>0</v>
      </c>
      <c r="G16" s="217"/>
      <c r="H16" s="28">
        <f>(INDEX('Option1 (base case)'!H$104:H$115, MATCH($D16, 'Option1 (base case)'!$G$104:$G$115,0)))*conv_2026*H$7</f>
        <v>0</v>
      </c>
      <c r="I16" s="28">
        <f>(INDEX('Option1 (base case)'!I$104:I$115, MATCH($D16, 'Option1 (base case)'!$G$104:$G$115,0)))*conv_2026*I$7</f>
        <v>0</v>
      </c>
      <c r="J16" s="28">
        <f>(INDEX('Option1 (base case)'!J$104:J$115, MATCH($D16, 'Option1 (base case)'!$G$104:$G$115,0)))*conv_2026*J$7</f>
        <v>0</v>
      </c>
      <c r="K16" s="28">
        <f>(INDEX('Option1 (base case)'!K$104:K$115, MATCH($D16, 'Option1 (base case)'!$G$104:$G$115,0)))*conv_2026*K$7</f>
        <v>0</v>
      </c>
      <c r="L16" s="28">
        <f>(INDEX('Option1 (base case)'!L$104:L$115, MATCH($D16, 'Option1 (base case)'!$G$104:$G$115,0)))*conv_2026*L$7</f>
        <v>0</v>
      </c>
      <c r="M16" s="28">
        <f>(INDEX('Option1 (base case)'!M$104:M$115, MATCH($D16, 'Option1 (base case)'!$G$104:$G$115,0)))*conv_2026*M$7</f>
        <v>0</v>
      </c>
      <c r="N16" s="28">
        <f>(INDEX('Option1 (base case)'!N$104:N$115, MATCH($D16, 'Option1 (base case)'!$G$104:$G$115,0)))*conv_2026*N$7</f>
        <v>0</v>
      </c>
      <c r="O16" s="28">
        <f>(INDEX('Option1 (base case)'!O$104:O$115, MATCH($D16, 'Option1 (base case)'!$G$104:$G$115,0)))*conv_2026*O$7</f>
        <v>0</v>
      </c>
      <c r="P16" s="28">
        <f>(INDEX('Option1 (base case)'!P$104:P$115, MATCH($D16, 'Option1 (base case)'!$G$104:$G$115,0)))*conv_2026*P$7</f>
        <v>0</v>
      </c>
      <c r="Q16" s="28">
        <f>(INDEX('Option1 (base case)'!Q$104:Q$115, MATCH($D16, 'Option1 (base case)'!$G$104:$G$115,0)))*conv_2026*Q$7</f>
        <v>0</v>
      </c>
      <c r="R16" s="28">
        <f>(INDEX('Option1 (base case)'!R$104:R$115, MATCH($D16, 'Option1 (base case)'!$G$104:$G$115,0)))*conv_2026*R$7</f>
        <v>0</v>
      </c>
      <c r="S16" s="28">
        <f>(INDEX('Option1 (base case)'!S$104:S$115, MATCH($D16, 'Option1 (base case)'!$G$104:$G$115,0)))*conv_2026*S$7</f>
        <v>0</v>
      </c>
      <c r="T16" s="28">
        <f>(INDEX('Option1 (base case)'!T$104:T$115, MATCH($D16, 'Option1 (base case)'!$G$104:$G$115,0)))*conv_2026*T$7</f>
        <v>0</v>
      </c>
      <c r="U16" s="28">
        <f>(INDEX('Option1 (base case)'!U$104:U$115, MATCH($D16, 'Option1 (base case)'!$G$104:$G$115,0)))*conv_2026*U$7</f>
        <v>0</v>
      </c>
      <c r="V16" s="28">
        <f>(INDEX('Option1 (base case)'!V$104:V$115, MATCH($D16, 'Option1 (base case)'!$G$104:$G$115,0)))*conv_2026*V$7</f>
        <v>0</v>
      </c>
      <c r="W16" s="28">
        <f>(INDEX('Option1 (base case)'!W$104:W$115, MATCH($D16, 'Option1 (base case)'!$G$104:$G$115,0)))*conv_2026*W$7</f>
        <v>0</v>
      </c>
      <c r="X16" s="28">
        <f>(INDEX('Option1 (base case)'!X$104:X$115, MATCH($D16, 'Option1 (base case)'!$G$104:$G$115,0)))*conv_2026*X$7</f>
        <v>0</v>
      </c>
      <c r="Y16" s="28">
        <f>(INDEX('Option1 (base case)'!Y$104:Y$115, MATCH($D16, 'Option1 (base case)'!$G$104:$G$115,0)))*conv_2026*Y$7</f>
        <v>0</v>
      </c>
      <c r="Z16" s="28">
        <f>(INDEX('Option1 (base case)'!Z$104:Z$115, MATCH($D16, 'Option1 (base case)'!$G$104:$G$115,0)))*conv_2026*Z$7</f>
        <v>0</v>
      </c>
      <c r="AA16" s="28">
        <f>(INDEX('Option1 (base case)'!AA$104:AA$115, MATCH($D16, 'Option1 (base case)'!$G$104:$G$115,0)))*conv_2026*AA$7</f>
        <v>0</v>
      </c>
      <c r="AB16" s="28">
        <f>(INDEX('Option1 (base case)'!AB$104:AB$115, MATCH($D16, 'Option1 (base case)'!$G$104:$G$115,0)))*conv_2026*AB$7</f>
        <v>0</v>
      </c>
      <c r="AC16" s="28">
        <f>(INDEX('Option1 (base case)'!AC$104:AC$115, MATCH($D16, 'Option1 (base case)'!$G$104:$G$115,0)))*conv_2026*AC$7</f>
        <v>0</v>
      </c>
      <c r="AD16" s="28">
        <f>(INDEX('Option1 (base case)'!AD$104:AD$115, MATCH($D16, 'Option1 (base case)'!$G$104:$G$115,0)))*conv_2026*AD$7</f>
        <v>0</v>
      </c>
      <c r="AE16" s="28">
        <f>(INDEX('Option1 (base case)'!AE$104:AE$115, MATCH($D16, 'Option1 (base case)'!$G$104:$G$115,0)))*conv_2026*AE$7</f>
        <v>0</v>
      </c>
      <c r="AF16" s="28">
        <f>(INDEX('Option1 (base case)'!AF$104:AF$115, MATCH($D16, 'Option1 (base case)'!$G$104:$G$115,0)))*conv_2026*AF$7</f>
        <v>0</v>
      </c>
      <c r="AG16" s="28">
        <f>(INDEX('Option1 (base case)'!AG$104:AG$115, MATCH($D16, 'Option1 (base case)'!$G$104:$G$115,0)))*conv_2026*AG$7</f>
        <v>0</v>
      </c>
    </row>
    <row r="17" spans="1:35" s="2" customFormat="1" x14ac:dyDescent="0.2">
      <c r="A17" s="222" t="s">
        <v>97</v>
      </c>
      <c r="B17" s="222" t="str">
        <f>'Option1 (base case)'!A109</f>
        <v>sens2</v>
      </c>
      <c r="C17" s="222" t="str">
        <f>'Option1 (base case)'!C109</f>
        <v>Capex 10% lower</v>
      </c>
      <c r="D17" s="222" t="str">
        <f t="shared" si="0"/>
        <v>OPTION 1 (base case)sens2</v>
      </c>
      <c r="E17" s="214"/>
      <c r="F17" s="28">
        <f t="shared" ref="F17:F23" si="1">SUMPRODUCT($H17:$AG17, $H$5:$AG$5)</f>
        <v>0</v>
      </c>
      <c r="G17" s="222"/>
      <c r="H17" s="28">
        <f>(INDEX('Option1 (base case)'!H$104:H$115, MATCH($D17, 'Option1 (base case)'!$G$104:$G$115,0)))*conv_2026*H$7</f>
        <v>0</v>
      </c>
      <c r="I17" s="28">
        <f>(INDEX('Option1 (base case)'!I$104:I$115, MATCH($D17, 'Option1 (base case)'!$G$104:$G$115,0)))*conv_2026*I$7</f>
        <v>0</v>
      </c>
      <c r="J17" s="28">
        <f>(INDEX('Option1 (base case)'!J$104:J$115, MATCH($D17, 'Option1 (base case)'!$G$104:$G$115,0)))*conv_2026*J$7</f>
        <v>0</v>
      </c>
      <c r="K17" s="28">
        <f>(INDEX('Option1 (base case)'!K$104:K$115, MATCH($D17, 'Option1 (base case)'!$G$104:$G$115,0)))*conv_2026*K$7</f>
        <v>0</v>
      </c>
      <c r="L17" s="28">
        <f>(INDEX('Option1 (base case)'!L$104:L$115, MATCH($D17, 'Option1 (base case)'!$G$104:$G$115,0)))*conv_2026*L$7</f>
        <v>0</v>
      </c>
      <c r="M17" s="28">
        <f>(INDEX('Option1 (base case)'!M$104:M$115, MATCH($D17, 'Option1 (base case)'!$G$104:$G$115,0)))*conv_2026*M$7</f>
        <v>0</v>
      </c>
      <c r="N17" s="28">
        <f>(INDEX('Option1 (base case)'!N$104:N$115, MATCH($D17, 'Option1 (base case)'!$G$104:$G$115,0)))*conv_2026*N$7</f>
        <v>0</v>
      </c>
      <c r="O17" s="28">
        <f>(INDEX('Option1 (base case)'!O$104:O$115, MATCH($D17, 'Option1 (base case)'!$G$104:$G$115,0)))*conv_2026*O$7</f>
        <v>0</v>
      </c>
      <c r="P17" s="28">
        <f>(INDEX('Option1 (base case)'!P$104:P$115, MATCH($D17, 'Option1 (base case)'!$G$104:$G$115,0)))*conv_2026*P$7</f>
        <v>0</v>
      </c>
      <c r="Q17" s="28">
        <f>(INDEX('Option1 (base case)'!Q$104:Q$115, MATCH($D17, 'Option1 (base case)'!$G$104:$G$115,0)))*conv_2026*Q$7</f>
        <v>0</v>
      </c>
      <c r="R17" s="28">
        <f>(INDEX('Option1 (base case)'!R$104:R$115, MATCH($D17, 'Option1 (base case)'!$G$104:$G$115,0)))*conv_2026*R$7</f>
        <v>0</v>
      </c>
      <c r="S17" s="28">
        <f>(INDEX('Option1 (base case)'!S$104:S$115, MATCH($D17, 'Option1 (base case)'!$G$104:$G$115,0)))*conv_2026*S$7</f>
        <v>0</v>
      </c>
      <c r="T17" s="28">
        <f>(INDEX('Option1 (base case)'!T$104:T$115, MATCH($D17, 'Option1 (base case)'!$G$104:$G$115,0)))*conv_2026*T$7</f>
        <v>0</v>
      </c>
      <c r="U17" s="28">
        <f>(INDEX('Option1 (base case)'!U$104:U$115, MATCH($D17, 'Option1 (base case)'!$G$104:$G$115,0)))*conv_2026*U$7</f>
        <v>0</v>
      </c>
      <c r="V17" s="28">
        <f>(INDEX('Option1 (base case)'!V$104:V$115, MATCH($D17, 'Option1 (base case)'!$G$104:$G$115,0)))*conv_2026*V$7</f>
        <v>0</v>
      </c>
      <c r="W17" s="28">
        <f>(INDEX('Option1 (base case)'!W$104:W$115, MATCH($D17, 'Option1 (base case)'!$G$104:$G$115,0)))*conv_2026*W$7</f>
        <v>0</v>
      </c>
      <c r="X17" s="28">
        <f>(INDEX('Option1 (base case)'!X$104:X$115, MATCH($D17, 'Option1 (base case)'!$G$104:$G$115,0)))*conv_2026*X$7</f>
        <v>0</v>
      </c>
      <c r="Y17" s="28">
        <f>(INDEX('Option1 (base case)'!Y$104:Y$115, MATCH($D17, 'Option1 (base case)'!$G$104:$G$115,0)))*conv_2026*Y$7</f>
        <v>0</v>
      </c>
      <c r="Z17" s="28">
        <f>(INDEX('Option1 (base case)'!Z$104:Z$115, MATCH($D17, 'Option1 (base case)'!$G$104:$G$115,0)))*conv_2026*Z$7</f>
        <v>0</v>
      </c>
      <c r="AA17" s="28">
        <f>(INDEX('Option1 (base case)'!AA$104:AA$115, MATCH($D17, 'Option1 (base case)'!$G$104:$G$115,0)))*conv_2026*AA$7</f>
        <v>0</v>
      </c>
      <c r="AB17" s="28">
        <f>(INDEX('Option1 (base case)'!AB$104:AB$115, MATCH($D17, 'Option1 (base case)'!$G$104:$G$115,0)))*conv_2026*AB$7</f>
        <v>0</v>
      </c>
      <c r="AC17" s="28">
        <f>(INDEX('Option1 (base case)'!AC$104:AC$115, MATCH($D17, 'Option1 (base case)'!$G$104:$G$115,0)))*conv_2026*AC$7</f>
        <v>0</v>
      </c>
      <c r="AD17" s="28">
        <f>(INDEX('Option1 (base case)'!AD$104:AD$115, MATCH($D17, 'Option1 (base case)'!$G$104:$G$115,0)))*conv_2026*AD$7</f>
        <v>0</v>
      </c>
      <c r="AE17" s="28">
        <f>(INDEX('Option1 (base case)'!AE$104:AE$115, MATCH($D17, 'Option1 (base case)'!$G$104:$G$115,0)))*conv_2026*AE$7</f>
        <v>0</v>
      </c>
      <c r="AF17" s="28">
        <f>(INDEX('Option1 (base case)'!AF$104:AF$115, MATCH($D17, 'Option1 (base case)'!$G$104:$G$115,0)))*conv_2026*AF$7</f>
        <v>0</v>
      </c>
      <c r="AG17" s="28">
        <f>(INDEX('Option1 (base case)'!AG$104:AG$115, MATCH($D17, 'Option1 (base case)'!$G$104:$G$115,0)))*conv_2026*AG$7</f>
        <v>0</v>
      </c>
      <c r="AH17" s="6"/>
      <c r="AI17" s="6"/>
    </row>
    <row r="18" spans="1:35" s="2" customFormat="1" x14ac:dyDescent="0.2">
      <c r="A18" s="222" t="s">
        <v>97</v>
      </c>
      <c r="B18" s="222" t="str">
        <f>'Option1 (base case)'!A110</f>
        <v>sens3</v>
      </c>
      <c r="C18" s="222" t="str">
        <f>'Option1 (base case)'!C110</f>
        <v>Total benefits 10% higher</v>
      </c>
      <c r="D18" s="222" t="str">
        <f t="shared" si="0"/>
        <v>OPTION 1 (base case)sens3</v>
      </c>
      <c r="E18" s="214"/>
      <c r="F18" s="28">
        <f t="shared" si="1"/>
        <v>0</v>
      </c>
      <c r="G18" s="6"/>
      <c r="H18" s="28">
        <f>(INDEX('Option1 (base case)'!H$104:H$115, MATCH($D18, 'Option1 (base case)'!$G$104:$G$115,0)))*conv_2026*H$7</f>
        <v>0</v>
      </c>
      <c r="I18" s="28">
        <f>(INDEX('Option1 (base case)'!I$104:I$115, MATCH($D18, 'Option1 (base case)'!$G$104:$G$115,0)))*conv_2026*I$7</f>
        <v>0</v>
      </c>
      <c r="J18" s="28">
        <f>(INDEX('Option1 (base case)'!J$104:J$115, MATCH($D18, 'Option1 (base case)'!$G$104:$G$115,0)))*conv_2026*J$7</f>
        <v>0</v>
      </c>
      <c r="K18" s="28">
        <f>(INDEX('Option1 (base case)'!K$104:K$115, MATCH($D18, 'Option1 (base case)'!$G$104:$G$115,0)))*conv_2026*K$7</f>
        <v>0</v>
      </c>
      <c r="L18" s="28">
        <f>(INDEX('Option1 (base case)'!L$104:L$115, MATCH($D18, 'Option1 (base case)'!$G$104:$G$115,0)))*conv_2026*L$7</f>
        <v>0</v>
      </c>
      <c r="M18" s="28">
        <f>(INDEX('Option1 (base case)'!M$104:M$115, MATCH($D18, 'Option1 (base case)'!$G$104:$G$115,0)))*conv_2026*M$7</f>
        <v>0</v>
      </c>
      <c r="N18" s="28">
        <f>(INDEX('Option1 (base case)'!N$104:N$115, MATCH($D18, 'Option1 (base case)'!$G$104:$G$115,0)))*conv_2026*N$7</f>
        <v>0</v>
      </c>
      <c r="O18" s="28">
        <f>(INDEX('Option1 (base case)'!O$104:O$115, MATCH($D18, 'Option1 (base case)'!$G$104:$G$115,0)))*conv_2026*O$7</f>
        <v>0</v>
      </c>
      <c r="P18" s="28">
        <f>(INDEX('Option1 (base case)'!P$104:P$115, MATCH($D18, 'Option1 (base case)'!$G$104:$G$115,0)))*conv_2026*P$7</f>
        <v>0</v>
      </c>
      <c r="Q18" s="28">
        <f>(INDEX('Option1 (base case)'!Q$104:Q$115, MATCH($D18, 'Option1 (base case)'!$G$104:$G$115,0)))*conv_2026*Q$7</f>
        <v>0</v>
      </c>
      <c r="R18" s="28">
        <f>(INDEX('Option1 (base case)'!R$104:R$115, MATCH($D18, 'Option1 (base case)'!$G$104:$G$115,0)))*conv_2026*R$7</f>
        <v>0</v>
      </c>
      <c r="S18" s="28">
        <f>(INDEX('Option1 (base case)'!S$104:S$115, MATCH($D18, 'Option1 (base case)'!$G$104:$G$115,0)))*conv_2026*S$7</f>
        <v>0</v>
      </c>
      <c r="T18" s="28">
        <f>(INDEX('Option1 (base case)'!T$104:T$115, MATCH($D18, 'Option1 (base case)'!$G$104:$G$115,0)))*conv_2026*T$7</f>
        <v>0</v>
      </c>
      <c r="U18" s="28">
        <f>(INDEX('Option1 (base case)'!U$104:U$115, MATCH($D18, 'Option1 (base case)'!$G$104:$G$115,0)))*conv_2026*U$7</f>
        <v>0</v>
      </c>
      <c r="V18" s="28">
        <f>(INDEX('Option1 (base case)'!V$104:V$115, MATCH($D18, 'Option1 (base case)'!$G$104:$G$115,0)))*conv_2026*V$7</f>
        <v>0</v>
      </c>
      <c r="W18" s="28">
        <f>(INDEX('Option1 (base case)'!W$104:W$115, MATCH($D18, 'Option1 (base case)'!$G$104:$G$115,0)))*conv_2026*W$7</f>
        <v>0</v>
      </c>
      <c r="X18" s="28">
        <f>(INDEX('Option1 (base case)'!X$104:X$115, MATCH($D18, 'Option1 (base case)'!$G$104:$G$115,0)))*conv_2026*X$7</f>
        <v>0</v>
      </c>
      <c r="Y18" s="28">
        <f>(INDEX('Option1 (base case)'!Y$104:Y$115, MATCH($D18, 'Option1 (base case)'!$G$104:$G$115,0)))*conv_2026*Y$7</f>
        <v>0</v>
      </c>
      <c r="Z18" s="28">
        <f>(INDEX('Option1 (base case)'!Z$104:Z$115, MATCH($D18, 'Option1 (base case)'!$G$104:$G$115,0)))*conv_2026*Z$7</f>
        <v>0</v>
      </c>
      <c r="AA18" s="28">
        <f>(INDEX('Option1 (base case)'!AA$104:AA$115, MATCH($D18, 'Option1 (base case)'!$G$104:$G$115,0)))*conv_2026*AA$7</f>
        <v>0</v>
      </c>
      <c r="AB18" s="28">
        <f>(INDEX('Option1 (base case)'!AB$104:AB$115, MATCH($D18, 'Option1 (base case)'!$G$104:$G$115,0)))*conv_2026*AB$7</f>
        <v>0</v>
      </c>
      <c r="AC18" s="28">
        <f>(INDEX('Option1 (base case)'!AC$104:AC$115, MATCH($D18, 'Option1 (base case)'!$G$104:$G$115,0)))*conv_2026*AC$7</f>
        <v>0</v>
      </c>
      <c r="AD18" s="28">
        <f>(INDEX('Option1 (base case)'!AD$104:AD$115, MATCH($D18, 'Option1 (base case)'!$G$104:$G$115,0)))*conv_2026*AD$7</f>
        <v>0</v>
      </c>
      <c r="AE18" s="28">
        <f>(INDEX('Option1 (base case)'!AE$104:AE$115, MATCH($D18, 'Option1 (base case)'!$G$104:$G$115,0)))*conv_2026*AE$7</f>
        <v>0</v>
      </c>
      <c r="AF18" s="28">
        <f>(INDEX('Option1 (base case)'!AF$104:AF$115, MATCH($D18, 'Option1 (base case)'!$G$104:$G$115,0)))*conv_2026*AF$7</f>
        <v>0</v>
      </c>
      <c r="AG18" s="28">
        <f>(INDEX('Option1 (base case)'!AG$104:AG$115, MATCH($D18, 'Option1 (base case)'!$G$104:$G$115,0)))*conv_2026*AG$7</f>
        <v>0</v>
      </c>
      <c r="AH18" s="6"/>
      <c r="AI18" s="6"/>
    </row>
    <row r="19" spans="1:35" s="2" customFormat="1" x14ac:dyDescent="0.2">
      <c r="A19" s="222" t="s">
        <v>97</v>
      </c>
      <c r="B19" s="222" t="str">
        <f>'Option1 (base case)'!A111</f>
        <v>sens4</v>
      </c>
      <c r="C19" s="222" t="str">
        <f>'Option1 (base case)'!C111</f>
        <v>Total benefits 10% lower</v>
      </c>
      <c r="D19" s="222" t="str">
        <f t="shared" si="0"/>
        <v>OPTION 1 (base case)sens4</v>
      </c>
      <c r="E19" s="214"/>
      <c r="F19" s="28">
        <f t="shared" si="1"/>
        <v>0</v>
      </c>
      <c r="G19" s="6"/>
      <c r="H19" s="28">
        <f>(INDEX('Option1 (base case)'!H$104:H$115, MATCH($D19, 'Option1 (base case)'!$G$104:$G$115,0)))*conv_2026*H$7</f>
        <v>0</v>
      </c>
      <c r="I19" s="28">
        <f>(INDEX('Option1 (base case)'!I$104:I$115, MATCH($D19, 'Option1 (base case)'!$G$104:$G$115,0)))*conv_2026*I$7</f>
        <v>0</v>
      </c>
      <c r="J19" s="28">
        <f>(INDEX('Option1 (base case)'!J$104:J$115, MATCH($D19, 'Option1 (base case)'!$G$104:$G$115,0)))*conv_2026*J$7</f>
        <v>0</v>
      </c>
      <c r="K19" s="28">
        <f>(INDEX('Option1 (base case)'!K$104:K$115, MATCH($D19, 'Option1 (base case)'!$G$104:$G$115,0)))*conv_2026*K$7</f>
        <v>0</v>
      </c>
      <c r="L19" s="28">
        <f>(INDEX('Option1 (base case)'!L$104:L$115, MATCH($D19, 'Option1 (base case)'!$G$104:$G$115,0)))*conv_2026*L$7</f>
        <v>0</v>
      </c>
      <c r="M19" s="28">
        <f>(INDEX('Option1 (base case)'!M$104:M$115, MATCH($D19, 'Option1 (base case)'!$G$104:$G$115,0)))*conv_2026*M$7</f>
        <v>0</v>
      </c>
      <c r="N19" s="28">
        <f>(INDEX('Option1 (base case)'!N$104:N$115, MATCH($D19, 'Option1 (base case)'!$G$104:$G$115,0)))*conv_2026*N$7</f>
        <v>0</v>
      </c>
      <c r="O19" s="28">
        <f>(INDEX('Option1 (base case)'!O$104:O$115, MATCH($D19, 'Option1 (base case)'!$G$104:$G$115,0)))*conv_2026*O$7</f>
        <v>0</v>
      </c>
      <c r="P19" s="28">
        <f>(INDEX('Option1 (base case)'!P$104:P$115, MATCH($D19, 'Option1 (base case)'!$G$104:$G$115,0)))*conv_2026*P$7</f>
        <v>0</v>
      </c>
      <c r="Q19" s="28">
        <f>(INDEX('Option1 (base case)'!Q$104:Q$115, MATCH($D19, 'Option1 (base case)'!$G$104:$G$115,0)))*conv_2026*Q$7</f>
        <v>0</v>
      </c>
      <c r="R19" s="28">
        <f>(INDEX('Option1 (base case)'!R$104:R$115, MATCH($D19, 'Option1 (base case)'!$G$104:$G$115,0)))*conv_2026*R$7</f>
        <v>0</v>
      </c>
      <c r="S19" s="28">
        <f>(INDEX('Option1 (base case)'!S$104:S$115, MATCH($D19, 'Option1 (base case)'!$G$104:$G$115,0)))*conv_2026*S$7</f>
        <v>0</v>
      </c>
      <c r="T19" s="28">
        <f>(INDEX('Option1 (base case)'!T$104:T$115, MATCH($D19, 'Option1 (base case)'!$G$104:$G$115,0)))*conv_2026*T$7</f>
        <v>0</v>
      </c>
      <c r="U19" s="28">
        <f>(INDEX('Option1 (base case)'!U$104:U$115, MATCH($D19, 'Option1 (base case)'!$G$104:$G$115,0)))*conv_2026*U$7</f>
        <v>0</v>
      </c>
      <c r="V19" s="28">
        <f>(INDEX('Option1 (base case)'!V$104:V$115, MATCH($D19, 'Option1 (base case)'!$G$104:$G$115,0)))*conv_2026*V$7</f>
        <v>0</v>
      </c>
      <c r="W19" s="28">
        <f>(INDEX('Option1 (base case)'!W$104:W$115, MATCH($D19, 'Option1 (base case)'!$G$104:$G$115,0)))*conv_2026*W$7</f>
        <v>0</v>
      </c>
      <c r="X19" s="28">
        <f>(INDEX('Option1 (base case)'!X$104:X$115, MATCH($D19, 'Option1 (base case)'!$G$104:$G$115,0)))*conv_2026*X$7</f>
        <v>0</v>
      </c>
      <c r="Y19" s="28">
        <f>(INDEX('Option1 (base case)'!Y$104:Y$115, MATCH($D19, 'Option1 (base case)'!$G$104:$G$115,0)))*conv_2026*Y$7</f>
        <v>0</v>
      </c>
      <c r="Z19" s="28">
        <f>(INDEX('Option1 (base case)'!Z$104:Z$115, MATCH($D19, 'Option1 (base case)'!$G$104:$G$115,0)))*conv_2026*Z$7</f>
        <v>0</v>
      </c>
      <c r="AA19" s="28">
        <f>(INDEX('Option1 (base case)'!AA$104:AA$115, MATCH($D19, 'Option1 (base case)'!$G$104:$G$115,0)))*conv_2026*AA$7</f>
        <v>0</v>
      </c>
      <c r="AB19" s="28">
        <f>(INDEX('Option1 (base case)'!AB$104:AB$115, MATCH($D19, 'Option1 (base case)'!$G$104:$G$115,0)))*conv_2026*AB$7</f>
        <v>0</v>
      </c>
      <c r="AC19" s="28">
        <f>(INDEX('Option1 (base case)'!AC$104:AC$115, MATCH($D19, 'Option1 (base case)'!$G$104:$G$115,0)))*conv_2026*AC$7</f>
        <v>0</v>
      </c>
      <c r="AD19" s="28">
        <f>(INDEX('Option1 (base case)'!AD$104:AD$115, MATCH($D19, 'Option1 (base case)'!$G$104:$G$115,0)))*conv_2026*AD$7</f>
        <v>0</v>
      </c>
      <c r="AE19" s="28">
        <f>(INDEX('Option1 (base case)'!AE$104:AE$115, MATCH($D19, 'Option1 (base case)'!$G$104:$G$115,0)))*conv_2026*AE$7</f>
        <v>0</v>
      </c>
      <c r="AF19" s="28">
        <f>(INDEX('Option1 (base case)'!AF$104:AF$115, MATCH($D19, 'Option1 (base case)'!$G$104:$G$115,0)))*conv_2026*AF$7</f>
        <v>0</v>
      </c>
      <c r="AG19" s="28">
        <f>(INDEX('Option1 (base case)'!AG$104:AG$115, MATCH($D19, 'Option1 (base case)'!$G$104:$G$115,0)))*conv_2026*AG$7</f>
        <v>0</v>
      </c>
      <c r="AH19" s="6"/>
      <c r="AI19" s="6"/>
    </row>
    <row r="20" spans="1:35" s="2" customFormat="1" x14ac:dyDescent="0.2">
      <c r="A20" s="222" t="s">
        <v>97</v>
      </c>
      <c r="B20" s="222" t="str">
        <f>'Option1 (base case)'!A112</f>
        <v>sens5</v>
      </c>
      <c r="C20" s="222" t="str">
        <f>'Option1 (base case)'!C112</f>
        <v>Capex 10% higher &amp; Total benefits 10% lower</v>
      </c>
      <c r="D20" s="222" t="str">
        <f t="shared" si="0"/>
        <v>OPTION 1 (base case)sens5</v>
      </c>
      <c r="E20" s="214"/>
      <c r="F20" s="28">
        <f t="shared" si="1"/>
        <v>0</v>
      </c>
      <c r="G20" s="6"/>
      <c r="H20" s="28">
        <f>(INDEX('Option1 (base case)'!H$104:H$115, MATCH($D20, 'Option1 (base case)'!$G$104:$G$115,0)))*conv_2026*H$7</f>
        <v>0</v>
      </c>
      <c r="I20" s="28">
        <f>(INDEX('Option1 (base case)'!I$104:I$115, MATCH($D20, 'Option1 (base case)'!$G$104:$G$115,0)))*conv_2026*I$7</f>
        <v>0</v>
      </c>
      <c r="J20" s="28">
        <f>(INDEX('Option1 (base case)'!J$104:J$115, MATCH($D20, 'Option1 (base case)'!$G$104:$G$115,0)))*conv_2026*J$7</f>
        <v>0</v>
      </c>
      <c r="K20" s="28">
        <f>(INDEX('Option1 (base case)'!K$104:K$115, MATCH($D20, 'Option1 (base case)'!$G$104:$G$115,0)))*conv_2026*K$7</f>
        <v>0</v>
      </c>
      <c r="L20" s="28">
        <f>(INDEX('Option1 (base case)'!L$104:L$115, MATCH($D20, 'Option1 (base case)'!$G$104:$G$115,0)))*conv_2026*L$7</f>
        <v>0</v>
      </c>
      <c r="M20" s="28">
        <f>(INDEX('Option1 (base case)'!M$104:M$115, MATCH($D20, 'Option1 (base case)'!$G$104:$G$115,0)))*conv_2026*M$7</f>
        <v>0</v>
      </c>
      <c r="N20" s="28">
        <f>(INDEX('Option1 (base case)'!N$104:N$115, MATCH($D20, 'Option1 (base case)'!$G$104:$G$115,0)))*conv_2026*N$7</f>
        <v>0</v>
      </c>
      <c r="O20" s="28">
        <f>(INDEX('Option1 (base case)'!O$104:O$115, MATCH($D20, 'Option1 (base case)'!$G$104:$G$115,0)))*conv_2026*O$7</f>
        <v>0</v>
      </c>
      <c r="P20" s="28">
        <f>(INDEX('Option1 (base case)'!P$104:P$115, MATCH($D20, 'Option1 (base case)'!$G$104:$G$115,0)))*conv_2026*P$7</f>
        <v>0</v>
      </c>
      <c r="Q20" s="28">
        <f>(INDEX('Option1 (base case)'!Q$104:Q$115, MATCH($D20, 'Option1 (base case)'!$G$104:$G$115,0)))*conv_2026*Q$7</f>
        <v>0</v>
      </c>
      <c r="R20" s="28">
        <f>(INDEX('Option1 (base case)'!R$104:R$115, MATCH($D20, 'Option1 (base case)'!$G$104:$G$115,0)))*conv_2026*R$7</f>
        <v>0</v>
      </c>
      <c r="S20" s="28">
        <f>(INDEX('Option1 (base case)'!S$104:S$115, MATCH($D20, 'Option1 (base case)'!$G$104:$G$115,0)))*conv_2026*S$7</f>
        <v>0</v>
      </c>
      <c r="T20" s="28">
        <f>(INDEX('Option1 (base case)'!T$104:T$115, MATCH($D20, 'Option1 (base case)'!$G$104:$G$115,0)))*conv_2026*T$7</f>
        <v>0</v>
      </c>
      <c r="U20" s="28">
        <f>(INDEX('Option1 (base case)'!U$104:U$115, MATCH($D20, 'Option1 (base case)'!$G$104:$G$115,0)))*conv_2026*U$7</f>
        <v>0</v>
      </c>
      <c r="V20" s="28">
        <f>(INDEX('Option1 (base case)'!V$104:V$115, MATCH($D20, 'Option1 (base case)'!$G$104:$G$115,0)))*conv_2026*V$7</f>
        <v>0</v>
      </c>
      <c r="W20" s="28">
        <f>(INDEX('Option1 (base case)'!W$104:W$115, MATCH($D20, 'Option1 (base case)'!$G$104:$G$115,0)))*conv_2026*W$7</f>
        <v>0</v>
      </c>
      <c r="X20" s="28">
        <f>(INDEX('Option1 (base case)'!X$104:X$115, MATCH($D20, 'Option1 (base case)'!$G$104:$G$115,0)))*conv_2026*X$7</f>
        <v>0</v>
      </c>
      <c r="Y20" s="28">
        <f>(INDEX('Option1 (base case)'!Y$104:Y$115, MATCH($D20, 'Option1 (base case)'!$G$104:$G$115,0)))*conv_2026*Y$7</f>
        <v>0</v>
      </c>
      <c r="Z20" s="28">
        <f>(INDEX('Option1 (base case)'!Z$104:Z$115, MATCH($D20, 'Option1 (base case)'!$G$104:$G$115,0)))*conv_2026*Z$7</f>
        <v>0</v>
      </c>
      <c r="AA20" s="28">
        <f>(INDEX('Option1 (base case)'!AA$104:AA$115, MATCH($D20, 'Option1 (base case)'!$G$104:$G$115,0)))*conv_2026*AA$7</f>
        <v>0</v>
      </c>
      <c r="AB20" s="28">
        <f>(INDEX('Option1 (base case)'!AB$104:AB$115, MATCH($D20, 'Option1 (base case)'!$G$104:$G$115,0)))*conv_2026*AB$7</f>
        <v>0</v>
      </c>
      <c r="AC20" s="28">
        <f>(INDEX('Option1 (base case)'!AC$104:AC$115, MATCH($D20, 'Option1 (base case)'!$G$104:$G$115,0)))*conv_2026*AC$7</f>
        <v>0</v>
      </c>
      <c r="AD20" s="28">
        <f>(INDEX('Option1 (base case)'!AD$104:AD$115, MATCH($D20, 'Option1 (base case)'!$G$104:$G$115,0)))*conv_2026*AD$7</f>
        <v>0</v>
      </c>
      <c r="AE20" s="28">
        <f>(INDEX('Option1 (base case)'!AE$104:AE$115, MATCH($D20, 'Option1 (base case)'!$G$104:$G$115,0)))*conv_2026*AE$7</f>
        <v>0</v>
      </c>
      <c r="AF20" s="28">
        <f>(INDEX('Option1 (base case)'!AF$104:AF$115, MATCH($D20, 'Option1 (base case)'!$G$104:$G$115,0)))*conv_2026*AF$7</f>
        <v>0</v>
      </c>
      <c r="AG20" s="28">
        <f>(INDEX('Option1 (base case)'!AG$104:AG$115, MATCH($D20, 'Option1 (base case)'!$G$104:$G$115,0)))*conv_2026*AG$7</f>
        <v>0</v>
      </c>
      <c r="AH20" s="6"/>
      <c r="AI20" s="6"/>
    </row>
    <row r="21" spans="1:35" s="2" customFormat="1" x14ac:dyDescent="0.2">
      <c r="A21" s="222" t="s">
        <v>97</v>
      </c>
      <c r="B21" s="222" t="str">
        <f>'Option1 (base case)'!A113</f>
        <v>sens</v>
      </c>
      <c r="C21" s="222">
        <f>'Option1 (base case)'!C113</f>
        <v>0</v>
      </c>
      <c r="D21" s="222" t="str">
        <f t="shared" si="0"/>
        <v>OPTION 1 (base case)sens</v>
      </c>
      <c r="E21" s="214"/>
      <c r="F21" s="28">
        <f t="shared" si="1"/>
        <v>0</v>
      </c>
      <c r="G21" s="6"/>
      <c r="H21" s="28">
        <f>(INDEX('Option1 (base case)'!H$104:H$115, MATCH($D21, 'Option1 (base case)'!$G$104:$G$115,0)))*conv_2026*H$7</f>
        <v>0</v>
      </c>
      <c r="I21" s="28">
        <f>(INDEX('Option1 (base case)'!I$104:I$115, MATCH($D21, 'Option1 (base case)'!$G$104:$G$115,0)))*conv_2026*I$7</f>
        <v>0</v>
      </c>
      <c r="J21" s="28">
        <f>(INDEX('Option1 (base case)'!J$104:J$115, MATCH($D21, 'Option1 (base case)'!$G$104:$G$115,0)))*conv_2026*J$7</f>
        <v>0</v>
      </c>
      <c r="K21" s="28">
        <f>(INDEX('Option1 (base case)'!K$104:K$115, MATCH($D21, 'Option1 (base case)'!$G$104:$G$115,0)))*conv_2026*K$7</f>
        <v>0</v>
      </c>
      <c r="L21" s="28">
        <f>(INDEX('Option1 (base case)'!L$104:L$115, MATCH($D21, 'Option1 (base case)'!$G$104:$G$115,0)))*conv_2026*L$7</f>
        <v>0</v>
      </c>
      <c r="M21" s="28">
        <f>(INDEX('Option1 (base case)'!M$104:M$115, MATCH($D21, 'Option1 (base case)'!$G$104:$G$115,0)))*conv_2026*M$7</f>
        <v>0</v>
      </c>
      <c r="N21" s="28">
        <f>(INDEX('Option1 (base case)'!N$104:N$115, MATCH($D21, 'Option1 (base case)'!$G$104:$G$115,0)))*conv_2026*N$7</f>
        <v>0</v>
      </c>
      <c r="O21" s="28">
        <f>(INDEX('Option1 (base case)'!O$104:O$115, MATCH($D21, 'Option1 (base case)'!$G$104:$G$115,0)))*conv_2026*O$7</f>
        <v>0</v>
      </c>
      <c r="P21" s="28">
        <f>(INDEX('Option1 (base case)'!P$104:P$115, MATCH($D21, 'Option1 (base case)'!$G$104:$G$115,0)))*conv_2026*P$7</f>
        <v>0</v>
      </c>
      <c r="Q21" s="28">
        <f>(INDEX('Option1 (base case)'!Q$104:Q$115, MATCH($D21, 'Option1 (base case)'!$G$104:$G$115,0)))*conv_2026*Q$7</f>
        <v>0</v>
      </c>
      <c r="R21" s="28">
        <f>(INDEX('Option1 (base case)'!R$104:R$115, MATCH($D21, 'Option1 (base case)'!$G$104:$G$115,0)))*conv_2026*R$7</f>
        <v>0</v>
      </c>
      <c r="S21" s="28">
        <f>(INDEX('Option1 (base case)'!S$104:S$115, MATCH($D21, 'Option1 (base case)'!$G$104:$G$115,0)))*conv_2026*S$7</f>
        <v>0</v>
      </c>
      <c r="T21" s="28">
        <f>(INDEX('Option1 (base case)'!T$104:T$115, MATCH($D21, 'Option1 (base case)'!$G$104:$G$115,0)))*conv_2026*T$7</f>
        <v>0</v>
      </c>
      <c r="U21" s="28">
        <f>(INDEX('Option1 (base case)'!U$104:U$115, MATCH($D21, 'Option1 (base case)'!$G$104:$G$115,0)))*conv_2026*U$7</f>
        <v>0</v>
      </c>
      <c r="V21" s="28">
        <f>(INDEX('Option1 (base case)'!V$104:V$115, MATCH($D21, 'Option1 (base case)'!$G$104:$G$115,0)))*conv_2026*V$7</f>
        <v>0</v>
      </c>
      <c r="W21" s="28">
        <f>(INDEX('Option1 (base case)'!W$104:W$115, MATCH($D21, 'Option1 (base case)'!$G$104:$G$115,0)))*conv_2026*W$7</f>
        <v>0</v>
      </c>
      <c r="X21" s="28">
        <f>(INDEX('Option1 (base case)'!X$104:X$115, MATCH($D21, 'Option1 (base case)'!$G$104:$G$115,0)))*conv_2026*X$7</f>
        <v>0</v>
      </c>
      <c r="Y21" s="28">
        <f>(INDEX('Option1 (base case)'!Y$104:Y$115, MATCH($D21, 'Option1 (base case)'!$G$104:$G$115,0)))*conv_2026*Y$7</f>
        <v>0</v>
      </c>
      <c r="Z21" s="28">
        <f>(INDEX('Option1 (base case)'!Z$104:Z$115, MATCH($D21, 'Option1 (base case)'!$G$104:$G$115,0)))*conv_2026*Z$7</f>
        <v>0</v>
      </c>
      <c r="AA21" s="28">
        <f>(INDEX('Option1 (base case)'!AA$104:AA$115, MATCH($D21, 'Option1 (base case)'!$G$104:$G$115,0)))*conv_2026*AA$7</f>
        <v>0</v>
      </c>
      <c r="AB21" s="28">
        <f>(INDEX('Option1 (base case)'!AB$104:AB$115, MATCH($D21, 'Option1 (base case)'!$G$104:$G$115,0)))*conv_2026*AB$7</f>
        <v>0</v>
      </c>
      <c r="AC21" s="28">
        <f>(INDEX('Option1 (base case)'!AC$104:AC$115, MATCH($D21, 'Option1 (base case)'!$G$104:$G$115,0)))*conv_2026*AC$7</f>
        <v>0</v>
      </c>
      <c r="AD21" s="28">
        <f>(INDEX('Option1 (base case)'!AD$104:AD$115, MATCH($D21, 'Option1 (base case)'!$G$104:$G$115,0)))*conv_2026*AD$7</f>
        <v>0</v>
      </c>
      <c r="AE21" s="28">
        <f>(INDEX('Option1 (base case)'!AE$104:AE$115, MATCH($D21, 'Option1 (base case)'!$G$104:$G$115,0)))*conv_2026*AE$7</f>
        <v>0</v>
      </c>
      <c r="AF21" s="28">
        <f>(INDEX('Option1 (base case)'!AF$104:AF$115, MATCH($D21, 'Option1 (base case)'!$G$104:$G$115,0)))*conv_2026*AF$7</f>
        <v>0</v>
      </c>
      <c r="AG21" s="28">
        <f>(INDEX('Option1 (base case)'!AG$104:AG$115, MATCH($D21, 'Option1 (base case)'!$G$104:$G$115,0)))*conv_2026*AG$7</f>
        <v>0</v>
      </c>
      <c r="AH21" s="6"/>
      <c r="AI21" s="6"/>
    </row>
    <row r="22" spans="1:35" s="2" customFormat="1" x14ac:dyDescent="0.2">
      <c r="A22" s="222" t="s">
        <v>97</v>
      </c>
      <c r="B22" s="222" t="str">
        <f>'Option1 (base case)'!A114</f>
        <v>sens</v>
      </c>
      <c r="C22" s="222">
        <f>'Option1 (base case)'!C114</f>
        <v>0</v>
      </c>
      <c r="D22" s="222" t="str">
        <f t="shared" si="0"/>
        <v>OPTION 1 (base case)sens</v>
      </c>
      <c r="E22" s="214"/>
      <c r="F22" s="28">
        <f t="shared" si="1"/>
        <v>0</v>
      </c>
      <c r="G22" s="6"/>
      <c r="H22" s="28">
        <f>(INDEX('Option1 (base case)'!H$104:H$115, MATCH($D22, 'Option1 (base case)'!$G$104:$G$115,0)))*conv_2026*H$7</f>
        <v>0</v>
      </c>
      <c r="I22" s="28">
        <f>(INDEX('Option1 (base case)'!I$104:I$115, MATCH($D22, 'Option1 (base case)'!$G$104:$G$115,0)))*conv_2026*I$7</f>
        <v>0</v>
      </c>
      <c r="J22" s="28">
        <f>(INDEX('Option1 (base case)'!J$104:J$115, MATCH($D22, 'Option1 (base case)'!$G$104:$G$115,0)))*conv_2026*J$7</f>
        <v>0</v>
      </c>
      <c r="K22" s="28">
        <f>(INDEX('Option1 (base case)'!K$104:K$115, MATCH($D22, 'Option1 (base case)'!$G$104:$G$115,0)))*conv_2026*K$7</f>
        <v>0</v>
      </c>
      <c r="L22" s="28">
        <f>(INDEX('Option1 (base case)'!L$104:L$115, MATCH($D22, 'Option1 (base case)'!$G$104:$G$115,0)))*conv_2026*L$7</f>
        <v>0</v>
      </c>
      <c r="M22" s="28">
        <f>(INDEX('Option1 (base case)'!M$104:M$115, MATCH($D22, 'Option1 (base case)'!$G$104:$G$115,0)))*conv_2026*M$7</f>
        <v>0</v>
      </c>
      <c r="N22" s="28">
        <f>(INDEX('Option1 (base case)'!N$104:N$115, MATCH($D22, 'Option1 (base case)'!$G$104:$G$115,0)))*conv_2026*N$7</f>
        <v>0</v>
      </c>
      <c r="O22" s="28">
        <f>(INDEX('Option1 (base case)'!O$104:O$115, MATCH($D22, 'Option1 (base case)'!$G$104:$G$115,0)))*conv_2026*O$7</f>
        <v>0</v>
      </c>
      <c r="P22" s="28">
        <f>(INDEX('Option1 (base case)'!P$104:P$115, MATCH($D22, 'Option1 (base case)'!$G$104:$G$115,0)))*conv_2026*P$7</f>
        <v>0</v>
      </c>
      <c r="Q22" s="28">
        <f>(INDEX('Option1 (base case)'!Q$104:Q$115, MATCH($D22, 'Option1 (base case)'!$G$104:$G$115,0)))*conv_2026*Q$7</f>
        <v>0</v>
      </c>
      <c r="R22" s="28">
        <f>(INDEX('Option1 (base case)'!R$104:R$115, MATCH($D22, 'Option1 (base case)'!$G$104:$G$115,0)))*conv_2026*R$7</f>
        <v>0</v>
      </c>
      <c r="S22" s="28">
        <f>(INDEX('Option1 (base case)'!S$104:S$115, MATCH($D22, 'Option1 (base case)'!$G$104:$G$115,0)))*conv_2026*S$7</f>
        <v>0</v>
      </c>
      <c r="T22" s="28">
        <f>(INDEX('Option1 (base case)'!T$104:T$115, MATCH($D22, 'Option1 (base case)'!$G$104:$G$115,0)))*conv_2026*T$7</f>
        <v>0</v>
      </c>
      <c r="U22" s="28">
        <f>(INDEX('Option1 (base case)'!U$104:U$115, MATCH($D22, 'Option1 (base case)'!$G$104:$G$115,0)))*conv_2026*U$7</f>
        <v>0</v>
      </c>
      <c r="V22" s="28">
        <f>(INDEX('Option1 (base case)'!V$104:V$115, MATCH($D22, 'Option1 (base case)'!$G$104:$G$115,0)))*conv_2026*V$7</f>
        <v>0</v>
      </c>
      <c r="W22" s="28">
        <f>(INDEX('Option1 (base case)'!W$104:W$115, MATCH($D22, 'Option1 (base case)'!$G$104:$G$115,0)))*conv_2026*W$7</f>
        <v>0</v>
      </c>
      <c r="X22" s="28">
        <f>(INDEX('Option1 (base case)'!X$104:X$115, MATCH($D22, 'Option1 (base case)'!$G$104:$G$115,0)))*conv_2026*X$7</f>
        <v>0</v>
      </c>
      <c r="Y22" s="28">
        <f>(INDEX('Option1 (base case)'!Y$104:Y$115, MATCH($D22, 'Option1 (base case)'!$G$104:$G$115,0)))*conv_2026*Y$7</f>
        <v>0</v>
      </c>
      <c r="Z22" s="28">
        <f>(INDEX('Option1 (base case)'!Z$104:Z$115, MATCH($D22, 'Option1 (base case)'!$G$104:$G$115,0)))*conv_2026*Z$7</f>
        <v>0</v>
      </c>
      <c r="AA22" s="28">
        <f>(INDEX('Option1 (base case)'!AA$104:AA$115, MATCH($D22, 'Option1 (base case)'!$G$104:$G$115,0)))*conv_2026*AA$7</f>
        <v>0</v>
      </c>
      <c r="AB22" s="28">
        <f>(INDEX('Option1 (base case)'!AB$104:AB$115, MATCH($D22, 'Option1 (base case)'!$G$104:$G$115,0)))*conv_2026*AB$7</f>
        <v>0</v>
      </c>
      <c r="AC22" s="28">
        <f>(INDEX('Option1 (base case)'!AC$104:AC$115, MATCH($D22, 'Option1 (base case)'!$G$104:$G$115,0)))*conv_2026*AC$7</f>
        <v>0</v>
      </c>
      <c r="AD22" s="28">
        <f>(INDEX('Option1 (base case)'!AD$104:AD$115, MATCH($D22, 'Option1 (base case)'!$G$104:$G$115,0)))*conv_2026*AD$7</f>
        <v>0</v>
      </c>
      <c r="AE22" s="28">
        <f>(INDEX('Option1 (base case)'!AE$104:AE$115, MATCH($D22, 'Option1 (base case)'!$G$104:$G$115,0)))*conv_2026*AE$7</f>
        <v>0</v>
      </c>
      <c r="AF22" s="28">
        <f>(INDEX('Option1 (base case)'!AF$104:AF$115, MATCH($D22, 'Option1 (base case)'!$G$104:$G$115,0)))*conv_2026*AF$7</f>
        <v>0</v>
      </c>
      <c r="AG22" s="28">
        <f>(INDEX('Option1 (base case)'!AG$104:AG$115, MATCH($D22, 'Option1 (base case)'!$G$104:$G$115,0)))*conv_2026*AG$7</f>
        <v>0</v>
      </c>
      <c r="AH22" s="6"/>
      <c r="AI22" s="6"/>
    </row>
    <row r="23" spans="1:35" s="2" customFormat="1" x14ac:dyDescent="0.2">
      <c r="A23" s="222" t="s">
        <v>97</v>
      </c>
      <c r="B23" s="222" t="str">
        <f>'Option1 (base case)'!A115</f>
        <v>sens</v>
      </c>
      <c r="C23" s="222">
        <f>'Option1 (base case)'!C115</f>
        <v>0</v>
      </c>
      <c r="D23" s="222" t="str">
        <f t="shared" si="0"/>
        <v>OPTION 1 (base case)sens</v>
      </c>
      <c r="E23" s="214"/>
      <c r="F23" s="28">
        <f t="shared" si="1"/>
        <v>0</v>
      </c>
      <c r="G23" s="6"/>
      <c r="H23" s="28">
        <f>(INDEX('Option1 (base case)'!H$104:H$115, MATCH($D23, 'Option1 (base case)'!$G$104:$G$115,0)))*conv_2026*H$7</f>
        <v>0</v>
      </c>
      <c r="I23" s="28">
        <f>(INDEX('Option1 (base case)'!I$104:I$115, MATCH($D23, 'Option1 (base case)'!$G$104:$G$115,0)))*conv_2026*I$7</f>
        <v>0</v>
      </c>
      <c r="J23" s="28">
        <f>(INDEX('Option1 (base case)'!J$104:J$115, MATCH($D23, 'Option1 (base case)'!$G$104:$G$115,0)))*conv_2026*J$7</f>
        <v>0</v>
      </c>
      <c r="K23" s="28">
        <f>(INDEX('Option1 (base case)'!K$104:K$115, MATCH($D23, 'Option1 (base case)'!$G$104:$G$115,0)))*conv_2026*K$7</f>
        <v>0</v>
      </c>
      <c r="L23" s="28">
        <f>(INDEX('Option1 (base case)'!L$104:L$115, MATCH($D23, 'Option1 (base case)'!$G$104:$G$115,0)))*conv_2026*L$7</f>
        <v>0</v>
      </c>
      <c r="M23" s="28">
        <f>(INDEX('Option1 (base case)'!M$104:M$115, MATCH($D23, 'Option1 (base case)'!$G$104:$G$115,0)))*conv_2026*M$7</f>
        <v>0</v>
      </c>
      <c r="N23" s="28">
        <f>(INDEX('Option1 (base case)'!N$104:N$115, MATCH($D23, 'Option1 (base case)'!$G$104:$G$115,0)))*conv_2026*N$7</f>
        <v>0</v>
      </c>
      <c r="O23" s="28">
        <f>(INDEX('Option1 (base case)'!O$104:O$115, MATCH($D23, 'Option1 (base case)'!$G$104:$G$115,0)))*conv_2026*O$7</f>
        <v>0</v>
      </c>
      <c r="P23" s="28">
        <f>(INDEX('Option1 (base case)'!P$104:P$115, MATCH($D23, 'Option1 (base case)'!$G$104:$G$115,0)))*conv_2026*P$7</f>
        <v>0</v>
      </c>
      <c r="Q23" s="28">
        <f>(INDEX('Option1 (base case)'!Q$104:Q$115, MATCH($D23, 'Option1 (base case)'!$G$104:$G$115,0)))*conv_2026*Q$7</f>
        <v>0</v>
      </c>
      <c r="R23" s="28">
        <f>(INDEX('Option1 (base case)'!R$104:R$115, MATCH($D23, 'Option1 (base case)'!$G$104:$G$115,0)))*conv_2026*R$7</f>
        <v>0</v>
      </c>
      <c r="S23" s="28">
        <f>(INDEX('Option1 (base case)'!S$104:S$115, MATCH($D23, 'Option1 (base case)'!$G$104:$G$115,0)))*conv_2026*S$7</f>
        <v>0</v>
      </c>
      <c r="T23" s="28">
        <f>(INDEX('Option1 (base case)'!T$104:T$115, MATCH($D23, 'Option1 (base case)'!$G$104:$G$115,0)))*conv_2026*T$7</f>
        <v>0</v>
      </c>
      <c r="U23" s="28">
        <f>(INDEX('Option1 (base case)'!U$104:U$115, MATCH($D23, 'Option1 (base case)'!$G$104:$G$115,0)))*conv_2026*U$7</f>
        <v>0</v>
      </c>
      <c r="V23" s="28">
        <f>(INDEX('Option1 (base case)'!V$104:V$115, MATCH($D23, 'Option1 (base case)'!$G$104:$G$115,0)))*conv_2026*V$7</f>
        <v>0</v>
      </c>
      <c r="W23" s="28">
        <f>(INDEX('Option1 (base case)'!W$104:W$115, MATCH($D23, 'Option1 (base case)'!$G$104:$G$115,0)))*conv_2026*W$7</f>
        <v>0</v>
      </c>
      <c r="X23" s="28">
        <f>(INDEX('Option1 (base case)'!X$104:X$115, MATCH($D23, 'Option1 (base case)'!$G$104:$G$115,0)))*conv_2026*X$7</f>
        <v>0</v>
      </c>
      <c r="Y23" s="28">
        <f>(INDEX('Option1 (base case)'!Y$104:Y$115, MATCH($D23, 'Option1 (base case)'!$G$104:$G$115,0)))*conv_2026*Y$7</f>
        <v>0</v>
      </c>
      <c r="Z23" s="28">
        <f>(INDEX('Option1 (base case)'!Z$104:Z$115, MATCH($D23, 'Option1 (base case)'!$G$104:$G$115,0)))*conv_2026*Z$7</f>
        <v>0</v>
      </c>
      <c r="AA23" s="28">
        <f>(INDEX('Option1 (base case)'!AA$104:AA$115, MATCH($D23, 'Option1 (base case)'!$G$104:$G$115,0)))*conv_2026*AA$7</f>
        <v>0</v>
      </c>
      <c r="AB23" s="28">
        <f>(INDEX('Option1 (base case)'!AB$104:AB$115, MATCH($D23, 'Option1 (base case)'!$G$104:$G$115,0)))*conv_2026*AB$7</f>
        <v>0</v>
      </c>
      <c r="AC23" s="28">
        <f>(INDEX('Option1 (base case)'!AC$104:AC$115, MATCH($D23, 'Option1 (base case)'!$G$104:$G$115,0)))*conv_2026*AC$7</f>
        <v>0</v>
      </c>
      <c r="AD23" s="28">
        <f>(INDEX('Option1 (base case)'!AD$104:AD$115, MATCH($D23, 'Option1 (base case)'!$G$104:$G$115,0)))*conv_2026*AD$7</f>
        <v>0</v>
      </c>
      <c r="AE23" s="28">
        <f>(INDEX('Option1 (base case)'!AE$104:AE$115, MATCH($D23, 'Option1 (base case)'!$G$104:$G$115,0)))*conv_2026*AE$7</f>
        <v>0</v>
      </c>
      <c r="AF23" s="28">
        <f>(INDEX('Option1 (base case)'!AF$104:AF$115, MATCH($D23, 'Option1 (base case)'!$G$104:$G$115,0)))*conv_2026*AF$7</f>
        <v>0</v>
      </c>
      <c r="AG23" s="28">
        <f>(INDEX('Option1 (base case)'!AG$104:AG$115, MATCH($D23, 'Option1 (base case)'!$G$104:$G$115,0)))*conv_2026*AG$7</f>
        <v>0</v>
      </c>
      <c r="AH23" s="6"/>
      <c r="AI23" s="6"/>
    </row>
    <row r="24" spans="1:35" s="2" customFormat="1" x14ac:dyDescent="0.2">
      <c r="A24" s="216"/>
      <c r="B24" s="216"/>
      <c r="C24" s="216"/>
      <c r="D24" s="216"/>
      <c r="E24" s="216"/>
      <c r="F24" s="216"/>
      <c r="G24" s="217"/>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row>
    <row r="25" spans="1:35" s="2" customFormat="1" x14ac:dyDescent="0.2">
      <c r="A25" s="216"/>
      <c r="B25" s="216"/>
      <c r="C25" s="216"/>
      <c r="D25" s="216"/>
      <c r="E25" s="216"/>
      <c r="F25" s="216"/>
      <c r="G25" s="217"/>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row>
    <row r="26" spans="1:35" s="2" customFormat="1" x14ac:dyDescent="0.2">
      <c r="A26" s="216"/>
      <c r="B26" s="216"/>
      <c r="C26" s="216"/>
      <c r="D26" s="216"/>
      <c r="E26" s="216"/>
      <c r="F26" s="216"/>
      <c r="G26" s="217"/>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row>
    <row r="27" spans="1:35" s="2" customFormat="1" x14ac:dyDescent="0.2">
      <c r="A27" s="216"/>
      <c r="B27" s="216"/>
      <c r="C27" s="216"/>
      <c r="D27" s="216"/>
      <c r="E27" s="216"/>
      <c r="F27" s="216"/>
      <c r="G27" s="217"/>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row>
    <row r="28" spans="1:35" s="2" customFormat="1" x14ac:dyDescent="0.2">
      <c r="A28" s="222" t="s">
        <v>150</v>
      </c>
      <c r="B28" s="222" t="s">
        <v>7</v>
      </c>
      <c r="C28" s="222" t="s">
        <v>135</v>
      </c>
      <c r="D28" s="222" t="str">
        <f>A28&amp;B28</f>
        <v>Option 2NPV</v>
      </c>
      <c r="E28" s="214"/>
      <c r="F28" s="28">
        <f>SUMPRODUCT($H28:$AG28, $H$5:$AG$5)</f>
        <v>2986785.2534180838</v>
      </c>
      <c r="G28" s="217"/>
      <c r="H28" s="28">
        <f>(INDEX(Option2!H$104:H$115, MATCH($D28, Option2!$G$104:$G$115,0)))*conv_2026*H$7</f>
        <v>0</v>
      </c>
      <c r="I28" s="28">
        <f>(INDEX(Option2!I$104:I$115, MATCH($D28, Option2!$G$104:$G$115,0)))*conv_2026*I$7</f>
        <v>0</v>
      </c>
      <c r="J28" s="28">
        <f>(INDEX(Option2!J$104:J$115, MATCH($D28, Option2!$G$104:$G$115,0)))*conv_2026*J$7</f>
        <v>0</v>
      </c>
      <c r="K28" s="28">
        <f>(INDEX(Option2!K$104:K$115, MATCH($D28, Option2!$G$104:$G$115,0)))*conv_2026*K$7</f>
        <v>-15806.162069835609</v>
      </c>
      <c r="L28" s="28">
        <f>(INDEX(Option2!L$104:L$115, MATCH($D28, Option2!$G$104:$G$115,0)))*conv_2026*L$7</f>
        <v>-52632.160563885438</v>
      </c>
      <c r="M28" s="28">
        <f>(INDEX(Option2!M$104:M$115, MATCH($D28, Option2!$G$104:$G$115,0)))*conv_2026*M$7</f>
        <v>271746.06894043327</v>
      </c>
      <c r="N28" s="28">
        <f>(INDEX(Option2!N$104:N$115, MATCH($D28, Option2!$G$104:$G$115,0)))*conv_2026*N$7</f>
        <v>271746.06894043327</v>
      </c>
      <c r="O28" s="28">
        <f>(INDEX(Option2!O$104:O$115, MATCH($D28, Option2!$G$104:$G$115,0)))*conv_2026*O$7</f>
        <v>271746.06894043327</v>
      </c>
      <c r="P28" s="28">
        <f>(INDEX(Option2!P$104:P$115, MATCH($D28, Option2!$G$104:$G$115,0)))*conv_2026*P$7</f>
        <v>271746.06894043327</v>
      </c>
      <c r="Q28" s="28">
        <f>(INDEX(Option2!Q$104:Q$115, MATCH($D28, Option2!$G$104:$G$115,0)))*conv_2026*Q$7</f>
        <v>271746.06894043327</v>
      </c>
      <c r="R28" s="28">
        <f>(INDEX(Option2!R$104:R$115, MATCH($D28, Option2!$G$104:$G$115,0)))*conv_2026*R$7</f>
        <v>271746.06894043327</v>
      </c>
      <c r="S28" s="28">
        <f>(INDEX(Option2!S$104:S$115, MATCH($D28, Option2!$G$104:$G$115,0)))*conv_2026*S$7</f>
        <v>271746.06894043327</v>
      </c>
      <c r="T28" s="28">
        <f>(INDEX(Option2!T$104:T$115, MATCH($D28, Option2!$G$104:$G$115,0)))*conv_2026*T$7</f>
        <v>271746.06894043327</v>
      </c>
      <c r="U28" s="28">
        <f>(INDEX(Option2!U$104:U$115, MATCH($D28, Option2!$G$104:$G$115,0)))*conv_2026*U$7</f>
        <v>271746.06894043327</v>
      </c>
      <c r="V28" s="28">
        <f>(INDEX(Option2!V$104:V$115, MATCH($D28, Option2!$G$104:$G$115,0)))*conv_2026*V$7</f>
        <v>271746.06894043327</v>
      </c>
      <c r="W28" s="28">
        <f>(INDEX(Option2!W$104:W$115, MATCH($D28, Option2!$G$104:$G$115,0)))*conv_2026*W$7</f>
        <v>271746.06894043327</v>
      </c>
      <c r="X28" s="28">
        <f>(INDEX(Option2!X$104:X$115, MATCH($D28, Option2!$G$104:$G$115,0)))*conv_2026*X$7</f>
        <v>271746.06894043327</v>
      </c>
      <c r="Y28" s="28">
        <f>(INDEX(Option2!Y$104:Y$115, MATCH($D28, Option2!$G$104:$G$115,0)))*conv_2026*Y$7</f>
        <v>271746.06894043327</v>
      </c>
      <c r="Z28" s="28">
        <f>(INDEX(Option2!Z$104:Z$115, MATCH($D28, Option2!$G$104:$G$115,0)))*conv_2026*Z$7</f>
        <v>271746.06894043327</v>
      </c>
      <c r="AA28" s="28">
        <f>(INDEX(Option2!AA$104:AA$115, MATCH($D28, Option2!$G$104:$G$115,0)))*conv_2026*AA$7</f>
        <v>271746.06894043327</v>
      </c>
      <c r="AB28" s="28">
        <f>(INDEX(Option2!AB$104:AB$115, MATCH($D28, Option2!$G$104:$G$115,0)))*conv_2026*AB$7</f>
        <v>271746.06894043327</v>
      </c>
      <c r="AC28" s="28">
        <f>(INDEX(Option2!AC$104:AC$115, MATCH($D28, Option2!$G$104:$G$115,0)))*conv_2026*AC$7</f>
        <v>271746.06894043327</v>
      </c>
      <c r="AD28" s="28">
        <f>(INDEX(Option2!AD$104:AD$115, MATCH($D28, Option2!$G$104:$G$115,0)))*conv_2026*AD$7</f>
        <v>0</v>
      </c>
      <c r="AE28" s="28">
        <f>(INDEX(Option2!AE$104:AE$115, MATCH($D28, Option2!$G$104:$G$115,0)))*conv_2026*AE$7</f>
        <v>0</v>
      </c>
      <c r="AF28" s="28">
        <f>(INDEX(Option2!AF$104:AF$115, MATCH($D28, Option2!$G$104:$G$115,0)))*conv_2026*AF$7</f>
        <v>0</v>
      </c>
      <c r="AG28" s="28">
        <f>(INDEX(Option2!AG$104:AG$115, MATCH($D28, Option2!$G$104:$G$115,0)))*conv_2026*AG$7</f>
        <v>0</v>
      </c>
    </row>
    <row r="29" spans="1:35" s="2" customFormat="1" x14ac:dyDescent="0.2">
      <c r="A29" s="216"/>
      <c r="B29" s="216"/>
      <c r="C29" s="216"/>
      <c r="D29" s="216"/>
      <c r="E29" s="216"/>
      <c r="F29" s="216"/>
      <c r="G29" s="217"/>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c r="AE29" s="217"/>
      <c r="AF29" s="217"/>
      <c r="AG29" s="217"/>
    </row>
    <row r="30" spans="1:35" s="2" customFormat="1" x14ac:dyDescent="0.2">
      <c r="A30" s="222" t="s">
        <v>150</v>
      </c>
      <c r="B30" s="222" t="str">
        <f>Option2!A108</f>
        <v>sens1</v>
      </c>
      <c r="C30" s="222" t="str">
        <f>Option2!C108</f>
        <v>Capex 10% higher</v>
      </c>
      <c r="D30" s="222" t="str">
        <f t="shared" ref="D30:D37" si="2">A30&amp;B30</f>
        <v>Option 2sens1</v>
      </c>
      <c r="E30" s="214"/>
      <c r="F30" s="28">
        <f>SUMPRODUCT($H30:$AG30, $H$5:$AG$5)</f>
        <v>2857098.7024833453</v>
      </c>
      <c r="G30" s="217"/>
      <c r="H30" s="28">
        <f>IF($B30=0,0, (INDEX(Option2!H$104:H$115, MATCH($D30, Option2!$G$104:$G$115,0)))*conv_2026*H$7)</f>
        <v>0</v>
      </c>
      <c r="I30" s="28">
        <f>IF($B30=0,0, (INDEX(Option2!I$104:I$115, MATCH($D30, Option2!$G$104:$G$115,0)))*conv_2026*I$7)</f>
        <v>0</v>
      </c>
      <c r="J30" s="28">
        <f>IF($B30=0,0, (INDEX(Option2!J$104:J$115, MATCH($D30, Option2!$G$104:$G$115,0)))*conv_2026*J$7)</f>
        <v>0</v>
      </c>
      <c r="K30" s="28">
        <f>IF($B30=0,0, (INDEX(Option2!K$104:K$115, MATCH($D30, Option2!$G$104:$G$115,0)))*conv_2026*K$7)</f>
        <v>-17386.778276819172</v>
      </c>
      <c r="L30" s="28">
        <f>IF($B30=0,0, (INDEX(Option2!L$104:L$115, MATCH($D30, Option2!$G$104:$G$115,0)))*conv_2026*L$7)</f>
        <v>-57895.376620273986</v>
      </c>
      <c r="M30" s="28">
        <f>IF($B30=0,0, (INDEX(Option2!M$104:M$115, MATCH($D30, Option2!$G$104:$G$115,0)))*conv_2026*M$7)</f>
        <v>260728.93806489115</v>
      </c>
      <c r="N30" s="28">
        <f>IF($B30=0,0, (INDEX(Option2!N$104:N$115, MATCH($D30, Option2!$G$104:$G$115,0)))*conv_2026*N$7)</f>
        <v>260728.93806489115</v>
      </c>
      <c r="O30" s="28">
        <f>IF($B30=0,0, (INDEX(Option2!O$104:O$115, MATCH($D30, Option2!$G$104:$G$115,0)))*conv_2026*O$7)</f>
        <v>260728.93806489115</v>
      </c>
      <c r="P30" s="28">
        <f>IF($B30=0,0, (INDEX(Option2!P$104:P$115, MATCH($D30, Option2!$G$104:$G$115,0)))*conv_2026*P$7)</f>
        <v>260728.93806489115</v>
      </c>
      <c r="Q30" s="28">
        <f>IF($B30=0,0, (INDEX(Option2!Q$104:Q$115, MATCH($D30, Option2!$G$104:$G$115,0)))*conv_2026*Q$7)</f>
        <v>260728.93806489115</v>
      </c>
      <c r="R30" s="28">
        <f>IF($B30=0,0, (INDEX(Option2!R$104:R$115, MATCH($D30, Option2!$G$104:$G$115,0)))*conv_2026*R$7)</f>
        <v>260728.93806489115</v>
      </c>
      <c r="S30" s="28">
        <f>IF($B30=0,0, (INDEX(Option2!S$104:S$115, MATCH($D30, Option2!$G$104:$G$115,0)))*conv_2026*S$7)</f>
        <v>260728.93806489115</v>
      </c>
      <c r="T30" s="28">
        <f>IF($B30=0,0, (INDEX(Option2!T$104:T$115, MATCH($D30, Option2!$G$104:$G$115,0)))*conv_2026*T$7)</f>
        <v>260728.93806489115</v>
      </c>
      <c r="U30" s="28">
        <f>IF($B30=0,0, (INDEX(Option2!U$104:U$115, MATCH($D30, Option2!$G$104:$G$115,0)))*conv_2026*U$7)</f>
        <v>260728.93806489115</v>
      </c>
      <c r="V30" s="28">
        <f>IF($B30=0,0, (INDEX(Option2!V$104:V$115, MATCH($D30, Option2!$G$104:$G$115,0)))*conv_2026*V$7)</f>
        <v>260728.93806489115</v>
      </c>
      <c r="W30" s="28">
        <f>IF($B30=0,0, (INDEX(Option2!W$104:W$115, MATCH($D30, Option2!$G$104:$G$115,0)))*conv_2026*W$7)</f>
        <v>260728.93806489115</v>
      </c>
      <c r="X30" s="28">
        <f>IF($B30=0,0, (INDEX(Option2!X$104:X$115, MATCH($D30, Option2!$G$104:$G$115,0)))*conv_2026*X$7)</f>
        <v>260728.93806489115</v>
      </c>
      <c r="Y30" s="28">
        <f>IF($B30=0,0, (INDEX(Option2!Y$104:Y$115, MATCH($D30, Option2!$G$104:$G$115,0)))*conv_2026*Y$7)</f>
        <v>260728.93806489115</v>
      </c>
      <c r="Z30" s="28">
        <f>IF($B30=0,0, (INDEX(Option2!Z$104:Z$115, MATCH($D30, Option2!$G$104:$G$115,0)))*conv_2026*Z$7)</f>
        <v>260728.93806489115</v>
      </c>
      <c r="AA30" s="28">
        <f>IF($B30=0,0, (INDEX(Option2!AA$104:AA$115, MATCH($D30, Option2!$G$104:$G$115,0)))*conv_2026*AA$7)</f>
        <v>260728.93806489115</v>
      </c>
      <c r="AB30" s="28">
        <f>IF($B30=0,0, (INDEX(Option2!AB$104:AB$115, MATCH($D30, Option2!$G$104:$G$115,0)))*conv_2026*AB$7)</f>
        <v>260728.93806489115</v>
      </c>
      <c r="AC30" s="28">
        <f>IF($B30=0,0, (INDEX(Option2!AC$104:AC$115, MATCH($D30, Option2!$G$104:$G$115,0)))*conv_2026*AC$7)</f>
        <v>260728.93806489115</v>
      </c>
      <c r="AD30" s="28">
        <f>IF($B30=0,0, (INDEX(Option2!AD$104:AD$115, MATCH($D30, Option2!$G$104:$G$115,0)))*conv_2026*AD$7)</f>
        <v>0</v>
      </c>
      <c r="AE30" s="28">
        <f>IF($B30=0,0, (INDEX(Option2!AE$104:AE$115, MATCH($D30, Option2!$G$104:$G$115,0)))*conv_2026*AE$7)</f>
        <v>0</v>
      </c>
      <c r="AF30" s="28">
        <f>IF($B30=0,0, (INDEX(Option2!AF$104:AF$115, MATCH($D30, Option2!$G$104:$G$115,0)))*conv_2026*AF$7)</f>
        <v>0</v>
      </c>
      <c r="AG30" s="28">
        <f>IF($B30=0,0, (INDEX(Option2!AG$104:AG$115, MATCH($D30, Option2!$G$104:$G$115,0)))*conv_2026*AG$7)</f>
        <v>0</v>
      </c>
    </row>
    <row r="31" spans="1:35" s="6" customFormat="1" x14ac:dyDescent="0.2">
      <c r="A31" s="222" t="s">
        <v>150</v>
      </c>
      <c r="B31" s="222" t="str">
        <f>Option2!A109</f>
        <v>sens2</v>
      </c>
      <c r="C31" s="222" t="str">
        <f>Option2!C109</f>
        <v>Capex 10% lower</v>
      </c>
      <c r="D31" s="222" t="str">
        <f t="shared" si="2"/>
        <v>Option 2sens2</v>
      </c>
      <c r="E31" s="214"/>
      <c r="F31" s="28">
        <f t="shared" ref="F31:F37" si="3">SUMPRODUCT($H31:$AG31, $H$5:$AG$5)</f>
        <v>3116471.8043528232</v>
      </c>
      <c r="G31" s="222"/>
      <c r="H31" s="28">
        <f>IF($B31=0,0, (INDEX(Option2!H$104:H$115, MATCH($D31, Option2!$G$104:$G$115,0)))*conv_2026*H$7)</f>
        <v>0</v>
      </c>
      <c r="I31" s="28">
        <f>IF($B31=0,0, (INDEX(Option2!I$104:I$115, MATCH($D31, Option2!$G$104:$G$115,0)))*conv_2026*I$7)</f>
        <v>0</v>
      </c>
      <c r="J31" s="28">
        <f>IF($B31=0,0, (INDEX(Option2!J$104:J$115, MATCH($D31, Option2!$G$104:$G$115,0)))*conv_2026*J$7)</f>
        <v>0</v>
      </c>
      <c r="K31" s="28">
        <f>IF($B31=0,0, (INDEX(Option2!K$104:K$115, MATCH($D31, Option2!$G$104:$G$115,0)))*conv_2026*K$7)</f>
        <v>-14225.545862852048</v>
      </c>
      <c r="L31" s="28">
        <f>IF($B31=0,0, (INDEX(Option2!L$104:L$115, MATCH($D31, Option2!$G$104:$G$115,0)))*conv_2026*L$7)</f>
        <v>-47368.94450749689</v>
      </c>
      <c r="M31" s="28">
        <f>IF($B31=0,0, (INDEX(Option2!M$104:M$115, MATCH($D31, Option2!$G$104:$G$115,0)))*conv_2026*M$7)</f>
        <v>282763.19981597544</v>
      </c>
      <c r="N31" s="28">
        <f>IF($B31=0,0, (INDEX(Option2!N$104:N$115, MATCH($D31, Option2!$G$104:$G$115,0)))*conv_2026*N$7)</f>
        <v>282763.19981597544</v>
      </c>
      <c r="O31" s="28">
        <f>IF($B31=0,0, (INDEX(Option2!O$104:O$115, MATCH($D31, Option2!$G$104:$G$115,0)))*conv_2026*O$7)</f>
        <v>282763.19981597544</v>
      </c>
      <c r="P31" s="28">
        <f>IF($B31=0,0, (INDEX(Option2!P$104:P$115, MATCH($D31, Option2!$G$104:$G$115,0)))*conv_2026*P$7)</f>
        <v>282763.19981597544</v>
      </c>
      <c r="Q31" s="28">
        <f>IF($B31=0,0, (INDEX(Option2!Q$104:Q$115, MATCH($D31, Option2!$G$104:$G$115,0)))*conv_2026*Q$7)</f>
        <v>282763.19981597544</v>
      </c>
      <c r="R31" s="28">
        <f>IF($B31=0,0, (INDEX(Option2!R$104:R$115, MATCH($D31, Option2!$G$104:$G$115,0)))*conv_2026*R$7)</f>
        <v>282763.19981597544</v>
      </c>
      <c r="S31" s="28">
        <f>IF($B31=0,0, (INDEX(Option2!S$104:S$115, MATCH($D31, Option2!$G$104:$G$115,0)))*conv_2026*S$7)</f>
        <v>282763.19981597544</v>
      </c>
      <c r="T31" s="28">
        <f>IF($B31=0,0, (INDEX(Option2!T$104:T$115, MATCH($D31, Option2!$G$104:$G$115,0)))*conv_2026*T$7)</f>
        <v>282763.19981597544</v>
      </c>
      <c r="U31" s="28">
        <f>IF($B31=0,0, (INDEX(Option2!U$104:U$115, MATCH($D31, Option2!$G$104:$G$115,0)))*conv_2026*U$7)</f>
        <v>282763.19981597544</v>
      </c>
      <c r="V31" s="28">
        <f>IF($B31=0,0, (INDEX(Option2!V$104:V$115, MATCH($D31, Option2!$G$104:$G$115,0)))*conv_2026*V$7)</f>
        <v>282763.19981597544</v>
      </c>
      <c r="W31" s="28">
        <f>IF($B31=0,0, (INDEX(Option2!W$104:W$115, MATCH($D31, Option2!$G$104:$G$115,0)))*conv_2026*W$7)</f>
        <v>282763.19981597544</v>
      </c>
      <c r="X31" s="28">
        <f>IF($B31=0,0, (INDEX(Option2!X$104:X$115, MATCH($D31, Option2!$G$104:$G$115,0)))*conv_2026*X$7)</f>
        <v>282763.19981597544</v>
      </c>
      <c r="Y31" s="28">
        <f>IF($B31=0,0, (INDEX(Option2!Y$104:Y$115, MATCH($D31, Option2!$G$104:$G$115,0)))*conv_2026*Y$7)</f>
        <v>282763.19981597544</v>
      </c>
      <c r="Z31" s="28">
        <f>IF($B31=0,0, (INDEX(Option2!Z$104:Z$115, MATCH($D31, Option2!$G$104:$G$115,0)))*conv_2026*Z$7)</f>
        <v>282763.19981597544</v>
      </c>
      <c r="AA31" s="28">
        <f>IF($B31=0,0, (INDEX(Option2!AA$104:AA$115, MATCH($D31, Option2!$G$104:$G$115,0)))*conv_2026*AA$7)</f>
        <v>282763.19981597544</v>
      </c>
      <c r="AB31" s="28">
        <f>IF($B31=0,0, (INDEX(Option2!AB$104:AB$115, MATCH($D31, Option2!$G$104:$G$115,0)))*conv_2026*AB$7)</f>
        <v>282763.19981597544</v>
      </c>
      <c r="AC31" s="28">
        <f>IF($B31=0,0, (INDEX(Option2!AC$104:AC$115, MATCH($D31, Option2!$G$104:$G$115,0)))*conv_2026*AC$7)</f>
        <v>282763.19981597544</v>
      </c>
      <c r="AD31" s="28">
        <f>IF($B31=0,0, (INDEX(Option2!AD$104:AD$115, MATCH($D31, Option2!$G$104:$G$115,0)))*conv_2026*AD$7)</f>
        <v>0</v>
      </c>
      <c r="AE31" s="28">
        <f>IF($B31=0,0, (INDEX(Option2!AE$104:AE$115, MATCH($D31, Option2!$G$104:$G$115,0)))*conv_2026*AE$7)</f>
        <v>0</v>
      </c>
      <c r="AF31" s="28">
        <f>IF($B31=0,0, (INDEX(Option2!AF$104:AF$115, MATCH($D31, Option2!$G$104:$G$115,0)))*conv_2026*AF$7)</f>
        <v>0</v>
      </c>
      <c r="AG31" s="28">
        <f>IF($B31=0,0, (INDEX(Option2!AG$104:AG$115, MATCH($D31, Option2!$G$104:$G$115,0)))*conv_2026*AG$7)</f>
        <v>0</v>
      </c>
    </row>
    <row r="32" spans="1:35" s="6" customFormat="1" x14ac:dyDescent="0.2">
      <c r="A32" s="222" t="s">
        <v>150</v>
      </c>
      <c r="B32" s="222" t="str">
        <f>Option2!A110</f>
        <v>sens3</v>
      </c>
      <c r="C32" s="222" t="str">
        <f>Option2!C110</f>
        <v>Total benefits 10% higher</v>
      </c>
      <c r="D32" s="222" t="str">
        <f t="shared" si="2"/>
        <v>Option 2sens3</v>
      </c>
      <c r="E32" s="214"/>
      <c r="F32" s="28">
        <f t="shared" si="3"/>
        <v>3415150.3296946315</v>
      </c>
      <c r="H32" s="28">
        <f>IF($B32=0,0, (INDEX(Option2!H$104:H$115, MATCH($D32, Option2!$G$104:$G$115,0)))*conv_2026*H$7)</f>
        <v>0</v>
      </c>
      <c r="I32" s="28">
        <f>IF($B32=0,0, (INDEX(Option2!I$104:I$115, MATCH($D32, Option2!$G$104:$G$115,0)))*conv_2026*I$7)</f>
        <v>0</v>
      </c>
      <c r="J32" s="28">
        <f>IF($B32=0,0, (INDEX(Option2!J$104:J$115, MATCH($D32, Option2!$G$104:$G$115,0)))*conv_2026*J$7)</f>
        <v>0</v>
      </c>
      <c r="K32" s="28">
        <f>IF($B32=0,0, (INDEX(Option2!K$104:K$115, MATCH($D32, Option2!$G$104:$G$115,0)))*conv_2026*K$7)</f>
        <v>-15806.162069835609</v>
      </c>
      <c r="L32" s="28">
        <f>IF($B32=0,0, (INDEX(Option2!L$104:L$115, MATCH($D32, Option2!$G$104:$G$115,0)))*conv_2026*L$7)</f>
        <v>-52632.160563885438</v>
      </c>
      <c r="M32" s="28">
        <f>IF($B32=0,0, (INDEX(Option2!M$104:M$115, MATCH($D32, Option2!$G$104:$G$115,0)))*conv_2026*M$7)</f>
        <v>309937.80671001872</v>
      </c>
      <c r="N32" s="28">
        <f>IF($B32=0,0, (INDEX(Option2!N$104:N$115, MATCH($D32, Option2!$G$104:$G$115,0)))*conv_2026*N$7)</f>
        <v>309937.80671001872</v>
      </c>
      <c r="O32" s="28">
        <f>IF($B32=0,0, (INDEX(Option2!O$104:O$115, MATCH($D32, Option2!$G$104:$G$115,0)))*conv_2026*O$7)</f>
        <v>309937.80671001872</v>
      </c>
      <c r="P32" s="28">
        <f>IF($B32=0,0, (INDEX(Option2!P$104:P$115, MATCH($D32, Option2!$G$104:$G$115,0)))*conv_2026*P$7)</f>
        <v>309937.80671001872</v>
      </c>
      <c r="Q32" s="28">
        <f>IF($B32=0,0, (INDEX(Option2!Q$104:Q$115, MATCH($D32, Option2!$G$104:$G$115,0)))*conv_2026*Q$7)</f>
        <v>309937.80671001872</v>
      </c>
      <c r="R32" s="28">
        <f>IF($B32=0,0, (INDEX(Option2!R$104:R$115, MATCH($D32, Option2!$G$104:$G$115,0)))*conv_2026*R$7)</f>
        <v>309937.80671001872</v>
      </c>
      <c r="S32" s="28">
        <f>IF($B32=0,0, (INDEX(Option2!S$104:S$115, MATCH($D32, Option2!$G$104:$G$115,0)))*conv_2026*S$7)</f>
        <v>309937.80671001872</v>
      </c>
      <c r="T32" s="28">
        <f>IF($B32=0,0, (INDEX(Option2!T$104:T$115, MATCH($D32, Option2!$G$104:$G$115,0)))*conv_2026*T$7)</f>
        <v>309937.80671001872</v>
      </c>
      <c r="U32" s="28">
        <f>IF($B32=0,0, (INDEX(Option2!U$104:U$115, MATCH($D32, Option2!$G$104:$G$115,0)))*conv_2026*U$7)</f>
        <v>309937.80671001872</v>
      </c>
      <c r="V32" s="28">
        <f>IF($B32=0,0, (INDEX(Option2!V$104:V$115, MATCH($D32, Option2!$G$104:$G$115,0)))*conv_2026*V$7)</f>
        <v>309937.80671001872</v>
      </c>
      <c r="W32" s="28">
        <f>IF($B32=0,0, (INDEX(Option2!W$104:W$115, MATCH($D32, Option2!$G$104:$G$115,0)))*conv_2026*W$7)</f>
        <v>309937.80671001872</v>
      </c>
      <c r="X32" s="28">
        <f>IF($B32=0,0, (INDEX(Option2!X$104:X$115, MATCH($D32, Option2!$G$104:$G$115,0)))*conv_2026*X$7)</f>
        <v>309937.80671001872</v>
      </c>
      <c r="Y32" s="28">
        <f>IF($B32=0,0, (INDEX(Option2!Y$104:Y$115, MATCH($D32, Option2!$G$104:$G$115,0)))*conv_2026*Y$7)</f>
        <v>309937.80671001872</v>
      </c>
      <c r="Z32" s="28">
        <f>IF($B32=0,0, (INDEX(Option2!Z$104:Z$115, MATCH($D32, Option2!$G$104:$G$115,0)))*conv_2026*Z$7)</f>
        <v>309937.80671001872</v>
      </c>
      <c r="AA32" s="28">
        <f>IF($B32=0,0, (INDEX(Option2!AA$104:AA$115, MATCH($D32, Option2!$G$104:$G$115,0)))*conv_2026*AA$7)</f>
        <v>309937.80671001872</v>
      </c>
      <c r="AB32" s="28">
        <f>IF($B32=0,0, (INDEX(Option2!AB$104:AB$115, MATCH($D32, Option2!$G$104:$G$115,0)))*conv_2026*AB$7)</f>
        <v>309937.80671001872</v>
      </c>
      <c r="AC32" s="28">
        <f>IF($B32=0,0, (INDEX(Option2!AC$104:AC$115, MATCH($D32, Option2!$G$104:$G$115,0)))*conv_2026*AC$7)</f>
        <v>309937.80671001872</v>
      </c>
      <c r="AD32" s="28">
        <f>IF($B32=0,0, (INDEX(Option2!AD$104:AD$115, MATCH($D32, Option2!$G$104:$G$115,0)))*conv_2026*AD$7)</f>
        <v>0</v>
      </c>
      <c r="AE32" s="28">
        <f>IF($B32=0,0, (INDEX(Option2!AE$104:AE$115, MATCH($D32, Option2!$G$104:$G$115,0)))*conv_2026*AE$7)</f>
        <v>0</v>
      </c>
      <c r="AF32" s="28">
        <f>IF($B32=0,0, (INDEX(Option2!AF$104:AF$115, MATCH($D32, Option2!$G$104:$G$115,0)))*conv_2026*AF$7)</f>
        <v>0</v>
      </c>
      <c r="AG32" s="28">
        <f>IF($B32=0,0, (INDEX(Option2!AG$104:AG$115, MATCH($D32, Option2!$G$104:$G$115,0)))*conv_2026*AG$7)</f>
        <v>0</v>
      </c>
    </row>
    <row r="33" spans="1:35" s="6" customFormat="1" x14ac:dyDescent="0.2">
      <c r="A33" s="222" t="s">
        <v>150</v>
      </c>
      <c r="B33" s="222" t="str">
        <f>Option2!A111</f>
        <v>sens4</v>
      </c>
      <c r="C33" s="222" t="str">
        <f>Option2!C111</f>
        <v>Total benefits 10% lower</v>
      </c>
      <c r="D33" s="222" t="str">
        <f t="shared" si="2"/>
        <v>Option 2sens4</v>
      </c>
      <c r="E33" s="214"/>
      <c r="F33" s="28">
        <f t="shared" si="3"/>
        <v>2558420.1771415365</v>
      </c>
      <c r="H33" s="28">
        <f>IF($B33=0,0, (INDEX(Option2!H$104:H$115, MATCH($D33, Option2!$G$104:$G$115,0)))*conv_2026*H$7)</f>
        <v>0</v>
      </c>
      <c r="I33" s="28">
        <f>IF($B33=0,0, (INDEX(Option2!I$104:I$115, MATCH($D33, Option2!$G$104:$G$115,0)))*conv_2026*I$7)</f>
        <v>0</v>
      </c>
      <c r="J33" s="28">
        <f>IF($B33=0,0, (INDEX(Option2!J$104:J$115, MATCH($D33, Option2!$G$104:$G$115,0)))*conv_2026*J$7)</f>
        <v>0</v>
      </c>
      <c r="K33" s="28">
        <f>IF($B33=0,0, (INDEX(Option2!K$104:K$115, MATCH($D33, Option2!$G$104:$G$115,0)))*conv_2026*K$7)</f>
        <v>-15806.162069835609</v>
      </c>
      <c r="L33" s="28">
        <f>IF($B33=0,0, (INDEX(Option2!L$104:L$115, MATCH($D33, Option2!$G$104:$G$115,0)))*conv_2026*L$7)</f>
        <v>-52632.160563885438</v>
      </c>
      <c r="M33" s="28">
        <f>IF($B33=0,0, (INDEX(Option2!M$104:M$115, MATCH($D33, Option2!$G$104:$G$115,0)))*conv_2026*M$7)</f>
        <v>233554.33117084784</v>
      </c>
      <c r="N33" s="28">
        <f>IF($B33=0,0, (INDEX(Option2!N$104:N$115, MATCH($D33, Option2!$G$104:$G$115,0)))*conv_2026*N$7)</f>
        <v>233554.33117084784</v>
      </c>
      <c r="O33" s="28">
        <f>IF($B33=0,0, (INDEX(Option2!O$104:O$115, MATCH($D33, Option2!$G$104:$G$115,0)))*conv_2026*O$7)</f>
        <v>233554.33117084784</v>
      </c>
      <c r="P33" s="28">
        <f>IF($B33=0,0, (INDEX(Option2!P$104:P$115, MATCH($D33, Option2!$G$104:$G$115,0)))*conv_2026*P$7)</f>
        <v>233554.33117084784</v>
      </c>
      <c r="Q33" s="28">
        <f>IF($B33=0,0, (INDEX(Option2!Q$104:Q$115, MATCH($D33, Option2!$G$104:$G$115,0)))*conv_2026*Q$7)</f>
        <v>233554.33117084784</v>
      </c>
      <c r="R33" s="28">
        <f>IF($B33=0,0, (INDEX(Option2!R$104:R$115, MATCH($D33, Option2!$G$104:$G$115,0)))*conv_2026*R$7)</f>
        <v>233554.33117084784</v>
      </c>
      <c r="S33" s="28">
        <f>IF($B33=0,0, (INDEX(Option2!S$104:S$115, MATCH($D33, Option2!$G$104:$G$115,0)))*conv_2026*S$7)</f>
        <v>233554.33117084784</v>
      </c>
      <c r="T33" s="28">
        <f>IF($B33=0,0, (INDEX(Option2!T$104:T$115, MATCH($D33, Option2!$G$104:$G$115,0)))*conv_2026*T$7)</f>
        <v>233554.33117084784</v>
      </c>
      <c r="U33" s="28">
        <f>IF($B33=0,0, (INDEX(Option2!U$104:U$115, MATCH($D33, Option2!$G$104:$G$115,0)))*conv_2026*U$7)</f>
        <v>233554.33117084784</v>
      </c>
      <c r="V33" s="28">
        <f>IF($B33=0,0, (INDEX(Option2!V$104:V$115, MATCH($D33, Option2!$G$104:$G$115,0)))*conv_2026*V$7)</f>
        <v>233554.33117084784</v>
      </c>
      <c r="W33" s="28">
        <f>IF($B33=0,0, (INDEX(Option2!W$104:W$115, MATCH($D33, Option2!$G$104:$G$115,0)))*conv_2026*W$7)</f>
        <v>233554.33117084784</v>
      </c>
      <c r="X33" s="28">
        <f>IF($B33=0,0, (INDEX(Option2!X$104:X$115, MATCH($D33, Option2!$G$104:$G$115,0)))*conv_2026*X$7)</f>
        <v>233554.33117084784</v>
      </c>
      <c r="Y33" s="28">
        <f>IF($B33=0,0, (INDEX(Option2!Y$104:Y$115, MATCH($D33, Option2!$G$104:$G$115,0)))*conv_2026*Y$7)</f>
        <v>233554.33117084784</v>
      </c>
      <c r="Z33" s="28">
        <f>IF($B33=0,0, (INDEX(Option2!Z$104:Z$115, MATCH($D33, Option2!$G$104:$G$115,0)))*conv_2026*Z$7)</f>
        <v>233554.33117084784</v>
      </c>
      <c r="AA33" s="28">
        <f>IF($B33=0,0, (INDEX(Option2!AA$104:AA$115, MATCH($D33, Option2!$G$104:$G$115,0)))*conv_2026*AA$7)</f>
        <v>233554.33117084784</v>
      </c>
      <c r="AB33" s="28">
        <f>IF($B33=0,0, (INDEX(Option2!AB$104:AB$115, MATCH($D33, Option2!$G$104:$G$115,0)))*conv_2026*AB$7)</f>
        <v>233554.33117084784</v>
      </c>
      <c r="AC33" s="28">
        <f>IF($B33=0,0, (INDEX(Option2!AC$104:AC$115, MATCH($D33, Option2!$G$104:$G$115,0)))*conv_2026*AC$7)</f>
        <v>233554.33117084784</v>
      </c>
      <c r="AD33" s="28">
        <f>IF($B33=0,0, (INDEX(Option2!AD$104:AD$115, MATCH($D33, Option2!$G$104:$G$115,0)))*conv_2026*AD$7)</f>
        <v>0</v>
      </c>
      <c r="AE33" s="28">
        <f>IF($B33=0,0, (INDEX(Option2!AE$104:AE$115, MATCH($D33, Option2!$G$104:$G$115,0)))*conv_2026*AE$7)</f>
        <v>0</v>
      </c>
      <c r="AF33" s="28">
        <f>IF($B33=0,0, (INDEX(Option2!AF$104:AF$115, MATCH($D33, Option2!$G$104:$G$115,0)))*conv_2026*AF$7)</f>
        <v>0</v>
      </c>
      <c r="AG33" s="28">
        <f>IF($B33=0,0, (INDEX(Option2!AG$104:AG$115, MATCH($D33, Option2!$G$104:$G$115,0)))*conv_2026*AG$7)</f>
        <v>0</v>
      </c>
    </row>
    <row r="34" spans="1:35" s="6" customFormat="1" x14ac:dyDescent="0.2">
      <c r="A34" s="222" t="s">
        <v>150</v>
      </c>
      <c r="B34" s="222" t="str">
        <f>Option2!A112</f>
        <v>sens5</v>
      </c>
      <c r="C34" s="222" t="str">
        <f>Option2!C112</f>
        <v>Capex 10% higher &amp; Total benefits 10% lower</v>
      </c>
      <c r="D34" s="222" t="str">
        <f t="shared" si="2"/>
        <v>Option 2sens5</v>
      </c>
      <c r="E34" s="214"/>
      <c r="F34" s="28">
        <f t="shared" si="3"/>
        <v>2428733.626206798</v>
      </c>
      <c r="H34" s="28">
        <f>IF($B34=0,0, (INDEX(Option2!H$104:H$115, MATCH($D34, Option2!$G$104:$G$115,0)))*conv_2026*H$7)</f>
        <v>0</v>
      </c>
      <c r="I34" s="28">
        <f>IF($B34=0,0, (INDEX(Option2!I$104:I$115, MATCH($D34, Option2!$G$104:$G$115,0)))*conv_2026*I$7)</f>
        <v>0</v>
      </c>
      <c r="J34" s="28">
        <f>IF($B34=0,0, (INDEX(Option2!J$104:J$115, MATCH($D34, Option2!$G$104:$G$115,0)))*conv_2026*J$7)</f>
        <v>0</v>
      </c>
      <c r="K34" s="28">
        <f>IF($B34=0,0, (INDEX(Option2!K$104:K$115, MATCH($D34, Option2!$G$104:$G$115,0)))*conv_2026*K$7)</f>
        <v>-17386.778276819172</v>
      </c>
      <c r="L34" s="28">
        <f>IF($B34=0,0, (INDEX(Option2!L$104:L$115, MATCH($D34, Option2!$G$104:$G$115,0)))*conv_2026*L$7)</f>
        <v>-57895.376620273986</v>
      </c>
      <c r="M34" s="28">
        <f>IF($B34=0,0, (INDEX(Option2!M$104:M$115, MATCH($D34, Option2!$G$104:$G$115,0)))*conv_2026*M$7)</f>
        <v>222537.20029530569</v>
      </c>
      <c r="N34" s="28">
        <f>IF($B34=0,0, (INDEX(Option2!N$104:N$115, MATCH($D34, Option2!$G$104:$G$115,0)))*conv_2026*N$7)</f>
        <v>222537.20029530569</v>
      </c>
      <c r="O34" s="28">
        <f>IF($B34=0,0, (INDEX(Option2!O$104:O$115, MATCH($D34, Option2!$G$104:$G$115,0)))*conv_2026*O$7)</f>
        <v>222537.20029530569</v>
      </c>
      <c r="P34" s="28">
        <f>IF($B34=0,0, (INDEX(Option2!P$104:P$115, MATCH($D34, Option2!$G$104:$G$115,0)))*conv_2026*P$7)</f>
        <v>222537.20029530569</v>
      </c>
      <c r="Q34" s="28">
        <f>IF($B34=0,0, (INDEX(Option2!Q$104:Q$115, MATCH($D34, Option2!$G$104:$G$115,0)))*conv_2026*Q$7)</f>
        <v>222537.20029530569</v>
      </c>
      <c r="R34" s="28">
        <f>IF($B34=0,0, (INDEX(Option2!R$104:R$115, MATCH($D34, Option2!$G$104:$G$115,0)))*conv_2026*R$7)</f>
        <v>222537.20029530569</v>
      </c>
      <c r="S34" s="28">
        <f>IF($B34=0,0, (INDEX(Option2!S$104:S$115, MATCH($D34, Option2!$G$104:$G$115,0)))*conv_2026*S$7)</f>
        <v>222537.20029530569</v>
      </c>
      <c r="T34" s="28">
        <f>IF($B34=0,0, (INDEX(Option2!T$104:T$115, MATCH($D34, Option2!$G$104:$G$115,0)))*conv_2026*T$7)</f>
        <v>222537.20029530569</v>
      </c>
      <c r="U34" s="28">
        <f>IF($B34=0,0, (INDEX(Option2!U$104:U$115, MATCH($D34, Option2!$G$104:$G$115,0)))*conv_2026*U$7)</f>
        <v>222537.20029530569</v>
      </c>
      <c r="V34" s="28">
        <f>IF($B34=0,0, (INDEX(Option2!V$104:V$115, MATCH($D34, Option2!$G$104:$G$115,0)))*conv_2026*V$7)</f>
        <v>222537.20029530569</v>
      </c>
      <c r="W34" s="28">
        <f>IF($B34=0,0, (INDEX(Option2!W$104:W$115, MATCH($D34, Option2!$G$104:$G$115,0)))*conv_2026*W$7)</f>
        <v>222537.20029530569</v>
      </c>
      <c r="X34" s="28">
        <f>IF($B34=0,0, (INDEX(Option2!X$104:X$115, MATCH($D34, Option2!$G$104:$G$115,0)))*conv_2026*X$7)</f>
        <v>222537.20029530569</v>
      </c>
      <c r="Y34" s="28">
        <f>IF($B34=0,0, (INDEX(Option2!Y$104:Y$115, MATCH($D34, Option2!$G$104:$G$115,0)))*conv_2026*Y$7)</f>
        <v>222537.20029530569</v>
      </c>
      <c r="Z34" s="28">
        <f>IF($B34=0,0, (INDEX(Option2!Z$104:Z$115, MATCH($D34, Option2!$G$104:$G$115,0)))*conv_2026*Z$7)</f>
        <v>222537.20029530569</v>
      </c>
      <c r="AA34" s="28">
        <f>IF($B34=0,0, (INDEX(Option2!AA$104:AA$115, MATCH($D34, Option2!$G$104:$G$115,0)))*conv_2026*AA$7)</f>
        <v>222537.20029530569</v>
      </c>
      <c r="AB34" s="28">
        <f>IF($B34=0,0, (INDEX(Option2!AB$104:AB$115, MATCH($D34, Option2!$G$104:$G$115,0)))*conv_2026*AB$7)</f>
        <v>222537.20029530569</v>
      </c>
      <c r="AC34" s="28">
        <f>IF($B34=0,0, (INDEX(Option2!AC$104:AC$115, MATCH($D34, Option2!$G$104:$G$115,0)))*conv_2026*AC$7)</f>
        <v>222537.20029530569</v>
      </c>
      <c r="AD34" s="28">
        <f>IF($B34=0,0, (INDEX(Option2!AD$104:AD$115, MATCH($D34, Option2!$G$104:$G$115,0)))*conv_2026*AD$7)</f>
        <v>0</v>
      </c>
      <c r="AE34" s="28">
        <f>IF($B34=0,0, (INDEX(Option2!AE$104:AE$115, MATCH($D34, Option2!$G$104:$G$115,0)))*conv_2026*AE$7)</f>
        <v>0</v>
      </c>
      <c r="AF34" s="28">
        <f>IF($B34=0,0, (INDEX(Option2!AF$104:AF$115, MATCH($D34, Option2!$G$104:$G$115,0)))*conv_2026*AF$7)</f>
        <v>0</v>
      </c>
      <c r="AG34" s="28">
        <f>IF($B34=0,0, (INDEX(Option2!AG$104:AG$115, MATCH($D34, Option2!$G$104:$G$115,0)))*conv_2026*AG$7)</f>
        <v>0</v>
      </c>
    </row>
    <row r="35" spans="1:35" s="6" customFormat="1" x14ac:dyDescent="0.2">
      <c r="A35" s="222" t="s">
        <v>150</v>
      </c>
      <c r="B35" s="222" t="str">
        <f>Option2!A113</f>
        <v>sens</v>
      </c>
      <c r="C35" s="222">
        <f>Option2!C113</f>
        <v>0</v>
      </c>
      <c r="D35" s="222" t="str">
        <f t="shared" si="2"/>
        <v>Option 2sens</v>
      </c>
      <c r="E35" s="214"/>
      <c r="F35" s="28">
        <f t="shared" si="3"/>
        <v>2986785.2534180838</v>
      </c>
      <c r="H35" s="28">
        <f>IF($B35=0,0, (INDEX(Option2!H$104:H$115, MATCH($D35, Option2!$G$104:$G$115,0)))*conv_2026*H$7)</f>
        <v>0</v>
      </c>
      <c r="I35" s="28">
        <f>IF($B35=0,0, (INDEX(Option2!I$104:I$115, MATCH($D35, Option2!$G$104:$G$115,0)))*conv_2026*I$7)</f>
        <v>0</v>
      </c>
      <c r="J35" s="28">
        <f>IF($B35=0,0, (INDEX(Option2!J$104:J$115, MATCH($D35, Option2!$G$104:$G$115,0)))*conv_2026*J$7)</f>
        <v>0</v>
      </c>
      <c r="K35" s="28">
        <f>IF($B35=0,0, (INDEX(Option2!K$104:K$115, MATCH($D35, Option2!$G$104:$G$115,0)))*conv_2026*K$7)</f>
        <v>-15806.162069835609</v>
      </c>
      <c r="L35" s="28">
        <f>IF($B35=0,0, (INDEX(Option2!L$104:L$115, MATCH($D35, Option2!$G$104:$G$115,0)))*conv_2026*L$7)</f>
        <v>-52632.160563885438</v>
      </c>
      <c r="M35" s="28">
        <f>IF($B35=0,0, (INDEX(Option2!M$104:M$115, MATCH($D35, Option2!$G$104:$G$115,0)))*conv_2026*M$7)</f>
        <v>271746.06894043327</v>
      </c>
      <c r="N35" s="28">
        <f>IF($B35=0,0, (INDEX(Option2!N$104:N$115, MATCH($D35, Option2!$G$104:$G$115,0)))*conv_2026*N$7)</f>
        <v>271746.06894043327</v>
      </c>
      <c r="O35" s="28">
        <f>IF($B35=0,0, (INDEX(Option2!O$104:O$115, MATCH($D35, Option2!$G$104:$G$115,0)))*conv_2026*O$7)</f>
        <v>271746.06894043327</v>
      </c>
      <c r="P35" s="28">
        <f>IF($B35=0,0, (INDEX(Option2!P$104:P$115, MATCH($D35, Option2!$G$104:$G$115,0)))*conv_2026*P$7)</f>
        <v>271746.06894043327</v>
      </c>
      <c r="Q35" s="28">
        <f>IF($B35=0,0, (INDEX(Option2!Q$104:Q$115, MATCH($D35, Option2!$G$104:$G$115,0)))*conv_2026*Q$7)</f>
        <v>271746.06894043327</v>
      </c>
      <c r="R35" s="28">
        <f>IF($B35=0,0, (INDEX(Option2!R$104:R$115, MATCH($D35, Option2!$G$104:$G$115,0)))*conv_2026*R$7)</f>
        <v>271746.06894043327</v>
      </c>
      <c r="S35" s="28">
        <f>IF($B35=0,0, (INDEX(Option2!S$104:S$115, MATCH($D35, Option2!$G$104:$G$115,0)))*conv_2026*S$7)</f>
        <v>271746.06894043327</v>
      </c>
      <c r="T35" s="28">
        <f>IF($B35=0,0, (INDEX(Option2!T$104:T$115, MATCH($D35, Option2!$G$104:$G$115,0)))*conv_2026*T$7)</f>
        <v>271746.06894043327</v>
      </c>
      <c r="U35" s="28">
        <f>IF($B35=0,0, (INDEX(Option2!U$104:U$115, MATCH($D35, Option2!$G$104:$G$115,0)))*conv_2026*U$7)</f>
        <v>271746.06894043327</v>
      </c>
      <c r="V35" s="28">
        <f>IF($B35=0,0, (INDEX(Option2!V$104:V$115, MATCH($D35, Option2!$G$104:$G$115,0)))*conv_2026*V$7)</f>
        <v>271746.06894043327</v>
      </c>
      <c r="W35" s="28">
        <f>IF($B35=0,0, (INDEX(Option2!W$104:W$115, MATCH($D35, Option2!$G$104:$G$115,0)))*conv_2026*W$7)</f>
        <v>271746.06894043327</v>
      </c>
      <c r="X35" s="28">
        <f>IF($B35=0,0, (INDEX(Option2!X$104:X$115, MATCH($D35, Option2!$G$104:$G$115,0)))*conv_2026*X$7)</f>
        <v>271746.06894043327</v>
      </c>
      <c r="Y35" s="28">
        <f>IF($B35=0,0, (INDEX(Option2!Y$104:Y$115, MATCH($D35, Option2!$G$104:$G$115,0)))*conv_2026*Y$7)</f>
        <v>271746.06894043327</v>
      </c>
      <c r="Z35" s="28">
        <f>IF($B35=0,0, (INDEX(Option2!Z$104:Z$115, MATCH($D35, Option2!$G$104:$G$115,0)))*conv_2026*Z$7)</f>
        <v>271746.06894043327</v>
      </c>
      <c r="AA35" s="28">
        <f>IF($B35=0,0, (INDEX(Option2!AA$104:AA$115, MATCH($D35, Option2!$G$104:$G$115,0)))*conv_2026*AA$7)</f>
        <v>271746.06894043327</v>
      </c>
      <c r="AB35" s="28">
        <f>IF($B35=0,0, (INDEX(Option2!AB$104:AB$115, MATCH($D35, Option2!$G$104:$G$115,0)))*conv_2026*AB$7)</f>
        <v>271746.06894043327</v>
      </c>
      <c r="AC35" s="28">
        <f>IF($B35=0,0, (INDEX(Option2!AC$104:AC$115, MATCH($D35, Option2!$G$104:$G$115,0)))*conv_2026*AC$7)</f>
        <v>271746.06894043327</v>
      </c>
      <c r="AD35" s="28">
        <f>IF($B35=0,0, (INDEX(Option2!AD$104:AD$115, MATCH($D35, Option2!$G$104:$G$115,0)))*conv_2026*AD$7)</f>
        <v>0</v>
      </c>
      <c r="AE35" s="28">
        <f>IF($B35=0,0, (INDEX(Option2!AE$104:AE$115, MATCH($D35, Option2!$G$104:$G$115,0)))*conv_2026*AE$7)</f>
        <v>0</v>
      </c>
      <c r="AF35" s="28">
        <f>IF($B35=0,0, (INDEX(Option2!AF$104:AF$115, MATCH($D35, Option2!$G$104:$G$115,0)))*conv_2026*AF$7)</f>
        <v>0</v>
      </c>
      <c r="AG35" s="28">
        <f>IF($B35=0,0, (INDEX(Option2!AG$104:AG$115, MATCH($D35, Option2!$G$104:$G$115,0)))*conv_2026*AG$7)</f>
        <v>0</v>
      </c>
    </row>
    <row r="36" spans="1:35" s="6" customFormat="1" x14ac:dyDescent="0.2">
      <c r="A36" s="222" t="s">
        <v>150</v>
      </c>
      <c r="B36" s="222" t="str">
        <f>Option2!A114</f>
        <v>sens</v>
      </c>
      <c r="C36" s="222">
        <f>Option2!C114</f>
        <v>0</v>
      </c>
      <c r="D36" s="222" t="str">
        <f t="shared" si="2"/>
        <v>Option 2sens</v>
      </c>
      <c r="E36" s="214"/>
      <c r="F36" s="28">
        <f t="shared" si="3"/>
        <v>2986785.2534180838</v>
      </c>
      <c r="H36" s="28">
        <f>IF($B36=0,0, (INDEX(Option2!H$104:H$115, MATCH($D36, Option2!$G$104:$G$115,0)))*conv_2026*H$7)</f>
        <v>0</v>
      </c>
      <c r="I36" s="28">
        <f>IF($B36=0,0, (INDEX(Option2!I$104:I$115, MATCH($D36, Option2!$G$104:$G$115,0)))*conv_2026*I$7)</f>
        <v>0</v>
      </c>
      <c r="J36" s="28">
        <f>IF($B36=0,0, (INDEX(Option2!J$104:J$115, MATCH($D36, Option2!$G$104:$G$115,0)))*conv_2026*J$7)</f>
        <v>0</v>
      </c>
      <c r="K36" s="28">
        <f>IF($B36=0,0, (INDEX(Option2!K$104:K$115, MATCH($D36, Option2!$G$104:$G$115,0)))*conv_2026*K$7)</f>
        <v>-15806.162069835609</v>
      </c>
      <c r="L36" s="28">
        <f>IF($B36=0,0, (INDEX(Option2!L$104:L$115, MATCH($D36, Option2!$G$104:$G$115,0)))*conv_2026*L$7)</f>
        <v>-52632.160563885438</v>
      </c>
      <c r="M36" s="28">
        <f>IF($B36=0,0, (INDEX(Option2!M$104:M$115, MATCH($D36, Option2!$G$104:$G$115,0)))*conv_2026*M$7)</f>
        <v>271746.06894043327</v>
      </c>
      <c r="N36" s="28">
        <f>IF($B36=0,0, (INDEX(Option2!N$104:N$115, MATCH($D36, Option2!$G$104:$G$115,0)))*conv_2026*N$7)</f>
        <v>271746.06894043327</v>
      </c>
      <c r="O36" s="28">
        <f>IF($B36=0,0, (INDEX(Option2!O$104:O$115, MATCH($D36, Option2!$G$104:$G$115,0)))*conv_2026*O$7)</f>
        <v>271746.06894043327</v>
      </c>
      <c r="P36" s="28">
        <f>IF($B36=0,0, (INDEX(Option2!P$104:P$115, MATCH($D36, Option2!$G$104:$G$115,0)))*conv_2026*P$7)</f>
        <v>271746.06894043327</v>
      </c>
      <c r="Q36" s="28">
        <f>IF($B36=0,0, (INDEX(Option2!Q$104:Q$115, MATCH($D36, Option2!$G$104:$G$115,0)))*conv_2026*Q$7)</f>
        <v>271746.06894043327</v>
      </c>
      <c r="R36" s="28">
        <f>IF($B36=0,0, (INDEX(Option2!R$104:R$115, MATCH($D36, Option2!$G$104:$G$115,0)))*conv_2026*R$7)</f>
        <v>271746.06894043327</v>
      </c>
      <c r="S36" s="28">
        <f>IF($B36=0,0, (INDEX(Option2!S$104:S$115, MATCH($D36, Option2!$G$104:$G$115,0)))*conv_2026*S$7)</f>
        <v>271746.06894043327</v>
      </c>
      <c r="T36" s="28">
        <f>IF($B36=0,0, (INDEX(Option2!T$104:T$115, MATCH($D36, Option2!$G$104:$G$115,0)))*conv_2026*T$7)</f>
        <v>271746.06894043327</v>
      </c>
      <c r="U36" s="28">
        <f>IF($B36=0,0, (INDEX(Option2!U$104:U$115, MATCH($D36, Option2!$G$104:$G$115,0)))*conv_2026*U$7)</f>
        <v>271746.06894043327</v>
      </c>
      <c r="V36" s="28">
        <f>IF($B36=0,0, (INDEX(Option2!V$104:V$115, MATCH($D36, Option2!$G$104:$G$115,0)))*conv_2026*V$7)</f>
        <v>271746.06894043327</v>
      </c>
      <c r="W36" s="28">
        <f>IF($B36=0,0, (INDEX(Option2!W$104:W$115, MATCH($D36, Option2!$G$104:$G$115,0)))*conv_2026*W$7)</f>
        <v>271746.06894043327</v>
      </c>
      <c r="X36" s="28">
        <f>IF($B36=0,0, (INDEX(Option2!X$104:X$115, MATCH($D36, Option2!$G$104:$G$115,0)))*conv_2026*X$7)</f>
        <v>271746.06894043327</v>
      </c>
      <c r="Y36" s="28">
        <f>IF($B36=0,0, (INDEX(Option2!Y$104:Y$115, MATCH($D36, Option2!$G$104:$G$115,0)))*conv_2026*Y$7)</f>
        <v>271746.06894043327</v>
      </c>
      <c r="Z36" s="28">
        <f>IF($B36=0,0, (INDEX(Option2!Z$104:Z$115, MATCH($D36, Option2!$G$104:$G$115,0)))*conv_2026*Z$7)</f>
        <v>271746.06894043327</v>
      </c>
      <c r="AA36" s="28">
        <f>IF($B36=0,0, (INDEX(Option2!AA$104:AA$115, MATCH($D36, Option2!$G$104:$G$115,0)))*conv_2026*AA$7)</f>
        <v>271746.06894043327</v>
      </c>
      <c r="AB36" s="28">
        <f>IF($B36=0,0, (INDEX(Option2!AB$104:AB$115, MATCH($D36, Option2!$G$104:$G$115,0)))*conv_2026*AB$7)</f>
        <v>271746.06894043327</v>
      </c>
      <c r="AC36" s="28">
        <f>IF($B36=0,0, (INDEX(Option2!AC$104:AC$115, MATCH($D36, Option2!$G$104:$G$115,0)))*conv_2026*AC$7)</f>
        <v>271746.06894043327</v>
      </c>
      <c r="AD36" s="28">
        <f>IF($B36=0,0, (INDEX(Option2!AD$104:AD$115, MATCH($D36, Option2!$G$104:$G$115,0)))*conv_2026*AD$7)</f>
        <v>0</v>
      </c>
      <c r="AE36" s="28">
        <f>IF($B36=0,0, (INDEX(Option2!AE$104:AE$115, MATCH($D36, Option2!$G$104:$G$115,0)))*conv_2026*AE$7)</f>
        <v>0</v>
      </c>
      <c r="AF36" s="28">
        <f>IF($B36=0,0, (INDEX(Option2!AF$104:AF$115, MATCH($D36, Option2!$G$104:$G$115,0)))*conv_2026*AF$7)</f>
        <v>0</v>
      </c>
      <c r="AG36" s="28">
        <f>IF($B36=0,0, (INDEX(Option2!AG$104:AG$115, MATCH($D36, Option2!$G$104:$G$115,0)))*conv_2026*AG$7)</f>
        <v>0</v>
      </c>
    </row>
    <row r="37" spans="1:35" s="6" customFormat="1" x14ac:dyDescent="0.2">
      <c r="A37" s="222" t="s">
        <v>150</v>
      </c>
      <c r="B37" s="222" t="str">
        <f>Option2!A115</f>
        <v>sens</v>
      </c>
      <c r="C37" s="222">
        <f>Option2!C115</f>
        <v>0</v>
      </c>
      <c r="D37" s="222" t="str">
        <f t="shared" si="2"/>
        <v>Option 2sens</v>
      </c>
      <c r="E37" s="214"/>
      <c r="F37" s="28">
        <f t="shared" si="3"/>
        <v>2986785.2534180838</v>
      </c>
      <c r="H37" s="28">
        <f>IF($B37=0,0, (INDEX(Option2!H$104:H$115, MATCH($D37, Option2!$G$104:$G$115,0)))*conv_2026*H$7)</f>
        <v>0</v>
      </c>
      <c r="I37" s="28">
        <f>IF($B37=0,0, (INDEX(Option2!I$104:I$115, MATCH($D37, Option2!$G$104:$G$115,0)))*conv_2026*I$7)</f>
        <v>0</v>
      </c>
      <c r="J37" s="28">
        <f>IF($B37=0,0, (INDEX(Option2!J$104:J$115, MATCH($D37, Option2!$G$104:$G$115,0)))*conv_2026*J$7)</f>
        <v>0</v>
      </c>
      <c r="K37" s="28">
        <f>IF($B37=0,0, (INDEX(Option2!K$104:K$115, MATCH($D37, Option2!$G$104:$G$115,0)))*conv_2026*K$7)</f>
        <v>-15806.162069835609</v>
      </c>
      <c r="L37" s="28">
        <f>IF($B37=0,0, (INDEX(Option2!L$104:L$115, MATCH($D37, Option2!$G$104:$G$115,0)))*conv_2026*L$7)</f>
        <v>-52632.160563885438</v>
      </c>
      <c r="M37" s="28">
        <f>IF($B37=0,0, (INDEX(Option2!M$104:M$115, MATCH($D37, Option2!$G$104:$G$115,0)))*conv_2026*M$7)</f>
        <v>271746.06894043327</v>
      </c>
      <c r="N37" s="28">
        <f>IF($B37=0,0, (INDEX(Option2!N$104:N$115, MATCH($D37, Option2!$G$104:$G$115,0)))*conv_2026*N$7)</f>
        <v>271746.06894043327</v>
      </c>
      <c r="O37" s="28">
        <f>IF($B37=0,0, (INDEX(Option2!O$104:O$115, MATCH($D37, Option2!$G$104:$G$115,0)))*conv_2026*O$7)</f>
        <v>271746.06894043327</v>
      </c>
      <c r="P37" s="28">
        <f>IF($B37=0,0, (INDEX(Option2!P$104:P$115, MATCH($D37, Option2!$G$104:$G$115,0)))*conv_2026*P$7)</f>
        <v>271746.06894043327</v>
      </c>
      <c r="Q37" s="28">
        <f>IF($B37=0,0, (INDEX(Option2!Q$104:Q$115, MATCH($D37, Option2!$G$104:$G$115,0)))*conv_2026*Q$7)</f>
        <v>271746.06894043327</v>
      </c>
      <c r="R37" s="28">
        <f>IF($B37=0,0, (INDEX(Option2!R$104:R$115, MATCH($D37, Option2!$G$104:$G$115,0)))*conv_2026*R$7)</f>
        <v>271746.06894043327</v>
      </c>
      <c r="S37" s="28">
        <f>IF($B37=0,0, (INDEX(Option2!S$104:S$115, MATCH($D37, Option2!$G$104:$G$115,0)))*conv_2026*S$7)</f>
        <v>271746.06894043327</v>
      </c>
      <c r="T37" s="28">
        <f>IF($B37=0,0, (INDEX(Option2!T$104:T$115, MATCH($D37, Option2!$G$104:$G$115,0)))*conv_2026*T$7)</f>
        <v>271746.06894043327</v>
      </c>
      <c r="U37" s="28">
        <f>IF($B37=0,0, (INDEX(Option2!U$104:U$115, MATCH($D37, Option2!$G$104:$G$115,0)))*conv_2026*U$7)</f>
        <v>271746.06894043327</v>
      </c>
      <c r="V37" s="28">
        <f>IF($B37=0,0, (INDEX(Option2!V$104:V$115, MATCH($D37, Option2!$G$104:$G$115,0)))*conv_2026*V$7)</f>
        <v>271746.06894043327</v>
      </c>
      <c r="W37" s="28">
        <f>IF($B37=0,0, (INDEX(Option2!W$104:W$115, MATCH($D37, Option2!$G$104:$G$115,0)))*conv_2026*W$7)</f>
        <v>271746.06894043327</v>
      </c>
      <c r="X37" s="28">
        <f>IF($B37=0,0, (INDEX(Option2!X$104:X$115, MATCH($D37, Option2!$G$104:$G$115,0)))*conv_2026*X$7)</f>
        <v>271746.06894043327</v>
      </c>
      <c r="Y37" s="28">
        <f>IF($B37=0,0, (INDEX(Option2!Y$104:Y$115, MATCH($D37, Option2!$G$104:$G$115,0)))*conv_2026*Y$7)</f>
        <v>271746.06894043327</v>
      </c>
      <c r="Z37" s="28">
        <f>IF($B37=0,0, (INDEX(Option2!Z$104:Z$115, MATCH($D37, Option2!$G$104:$G$115,0)))*conv_2026*Z$7)</f>
        <v>271746.06894043327</v>
      </c>
      <c r="AA37" s="28">
        <f>IF($B37=0,0, (INDEX(Option2!AA$104:AA$115, MATCH($D37, Option2!$G$104:$G$115,0)))*conv_2026*AA$7)</f>
        <v>271746.06894043327</v>
      </c>
      <c r="AB37" s="28">
        <f>IF($B37=0,0, (INDEX(Option2!AB$104:AB$115, MATCH($D37, Option2!$G$104:$G$115,0)))*conv_2026*AB$7)</f>
        <v>271746.06894043327</v>
      </c>
      <c r="AC37" s="28">
        <f>IF($B37=0,0, (INDEX(Option2!AC$104:AC$115, MATCH($D37, Option2!$G$104:$G$115,0)))*conv_2026*AC$7)</f>
        <v>271746.06894043327</v>
      </c>
      <c r="AD37" s="28">
        <f>IF($B37=0,0, (INDEX(Option2!AD$104:AD$115, MATCH($D37, Option2!$G$104:$G$115,0)))*conv_2026*AD$7)</f>
        <v>0</v>
      </c>
      <c r="AE37" s="28">
        <f>IF($B37=0,0, (INDEX(Option2!AE$104:AE$115, MATCH($D37, Option2!$G$104:$G$115,0)))*conv_2026*AE$7)</f>
        <v>0</v>
      </c>
      <c r="AF37" s="28">
        <f>IF($B37=0,0, (INDEX(Option2!AF$104:AF$115, MATCH($D37, Option2!$G$104:$G$115,0)))*conv_2026*AF$7)</f>
        <v>0</v>
      </c>
      <c r="AG37" s="28">
        <f>IF($B37=0,0, (INDEX(Option2!AG$104:AG$115, MATCH($D37, Option2!$G$104:$G$115,0)))*conv_2026*AG$7)</f>
        <v>0</v>
      </c>
    </row>
    <row r="38" spans="1:35" s="6" customFormat="1" x14ac:dyDescent="0.2">
      <c r="A38" s="222"/>
      <c r="B38" s="222"/>
      <c r="C38" s="222"/>
      <c r="D38" s="222"/>
      <c r="E38" s="222"/>
      <c r="F38" s="28"/>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row>
    <row r="39" spans="1:35" s="6" customFormat="1" x14ac:dyDescent="0.2">
      <c r="A39" s="222"/>
      <c r="B39" s="222"/>
      <c r="C39" s="222"/>
      <c r="D39" s="222"/>
      <c r="E39" s="222"/>
      <c r="F39" s="28"/>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row>
    <row r="40" spans="1:35" s="6" customFormat="1" x14ac:dyDescent="0.2">
      <c r="A40" s="222"/>
      <c r="B40" s="222"/>
      <c r="C40" s="222"/>
      <c r="D40" s="222"/>
      <c r="E40" s="222"/>
      <c r="F40" s="28"/>
      <c r="H40" s="28">
        <f>Consol!H50</f>
        <v>0</v>
      </c>
      <c r="I40" s="28">
        <f>Consol!I50</f>
        <v>0</v>
      </c>
      <c r="J40" s="28">
        <f>Consol!J50</f>
        <v>0</v>
      </c>
      <c r="K40" s="28">
        <f>Consol!K50</f>
        <v>0</v>
      </c>
      <c r="L40" s="28">
        <f>Consol!L50</f>
        <v>0</v>
      </c>
      <c r="M40" s="28">
        <f>Consol!M50</f>
        <v>0</v>
      </c>
      <c r="N40" s="28">
        <f>Consol!N50</f>
        <v>0</v>
      </c>
      <c r="O40" s="28">
        <f>Consol!O50</f>
        <v>0</v>
      </c>
      <c r="P40" s="28">
        <f>Consol!P50</f>
        <v>0</v>
      </c>
      <c r="Q40" s="28">
        <f>Consol!Q50</f>
        <v>0</v>
      </c>
      <c r="R40" s="28">
        <f>Consol!R50</f>
        <v>0</v>
      </c>
      <c r="S40" s="28">
        <f>Consol!S50</f>
        <v>0</v>
      </c>
      <c r="T40" s="28">
        <f>Consol!T50</f>
        <v>0</v>
      </c>
      <c r="U40" s="28">
        <f>Consol!U50</f>
        <v>0</v>
      </c>
      <c r="V40" s="28">
        <f>Consol!V50</f>
        <v>0</v>
      </c>
      <c r="W40" s="28">
        <f>Consol!W50</f>
        <v>0</v>
      </c>
      <c r="X40" s="28">
        <f>Consol!X50</f>
        <v>0</v>
      </c>
      <c r="Y40" s="28">
        <f>Consol!Y50</f>
        <v>0</v>
      </c>
      <c r="Z40" s="28">
        <f>Consol!Z50</f>
        <v>0</v>
      </c>
      <c r="AA40" s="28">
        <f>Consol!AA50</f>
        <v>0</v>
      </c>
      <c r="AB40" s="28">
        <f>Consol!AB50</f>
        <v>0</v>
      </c>
      <c r="AC40" s="28">
        <f>Consol!AC50</f>
        <v>0</v>
      </c>
      <c r="AD40" s="28">
        <f>Consol!AD50</f>
        <v>0</v>
      </c>
      <c r="AE40" s="28">
        <f>Consol!AE50</f>
        <v>0</v>
      </c>
      <c r="AF40" s="28">
        <f>Consol!AF50</f>
        <v>0</v>
      </c>
      <c r="AG40" s="28">
        <f>Consol!AG50</f>
        <v>0</v>
      </c>
    </row>
    <row r="41" spans="1:35" s="6" customFormat="1" x14ac:dyDescent="0.2">
      <c r="A41" s="222"/>
      <c r="B41" s="222"/>
      <c r="C41" s="222"/>
      <c r="D41" s="222"/>
      <c r="E41" s="222"/>
      <c r="F41" s="28"/>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row>
    <row r="42" spans="1:35" s="6" customFormat="1" x14ac:dyDescent="0.2">
      <c r="A42" s="222" t="s">
        <v>151</v>
      </c>
      <c r="B42" s="222" t="s">
        <v>7</v>
      </c>
      <c r="C42" s="222" t="s">
        <v>135</v>
      </c>
      <c r="D42" s="222" t="str">
        <f>A42&amp;B42</f>
        <v>Option 3NPV</v>
      </c>
      <c r="E42" s="214"/>
      <c r="F42" s="28">
        <f t="shared" ref="F42:F51" si="4">SUMPRODUCT($H42:$AG42, $H$5:$AG$5)</f>
        <v>0</v>
      </c>
      <c r="G42" s="217"/>
      <c r="H42" s="28">
        <f>(INDEX(Option3!H$104:H$115, MATCH($D42, Option3!$G$104:$G$115,0)))*conv_2026*H$7</f>
        <v>0</v>
      </c>
      <c r="I42" s="28">
        <f>(INDEX(Option3!I$104:I$115, MATCH($D42, Option3!$G$104:$G$115,0)))*conv_2026*I$7</f>
        <v>0</v>
      </c>
      <c r="J42" s="28">
        <f>(INDEX(Option3!J$104:J$115, MATCH($D42, Option3!$G$104:$G$115,0)))*conv_2026*J$7</f>
        <v>0</v>
      </c>
      <c r="K42" s="28">
        <f>(INDEX(Option3!K$104:K$115, MATCH($D42, Option3!$G$104:$G$115,0)))*conv_2026*K$7</f>
        <v>0</v>
      </c>
      <c r="L42" s="28">
        <f>(INDEX(Option3!L$104:L$115, MATCH($D42, Option3!$G$104:$G$115,0)))*conv_2026*L$7</f>
        <v>0</v>
      </c>
      <c r="M42" s="28">
        <f>(INDEX(Option3!M$104:M$115, MATCH($D42, Option3!$G$104:$G$115,0)))*conv_2026*M$7</f>
        <v>0</v>
      </c>
      <c r="N42" s="28">
        <f>(INDEX(Option3!N$104:N$115, MATCH($D42, Option3!$G$104:$G$115,0)))*conv_2026*N$7</f>
        <v>0</v>
      </c>
      <c r="O42" s="28">
        <f>(INDEX(Option3!O$104:O$115, MATCH($D42, Option3!$G$104:$G$115,0)))*conv_2026*O$7</f>
        <v>0</v>
      </c>
      <c r="P42" s="28">
        <f>(INDEX(Option3!P$104:P$115, MATCH($D42, Option3!$G$104:$G$115,0)))*conv_2026*P$7</f>
        <v>0</v>
      </c>
      <c r="Q42" s="28">
        <f>(INDEX(Option3!Q$104:Q$115, MATCH($D42, Option3!$G$104:$G$115,0)))*conv_2026*Q$7</f>
        <v>0</v>
      </c>
      <c r="R42" s="28">
        <f>(INDEX(Option3!R$104:R$115, MATCH($D42, Option3!$G$104:$G$115,0)))*conv_2026*R$7</f>
        <v>0</v>
      </c>
      <c r="S42" s="28">
        <f>(INDEX(Option3!S$104:S$115, MATCH($D42, Option3!$G$104:$G$115,0)))*conv_2026*S$7</f>
        <v>0</v>
      </c>
      <c r="T42" s="28">
        <f>(INDEX(Option3!T$104:T$115, MATCH($D42, Option3!$G$104:$G$115,0)))*conv_2026*T$7</f>
        <v>0</v>
      </c>
      <c r="U42" s="28">
        <f>(INDEX(Option3!U$104:U$115, MATCH($D42, Option3!$G$104:$G$115,0)))*conv_2026*U$7</f>
        <v>0</v>
      </c>
      <c r="V42" s="28">
        <f>(INDEX(Option3!V$104:V$115, MATCH($D42, Option3!$G$104:$G$115,0)))*conv_2026*V$7</f>
        <v>0</v>
      </c>
      <c r="W42" s="28">
        <f>(INDEX(Option3!W$104:W$115, MATCH($D42, Option3!$G$104:$G$115,0)))*conv_2026*W$7</f>
        <v>0</v>
      </c>
      <c r="X42" s="28">
        <f>(INDEX(Option3!X$104:X$115, MATCH($D42, Option3!$G$104:$G$115,0)))*conv_2026*X$7</f>
        <v>0</v>
      </c>
      <c r="Y42" s="28">
        <f>(INDEX(Option3!Y$104:Y$115, MATCH($D42, Option3!$G$104:$G$115,0)))*conv_2026*Y$7</f>
        <v>0</v>
      </c>
      <c r="Z42" s="28">
        <f>(INDEX(Option3!Z$104:Z$115, MATCH($D42, Option3!$G$104:$G$115,0)))*conv_2026*Z$7</f>
        <v>0</v>
      </c>
      <c r="AA42" s="28">
        <f>(INDEX(Option3!AA$104:AA$115, MATCH($D42, Option3!$G$104:$G$115,0)))*conv_2026*AA$7</f>
        <v>0</v>
      </c>
      <c r="AB42" s="28">
        <f>(INDEX(Option3!AB$104:AB$115, MATCH($D42, Option3!$G$104:$G$115,0)))*conv_2026*AB$7</f>
        <v>0</v>
      </c>
      <c r="AC42" s="28">
        <f>(INDEX(Option3!AC$104:AC$115, MATCH($D42, Option3!$G$104:$G$115,0)))*conv_2026*AC$7</f>
        <v>0</v>
      </c>
      <c r="AD42" s="28">
        <f>(INDEX(Option3!AD$104:AD$115, MATCH($D42, Option3!$G$104:$G$115,0)))*conv_2026*AD$7</f>
        <v>0</v>
      </c>
      <c r="AE42" s="28">
        <f>(INDEX(Option3!AE$104:AE$115, MATCH($D42, Option3!$G$104:$G$115,0)))*conv_2026*AE$7</f>
        <v>0</v>
      </c>
      <c r="AF42" s="28">
        <f>(INDEX(Option3!AF$104:AF$115, MATCH($D42, Option3!$G$104:$G$115,0)))*conv_2026*AF$7</f>
        <v>0</v>
      </c>
      <c r="AG42" s="28">
        <f>(INDEX(Option3!AG$104:AG$115, MATCH($D42, Option3!$G$104:$G$115,0)))*conv_2026*AG$7</f>
        <v>0</v>
      </c>
      <c r="AH42" s="2"/>
      <c r="AI42" s="2"/>
    </row>
    <row r="43" spans="1:35" s="6" customFormat="1" x14ac:dyDescent="0.2">
      <c r="A43" s="216"/>
      <c r="B43" s="216"/>
      <c r="C43" s="216"/>
      <c r="D43" s="216"/>
      <c r="E43" s="216"/>
      <c r="F43" s="216"/>
      <c r="G43" s="217"/>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
      <c r="AI43" s="2"/>
    </row>
    <row r="44" spans="1:35" s="6" customFormat="1" x14ac:dyDescent="0.2">
      <c r="A44" s="222" t="s">
        <v>151</v>
      </c>
      <c r="B44" s="222" t="str">
        <f>Option3!A108</f>
        <v>sens1</v>
      </c>
      <c r="C44" s="222" t="str">
        <f>Option3!C108</f>
        <v>Capex 10% higher</v>
      </c>
      <c r="D44" s="222" t="str">
        <f t="shared" ref="D44:D51" si="5">A44&amp;B44</f>
        <v>Option 3sens1</v>
      </c>
      <c r="E44" s="214"/>
      <c r="F44" s="28">
        <f t="shared" si="4"/>
        <v>0</v>
      </c>
      <c r="G44" s="217"/>
      <c r="H44" s="28">
        <f>(INDEX(Option3!H$104:H$115, MATCH($D44, Option3!$G$104:$G$115,0)))*conv_2026*H$7</f>
        <v>0</v>
      </c>
      <c r="I44" s="28">
        <f>(INDEX(Option3!I$104:I$115, MATCH($D44, Option3!$G$104:$G$115,0)))*conv_2026*I$7</f>
        <v>0</v>
      </c>
      <c r="J44" s="28">
        <f>(INDEX(Option3!J$104:J$115, MATCH($D44, Option3!$G$104:$G$115,0)))*conv_2026*J$7</f>
        <v>0</v>
      </c>
      <c r="K44" s="28">
        <f>(INDEX(Option3!K$104:K$115, MATCH($D44, Option3!$G$104:$G$115,0)))*conv_2026*K$7</f>
        <v>0</v>
      </c>
      <c r="L44" s="28">
        <f>(INDEX(Option3!L$104:L$115, MATCH($D44, Option3!$G$104:$G$115,0)))*conv_2026*L$7</f>
        <v>0</v>
      </c>
      <c r="M44" s="28">
        <f>(INDEX(Option3!M$104:M$115, MATCH($D44, Option3!$G$104:$G$115,0)))*conv_2026*M$7</f>
        <v>0</v>
      </c>
      <c r="N44" s="28">
        <f>(INDEX(Option3!N$104:N$115, MATCH($D44, Option3!$G$104:$G$115,0)))*conv_2026*N$7</f>
        <v>0</v>
      </c>
      <c r="O44" s="28">
        <f>(INDEX(Option3!O$104:O$115, MATCH($D44, Option3!$G$104:$G$115,0)))*conv_2026*O$7</f>
        <v>0</v>
      </c>
      <c r="P44" s="28">
        <f>(INDEX(Option3!P$104:P$115, MATCH($D44, Option3!$G$104:$G$115,0)))*conv_2026*P$7</f>
        <v>0</v>
      </c>
      <c r="Q44" s="28">
        <f>(INDEX(Option3!Q$104:Q$115, MATCH($D44, Option3!$G$104:$G$115,0)))*conv_2026*Q$7</f>
        <v>0</v>
      </c>
      <c r="R44" s="28">
        <f>(INDEX(Option3!R$104:R$115, MATCH($D44, Option3!$G$104:$G$115,0)))*conv_2026*R$7</f>
        <v>0</v>
      </c>
      <c r="S44" s="28">
        <f>(INDEX(Option3!S$104:S$115, MATCH($D44, Option3!$G$104:$G$115,0)))*conv_2026*S$7</f>
        <v>0</v>
      </c>
      <c r="T44" s="28">
        <f>(INDEX(Option3!T$104:T$115, MATCH($D44, Option3!$G$104:$G$115,0)))*conv_2026*T$7</f>
        <v>0</v>
      </c>
      <c r="U44" s="28">
        <f>(INDEX(Option3!U$104:U$115, MATCH($D44, Option3!$G$104:$G$115,0)))*conv_2026*U$7</f>
        <v>0</v>
      </c>
      <c r="V44" s="28">
        <f>(INDEX(Option3!V$104:V$115, MATCH($D44, Option3!$G$104:$G$115,0)))*conv_2026*V$7</f>
        <v>0</v>
      </c>
      <c r="W44" s="28">
        <f>(INDEX(Option3!W$104:W$115, MATCH($D44, Option3!$G$104:$G$115,0)))*conv_2026*W$7</f>
        <v>0</v>
      </c>
      <c r="X44" s="28">
        <f>(INDEX(Option3!X$104:X$115, MATCH($D44, Option3!$G$104:$G$115,0)))*conv_2026*X$7</f>
        <v>0</v>
      </c>
      <c r="Y44" s="28">
        <f>(INDEX(Option3!Y$104:Y$115, MATCH($D44, Option3!$G$104:$G$115,0)))*conv_2026*Y$7</f>
        <v>0</v>
      </c>
      <c r="Z44" s="28">
        <f>(INDEX(Option3!Z$104:Z$115, MATCH($D44, Option3!$G$104:$G$115,0)))*conv_2026*Z$7</f>
        <v>0</v>
      </c>
      <c r="AA44" s="28">
        <f>(INDEX(Option3!AA$104:AA$115, MATCH($D44, Option3!$G$104:$G$115,0)))*conv_2026*AA$7</f>
        <v>0</v>
      </c>
      <c r="AB44" s="28">
        <f>(INDEX(Option3!AB$104:AB$115, MATCH($D44, Option3!$G$104:$G$115,0)))*conv_2026*AB$7</f>
        <v>0</v>
      </c>
      <c r="AC44" s="28">
        <f>(INDEX(Option3!AC$104:AC$115, MATCH($D44, Option3!$G$104:$G$115,0)))*conv_2026*AC$7</f>
        <v>0</v>
      </c>
      <c r="AD44" s="28">
        <f>(INDEX(Option3!AD$104:AD$115, MATCH($D44, Option3!$G$104:$G$115,0)))*conv_2026*AD$7</f>
        <v>0</v>
      </c>
      <c r="AE44" s="28">
        <f>(INDEX(Option3!AE$104:AE$115, MATCH($D44, Option3!$G$104:$G$115,0)))*conv_2026*AE$7</f>
        <v>0</v>
      </c>
      <c r="AF44" s="28">
        <f>(INDEX(Option3!AF$104:AF$115, MATCH($D44, Option3!$G$104:$G$115,0)))*conv_2026*AF$7</f>
        <v>0</v>
      </c>
      <c r="AG44" s="28">
        <f>(INDEX(Option3!AG$104:AG$115, MATCH($D44, Option3!$G$104:$G$115,0)))*conv_2026*AG$7</f>
        <v>0</v>
      </c>
      <c r="AH44" s="2"/>
      <c r="AI44" s="2"/>
    </row>
    <row r="45" spans="1:35" s="6" customFormat="1" x14ac:dyDescent="0.2">
      <c r="A45" s="222" t="s">
        <v>151</v>
      </c>
      <c r="B45" s="222" t="str">
        <f>Option3!A109</f>
        <v>sens2</v>
      </c>
      <c r="C45" s="222" t="str">
        <f>Option3!C109</f>
        <v>Capex 10% lower</v>
      </c>
      <c r="D45" s="222" t="str">
        <f t="shared" si="5"/>
        <v>Option 3sens2</v>
      </c>
      <c r="E45" s="214"/>
      <c r="F45" s="28">
        <f t="shared" si="4"/>
        <v>0</v>
      </c>
      <c r="G45" s="222"/>
      <c r="H45" s="28">
        <f>(INDEX(Option3!H$104:H$115, MATCH($D45, Option3!$G$104:$G$115,0)))*conv_2026*H$7</f>
        <v>0</v>
      </c>
      <c r="I45" s="28">
        <f>(INDEX(Option3!I$104:I$115, MATCH($D45, Option3!$G$104:$G$115,0)))*conv_2026*I$7</f>
        <v>0</v>
      </c>
      <c r="J45" s="28">
        <f>(INDEX(Option3!J$104:J$115, MATCH($D45, Option3!$G$104:$G$115,0)))*conv_2026*J$7</f>
        <v>0</v>
      </c>
      <c r="K45" s="28">
        <f>(INDEX(Option3!K$104:K$115, MATCH($D45, Option3!$G$104:$G$115,0)))*conv_2026*K$7</f>
        <v>0</v>
      </c>
      <c r="L45" s="28">
        <f>(INDEX(Option3!L$104:L$115, MATCH($D45, Option3!$G$104:$G$115,0)))*conv_2026*L$7</f>
        <v>0</v>
      </c>
      <c r="M45" s="28">
        <f>(INDEX(Option3!M$104:M$115, MATCH($D45, Option3!$G$104:$G$115,0)))*conv_2026*M$7</f>
        <v>0</v>
      </c>
      <c r="N45" s="28">
        <f>(INDEX(Option3!N$104:N$115, MATCH($D45, Option3!$G$104:$G$115,0)))*conv_2026*N$7</f>
        <v>0</v>
      </c>
      <c r="O45" s="28">
        <f>(INDEX(Option3!O$104:O$115, MATCH($D45, Option3!$G$104:$G$115,0)))*conv_2026*O$7</f>
        <v>0</v>
      </c>
      <c r="P45" s="28">
        <f>(INDEX(Option3!P$104:P$115, MATCH($D45, Option3!$G$104:$G$115,0)))*conv_2026*P$7</f>
        <v>0</v>
      </c>
      <c r="Q45" s="28">
        <f>(INDEX(Option3!Q$104:Q$115, MATCH($D45, Option3!$G$104:$G$115,0)))*conv_2026*Q$7</f>
        <v>0</v>
      </c>
      <c r="R45" s="28">
        <f>(INDEX(Option3!R$104:R$115, MATCH($D45, Option3!$G$104:$G$115,0)))*conv_2026*R$7</f>
        <v>0</v>
      </c>
      <c r="S45" s="28">
        <f>(INDEX(Option3!S$104:S$115, MATCH($D45, Option3!$G$104:$G$115,0)))*conv_2026*S$7</f>
        <v>0</v>
      </c>
      <c r="T45" s="28">
        <f>(INDEX(Option3!T$104:T$115, MATCH($D45, Option3!$G$104:$G$115,0)))*conv_2026*T$7</f>
        <v>0</v>
      </c>
      <c r="U45" s="28">
        <f>(INDEX(Option3!U$104:U$115, MATCH($D45, Option3!$G$104:$G$115,0)))*conv_2026*U$7</f>
        <v>0</v>
      </c>
      <c r="V45" s="28">
        <f>(INDEX(Option3!V$104:V$115, MATCH($D45, Option3!$G$104:$G$115,0)))*conv_2026*V$7</f>
        <v>0</v>
      </c>
      <c r="W45" s="28">
        <f>(INDEX(Option3!W$104:W$115, MATCH($D45, Option3!$G$104:$G$115,0)))*conv_2026*W$7</f>
        <v>0</v>
      </c>
      <c r="X45" s="28">
        <f>(INDEX(Option3!X$104:X$115, MATCH($D45, Option3!$G$104:$G$115,0)))*conv_2026*X$7</f>
        <v>0</v>
      </c>
      <c r="Y45" s="28">
        <f>(INDEX(Option3!Y$104:Y$115, MATCH($D45, Option3!$G$104:$G$115,0)))*conv_2026*Y$7</f>
        <v>0</v>
      </c>
      <c r="Z45" s="28">
        <f>(INDEX(Option3!Z$104:Z$115, MATCH($D45, Option3!$G$104:$G$115,0)))*conv_2026*Z$7</f>
        <v>0</v>
      </c>
      <c r="AA45" s="28">
        <f>(INDEX(Option3!AA$104:AA$115, MATCH($D45, Option3!$G$104:$G$115,0)))*conv_2026*AA$7</f>
        <v>0</v>
      </c>
      <c r="AB45" s="28">
        <f>(INDEX(Option3!AB$104:AB$115, MATCH($D45, Option3!$G$104:$G$115,0)))*conv_2026*AB$7</f>
        <v>0</v>
      </c>
      <c r="AC45" s="28">
        <f>(INDEX(Option3!AC$104:AC$115, MATCH($D45, Option3!$G$104:$G$115,0)))*conv_2026*AC$7</f>
        <v>0</v>
      </c>
      <c r="AD45" s="28">
        <f>(INDEX(Option3!AD$104:AD$115, MATCH($D45, Option3!$G$104:$G$115,0)))*conv_2026*AD$7</f>
        <v>0</v>
      </c>
      <c r="AE45" s="28">
        <f>(INDEX(Option3!AE$104:AE$115, MATCH($D45, Option3!$G$104:$G$115,0)))*conv_2026*AE$7</f>
        <v>0</v>
      </c>
      <c r="AF45" s="28">
        <f>(INDEX(Option3!AF$104:AF$115, MATCH($D45, Option3!$G$104:$G$115,0)))*conv_2026*AF$7</f>
        <v>0</v>
      </c>
      <c r="AG45" s="28">
        <f>(INDEX(Option3!AG$104:AG$115, MATCH($D45, Option3!$G$104:$G$115,0)))*conv_2026*AG$7</f>
        <v>0</v>
      </c>
    </row>
    <row r="46" spans="1:35" s="6" customFormat="1" x14ac:dyDescent="0.2">
      <c r="A46" s="222" t="s">
        <v>151</v>
      </c>
      <c r="B46" s="222" t="str">
        <f>Option3!A110</f>
        <v>sens3</v>
      </c>
      <c r="C46" s="222" t="str">
        <f>Option3!C110</f>
        <v>Total benefits 10% higher</v>
      </c>
      <c r="D46" s="222" t="str">
        <f t="shared" si="5"/>
        <v>Option 3sens3</v>
      </c>
      <c r="E46" s="214"/>
      <c r="F46" s="28">
        <f t="shared" si="4"/>
        <v>0</v>
      </c>
      <c r="H46" s="28">
        <f>(INDEX(Option3!H$104:H$115, MATCH($D46, Option3!$G$104:$G$115,0)))*conv_2026*H$7</f>
        <v>0</v>
      </c>
      <c r="I46" s="28">
        <f>(INDEX(Option3!I$104:I$115, MATCH($D46, Option3!$G$104:$G$115,0)))*conv_2026*I$7</f>
        <v>0</v>
      </c>
      <c r="J46" s="28">
        <f>(INDEX(Option3!J$104:J$115, MATCH($D46, Option3!$G$104:$G$115,0)))*conv_2026*J$7</f>
        <v>0</v>
      </c>
      <c r="K46" s="28">
        <f>(INDEX(Option3!K$104:K$115, MATCH($D46, Option3!$G$104:$G$115,0)))*conv_2026*K$7</f>
        <v>0</v>
      </c>
      <c r="L46" s="28">
        <f>(INDEX(Option3!L$104:L$115, MATCH($D46, Option3!$G$104:$G$115,0)))*conv_2026*L$7</f>
        <v>0</v>
      </c>
      <c r="M46" s="28">
        <f>(INDEX(Option3!M$104:M$115, MATCH($D46, Option3!$G$104:$G$115,0)))*conv_2026*M$7</f>
        <v>0</v>
      </c>
      <c r="N46" s="28">
        <f>(INDEX(Option3!N$104:N$115, MATCH($D46, Option3!$G$104:$G$115,0)))*conv_2026*N$7</f>
        <v>0</v>
      </c>
      <c r="O46" s="28">
        <f>(INDEX(Option3!O$104:O$115, MATCH($D46, Option3!$G$104:$G$115,0)))*conv_2026*O$7</f>
        <v>0</v>
      </c>
      <c r="P46" s="28">
        <f>(INDEX(Option3!P$104:P$115, MATCH($D46, Option3!$G$104:$G$115,0)))*conv_2026*P$7</f>
        <v>0</v>
      </c>
      <c r="Q46" s="28">
        <f>(INDEX(Option3!Q$104:Q$115, MATCH($D46, Option3!$G$104:$G$115,0)))*conv_2026*Q$7</f>
        <v>0</v>
      </c>
      <c r="R46" s="28">
        <f>(INDEX(Option3!R$104:R$115, MATCH($D46, Option3!$G$104:$G$115,0)))*conv_2026*R$7</f>
        <v>0</v>
      </c>
      <c r="S46" s="28">
        <f>(INDEX(Option3!S$104:S$115, MATCH($D46, Option3!$G$104:$G$115,0)))*conv_2026*S$7</f>
        <v>0</v>
      </c>
      <c r="T46" s="28">
        <f>(INDEX(Option3!T$104:T$115, MATCH($D46, Option3!$G$104:$G$115,0)))*conv_2026*T$7</f>
        <v>0</v>
      </c>
      <c r="U46" s="28">
        <f>(INDEX(Option3!U$104:U$115, MATCH($D46, Option3!$G$104:$G$115,0)))*conv_2026*U$7</f>
        <v>0</v>
      </c>
      <c r="V46" s="28">
        <f>(INDEX(Option3!V$104:V$115, MATCH($D46, Option3!$G$104:$G$115,0)))*conv_2026*V$7</f>
        <v>0</v>
      </c>
      <c r="W46" s="28">
        <f>(INDEX(Option3!W$104:W$115, MATCH($D46, Option3!$G$104:$G$115,0)))*conv_2026*W$7</f>
        <v>0</v>
      </c>
      <c r="X46" s="28">
        <f>(INDEX(Option3!X$104:X$115, MATCH($D46, Option3!$G$104:$G$115,0)))*conv_2026*X$7</f>
        <v>0</v>
      </c>
      <c r="Y46" s="28">
        <f>(INDEX(Option3!Y$104:Y$115, MATCH($D46, Option3!$G$104:$G$115,0)))*conv_2026*Y$7</f>
        <v>0</v>
      </c>
      <c r="Z46" s="28">
        <f>(INDEX(Option3!Z$104:Z$115, MATCH($D46, Option3!$G$104:$G$115,0)))*conv_2026*Z$7</f>
        <v>0</v>
      </c>
      <c r="AA46" s="28">
        <f>(INDEX(Option3!AA$104:AA$115, MATCH($D46, Option3!$G$104:$G$115,0)))*conv_2026*AA$7</f>
        <v>0</v>
      </c>
      <c r="AB46" s="28">
        <f>(INDEX(Option3!AB$104:AB$115, MATCH($D46, Option3!$G$104:$G$115,0)))*conv_2026*AB$7</f>
        <v>0</v>
      </c>
      <c r="AC46" s="28">
        <f>(INDEX(Option3!AC$104:AC$115, MATCH($D46, Option3!$G$104:$G$115,0)))*conv_2026*AC$7</f>
        <v>0</v>
      </c>
      <c r="AD46" s="28">
        <f>(INDEX(Option3!AD$104:AD$115, MATCH($D46, Option3!$G$104:$G$115,0)))*conv_2026*AD$7</f>
        <v>0</v>
      </c>
      <c r="AE46" s="28">
        <f>(INDEX(Option3!AE$104:AE$115, MATCH($D46, Option3!$G$104:$G$115,0)))*conv_2026*AE$7</f>
        <v>0</v>
      </c>
      <c r="AF46" s="28">
        <f>(INDEX(Option3!AF$104:AF$115, MATCH($D46, Option3!$G$104:$G$115,0)))*conv_2026*AF$7</f>
        <v>0</v>
      </c>
      <c r="AG46" s="28">
        <f>(INDEX(Option3!AG$104:AG$115, MATCH($D46, Option3!$G$104:$G$115,0)))*conv_2026*AG$7</f>
        <v>0</v>
      </c>
    </row>
    <row r="47" spans="1:35" s="6" customFormat="1" x14ac:dyDescent="0.2">
      <c r="A47" s="222" t="s">
        <v>151</v>
      </c>
      <c r="B47" s="222" t="str">
        <f>Option3!A111</f>
        <v>sens4</v>
      </c>
      <c r="C47" s="222" t="str">
        <f>Option3!C111</f>
        <v>Total benefits 10% lower</v>
      </c>
      <c r="D47" s="222" t="str">
        <f t="shared" si="5"/>
        <v>Option 3sens4</v>
      </c>
      <c r="E47" s="214"/>
      <c r="F47" s="28">
        <f t="shared" si="4"/>
        <v>0</v>
      </c>
      <c r="H47" s="28">
        <f>(INDEX(Option3!H$104:H$115, MATCH($D47, Option3!$G$104:$G$115,0)))*conv_2026*H$7</f>
        <v>0</v>
      </c>
      <c r="I47" s="28">
        <f>(INDEX(Option3!I$104:I$115, MATCH($D47, Option3!$G$104:$G$115,0)))*conv_2026*I$7</f>
        <v>0</v>
      </c>
      <c r="J47" s="28">
        <f>(INDEX(Option3!J$104:J$115, MATCH($D47, Option3!$G$104:$G$115,0)))*conv_2026*J$7</f>
        <v>0</v>
      </c>
      <c r="K47" s="28">
        <f>(INDEX(Option3!K$104:K$115, MATCH($D47, Option3!$G$104:$G$115,0)))*conv_2026*K$7</f>
        <v>0</v>
      </c>
      <c r="L47" s="28">
        <f>(INDEX(Option3!L$104:L$115, MATCH($D47, Option3!$G$104:$G$115,0)))*conv_2026*L$7</f>
        <v>0</v>
      </c>
      <c r="M47" s="28">
        <f>(INDEX(Option3!M$104:M$115, MATCH($D47, Option3!$G$104:$G$115,0)))*conv_2026*M$7</f>
        <v>0</v>
      </c>
      <c r="N47" s="28">
        <f>(INDEX(Option3!N$104:N$115, MATCH($D47, Option3!$G$104:$G$115,0)))*conv_2026*N$7</f>
        <v>0</v>
      </c>
      <c r="O47" s="28">
        <f>(INDEX(Option3!O$104:O$115, MATCH($D47, Option3!$G$104:$G$115,0)))*conv_2026*O$7</f>
        <v>0</v>
      </c>
      <c r="P47" s="28">
        <f>(INDEX(Option3!P$104:P$115, MATCH($D47, Option3!$G$104:$G$115,0)))*conv_2026*P$7</f>
        <v>0</v>
      </c>
      <c r="Q47" s="28">
        <f>(INDEX(Option3!Q$104:Q$115, MATCH($D47, Option3!$G$104:$G$115,0)))*conv_2026*Q$7</f>
        <v>0</v>
      </c>
      <c r="R47" s="28">
        <f>(INDEX(Option3!R$104:R$115, MATCH($D47, Option3!$G$104:$G$115,0)))*conv_2026*R$7</f>
        <v>0</v>
      </c>
      <c r="S47" s="28">
        <f>(INDEX(Option3!S$104:S$115, MATCH($D47, Option3!$G$104:$G$115,0)))*conv_2026*S$7</f>
        <v>0</v>
      </c>
      <c r="T47" s="28">
        <f>(INDEX(Option3!T$104:T$115, MATCH($D47, Option3!$G$104:$G$115,0)))*conv_2026*T$7</f>
        <v>0</v>
      </c>
      <c r="U47" s="28">
        <f>(INDEX(Option3!U$104:U$115, MATCH($D47, Option3!$G$104:$G$115,0)))*conv_2026*U$7</f>
        <v>0</v>
      </c>
      <c r="V47" s="28">
        <f>(INDEX(Option3!V$104:V$115, MATCH($D47, Option3!$G$104:$G$115,0)))*conv_2026*V$7</f>
        <v>0</v>
      </c>
      <c r="W47" s="28">
        <f>(INDEX(Option3!W$104:W$115, MATCH($D47, Option3!$G$104:$G$115,0)))*conv_2026*W$7</f>
        <v>0</v>
      </c>
      <c r="X47" s="28">
        <f>(INDEX(Option3!X$104:X$115, MATCH($D47, Option3!$G$104:$G$115,0)))*conv_2026*X$7</f>
        <v>0</v>
      </c>
      <c r="Y47" s="28">
        <f>(INDEX(Option3!Y$104:Y$115, MATCH($D47, Option3!$G$104:$G$115,0)))*conv_2026*Y$7</f>
        <v>0</v>
      </c>
      <c r="Z47" s="28">
        <f>(INDEX(Option3!Z$104:Z$115, MATCH($D47, Option3!$G$104:$G$115,0)))*conv_2026*Z$7</f>
        <v>0</v>
      </c>
      <c r="AA47" s="28">
        <f>(INDEX(Option3!AA$104:AA$115, MATCH($D47, Option3!$G$104:$G$115,0)))*conv_2026*AA$7</f>
        <v>0</v>
      </c>
      <c r="AB47" s="28">
        <f>(INDEX(Option3!AB$104:AB$115, MATCH($D47, Option3!$G$104:$G$115,0)))*conv_2026*AB$7</f>
        <v>0</v>
      </c>
      <c r="AC47" s="28">
        <f>(INDEX(Option3!AC$104:AC$115, MATCH($D47, Option3!$G$104:$G$115,0)))*conv_2026*AC$7</f>
        <v>0</v>
      </c>
      <c r="AD47" s="28">
        <f>(INDEX(Option3!AD$104:AD$115, MATCH($D47, Option3!$G$104:$G$115,0)))*conv_2026*AD$7</f>
        <v>0</v>
      </c>
      <c r="AE47" s="28">
        <f>(INDEX(Option3!AE$104:AE$115, MATCH($D47, Option3!$G$104:$G$115,0)))*conv_2026*AE$7</f>
        <v>0</v>
      </c>
      <c r="AF47" s="28">
        <f>(INDEX(Option3!AF$104:AF$115, MATCH($D47, Option3!$G$104:$G$115,0)))*conv_2026*AF$7</f>
        <v>0</v>
      </c>
      <c r="AG47" s="28">
        <f>(INDEX(Option3!AG$104:AG$115, MATCH($D47, Option3!$G$104:$G$115,0)))*conv_2026*AG$7</f>
        <v>0</v>
      </c>
    </row>
    <row r="48" spans="1:35" s="6" customFormat="1" x14ac:dyDescent="0.2">
      <c r="A48" s="222" t="s">
        <v>151</v>
      </c>
      <c r="B48" s="222" t="str">
        <f>Option3!A112</f>
        <v>sens5</v>
      </c>
      <c r="C48" s="222" t="str">
        <f>Option3!C112</f>
        <v>Capex 10% higher &amp; Total benefits 10% lower</v>
      </c>
      <c r="D48" s="222" t="str">
        <f t="shared" si="5"/>
        <v>Option 3sens5</v>
      </c>
      <c r="E48" s="214"/>
      <c r="F48" s="28">
        <f t="shared" si="4"/>
        <v>0</v>
      </c>
      <c r="H48" s="28">
        <f>(INDEX(Option3!H$104:H$115, MATCH($D48, Option3!$G$104:$G$115,0)))*conv_2026*H$7</f>
        <v>0</v>
      </c>
      <c r="I48" s="28">
        <f>(INDEX(Option3!I$104:I$115, MATCH($D48, Option3!$G$104:$G$115,0)))*conv_2026*I$7</f>
        <v>0</v>
      </c>
      <c r="J48" s="28">
        <f>(INDEX(Option3!J$104:J$115, MATCH($D48, Option3!$G$104:$G$115,0)))*conv_2026*J$7</f>
        <v>0</v>
      </c>
      <c r="K48" s="28">
        <f>(INDEX(Option3!K$104:K$115, MATCH($D48, Option3!$G$104:$G$115,0)))*conv_2026*K$7</f>
        <v>0</v>
      </c>
      <c r="L48" s="28">
        <f>(INDEX(Option3!L$104:L$115, MATCH($D48, Option3!$G$104:$G$115,0)))*conv_2026*L$7</f>
        <v>0</v>
      </c>
      <c r="M48" s="28">
        <f>(INDEX(Option3!M$104:M$115, MATCH($D48, Option3!$G$104:$G$115,0)))*conv_2026*M$7</f>
        <v>0</v>
      </c>
      <c r="N48" s="28">
        <f>(INDEX(Option3!N$104:N$115, MATCH($D48, Option3!$G$104:$G$115,0)))*conv_2026*N$7</f>
        <v>0</v>
      </c>
      <c r="O48" s="28">
        <f>(INDEX(Option3!O$104:O$115, MATCH($D48, Option3!$G$104:$G$115,0)))*conv_2026*O$7</f>
        <v>0</v>
      </c>
      <c r="P48" s="28">
        <f>(INDEX(Option3!P$104:P$115, MATCH($D48, Option3!$G$104:$G$115,0)))*conv_2026*P$7</f>
        <v>0</v>
      </c>
      <c r="Q48" s="28">
        <f>(INDEX(Option3!Q$104:Q$115, MATCH($D48, Option3!$G$104:$G$115,0)))*conv_2026*Q$7</f>
        <v>0</v>
      </c>
      <c r="R48" s="28">
        <f>(INDEX(Option3!R$104:R$115, MATCH($D48, Option3!$G$104:$G$115,0)))*conv_2026*R$7</f>
        <v>0</v>
      </c>
      <c r="S48" s="28">
        <f>(INDEX(Option3!S$104:S$115, MATCH($D48, Option3!$G$104:$G$115,0)))*conv_2026*S$7</f>
        <v>0</v>
      </c>
      <c r="T48" s="28">
        <f>(INDEX(Option3!T$104:T$115, MATCH($D48, Option3!$G$104:$G$115,0)))*conv_2026*T$7</f>
        <v>0</v>
      </c>
      <c r="U48" s="28">
        <f>(INDEX(Option3!U$104:U$115, MATCH($D48, Option3!$G$104:$G$115,0)))*conv_2026*U$7</f>
        <v>0</v>
      </c>
      <c r="V48" s="28">
        <f>(INDEX(Option3!V$104:V$115, MATCH($D48, Option3!$G$104:$G$115,0)))*conv_2026*V$7</f>
        <v>0</v>
      </c>
      <c r="W48" s="28">
        <f>(INDEX(Option3!W$104:W$115, MATCH($D48, Option3!$G$104:$G$115,0)))*conv_2026*W$7</f>
        <v>0</v>
      </c>
      <c r="X48" s="28">
        <f>(INDEX(Option3!X$104:X$115, MATCH($D48, Option3!$G$104:$G$115,0)))*conv_2026*X$7</f>
        <v>0</v>
      </c>
      <c r="Y48" s="28">
        <f>(INDEX(Option3!Y$104:Y$115, MATCH($D48, Option3!$G$104:$G$115,0)))*conv_2026*Y$7</f>
        <v>0</v>
      </c>
      <c r="Z48" s="28">
        <f>(INDEX(Option3!Z$104:Z$115, MATCH($D48, Option3!$G$104:$G$115,0)))*conv_2026*Z$7</f>
        <v>0</v>
      </c>
      <c r="AA48" s="28">
        <f>(INDEX(Option3!AA$104:AA$115, MATCH($D48, Option3!$G$104:$G$115,0)))*conv_2026*AA$7</f>
        <v>0</v>
      </c>
      <c r="AB48" s="28">
        <f>(INDEX(Option3!AB$104:AB$115, MATCH($D48, Option3!$G$104:$G$115,0)))*conv_2026*AB$7</f>
        <v>0</v>
      </c>
      <c r="AC48" s="28">
        <f>(INDEX(Option3!AC$104:AC$115, MATCH($D48, Option3!$G$104:$G$115,0)))*conv_2026*AC$7</f>
        <v>0</v>
      </c>
      <c r="AD48" s="28">
        <f>(INDEX(Option3!AD$104:AD$115, MATCH($D48, Option3!$G$104:$G$115,0)))*conv_2026*AD$7</f>
        <v>0</v>
      </c>
      <c r="AE48" s="28">
        <f>(INDEX(Option3!AE$104:AE$115, MATCH($D48, Option3!$G$104:$G$115,0)))*conv_2026*AE$7</f>
        <v>0</v>
      </c>
      <c r="AF48" s="28">
        <f>(INDEX(Option3!AF$104:AF$115, MATCH($D48, Option3!$G$104:$G$115,0)))*conv_2026*AF$7</f>
        <v>0</v>
      </c>
      <c r="AG48" s="28">
        <f>(INDEX(Option3!AG$104:AG$115, MATCH($D48, Option3!$G$104:$G$115,0)))*conv_2026*AG$7</f>
        <v>0</v>
      </c>
    </row>
    <row r="49" spans="1:35" s="6" customFormat="1" x14ac:dyDescent="0.2">
      <c r="A49" s="222" t="s">
        <v>151</v>
      </c>
      <c r="B49" s="222" t="str">
        <f>Option3!A113</f>
        <v>sens</v>
      </c>
      <c r="C49" s="222">
        <f>Option3!C113</f>
        <v>0</v>
      </c>
      <c r="D49" s="222" t="str">
        <f t="shared" si="5"/>
        <v>Option 3sens</v>
      </c>
      <c r="E49" s="214"/>
      <c r="F49" s="28">
        <f t="shared" si="4"/>
        <v>0</v>
      </c>
      <c r="H49" s="28">
        <f>(INDEX(Option3!H$104:H$115, MATCH($D49, Option3!$G$104:$G$115,0)))*conv_2026*H$7</f>
        <v>0</v>
      </c>
      <c r="I49" s="28">
        <f>(INDEX(Option3!I$104:I$115, MATCH($D49, Option3!$G$104:$G$115,0)))*conv_2026*I$7</f>
        <v>0</v>
      </c>
      <c r="J49" s="28">
        <f>(INDEX(Option3!J$104:J$115, MATCH($D49, Option3!$G$104:$G$115,0)))*conv_2026*J$7</f>
        <v>0</v>
      </c>
      <c r="K49" s="28">
        <f>(INDEX(Option3!K$104:K$115, MATCH($D49, Option3!$G$104:$G$115,0)))*conv_2026*K$7</f>
        <v>0</v>
      </c>
      <c r="L49" s="28">
        <f>(INDEX(Option3!L$104:L$115, MATCH($D49, Option3!$G$104:$G$115,0)))*conv_2026*L$7</f>
        <v>0</v>
      </c>
      <c r="M49" s="28">
        <f>(INDEX(Option3!M$104:M$115, MATCH($D49, Option3!$G$104:$G$115,0)))*conv_2026*M$7</f>
        <v>0</v>
      </c>
      <c r="N49" s="28">
        <f>(INDEX(Option3!N$104:N$115, MATCH($D49, Option3!$G$104:$G$115,0)))*conv_2026*N$7</f>
        <v>0</v>
      </c>
      <c r="O49" s="28">
        <f>(INDEX(Option3!O$104:O$115, MATCH($D49, Option3!$G$104:$G$115,0)))*conv_2026*O$7</f>
        <v>0</v>
      </c>
      <c r="P49" s="28">
        <f>(INDEX(Option3!P$104:P$115, MATCH($D49, Option3!$G$104:$G$115,0)))*conv_2026*P$7</f>
        <v>0</v>
      </c>
      <c r="Q49" s="28">
        <f>(INDEX(Option3!Q$104:Q$115, MATCH($D49, Option3!$G$104:$G$115,0)))*conv_2026*Q$7</f>
        <v>0</v>
      </c>
      <c r="R49" s="28">
        <f>(INDEX(Option3!R$104:R$115, MATCH($D49, Option3!$G$104:$G$115,0)))*conv_2026*R$7</f>
        <v>0</v>
      </c>
      <c r="S49" s="28">
        <f>(INDEX(Option3!S$104:S$115, MATCH($D49, Option3!$G$104:$G$115,0)))*conv_2026*S$7</f>
        <v>0</v>
      </c>
      <c r="T49" s="28">
        <f>(INDEX(Option3!T$104:T$115, MATCH($D49, Option3!$G$104:$G$115,0)))*conv_2026*T$7</f>
        <v>0</v>
      </c>
      <c r="U49" s="28">
        <f>(INDEX(Option3!U$104:U$115, MATCH($D49, Option3!$G$104:$G$115,0)))*conv_2026*U$7</f>
        <v>0</v>
      </c>
      <c r="V49" s="28">
        <f>(INDEX(Option3!V$104:V$115, MATCH($D49, Option3!$G$104:$G$115,0)))*conv_2026*V$7</f>
        <v>0</v>
      </c>
      <c r="W49" s="28">
        <f>(INDEX(Option3!W$104:W$115, MATCH($D49, Option3!$G$104:$G$115,0)))*conv_2026*W$7</f>
        <v>0</v>
      </c>
      <c r="X49" s="28">
        <f>(INDEX(Option3!X$104:X$115, MATCH($D49, Option3!$G$104:$G$115,0)))*conv_2026*X$7</f>
        <v>0</v>
      </c>
      <c r="Y49" s="28">
        <f>(INDEX(Option3!Y$104:Y$115, MATCH($D49, Option3!$G$104:$G$115,0)))*conv_2026*Y$7</f>
        <v>0</v>
      </c>
      <c r="Z49" s="28">
        <f>(INDEX(Option3!Z$104:Z$115, MATCH($D49, Option3!$G$104:$G$115,0)))*conv_2026*Z$7</f>
        <v>0</v>
      </c>
      <c r="AA49" s="28">
        <f>(INDEX(Option3!AA$104:AA$115, MATCH($D49, Option3!$G$104:$G$115,0)))*conv_2026*AA$7</f>
        <v>0</v>
      </c>
      <c r="AB49" s="28">
        <f>(INDEX(Option3!AB$104:AB$115, MATCH($D49, Option3!$G$104:$G$115,0)))*conv_2026*AB$7</f>
        <v>0</v>
      </c>
      <c r="AC49" s="28">
        <f>(INDEX(Option3!AC$104:AC$115, MATCH($D49, Option3!$G$104:$G$115,0)))*conv_2026*AC$7</f>
        <v>0</v>
      </c>
      <c r="AD49" s="28">
        <f>(INDEX(Option3!AD$104:AD$115, MATCH($D49, Option3!$G$104:$G$115,0)))*conv_2026*AD$7</f>
        <v>0</v>
      </c>
      <c r="AE49" s="28">
        <f>(INDEX(Option3!AE$104:AE$115, MATCH($D49, Option3!$G$104:$G$115,0)))*conv_2026*AE$7</f>
        <v>0</v>
      </c>
      <c r="AF49" s="28">
        <f>(INDEX(Option3!AF$104:AF$115, MATCH($D49, Option3!$G$104:$G$115,0)))*conv_2026*AF$7</f>
        <v>0</v>
      </c>
      <c r="AG49" s="28">
        <f>(INDEX(Option3!AG$104:AG$115, MATCH($D49, Option3!$G$104:$G$115,0)))*conv_2026*AG$7</f>
        <v>0</v>
      </c>
    </row>
    <row r="50" spans="1:35" s="6" customFormat="1" x14ac:dyDescent="0.2">
      <c r="A50" s="222" t="s">
        <v>151</v>
      </c>
      <c r="B50" s="222" t="str">
        <f>Option3!A114</f>
        <v>sens</v>
      </c>
      <c r="C50" s="222">
        <f>Option3!C114</f>
        <v>0</v>
      </c>
      <c r="D50" s="222" t="str">
        <f t="shared" si="5"/>
        <v>Option 3sens</v>
      </c>
      <c r="E50" s="214"/>
      <c r="F50" s="28">
        <f t="shared" si="4"/>
        <v>0</v>
      </c>
      <c r="H50" s="28">
        <f>(INDEX(Option3!H$104:H$115, MATCH($D50, Option3!$G$104:$G$115,0)))*conv_2026*H$7</f>
        <v>0</v>
      </c>
      <c r="I50" s="28">
        <f>(INDEX(Option3!I$104:I$115, MATCH($D50, Option3!$G$104:$G$115,0)))*conv_2026*I$7</f>
        <v>0</v>
      </c>
      <c r="J50" s="28">
        <f>(INDEX(Option3!J$104:J$115, MATCH($D50, Option3!$G$104:$G$115,0)))*conv_2026*J$7</f>
        <v>0</v>
      </c>
      <c r="K50" s="28">
        <f>(INDEX(Option3!K$104:K$115, MATCH($D50, Option3!$G$104:$G$115,0)))*conv_2026*K$7</f>
        <v>0</v>
      </c>
      <c r="L50" s="28">
        <f>(INDEX(Option3!L$104:L$115, MATCH($D50, Option3!$G$104:$G$115,0)))*conv_2026*L$7</f>
        <v>0</v>
      </c>
      <c r="M50" s="28">
        <f>(INDEX(Option3!M$104:M$115, MATCH($D50, Option3!$G$104:$G$115,0)))*conv_2026*M$7</f>
        <v>0</v>
      </c>
      <c r="N50" s="28">
        <f>(INDEX(Option3!N$104:N$115, MATCH($D50, Option3!$G$104:$G$115,0)))*conv_2026*N$7</f>
        <v>0</v>
      </c>
      <c r="O50" s="28">
        <f>(INDEX(Option3!O$104:O$115, MATCH($D50, Option3!$G$104:$G$115,0)))*conv_2026*O$7</f>
        <v>0</v>
      </c>
      <c r="P50" s="28">
        <f>(INDEX(Option3!P$104:P$115, MATCH($D50, Option3!$G$104:$G$115,0)))*conv_2026*P$7</f>
        <v>0</v>
      </c>
      <c r="Q50" s="28">
        <f>(INDEX(Option3!Q$104:Q$115, MATCH($D50, Option3!$G$104:$G$115,0)))*conv_2026*Q$7</f>
        <v>0</v>
      </c>
      <c r="R50" s="28">
        <f>(INDEX(Option3!R$104:R$115, MATCH($D50, Option3!$G$104:$G$115,0)))*conv_2026*R$7</f>
        <v>0</v>
      </c>
      <c r="S50" s="28">
        <f>(INDEX(Option3!S$104:S$115, MATCH($D50, Option3!$G$104:$G$115,0)))*conv_2026*S$7</f>
        <v>0</v>
      </c>
      <c r="T50" s="28">
        <f>(INDEX(Option3!T$104:T$115, MATCH($D50, Option3!$G$104:$G$115,0)))*conv_2026*T$7</f>
        <v>0</v>
      </c>
      <c r="U50" s="28">
        <f>(INDEX(Option3!U$104:U$115, MATCH($D50, Option3!$G$104:$G$115,0)))*conv_2026*U$7</f>
        <v>0</v>
      </c>
      <c r="V50" s="28">
        <f>(INDEX(Option3!V$104:V$115, MATCH($D50, Option3!$G$104:$G$115,0)))*conv_2026*V$7</f>
        <v>0</v>
      </c>
      <c r="W50" s="28">
        <f>(INDEX(Option3!W$104:W$115, MATCH($D50, Option3!$G$104:$G$115,0)))*conv_2026*W$7</f>
        <v>0</v>
      </c>
      <c r="X50" s="28">
        <f>(INDEX(Option3!X$104:X$115, MATCH($D50, Option3!$G$104:$G$115,0)))*conv_2026*X$7</f>
        <v>0</v>
      </c>
      <c r="Y50" s="28">
        <f>(INDEX(Option3!Y$104:Y$115, MATCH($D50, Option3!$G$104:$G$115,0)))*conv_2026*Y$7</f>
        <v>0</v>
      </c>
      <c r="Z50" s="28">
        <f>(INDEX(Option3!Z$104:Z$115, MATCH($D50, Option3!$G$104:$G$115,0)))*conv_2026*Z$7</f>
        <v>0</v>
      </c>
      <c r="AA50" s="28">
        <f>(INDEX(Option3!AA$104:AA$115, MATCH($D50, Option3!$G$104:$G$115,0)))*conv_2026*AA$7</f>
        <v>0</v>
      </c>
      <c r="AB50" s="28">
        <f>(INDEX(Option3!AB$104:AB$115, MATCH($D50, Option3!$G$104:$G$115,0)))*conv_2026*AB$7</f>
        <v>0</v>
      </c>
      <c r="AC50" s="28">
        <f>(INDEX(Option3!AC$104:AC$115, MATCH($D50, Option3!$G$104:$G$115,0)))*conv_2026*AC$7</f>
        <v>0</v>
      </c>
      <c r="AD50" s="28">
        <f>(INDEX(Option3!AD$104:AD$115, MATCH($D50, Option3!$G$104:$G$115,0)))*conv_2026*AD$7</f>
        <v>0</v>
      </c>
      <c r="AE50" s="28">
        <f>(INDEX(Option3!AE$104:AE$115, MATCH($D50, Option3!$G$104:$G$115,0)))*conv_2026*AE$7</f>
        <v>0</v>
      </c>
      <c r="AF50" s="28">
        <f>(INDEX(Option3!AF$104:AF$115, MATCH($D50, Option3!$G$104:$G$115,0)))*conv_2026*AF$7</f>
        <v>0</v>
      </c>
      <c r="AG50" s="28">
        <f>(INDEX(Option3!AG$104:AG$115, MATCH($D50, Option3!$G$104:$G$115,0)))*conv_2026*AG$7</f>
        <v>0</v>
      </c>
    </row>
    <row r="51" spans="1:35" s="6" customFormat="1" x14ac:dyDescent="0.2">
      <c r="A51" s="222" t="s">
        <v>151</v>
      </c>
      <c r="B51" s="222" t="str">
        <f>Option3!A115</f>
        <v>sens</v>
      </c>
      <c r="C51" s="222">
        <f>Option3!C115</f>
        <v>0</v>
      </c>
      <c r="D51" s="222" t="str">
        <f t="shared" si="5"/>
        <v>Option 3sens</v>
      </c>
      <c r="E51" s="214"/>
      <c r="F51" s="28">
        <f t="shared" si="4"/>
        <v>0</v>
      </c>
      <c r="H51" s="28">
        <f>(INDEX(Option3!H$104:H$115, MATCH($D51, Option3!$G$104:$G$115,0)))*conv_2026*H$7</f>
        <v>0</v>
      </c>
      <c r="I51" s="28">
        <f>(INDEX(Option3!I$104:I$115, MATCH($D51, Option3!$G$104:$G$115,0)))*conv_2026*I$7</f>
        <v>0</v>
      </c>
      <c r="J51" s="28">
        <f>(INDEX(Option3!J$104:J$115, MATCH($D51, Option3!$G$104:$G$115,0)))*conv_2026*J$7</f>
        <v>0</v>
      </c>
      <c r="K51" s="28">
        <f>(INDEX(Option3!K$104:K$115, MATCH($D51, Option3!$G$104:$G$115,0)))*conv_2026*K$7</f>
        <v>0</v>
      </c>
      <c r="L51" s="28">
        <f>(INDEX(Option3!L$104:L$115, MATCH($D51, Option3!$G$104:$G$115,0)))*conv_2026*L$7</f>
        <v>0</v>
      </c>
      <c r="M51" s="28">
        <f>(INDEX(Option3!M$104:M$115, MATCH($D51, Option3!$G$104:$G$115,0)))*conv_2026*M$7</f>
        <v>0</v>
      </c>
      <c r="N51" s="28">
        <f>(INDEX(Option3!N$104:N$115, MATCH($D51, Option3!$G$104:$G$115,0)))*conv_2026*N$7</f>
        <v>0</v>
      </c>
      <c r="O51" s="28">
        <f>(INDEX(Option3!O$104:O$115, MATCH($D51, Option3!$G$104:$G$115,0)))*conv_2026*O$7</f>
        <v>0</v>
      </c>
      <c r="P51" s="28">
        <f>(INDEX(Option3!P$104:P$115, MATCH($D51, Option3!$G$104:$G$115,0)))*conv_2026*P$7</f>
        <v>0</v>
      </c>
      <c r="Q51" s="28">
        <f>(INDEX(Option3!Q$104:Q$115, MATCH($D51, Option3!$G$104:$G$115,0)))*conv_2026*Q$7</f>
        <v>0</v>
      </c>
      <c r="R51" s="28">
        <f>(INDEX(Option3!R$104:R$115, MATCH($D51, Option3!$G$104:$G$115,0)))*conv_2026*R$7</f>
        <v>0</v>
      </c>
      <c r="S51" s="28">
        <f>(INDEX(Option3!S$104:S$115, MATCH($D51, Option3!$G$104:$G$115,0)))*conv_2026*S$7</f>
        <v>0</v>
      </c>
      <c r="T51" s="28">
        <f>(INDEX(Option3!T$104:T$115, MATCH($D51, Option3!$G$104:$G$115,0)))*conv_2026*T$7</f>
        <v>0</v>
      </c>
      <c r="U51" s="28">
        <f>(INDEX(Option3!U$104:U$115, MATCH($D51, Option3!$G$104:$G$115,0)))*conv_2026*U$7</f>
        <v>0</v>
      </c>
      <c r="V51" s="28">
        <f>(INDEX(Option3!V$104:V$115, MATCH($D51, Option3!$G$104:$G$115,0)))*conv_2026*V$7</f>
        <v>0</v>
      </c>
      <c r="W51" s="28">
        <f>(INDEX(Option3!W$104:W$115, MATCH($D51, Option3!$G$104:$G$115,0)))*conv_2026*W$7</f>
        <v>0</v>
      </c>
      <c r="X51" s="28">
        <f>(INDEX(Option3!X$104:X$115, MATCH($D51, Option3!$G$104:$G$115,0)))*conv_2026*X$7</f>
        <v>0</v>
      </c>
      <c r="Y51" s="28">
        <f>(INDEX(Option3!Y$104:Y$115, MATCH($D51, Option3!$G$104:$G$115,0)))*conv_2026*Y$7</f>
        <v>0</v>
      </c>
      <c r="Z51" s="28">
        <f>(INDEX(Option3!Z$104:Z$115, MATCH($D51, Option3!$G$104:$G$115,0)))*conv_2026*Z$7</f>
        <v>0</v>
      </c>
      <c r="AA51" s="28">
        <f>(INDEX(Option3!AA$104:AA$115, MATCH($D51, Option3!$G$104:$G$115,0)))*conv_2026*AA$7</f>
        <v>0</v>
      </c>
      <c r="AB51" s="28">
        <f>(INDEX(Option3!AB$104:AB$115, MATCH($D51, Option3!$G$104:$G$115,0)))*conv_2026*AB$7</f>
        <v>0</v>
      </c>
      <c r="AC51" s="28">
        <f>(INDEX(Option3!AC$104:AC$115, MATCH($D51, Option3!$G$104:$G$115,0)))*conv_2026*AC$7</f>
        <v>0</v>
      </c>
      <c r="AD51" s="28">
        <f>(INDEX(Option3!AD$104:AD$115, MATCH($D51, Option3!$G$104:$G$115,0)))*conv_2026*AD$7</f>
        <v>0</v>
      </c>
      <c r="AE51" s="28">
        <f>(INDEX(Option3!AE$104:AE$115, MATCH($D51, Option3!$G$104:$G$115,0)))*conv_2026*AE$7</f>
        <v>0</v>
      </c>
      <c r="AF51" s="28">
        <f>(INDEX(Option3!AF$104:AF$115, MATCH($D51, Option3!$G$104:$G$115,0)))*conv_2026*AF$7</f>
        <v>0</v>
      </c>
      <c r="AG51" s="28">
        <f>(INDEX(Option3!AG$104:AG$115, MATCH($D51, Option3!$G$104:$G$115,0)))*conv_2026*AG$7</f>
        <v>0</v>
      </c>
    </row>
    <row r="52" spans="1:35" s="6" customFormat="1" x14ac:dyDescent="0.2">
      <c r="A52" s="222"/>
      <c r="B52" s="222"/>
      <c r="C52" s="222"/>
      <c r="D52" s="222"/>
      <c r="E52" s="222"/>
      <c r="F52" s="28"/>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row>
    <row r="53" spans="1:35" s="6" customFormat="1" x14ac:dyDescent="0.2">
      <c r="A53" s="222"/>
      <c r="B53" s="222"/>
      <c r="C53" s="222"/>
      <c r="D53" s="222"/>
      <c r="E53" s="222"/>
      <c r="F53" s="28"/>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row>
    <row r="54" spans="1:35" s="6" customFormat="1" x14ac:dyDescent="0.2">
      <c r="A54" s="222"/>
      <c r="B54" s="222"/>
      <c r="C54" s="222"/>
      <c r="D54" s="222"/>
      <c r="E54" s="222"/>
      <c r="F54" s="28"/>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row>
    <row r="55" spans="1:35" s="6" customFormat="1" x14ac:dyDescent="0.2">
      <c r="A55" s="222"/>
      <c r="B55" s="222"/>
      <c r="C55" s="222"/>
      <c r="D55" s="222"/>
      <c r="E55" s="222"/>
      <c r="F55" s="28"/>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row>
    <row r="56" spans="1:35" s="6" customFormat="1" x14ac:dyDescent="0.2">
      <c r="A56" s="222" t="s">
        <v>152</v>
      </c>
      <c r="B56" s="222" t="s">
        <v>7</v>
      </c>
      <c r="C56" s="222" t="s">
        <v>135</v>
      </c>
      <c r="D56" s="222" t="str">
        <f>A56&amp;B56</f>
        <v>Option 4NPV</v>
      </c>
      <c r="E56" s="214"/>
      <c r="F56" s="28">
        <f t="shared" ref="F56:F65" si="6">SUMPRODUCT($H56:$AG56, $H$5:$AG$5)</f>
        <v>0</v>
      </c>
      <c r="G56" s="217"/>
      <c r="H56" s="28">
        <f>(INDEX(Option4!H$104:H$115, MATCH($D56, Option4!$G$104:$G$115,0)))*conv_2026*H$7</f>
        <v>0</v>
      </c>
      <c r="I56" s="28">
        <f>(INDEX(Option4!I$104:I$115, MATCH($D56, Option4!$G$104:$G$115,0)))*conv_2026*I$7</f>
        <v>0</v>
      </c>
      <c r="J56" s="28">
        <f>(INDEX(Option4!J$104:J$115, MATCH($D56, Option4!$G$104:$G$115,0)))*conv_2026*J$7</f>
        <v>0</v>
      </c>
      <c r="K56" s="28">
        <f>(INDEX(Option4!K$104:K$115, MATCH($D56, Option4!$G$104:$G$115,0)))*conv_2026*K$7</f>
        <v>0</v>
      </c>
      <c r="L56" s="28">
        <f>(INDEX(Option4!L$104:L$115, MATCH($D56, Option4!$G$104:$G$115,0)))*conv_2026*L$7</f>
        <v>0</v>
      </c>
      <c r="M56" s="28">
        <f>(INDEX(Option4!M$104:M$115, MATCH($D56, Option4!$G$104:$G$115,0)))*conv_2026*M$7</f>
        <v>0</v>
      </c>
      <c r="N56" s="28">
        <f>(INDEX(Option4!N$104:N$115, MATCH($D56, Option4!$G$104:$G$115,0)))*conv_2026*N$7</f>
        <v>0</v>
      </c>
      <c r="O56" s="28">
        <f>(INDEX(Option4!O$104:O$115, MATCH($D56, Option4!$G$104:$G$115,0)))*conv_2026*O$7</f>
        <v>0</v>
      </c>
      <c r="P56" s="28">
        <f>(INDEX(Option4!P$104:P$115, MATCH($D56, Option4!$G$104:$G$115,0)))*conv_2026*P$7</f>
        <v>0</v>
      </c>
      <c r="Q56" s="28">
        <f>(INDEX(Option4!Q$104:Q$115, MATCH($D56, Option4!$G$104:$G$115,0)))*conv_2026*Q$7</f>
        <v>0</v>
      </c>
      <c r="R56" s="28">
        <f>(INDEX(Option4!R$104:R$115, MATCH($D56, Option4!$G$104:$G$115,0)))*conv_2026*R$7</f>
        <v>0</v>
      </c>
      <c r="S56" s="28">
        <f>(INDEX(Option4!S$104:S$115, MATCH($D56, Option4!$G$104:$G$115,0)))*conv_2026*S$7</f>
        <v>0</v>
      </c>
      <c r="T56" s="28">
        <f>(INDEX(Option4!T$104:T$115, MATCH($D56, Option4!$G$104:$G$115,0)))*conv_2026*T$7</f>
        <v>0</v>
      </c>
      <c r="U56" s="28">
        <f>(INDEX(Option4!U$104:U$115, MATCH($D56, Option4!$G$104:$G$115,0)))*conv_2026*U$7</f>
        <v>0</v>
      </c>
      <c r="V56" s="28">
        <f>(INDEX(Option4!V$104:V$115, MATCH($D56, Option4!$G$104:$G$115,0)))*conv_2026*V$7</f>
        <v>0</v>
      </c>
      <c r="W56" s="28">
        <f>(INDEX(Option4!W$104:W$115, MATCH($D56, Option4!$G$104:$G$115,0)))*conv_2026*W$7</f>
        <v>0</v>
      </c>
      <c r="X56" s="28">
        <f>(INDEX(Option4!X$104:X$115, MATCH($D56, Option4!$G$104:$G$115,0)))*conv_2026*X$7</f>
        <v>0</v>
      </c>
      <c r="Y56" s="28">
        <f>(INDEX(Option4!Y$104:Y$115, MATCH($D56, Option4!$G$104:$G$115,0)))*conv_2026*Y$7</f>
        <v>0</v>
      </c>
      <c r="Z56" s="28">
        <f>(INDEX(Option4!Z$104:Z$115, MATCH($D56, Option4!$G$104:$G$115,0)))*conv_2026*Z$7</f>
        <v>0</v>
      </c>
      <c r="AA56" s="28">
        <f>(INDEX(Option4!AA$104:AA$115, MATCH($D56, Option4!$G$104:$G$115,0)))*conv_2026*AA$7</f>
        <v>0</v>
      </c>
      <c r="AB56" s="28">
        <f>(INDEX(Option4!AB$104:AB$115, MATCH($D56, Option4!$G$104:$G$115,0)))*conv_2026*AB$7</f>
        <v>0</v>
      </c>
      <c r="AC56" s="28">
        <f>(INDEX(Option4!AC$104:AC$115, MATCH($D56, Option4!$G$104:$G$115,0)))*conv_2026*AC$7</f>
        <v>0</v>
      </c>
      <c r="AD56" s="28">
        <f>(INDEX(Option4!AD$104:AD$115, MATCH($D56, Option4!$G$104:$G$115,0)))*conv_2026*AD$7</f>
        <v>0</v>
      </c>
      <c r="AE56" s="28">
        <f>(INDEX(Option4!AE$104:AE$115, MATCH($D56, Option4!$G$104:$G$115,0)))*conv_2026*AE$7</f>
        <v>0</v>
      </c>
      <c r="AF56" s="28">
        <f>(INDEX(Option4!AF$104:AF$115, MATCH($D56, Option4!$G$104:$G$115,0)))*conv_2026*AF$7</f>
        <v>0</v>
      </c>
      <c r="AG56" s="28">
        <f>(INDEX(Option4!AG$104:AG$115, MATCH($D56, Option4!$G$104:$G$115,0)))*conv_2026*AG$7</f>
        <v>0</v>
      </c>
      <c r="AH56" s="2"/>
      <c r="AI56" s="2"/>
    </row>
    <row r="57" spans="1:35" s="6" customFormat="1" x14ac:dyDescent="0.2">
      <c r="A57" s="216"/>
      <c r="B57" s="216"/>
      <c r="C57" s="216"/>
      <c r="D57" s="216"/>
      <c r="E57" s="216"/>
      <c r="F57" s="216"/>
      <c r="G57" s="217"/>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
      <c r="AI57" s="2"/>
    </row>
    <row r="58" spans="1:35" s="6" customFormat="1" x14ac:dyDescent="0.2">
      <c r="A58" s="222" t="s">
        <v>152</v>
      </c>
      <c r="B58" s="222" t="str">
        <f>Option4!A108</f>
        <v>sens1</v>
      </c>
      <c r="C58" s="222" t="str">
        <f>Option4!C108</f>
        <v>Capex 10% higher</v>
      </c>
      <c r="D58" s="222" t="str">
        <f t="shared" ref="D58:D65" si="7">A58&amp;B58</f>
        <v>Option 4sens1</v>
      </c>
      <c r="E58" s="214"/>
      <c r="F58" s="28">
        <f t="shared" si="6"/>
        <v>0</v>
      </c>
      <c r="G58" s="217"/>
      <c r="H58" s="28">
        <f>(INDEX(Option4!H$104:H$115, MATCH($D58, Option4!$G$104:$G$115,0)))*conv_2026*H$7</f>
        <v>0</v>
      </c>
      <c r="I58" s="28">
        <f>(INDEX(Option4!I$104:I$115, MATCH($D58, Option4!$G$104:$G$115,0)))*conv_2026*I$7</f>
        <v>0</v>
      </c>
      <c r="J58" s="28">
        <f>(INDEX(Option4!J$104:J$115, MATCH($D58, Option4!$G$104:$G$115,0)))*conv_2026*J$7</f>
        <v>0</v>
      </c>
      <c r="K58" s="28">
        <f>(INDEX(Option4!K$104:K$115, MATCH($D58, Option4!$G$104:$G$115,0)))*conv_2026*K$7</f>
        <v>0</v>
      </c>
      <c r="L58" s="28">
        <f>(INDEX(Option4!L$104:L$115, MATCH($D58, Option4!$G$104:$G$115,0)))*conv_2026*L$7</f>
        <v>0</v>
      </c>
      <c r="M58" s="28">
        <f>(INDEX(Option4!M$104:M$115, MATCH($D58, Option4!$G$104:$G$115,0)))*conv_2026*M$7</f>
        <v>0</v>
      </c>
      <c r="N58" s="28">
        <f>(INDEX(Option4!N$104:N$115, MATCH($D58, Option4!$G$104:$G$115,0)))*conv_2026*N$7</f>
        <v>0</v>
      </c>
      <c r="O58" s="28">
        <f>(INDEX(Option4!O$104:O$115, MATCH($D58, Option4!$G$104:$G$115,0)))*conv_2026*O$7</f>
        <v>0</v>
      </c>
      <c r="P58" s="28">
        <f>(INDEX(Option4!P$104:P$115, MATCH($D58, Option4!$G$104:$G$115,0)))*conv_2026*P$7</f>
        <v>0</v>
      </c>
      <c r="Q58" s="28">
        <f>(INDEX(Option4!Q$104:Q$115, MATCH($D58, Option4!$G$104:$G$115,0)))*conv_2026*Q$7</f>
        <v>0</v>
      </c>
      <c r="R58" s="28">
        <f>(INDEX(Option4!R$104:R$115, MATCH($D58, Option4!$G$104:$G$115,0)))*conv_2026*R$7</f>
        <v>0</v>
      </c>
      <c r="S58" s="28">
        <f>(INDEX(Option4!S$104:S$115, MATCH($D58, Option4!$G$104:$G$115,0)))*conv_2026*S$7</f>
        <v>0</v>
      </c>
      <c r="T58" s="28">
        <f>(INDEX(Option4!T$104:T$115, MATCH($D58, Option4!$G$104:$G$115,0)))*conv_2026*T$7</f>
        <v>0</v>
      </c>
      <c r="U58" s="28">
        <f>(INDEX(Option4!U$104:U$115, MATCH($D58, Option4!$G$104:$G$115,0)))*conv_2026*U$7</f>
        <v>0</v>
      </c>
      <c r="V58" s="28">
        <f>(INDEX(Option4!V$104:V$115, MATCH($D58, Option4!$G$104:$G$115,0)))*conv_2026*V$7</f>
        <v>0</v>
      </c>
      <c r="W58" s="28">
        <f>(INDEX(Option4!W$104:W$115, MATCH($D58, Option4!$G$104:$G$115,0)))*conv_2026*W$7</f>
        <v>0</v>
      </c>
      <c r="X58" s="28">
        <f>(INDEX(Option4!X$104:X$115, MATCH($D58, Option4!$G$104:$G$115,0)))*conv_2026*X$7</f>
        <v>0</v>
      </c>
      <c r="Y58" s="28">
        <f>(INDEX(Option4!Y$104:Y$115, MATCH($D58, Option4!$G$104:$G$115,0)))*conv_2026*Y$7</f>
        <v>0</v>
      </c>
      <c r="Z58" s="28">
        <f>(INDEX(Option4!Z$104:Z$115, MATCH($D58, Option4!$G$104:$G$115,0)))*conv_2026*Z$7</f>
        <v>0</v>
      </c>
      <c r="AA58" s="28">
        <f>(INDEX(Option4!AA$104:AA$115, MATCH($D58, Option4!$G$104:$G$115,0)))*conv_2026*AA$7</f>
        <v>0</v>
      </c>
      <c r="AB58" s="28">
        <f>(INDEX(Option4!AB$104:AB$115, MATCH($D58, Option4!$G$104:$G$115,0)))*conv_2026*AB$7</f>
        <v>0</v>
      </c>
      <c r="AC58" s="28">
        <f>(INDEX(Option4!AC$104:AC$115, MATCH($D58, Option4!$G$104:$G$115,0)))*conv_2026*AC$7</f>
        <v>0</v>
      </c>
      <c r="AD58" s="28">
        <f>(INDEX(Option4!AD$104:AD$115, MATCH($D58, Option4!$G$104:$G$115,0)))*conv_2026*AD$7</f>
        <v>0</v>
      </c>
      <c r="AE58" s="28">
        <f>(INDEX(Option4!AE$104:AE$115, MATCH($D58, Option4!$G$104:$G$115,0)))*conv_2026*AE$7</f>
        <v>0</v>
      </c>
      <c r="AF58" s="28">
        <f>(INDEX(Option4!AF$104:AF$115, MATCH($D58, Option4!$G$104:$G$115,0)))*conv_2026*AF$7</f>
        <v>0</v>
      </c>
      <c r="AG58" s="28">
        <f>(INDEX(Option4!AG$104:AG$115, MATCH($D58, Option4!$G$104:$G$115,0)))*conv_2026*AG$7</f>
        <v>0</v>
      </c>
      <c r="AH58" s="2"/>
      <c r="AI58" s="2"/>
    </row>
    <row r="59" spans="1:35" s="6" customFormat="1" x14ac:dyDescent="0.2">
      <c r="A59" s="222" t="s">
        <v>152</v>
      </c>
      <c r="B59" s="222" t="str">
        <f>Option4!A109</f>
        <v>sens2</v>
      </c>
      <c r="C59" s="222" t="str">
        <f>Option4!C109</f>
        <v>Capex 10% lower</v>
      </c>
      <c r="D59" s="222" t="str">
        <f t="shared" si="7"/>
        <v>Option 4sens2</v>
      </c>
      <c r="E59" s="214"/>
      <c r="F59" s="28">
        <f t="shared" si="6"/>
        <v>0</v>
      </c>
      <c r="G59" s="222"/>
      <c r="H59" s="28">
        <f>(INDEX(Option4!H$104:H$115, MATCH($D59, Option4!$G$104:$G$115,0)))*conv_2026*H$7</f>
        <v>0</v>
      </c>
      <c r="I59" s="28">
        <f>(INDEX(Option4!I$104:I$115, MATCH($D59, Option4!$G$104:$G$115,0)))*conv_2026*I$7</f>
        <v>0</v>
      </c>
      <c r="J59" s="28">
        <f>(INDEX(Option4!J$104:J$115, MATCH($D59, Option4!$G$104:$G$115,0)))*conv_2026*J$7</f>
        <v>0</v>
      </c>
      <c r="K59" s="28">
        <f>(INDEX(Option4!K$104:K$115, MATCH($D59, Option4!$G$104:$G$115,0)))*conv_2026*K$7</f>
        <v>0</v>
      </c>
      <c r="L59" s="28">
        <f>(INDEX(Option4!L$104:L$115, MATCH($D59, Option4!$G$104:$G$115,0)))*conv_2026*L$7</f>
        <v>0</v>
      </c>
      <c r="M59" s="28">
        <f>(INDEX(Option4!M$104:M$115, MATCH($D59, Option4!$G$104:$G$115,0)))*conv_2026*M$7</f>
        <v>0</v>
      </c>
      <c r="N59" s="28">
        <f>(INDEX(Option4!N$104:N$115, MATCH($D59, Option4!$G$104:$G$115,0)))*conv_2026*N$7</f>
        <v>0</v>
      </c>
      <c r="O59" s="28">
        <f>(INDEX(Option4!O$104:O$115, MATCH($D59, Option4!$G$104:$G$115,0)))*conv_2026*O$7</f>
        <v>0</v>
      </c>
      <c r="P59" s="28">
        <f>(INDEX(Option4!P$104:P$115, MATCH($D59, Option4!$G$104:$G$115,0)))*conv_2026*P$7</f>
        <v>0</v>
      </c>
      <c r="Q59" s="28">
        <f>(INDEX(Option4!Q$104:Q$115, MATCH($D59, Option4!$G$104:$G$115,0)))*conv_2026*Q$7</f>
        <v>0</v>
      </c>
      <c r="R59" s="28">
        <f>(INDEX(Option4!R$104:R$115, MATCH($D59, Option4!$G$104:$G$115,0)))*conv_2026*R$7</f>
        <v>0</v>
      </c>
      <c r="S59" s="28">
        <f>(INDEX(Option4!S$104:S$115, MATCH($D59, Option4!$G$104:$G$115,0)))*conv_2026*S$7</f>
        <v>0</v>
      </c>
      <c r="T59" s="28">
        <f>(INDEX(Option4!T$104:T$115, MATCH($D59, Option4!$G$104:$G$115,0)))*conv_2026*T$7</f>
        <v>0</v>
      </c>
      <c r="U59" s="28">
        <f>(INDEX(Option4!U$104:U$115, MATCH($D59, Option4!$G$104:$G$115,0)))*conv_2026*U$7</f>
        <v>0</v>
      </c>
      <c r="V59" s="28">
        <f>(INDEX(Option4!V$104:V$115, MATCH($D59, Option4!$G$104:$G$115,0)))*conv_2026*V$7</f>
        <v>0</v>
      </c>
      <c r="W59" s="28">
        <f>(INDEX(Option4!W$104:W$115, MATCH($D59, Option4!$G$104:$G$115,0)))*conv_2026*W$7</f>
        <v>0</v>
      </c>
      <c r="X59" s="28">
        <f>(INDEX(Option4!X$104:X$115, MATCH($D59, Option4!$G$104:$G$115,0)))*conv_2026*X$7</f>
        <v>0</v>
      </c>
      <c r="Y59" s="28">
        <f>(INDEX(Option4!Y$104:Y$115, MATCH($D59, Option4!$G$104:$G$115,0)))*conv_2026*Y$7</f>
        <v>0</v>
      </c>
      <c r="Z59" s="28">
        <f>(INDEX(Option4!Z$104:Z$115, MATCH($D59, Option4!$G$104:$G$115,0)))*conv_2026*Z$7</f>
        <v>0</v>
      </c>
      <c r="AA59" s="28">
        <f>(INDEX(Option4!AA$104:AA$115, MATCH($D59, Option4!$G$104:$G$115,0)))*conv_2026*AA$7</f>
        <v>0</v>
      </c>
      <c r="AB59" s="28">
        <f>(INDEX(Option4!AB$104:AB$115, MATCH($D59, Option4!$G$104:$G$115,0)))*conv_2026*AB$7</f>
        <v>0</v>
      </c>
      <c r="AC59" s="28">
        <f>(INDEX(Option4!AC$104:AC$115, MATCH($D59, Option4!$G$104:$G$115,0)))*conv_2026*AC$7</f>
        <v>0</v>
      </c>
      <c r="AD59" s="28">
        <f>(INDEX(Option4!AD$104:AD$115, MATCH($D59, Option4!$G$104:$G$115,0)))*conv_2026*AD$7</f>
        <v>0</v>
      </c>
      <c r="AE59" s="28">
        <f>(INDEX(Option4!AE$104:AE$115, MATCH($D59, Option4!$G$104:$G$115,0)))*conv_2026*AE$7</f>
        <v>0</v>
      </c>
      <c r="AF59" s="28">
        <f>(INDEX(Option4!AF$104:AF$115, MATCH($D59, Option4!$G$104:$G$115,0)))*conv_2026*AF$7</f>
        <v>0</v>
      </c>
      <c r="AG59" s="28">
        <f>(INDEX(Option4!AG$104:AG$115, MATCH($D59, Option4!$G$104:$G$115,0)))*conv_2026*AG$7</f>
        <v>0</v>
      </c>
    </row>
    <row r="60" spans="1:35" s="6" customFormat="1" x14ac:dyDescent="0.2">
      <c r="A60" s="222" t="s">
        <v>152</v>
      </c>
      <c r="B60" s="222" t="str">
        <f>Option4!A110</f>
        <v>sens3</v>
      </c>
      <c r="C60" s="222" t="str">
        <f>Option4!C110</f>
        <v>Total benefits 10% higher</v>
      </c>
      <c r="D60" s="222" t="str">
        <f t="shared" si="7"/>
        <v>Option 4sens3</v>
      </c>
      <c r="E60" s="214"/>
      <c r="F60" s="28">
        <f t="shared" si="6"/>
        <v>0</v>
      </c>
      <c r="H60" s="28">
        <f>(INDEX(Option4!H$104:H$115, MATCH($D60, Option4!$G$104:$G$115,0)))*conv_2026*H$7</f>
        <v>0</v>
      </c>
      <c r="I60" s="28">
        <f>(INDEX(Option4!I$104:I$115, MATCH($D60, Option4!$G$104:$G$115,0)))*conv_2026*I$7</f>
        <v>0</v>
      </c>
      <c r="J60" s="28">
        <f>(INDEX(Option4!J$104:J$115, MATCH($D60, Option4!$G$104:$G$115,0)))*conv_2026*J$7</f>
        <v>0</v>
      </c>
      <c r="K60" s="28">
        <f>(INDEX(Option4!K$104:K$115, MATCH($D60, Option4!$G$104:$G$115,0)))*conv_2026*K$7</f>
        <v>0</v>
      </c>
      <c r="L60" s="28">
        <f>(INDEX(Option4!L$104:L$115, MATCH($D60, Option4!$G$104:$G$115,0)))*conv_2026*L$7</f>
        <v>0</v>
      </c>
      <c r="M60" s="28">
        <f>(INDEX(Option4!M$104:M$115, MATCH($D60, Option4!$G$104:$G$115,0)))*conv_2026*M$7</f>
        <v>0</v>
      </c>
      <c r="N60" s="28">
        <f>(INDEX(Option4!N$104:N$115, MATCH($D60, Option4!$G$104:$G$115,0)))*conv_2026*N$7</f>
        <v>0</v>
      </c>
      <c r="O60" s="28">
        <f>(INDEX(Option4!O$104:O$115, MATCH($D60, Option4!$G$104:$G$115,0)))*conv_2026*O$7</f>
        <v>0</v>
      </c>
      <c r="P60" s="28">
        <f>(INDEX(Option4!P$104:P$115, MATCH($D60, Option4!$G$104:$G$115,0)))*conv_2026*P$7</f>
        <v>0</v>
      </c>
      <c r="Q60" s="28">
        <f>(INDEX(Option4!Q$104:Q$115, MATCH($D60, Option4!$G$104:$G$115,0)))*conv_2026*Q$7</f>
        <v>0</v>
      </c>
      <c r="R60" s="28">
        <f>(INDEX(Option4!R$104:R$115, MATCH($D60, Option4!$G$104:$G$115,0)))*conv_2026*R$7</f>
        <v>0</v>
      </c>
      <c r="S60" s="28">
        <f>(INDEX(Option4!S$104:S$115, MATCH($D60, Option4!$G$104:$G$115,0)))*conv_2026*S$7</f>
        <v>0</v>
      </c>
      <c r="T60" s="28">
        <f>(INDEX(Option4!T$104:T$115, MATCH($D60, Option4!$G$104:$G$115,0)))*conv_2026*T$7</f>
        <v>0</v>
      </c>
      <c r="U60" s="28">
        <f>(INDEX(Option4!U$104:U$115, MATCH($D60, Option4!$G$104:$G$115,0)))*conv_2026*U$7</f>
        <v>0</v>
      </c>
      <c r="V60" s="28">
        <f>(INDEX(Option4!V$104:V$115, MATCH($D60, Option4!$G$104:$G$115,0)))*conv_2026*V$7</f>
        <v>0</v>
      </c>
      <c r="W60" s="28">
        <f>(INDEX(Option4!W$104:W$115, MATCH($D60, Option4!$G$104:$G$115,0)))*conv_2026*W$7</f>
        <v>0</v>
      </c>
      <c r="X60" s="28">
        <f>(INDEX(Option4!X$104:X$115, MATCH($D60, Option4!$G$104:$G$115,0)))*conv_2026*X$7</f>
        <v>0</v>
      </c>
      <c r="Y60" s="28">
        <f>(INDEX(Option4!Y$104:Y$115, MATCH($D60, Option4!$G$104:$G$115,0)))*conv_2026*Y$7</f>
        <v>0</v>
      </c>
      <c r="Z60" s="28">
        <f>(INDEX(Option4!Z$104:Z$115, MATCH($D60, Option4!$G$104:$G$115,0)))*conv_2026*Z$7</f>
        <v>0</v>
      </c>
      <c r="AA60" s="28">
        <f>(INDEX(Option4!AA$104:AA$115, MATCH($D60, Option4!$G$104:$G$115,0)))*conv_2026*AA$7</f>
        <v>0</v>
      </c>
      <c r="AB60" s="28">
        <f>(INDEX(Option4!AB$104:AB$115, MATCH($D60, Option4!$G$104:$G$115,0)))*conv_2026*AB$7</f>
        <v>0</v>
      </c>
      <c r="AC60" s="28">
        <f>(INDEX(Option4!AC$104:AC$115, MATCH($D60, Option4!$G$104:$G$115,0)))*conv_2026*AC$7</f>
        <v>0</v>
      </c>
      <c r="AD60" s="28">
        <f>(INDEX(Option4!AD$104:AD$115, MATCH($D60, Option4!$G$104:$G$115,0)))*conv_2026*AD$7</f>
        <v>0</v>
      </c>
      <c r="AE60" s="28">
        <f>(INDEX(Option4!AE$104:AE$115, MATCH($D60, Option4!$G$104:$G$115,0)))*conv_2026*AE$7</f>
        <v>0</v>
      </c>
      <c r="AF60" s="28">
        <f>(INDEX(Option4!AF$104:AF$115, MATCH($D60, Option4!$G$104:$G$115,0)))*conv_2026*AF$7</f>
        <v>0</v>
      </c>
      <c r="AG60" s="28">
        <f>(INDEX(Option4!AG$104:AG$115, MATCH($D60, Option4!$G$104:$G$115,0)))*conv_2026*AG$7</f>
        <v>0</v>
      </c>
    </row>
    <row r="61" spans="1:35" s="6" customFormat="1" x14ac:dyDescent="0.2">
      <c r="A61" s="222" t="s">
        <v>152</v>
      </c>
      <c r="B61" s="222" t="str">
        <f>Option4!A111</f>
        <v>sens4</v>
      </c>
      <c r="C61" s="222" t="str">
        <f>Option4!C111</f>
        <v>Total benefits 10% lower</v>
      </c>
      <c r="D61" s="222" t="str">
        <f t="shared" si="7"/>
        <v>Option 4sens4</v>
      </c>
      <c r="E61" s="214"/>
      <c r="F61" s="28">
        <f t="shared" si="6"/>
        <v>0</v>
      </c>
      <c r="H61" s="28">
        <f>(INDEX(Option4!H$104:H$115, MATCH($D61, Option4!$G$104:$G$115,0)))*conv_2026*H$7</f>
        <v>0</v>
      </c>
      <c r="I61" s="28">
        <f>(INDEX(Option4!I$104:I$115, MATCH($D61, Option4!$G$104:$G$115,0)))*conv_2026*I$7</f>
        <v>0</v>
      </c>
      <c r="J61" s="28">
        <f>(INDEX(Option4!J$104:J$115, MATCH($D61, Option4!$G$104:$G$115,0)))*conv_2026*J$7</f>
        <v>0</v>
      </c>
      <c r="K61" s="28">
        <f>(INDEX(Option4!K$104:K$115, MATCH($D61, Option4!$G$104:$G$115,0)))*conv_2026*K$7</f>
        <v>0</v>
      </c>
      <c r="L61" s="28">
        <f>(INDEX(Option4!L$104:L$115, MATCH($D61, Option4!$G$104:$G$115,0)))*conv_2026*L$7</f>
        <v>0</v>
      </c>
      <c r="M61" s="28">
        <f>(INDEX(Option4!M$104:M$115, MATCH($D61, Option4!$G$104:$G$115,0)))*conv_2026*M$7</f>
        <v>0</v>
      </c>
      <c r="N61" s="28">
        <f>(INDEX(Option4!N$104:N$115, MATCH($D61, Option4!$G$104:$G$115,0)))*conv_2026*N$7</f>
        <v>0</v>
      </c>
      <c r="O61" s="28">
        <f>(INDEX(Option4!O$104:O$115, MATCH($D61, Option4!$G$104:$G$115,0)))*conv_2026*O$7</f>
        <v>0</v>
      </c>
      <c r="P61" s="28">
        <f>(INDEX(Option4!P$104:P$115, MATCH($D61, Option4!$G$104:$G$115,0)))*conv_2026*P$7</f>
        <v>0</v>
      </c>
      <c r="Q61" s="28">
        <f>(INDEX(Option4!Q$104:Q$115, MATCH($D61, Option4!$G$104:$G$115,0)))*conv_2026*Q$7</f>
        <v>0</v>
      </c>
      <c r="R61" s="28">
        <f>(INDEX(Option4!R$104:R$115, MATCH($D61, Option4!$G$104:$G$115,0)))*conv_2026*R$7</f>
        <v>0</v>
      </c>
      <c r="S61" s="28">
        <f>(INDEX(Option4!S$104:S$115, MATCH($D61, Option4!$G$104:$G$115,0)))*conv_2026*S$7</f>
        <v>0</v>
      </c>
      <c r="T61" s="28">
        <f>(INDEX(Option4!T$104:T$115, MATCH($D61, Option4!$G$104:$G$115,0)))*conv_2026*T$7</f>
        <v>0</v>
      </c>
      <c r="U61" s="28">
        <f>(INDEX(Option4!U$104:U$115, MATCH($D61, Option4!$G$104:$G$115,0)))*conv_2026*U$7</f>
        <v>0</v>
      </c>
      <c r="V61" s="28">
        <f>(INDEX(Option4!V$104:V$115, MATCH($D61, Option4!$G$104:$G$115,0)))*conv_2026*V$7</f>
        <v>0</v>
      </c>
      <c r="W61" s="28">
        <f>(INDEX(Option4!W$104:W$115, MATCH($D61, Option4!$G$104:$G$115,0)))*conv_2026*W$7</f>
        <v>0</v>
      </c>
      <c r="X61" s="28">
        <f>(INDEX(Option4!X$104:X$115, MATCH($D61, Option4!$G$104:$G$115,0)))*conv_2026*X$7</f>
        <v>0</v>
      </c>
      <c r="Y61" s="28">
        <f>(INDEX(Option4!Y$104:Y$115, MATCH($D61, Option4!$G$104:$G$115,0)))*conv_2026*Y$7</f>
        <v>0</v>
      </c>
      <c r="Z61" s="28">
        <f>(INDEX(Option4!Z$104:Z$115, MATCH($D61, Option4!$G$104:$G$115,0)))*conv_2026*Z$7</f>
        <v>0</v>
      </c>
      <c r="AA61" s="28">
        <f>(INDEX(Option4!AA$104:AA$115, MATCH($D61, Option4!$G$104:$G$115,0)))*conv_2026*AA$7</f>
        <v>0</v>
      </c>
      <c r="AB61" s="28">
        <f>(INDEX(Option4!AB$104:AB$115, MATCH($D61, Option4!$G$104:$G$115,0)))*conv_2026*AB$7</f>
        <v>0</v>
      </c>
      <c r="AC61" s="28">
        <f>(INDEX(Option4!AC$104:AC$115, MATCH($D61, Option4!$G$104:$G$115,0)))*conv_2026*AC$7</f>
        <v>0</v>
      </c>
      <c r="AD61" s="28">
        <f>(INDEX(Option4!AD$104:AD$115, MATCH($D61, Option4!$G$104:$G$115,0)))*conv_2026*AD$7</f>
        <v>0</v>
      </c>
      <c r="AE61" s="28">
        <f>(INDEX(Option4!AE$104:AE$115, MATCH($D61, Option4!$G$104:$G$115,0)))*conv_2026*AE$7</f>
        <v>0</v>
      </c>
      <c r="AF61" s="28">
        <f>(INDEX(Option4!AF$104:AF$115, MATCH($D61, Option4!$G$104:$G$115,0)))*conv_2026*AF$7</f>
        <v>0</v>
      </c>
      <c r="AG61" s="28">
        <f>(INDEX(Option4!AG$104:AG$115, MATCH($D61, Option4!$G$104:$G$115,0)))*conv_2026*AG$7</f>
        <v>0</v>
      </c>
    </row>
    <row r="62" spans="1:35" s="6" customFormat="1" x14ac:dyDescent="0.2">
      <c r="A62" s="222" t="s">
        <v>152</v>
      </c>
      <c r="B62" s="222" t="str">
        <f>Option4!A112</f>
        <v>sens5</v>
      </c>
      <c r="C62" s="222" t="str">
        <f>Option4!C112</f>
        <v>Capex 10% higher &amp; Total benefits 10% lower</v>
      </c>
      <c r="D62" s="222" t="str">
        <f t="shared" si="7"/>
        <v>Option 4sens5</v>
      </c>
      <c r="E62" s="214"/>
      <c r="F62" s="28">
        <f t="shared" si="6"/>
        <v>0</v>
      </c>
      <c r="H62" s="28">
        <f>(INDEX(Option4!H$104:H$115, MATCH($D62, Option4!$G$104:$G$115,0)))*conv_2026*H$7</f>
        <v>0</v>
      </c>
      <c r="I62" s="28">
        <f>(INDEX(Option4!I$104:I$115, MATCH($D62, Option4!$G$104:$G$115,0)))*conv_2026*I$7</f>
        <v>0</v>
      </c>
      <c r="J62" s="28">
        <f>(INDEX(Option4!J$104:J$115, MATCH($D62, Option4!$G$104:$G$115,0)))*conv_2026*J$7</f>
        <v>0</v>
      </c>
      <c r="K62" s="28">
        <f>(INDEX(Option4!K$104:K$115, MATCH($D62, Option4!$G$104:$G$115,0)))*conv_2026*K$7</f>
        <v>0</v>
      </c>
      <c r="L62" s="28">
        <f>(INDEX(Option4!L$104:L$115, MATCH($D62, Option4!$G$104:$G$115,0)))*conv_2026*L$7</f>
        <v>0</v>
      </c>
      <c r="M62" s="28">
        <f>(INDEX(Option4!M$104:M$115, MATCH($D62, Option4!$G$104:$G$115,0)))*conv_2026*M$7</f>
        <v>0</v>
      </c>
      <c r="N62" s="28">
        <f>(INDEX(Option4!N$104:N$115, MATCH($D62, Option4!$G$104:$G$115,0)))*conv_2026*N$7</f>
        <v>0</v>
      </c>
      <c r="O62" s="28">
        <f>(INDEX(Option4!O$104:O$115, MATCH($D62, Option4!$G$104:$G$115,0)))*conv_2026*O$7</f>
        <v>0</v>
      </c>
      <c r="P62" s="28">
        <f>(INDEX(Option4!P$104:P$115, MATCH($D62, Option4!$G$104:$G$115,0)))*conv_2026*P$7</f>
        <v>0</v>
      </c>
      <c r="Q62" s="28">
        <f>(INDEX(Option4!Q$104:Q$115, MATCH($D62, Option4!$G$104:$G$115,0)))*conv_2026*Q$7</f>
        <v>0</v>
      </c>
      <c r="R62" s="28">
        <f>(INDEX(Option4!R$104:R$115, MATCH($D62, Option4!$G$104:$G$115,0)))*conv_2026*R$7</f>
        <v>0</v>
      </c>
      <c r="S62" s="28">
        <f>(INDEX(Option4!S$104:S$115, MATCH($D62, Option4!$G$104:$G$115,0)))*conv_2026*S$7</f>
        <v>0</v>
      </c>
      <c r="T62" s="28">
        <f>(INDEX(Option4!T$104:T$115, MATCH($D62, Option4!$G$104:$G$115,0)))*conv_2026*T$7</f>
        <v>0</v>
      </c>
      <c r="U62" s="28">
        <f>(INDEX(Option4!U$104:U$115, MATCH($D62, Option4!$G$104:$G$115,0)))*conv_2026*U$7</f>
        <v>0</v>
      </c>
      <c r="V62" s="28">
        <f>(INDEX(Option4!V$104:V$115, MATCH($D62, Option4!$G$104:$G$115,0)))*conv_2026*V$7</f>
        <v>0</v>
      </c>
      <c r="W62" s="28">
        <f>(INDEX(Option4!W$104:W$115, MATCH($D62, Option4!$G$104:$G$115,0)))*conv_2026*W$7</f>
        <v>0</v>
      </c>
      <c r="X62" s="28">
        <f>(INDEX(Option4!X$104:X$115, MATCH($D62, Option4!$G$104:$G$115,0)))*conv_2026*X$7</f>
        <v>0</v>
      </c>
      <c r="Y62" s="28">
        <f>(INDEX(Option4!Y$104:Y$115, MATCH($D62, Option4!$G$104:$G$115,0)))*conv_2026*Y$7</f>
        <v>0</v>
      </c>
      <c r="Z62" s="28">
        <f>(INDEX(Option4!Z$104:Z$115, MATCH($D62, Option4!$G$104:$G$115,0)))*conv_2026*Z$7</f>
        <v>0</v>
      </c>
      <c r="AA62" s="28">
        <f>(INDEX(Option4!AA$104:AA$115, MATCH($D62, Option4!$G$104:$G$115,0)))*conv_2026*AA$7</f>
        <v>0</v>
      </c>
      <c r="AB62" s="28">
        <f>(INDEX(Option4!AB$104:AB$115, MATCH($D62, Option4!$G$104:$G$115,0)))*conv_2026*AB$7</f>
        <v>0</v>
      </c>
      <c r="AC62" s="28">
        <f>(INDEX(Option4!AC$104:AC$115, MATCH($D62, Option4!$G$104:$G$115,0)))*conv_2026*AC$7</f>
        <v>0</v>
      </c>
      <c r="AD62" s="28">
        <f>(INDEX(Option4!AD$104:AD$115, MATCH($D62, Option4!$G$104:$G$115,0)))*conv_2026*AD$7</f>
        <v>0</v>
      </c>
      <c r="AE62" s="28">
        <f>(INDEX(Option4!AE$104:AE$115, MATCH($D62, Option4!$G$104:$G$115,0)))*conv_2026*AE$7</f>
        <v>0</v>
      </c>
      <c r="AF62" s="28">
        <f>(INDEX(Option4!AF$104:AF$115, MATCH($D62, Option4!$G$104:$G$115,0)))*conv_2026*AF$7</f>
        <v>0</v>
      </c>
      <c r="AG62" s="28">
        <f>(INDEX(Option4!AG$104:AG$115, MATCH($D62, Option4!$G$104:$G$115,0)))*conv_2026*AG$7</f>
        <v>0</v>
      </c>
    </row>
    <row r="63" spans="1:35" s="6" customFormat="1" x14ac:dyDescent="0.2">
      <c r="A63" s="222" t="s">
        <v>152</v>
      </c>
      <c r="B63" s="222" t="str">
        <f>Option4!A113</f>
        <v>sens</v>
      </c>
      <c r="C63" s="222">
        <f>Option4!C113</f>
        <v>0</v>
      </c>
      <c r="D63" s="222" t="str">
        <f t="shared" si="7"/>
        <v>Option 4sens</v>
      </c>
      <c r="E63" s="214"/>
      <c r="F63" s="28">
        <f t="shared" si="6"/>
        <v>0</v>
      </c>
      <c r="H63" s="28">
        <f>(INDEX(Option4!H$104:H$115, MATCH($D63, Option4!$G$104:$G$115,0)))*conv_2026*H$7</f>
        <v>0</v>
      </c>
      <c r="I63" s="28">
        <f>(INDEX(Option4!I$104:I$115, MATCH($D63, Option4!$G$104:$G$115,0)))*conv_2026*I$7</f>
        <v>0</v>
      </c>
      <c r="J63" s="28">
        <f>(INDEX(Option4!J$104:J$115, MATCH($D63, Option4!$G$104:$G$115,0)))*conv_2026*J$7</f>
        <v>0</v>
      </c>
      <c r="K63" s="28">
        <f>(INDEX(Option4!K$104:K$115, MATCH($D63, Option4!$G$104:$G$115,0)))*conv_2026*K$7</f>
        <v>0</v>
      </c>
      <c r="L63" s="28">
        <f>(INDEX(Option4!L$104:L$115, MATCH($D63, Option4!$G$104:$G$115,0)))*conv_2026*L$7</f>
        <v>0</v>
      </c>
      <c r="M63" s="28">
        <f>(INDEX(Option4!M$104:M$115, MATCH($D63, Option4!$G$104:$G$115,0)))*conv_2026*M$7</f>
        <v>0</v>
      </c>
      <c r="N63" s="28">
        <f>(INDEX(Option4!N$104:N$115, MATCH($D63, Option4!$G$104:$G$115,0)))*conv_2026*N$7</f>
        <v>0</v>
      </c>
      <c r="O63" s="28">
        <f>(INDEX(Option4!O$104:O$115, MATCH($D63, Option4!$G$104:$G$115,0)))*conv_2026*O$7</f>
        <v>0</v>
      </c>
      <c r="P63" s="28">
        <f>(INDEX(Option4!P$104:P$115, MATCH($D63, Option4!$G$104:$G$115,0)))*conv_2026*P$7</f>
        <v>0</v>
      </c>
      <c r="Q63" s="28">
        <f>(INDEX(Option4!Q$104:Q$115, MATCH($D63, Option4!$G$104:$G$115,0)))*conv_2026*Q$7</f>
        <v>0</v>
      </c>
      <c r="R63" s="28">
        <f>(INDEX(Option4!R$104:R$115, MATCH($D63, Option4!$G$104:$G$115,0)))*conv_2026*R$7</f>
        <v>0</v>
      </c>
      <c r="S63" s="28">
        <f>(INDEX(Option4!S$104:S$115, MATCH($D63, Option4!$G$104:$G$115,0)))*conv_2026*S$7</f>
        <v>0</v>
      </c>
      <c r="T63" s="28">
        <f>(INDEX(Option4!T$104:T$115, MATCH($D63, Option4!$G$104:$G$115,0)))*conv_2026*T$7</f>
        <v>0</v>
      </c>
      <c r="U63" s="28">
        <f>(INDEX(Option4!U$104:U$115, MATCH($D63, Option4!$G$104:$G$115,0)))*conv_2026*U$7</f>
        <v>0</v>
      </c>
      <c r="V63" s="28">
        <f>(INDEX(Option4!V$104:V$115, MATCH($D63, Option4!$G$104:$G$115,0)))*conv_2026*V$7</f>
        <v>0</v>
      </c>
      <c r="W63" s="28">
        <f>(INDEX(Option4!W$104:W$115, MATCH($D63, Option4!$G$104:$G$115,0)))*conv_2026*W$7</f>
        <v>0</v>
      </c>
      <c r="X63" s="28">
        <f>(INDEX(Option4!X$104:X$115, MATCH($D63, Option4!$G$104:$G$115,0)))*conv_2026*X$7</f>
        <v>0</v>
      </c>
      <c r="Y63" s="28">
        <f>(INDEX(Option4!Y$104:Y$115, MATCH($D63, Option4!$G$104:$G$115,0)))*conv_2026*Y$7</f>
        <v>0</v>
      </c>
      <c r="Z63" s="28">
        <f>(INDEX(Option4!Z$104:Z$115, MATCH($D63, Option4!$G$104:$G$115,0)))*conv_2026*Z$7</f>
        <v>0</v>
      </c>
      <c r="AA63" s="28">
        <f>(INDEX(Option4!AA$104:AA$115, MATCH($D63, Option4!$G$104:$G$115,0)))*conv_2026*AA$7</f>
        <v>0</v>
      </c>
      <c r="AB63" s="28">
        <f>(INDEX(Option4!AB$104:AB$115, MATCH($D63, Option4!$G$104:$G$115,0)))*conv_2026*AB$7</f>
        <v>0</v>
      </c>
      <c r="AC63" s="28">
        <f>(INDEX(Option4!AC$104:AC$115, MATCH($D63, Option4!$G$104:$G$115,0)))*conv_2026*AC$7</f>
        <v>0</v>
      </c>
      <c r="AD63" s="28">
        <f>(INDEX(Option4!AD$104:AD$115, MATCH($D63, Option4!$G$104:$G$115,0)))*conv_2026*AD$7</f>
        <v>0</v>
      </c>
      <c r="AE63" s="28">
        <f>(INDEX(Option4!AE$104:AE$115, MATCH($D63, Option4!$G$104:$G$115,0)))*conv_2026*AE$7</f>
        <v>0</v>
      </c>
      <c r="AF63" s="28">
        <f>(INDEX(Option4!AF$104:AF$115, MATCH($D63, Option4!$G$104:$G$115,0)))*conv_2026*AF$7</f>
        <v>0</v>
      </c>
      <c r="AG63" s="28">
        <f>(INDEX(Option4!AG$104:AG$115, MATCH($D63, Option4!$G$104:$G$115,0)))*conv_2026*AG$7</f>
        <v>0</v>
      </c>
    </row>
    <row r="64" spans="1:35" s="6" customFormat="1" x14ac:dyDescent="0.2">
      <c r="A64" s="222" t="s">
        <v>152</v>
      </c>
      <c r="B64" s="222" t="str">
        <f>Option4!A114</f>
        <v>sens</v>
      </c>
      <c r="C64" s="222">
        <f>Option4!C114</f>
        <v>0</v>
      </c>
      <c r="D64" s="222" t="str">
        <f t="shared" si="7"/>
        <v>Option 4sens</v>
      </c>
      <c r="E64" s="214"/>
      <c r="F64" s="28">
        <f t="shared" si="6"/>
        <v>0</v>
      </c>
      <c r="H64" s="28">
        <f>(INDEX(Option4!H$104:H$115, MATCH($D64, Option4!$G$104:$G$115,0)))*conv_2026*H$7</f>
        <v>0</v>
      </c>
      <c r="I64" s="28">
        <f>(INDEX(Option4!I$104:I$115, MATCH($D64, Option4!$G$104:$G$115,0)))*conv_2026*I$7</f>
        <v>0</v>
      </c>
      <c r="J64" s="28">
        <f>(INDEX(Option4!J$104:J$115, MATCH($D64, Option4!$G$104:$G$115,0)))*conv_2026*J$7</f>
        <v>0</v>
      </c>
      <c r="K64" s="28">
        <f>(INDEX(Option4!K$104:K$115, MATCH($D64, Option4!$G$104:$G$115,0)))*conv_2026*K$7</f>
        <v>0</v>
      </c>
      <c r="L64" s="28">
        <f>(INDEX(Option4!L$104:L$115, MATCH($D64, Option4!$G$104:$G$115,0)))*conv_2026*L$7</f>
        <v>0</v>
      </c>
      <c r="M64" s="28">
        <f>(INDEX(Option4!M$104:M$115, MATCH($D64, Option4!$G$104:$G$115,0)))*conv_2026*M$7</f>
        <v>0</v>
      </c>
      <c r="N64" s="28">
        <f>(INDEX(Option4!N$104:N$115, MATCH($D64, Option4!$G$104:$G$115,0)))*conv_2026*N$7</f>
        <v>0</v>
      </c>
      <c r="O64" s="28">
        <f>(INDEX(Option4!O$104:O$115, MATCH($D64, Option4!$G$104:$G$115,0)))*conv_2026*O$7</f>
        <v>0</v>
      </c>
      <c r="P64" s="28">
        <f>(INDEX(Option4!P$104:P$115, MATCH($D64, Option4!$G$104:$G$115,0)))*conv_2026*P$7</f>
        <v>0</v>
      </c>
      <c r="Q64" s="28">
        <f>(INDEX(Option4!Q$104:Q$115, MATCH($D64, Option4!$G$104:$G$115,0)))*conv_2026*Q$7</f>
        <v>0</v>
      </c>
      <c r="R64" s="28">
        <f>(INDEX(Option4!R$104:R$115, MATCH($D64, Option4!$G$104:$G$115,0)))*conv_2026*R$7</f>
        <v>0</v>
      </c>
      <c r="S64" s="28">
        <f>(INDEX(Option4!S$104:S$115, MATCH($D64, Option4!$G$104:$G$115,0)))*conv_2026*S$7</f>
        <v>0</v>
      </c>
      <c r="T64" s="28">
        <f>(INDEX(Option4!T$104:T$115, MATCH($D64, Option4!$G$104:$G$115,0)))*conv_2026*T$7</f>
        <v>0</v>
      </c>
      <c r="U64" s="28">
        <f>(INDEX(Option4!U$104:U$115, MATCH($D64, Option4!$G$104:$G$115,0)))*conv_2026*U$7</f>
        <v>0</v>
      </c>
      <c r="V64" s="28">
        <f>(INDEX(Option4!V$104:V$115, MATCH($D64, Option4!$G$104:$G$115,0)))*conv_2026*V$7</f>
        <v>0</v>
      </c>
      <c r="W64" s="28">
        <f>(INDEX(Option4!W$104:W$115, MATCH($D64, Option4!$G$104:$G$115,0)))*conv_2026*W$7</f>
        <v>0</v>
      </c>
      <c r="X64" s="28">
        <f>(INDEX(Option4!X$104:X$115, MATCH($D64, Option4!$G$104:$G$115,0)))*conv_2026*X$7</f>
        <v>0</v>
      </c>
      <c r="Y64" s="28">
        <f>(INDEX(Option4!Y$104:Y$115, MATCH($D64, Option4!$G$104:$G$115,0)))*conv_2026*Y$7</f>
        <v>0</v>
      </c>
      <c r="Z64" s="28">
        <f>(INDEX(Option4!Z$104:Z$115, MATCH($D64, Option4!$G$104:$G$115,0)))*conv_2026*Z$7</f>
        <v>0</v>
      </c>
      <c r="AA64" s="28">
        <f>(INDEX(Option4!AA$104:AA$115, MATCH($D64, Option4!$G$104:$G$115,0)))*conv_2026*AA$7</f>
        <v>0</v>
      </c>
      <c r="AB64" s="28">
        <f>(INDEX(Option4!AB$104:AB$115, MATCH($D64, Option4!$G$104:$G$115,0)))*conv_2026*AB$7</f>
        <v>0</v>
      </c>
      <c r="AC64" s="28">
        <f>(INDEX(Option4!AC$104:AC$115, MATCH($D64, Option4!$G$104:$G$115,0)))*conv_2026*AC$7</f>
        <v>0</v>
      </c>
      <c r="AD64" s="28">
        <f>(INDEX(Option4!AD$104:AD$115, MATCH($D64, Option4!$G$104:$G$115,0)))*conv_2026*AD$7</f>
        <v>0</v>
      </c>
      <c r="AE64" s="28">
        <f>(INDEX(Option4!AE$104:AE$115, MATCH($D64, Option4!$G$104:$G$115,0)))*conv_2026*AE$7</f>
        <v>0</v>
      </c>
      <c r="AF64" s="28">
        <f>(INDEX(Option4!AF$104:AF$115, MATCH($D64, Option4!$G$104:$G$115,0)))*conv_2026*AF$7</f>
        <v>0</v>
      </c>
      <c r="AG64" s="28">
        <f>(INDEX(Option4!AG$104:AG$115, MATCH($D64, Option4!$G$104:$G$115,0)))*conv_2026*AG$7</f>
        <v>0</v>
      </c>
    </row>
    <row r="65" spans="1:35" s="6" customFormat="1" x14ac:dyDescent="0.2">
      <c r="A65" s="222" t="s">
        <v>152</v>
      </c>
      <c r="B65" s="222" t="str">
        <f>Option4!A115</f>
        <v>sens</v>
      </c>
      <c r="C65" s="222">
        <f>Option4!C115</f>
        <v>0</v>
      </c>
      <c r="D65" s="222" t="str">
        <f t="shared" si="7"/>
        <v>Option 4sens</v>
      </c>
      <c r="E65" s="214"/>
      <c r="F65" s="28">
        <f t="shared" si="6"/>
        <v>0</v>
      </c>
      <c r="H65" s="28">
        <f>(INDEX(Option4!H$104:H$115, MATCH($D65, Option4!$G$104:$G$115,0)))*conv_2026*H$7</f>
        <v>0</v>
      </c>
      <c r="I65" s="28">
        <f>(INDEX(Option4!I$104:I$115, MATCH($D65, Option4!$G$104:$G$115,0)))*conv_2026*I$7</f>
        <v>0</v>
      </c>
      <c r="J65" s="28">
        <f>(INDEX(Option4!J$104:J$115, MATCH($D65, Option4!$G$104:$G$115,0)))*conv_2026*J$7</f>
        <v>0</v>
      </c>
      <c r="K65" s="28">
        <f>(INDEX(Option4!K$104:K$115, MATCH($D65, Option4!$G$104:$G$115,0)))*conv_2026*K$7</f>
        <v>0</v>
      </c>
      <c r="L65" s="28">
        <f>(INDEX(Option4!L$104:L$115, MATCH($D65, Option4!$G$104:$G$115,0)))*conv_2026*L$7</f>
        <v>0</v>
      </c>
      <c r="M65" s="28">
        <f>(INDEX(Option4!M$104:M$115, MATCH($D65, Option4!$G$104:$G$115,0)))*conv_2026*M$7</f>
        <v>0</v>
      </c>
      <c r="N65" s="28">
        <f>(INDEX(Option4!N$104:N$115, MATCH($D65, Option4!$G$104:$G$115,0)))*conv_2026*N$7</f>
        <v>0</v>
      </c>
      <c r="O65" s="28">
        <f>(INDEX(Option4!O$104:O$115, MATCH($D65, Option4!$G$104:$G$115,0)))*conv_2026*O$7</f>
        <v>0</v>
      </c>
      <c r="P65" s="28">
        <f>(INDEX(Option4!P$104:P$115, MATCH($D65, Option4!$G$104:$G$115,0)))*conv_2026*P$7</f>
        <v>0</v>
      </c>
      <c r="Q65" s="28">
        <f>(INDEX(Option4!Q$104:Q$115, MATCH($D65, Option4!$G$104:$G$115,0)))*conv_2026*Q$7</f>
        <v>0</v>
      </c>
      <c r="R65" s="28">
        <f>(INDEX(Option4!R$104:R$115, MATCH($D65, Option4!$G$104:$G$115,0)))*conv_2026*R$7</f>
        <v>0</v>
      </c>
      <c r="S65" s="28">
        <f>(INDEX(Option4!S$104:S$115, MATCH($D65, Option4!$G$104:$G$115,0)))*conv_2026*S$7</f>
        <v>0</v>
      </c>
      <c r="T65" s="28">
        <f>(INDEX(Option4!T$104:T$115, MATCH($D65, Option4!$G$104:$G$115,0)))*conv_2026*T$7</f>
        <v>0</v>
      </c>
      <c r="U65" s="28">
        <f>(INDEX(Option4!U$104:U$115, MATCH($D65, Option4!$G$104:$G$115,0)))*conv_2026*U$7</f>
        <v>0</v>
      </c>
      <c r="V65" s="28">
        <f>(INDEX(Option4!V$104:V$115, MATCH($D65, Option4!$G$104:$G$115,0)))*conv_2026*V$7</f>
        <v>0</v>
      </c>
      <c r="W65" s="28">
        <f>(INDEX(Option4!W$104:W$115, MATCH($D65, Option4!$G$104:$G$115,0)))*conv_2026*W$7</f>
        <v>0</v>
      </c>
      <c r="X65" s="28">
        <f>(INDEX(Option4!X$104:X$115, MATCH($D65, Option4!$G$104:$G$115,0)))*conv_2026*X$7</f>
        <v>0</v>
      </c>
      <c r="Y65" s="28">
        <f>(INDEX(Option4!Y$104:Y$115, MATCH($D65, Option4!$G$104:$G$115,0)))*conv_2026*Y$7</f>
        <v>0</v>
      </c>
      <c r="Z65" s="28">
        <f>(INDEX(Option4!Z$104:Z$115, MATCH($D65, Option4!$G$104:$G$115,0)))*conv_2026*Z$7</f>
        <v>0</v>
      </c>
      <c r="AA65" s="28">
        <f>(INDEX(Option4!AA$104:AA$115, MATCH($D65, Option4!$G$104:$G$115,0)))*conv_2026*AA$7</f>
        <v>0</v>
      </c>
      <c r="AB65" s="28">
        <f>(INDEX(Option4!AB$104:AB$115, MATCH($D65, Option4!$G$104:$G$115,0)))*conv_2026*AB$7</f>
        <v>0</v>
      </c>
      <c r="AC65" s="28">
        <f>(INDEX(Option4!AC$104:AC$115, MATCH($D65, Option4!$G$104:$G$115,0)))*conv_2026*AC$7</f>
        <v>0</v>
      </c>
      <c r="AD65" s="28">
        <f>(INDEX(Option4!AD$104:AD$115, MATCH($D65, Option4!$G$104:$G$115,0)))*conv_2026*AD$7</f>
        <v>0</v>
      </c>
      <c r="AE65" s="28">
        <f>(INDEX(Option4!AE$104:AE$115, MATCH($D65, Option4!$G$104:$G$115,0)))*conv_2026*AE$7</f>
        <v>0</v>
      </c>
      <c r="AF65" s="28">
        <f>(INDEX(Option4!AF$104:AF$115, MATCH($D65, Option4!$G$104:$G$115,0)))*conv_2026*AF$7</f>
        <v>0</v>
      </c>
      <c r="AG65" s="28">
        <f>(INDEX(Option4!AG$104:AG$115, MATCH($D65, Option4!$G$104:$G$115,0)))*conv_2026*AG$7</f>
        <v>0</v>
      </c>
    </row>
    <row r="66" spans="1:35" s="6" customFormat="1" x14ac:dyDescent="0.2">
      <c r="A66" s="222"/>
      <c r="B66" s="222"/>
      <c r="C66" s="222"/>
      <c r="D66" s="222"/>
      <c r="E66" s="222"/>
      <c r="F66" s="28"/>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row>
    <row r="67" spans="1:35" s="6" customFormat="1" x14ac:dyDescent="0.2">
      <c r="A67" s="222"/>
      <c r="B67" s="222"/>
      <c r="C67" s="222"/>
      <c r="D67" s="222"/>
      <c r="E67" s="222"/>
      <c r="F67" s="28"/>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row>
    <row r="68" spans="1:35" s="6" customFormat="1" x14ac:dyDescent="0.2">
      <c r="A68" s="222"/>
      <c r="B68" s="222"/>
      <c r="C68" s="222"/>
      <c r="D68" s="222"/>
      <c r="E68" s="222"/>
      <c r="F68" s="28"/>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row>
    <row r="69" spans="1:35" s="6" customFormat="1" x14ac:dyDescent="0.2">
      <c r="A69" s="222"/>
      <c r="B69" s="222"/>
      <c r="C69" s="222"/>
      <c r="D69" s="222"/>
      <c r="E69" s="222"/>
      <c r="F69" s="28"/>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row>
    <row r="70" spans="1:35" s="6" customFormat="1" x14ac:dyDescent="0.2">
      <c r="A70" s="222" t="s">
        <v>153</v>
      </c>
      <c r="B70" s="222" t="s">
        <v>7</v>
      </c>
      <c r="C70" s="222" t="s">
        <v>135</v>
      </c>
      <c r="D70" s="222" t="str">
        <f>A70&amp;B70</f>
        <v>Option 5NPV</v>
      </c>
      <c r="E70" s="214"/>
      <c r="F70" s="28">
        <f t="shared" ref="F70:F79" si="8">SUMPRODUCT($H70:$AG70, $H$5:$AG$5)</f>
        <v>0</v>
      </c>
      <c r="G70" s="217"/>
      <c r="H70" s="28">
        <f>(INDEX(Option5!H$104:H$115, MATCH($D70, Option5!$G$104:$G$115,0)))*conv_2026*H$7</f>
        <v>0</v>
      </c>
      <c r="I70" s="28">
        <f>(INDEX(Option5!I$104:I$115, MATCH($D70, Option5!$G$104:$G$115,0)))*conv_2026*I$7</f>
        <v>0</v>
      </c>
      <c r="J70" s="28">
        <f>(INDEX(Option5!J$104:J$115, MATCH($D70, Option5!$G$104:$G$115,0)))*conv_2026*J$7</f>
        <v>0</v>
      </c>
      <c r="K70" s="28">
        <f>(INDEX(Option5!K$104:K$115, MATCH($D70, Option5!$G$104:$G$115,0)))*conv_2026*K$7</f>
        <v>0</v>
      </c>
      <c r="L70" s="28">
        <f>(INDEX(Option5!L$104:L$115, MATCH($D70, Option5!$G$104:$G$115,0)))*conv_2026*L$7</f>
        <v>0</v>
      </c>
      <c r="M70" s="28">
        <f>(INDEX(Option5!M$104:M$115, MATCH($D70, Option5!$G$104:$G$115,0)))*conv_2026*M$7</f>
        <v>0</v>
      </c>
      <c r="N70" s="28">
        <f>(INDEX(Option5!N$104:N$115, MATCH($D70, Option5!$G$104:$G$115,0)))*conv_2026*N$7</f>
        <v>0</v>
      </c>
      <c r="O70" s="28">
        <f>(INDEX(Option5!O$104:O$115, MATCH($D70, Option5!$G$104:$G$115,0)))*conv_2026*O$7</f>
        <v>0</v>
      </c>
      <c r="P70" s="28">
        <f>(INDEX(Option5!P$104:P$115, MATCH($D70, Option5!$G$104:$G$115,0)))*conv_2026*P$7</f>
        <v>0</v>
      </c>
      <c r="Q70" s="28">
        <f>(INDEX(Option5!Q$104:Q$115, MATCH($D70, Option5!$G$104:$G$115,0)))*conv_2026*Q$7</f>
        <v>0</v>
      </c>
      <c r="R70" s="28">
        <f>(INDEX(Option5!R$104:R$115, MATCH($D70, Option5!$G$104:$G$115,0)))*conv_2026*R$7</f>
        <v>0</v>
      </c>
      <c r="S70" s="28">
        <f>(INDEX(Option5!S$104:S$115, MATCH($D70, Option5!$G$104:$G$115,0)))*conv_2026*S$7</f>
        <v>0</v>
      </c>
      <c r="T70" s="28">
        <f>(INDEX(Option5!T$104:T$115, MATCH($D70, Option5!$G$104:$G$115,0)))*conv_2026*T$7</f>
        <v>0</v>
      </c>
      <c r="U70" s="28">
        <f>(INDEX(Option5!U$104:U$115, MATCH($D70, Option5!$G$104:$G$115,0)))*conv_2026*U$7</f>
        <v>0</v>
      </c>
      <c r="V70" s="28">
        <f>(INDEX(Option5!V$104:V$115, MATCH($D70, Option5!$G$104:$G$115,0)))*conv_2026*V$7</f>
        <v>0</v>
      </c>
      <c r="W70" s="28">
        <f>(INDEX(Option5!W$104:W$115, MATCH($D70, Option5!$G$104:$G$115,0)))*conv_2026*W$7</f>
        <v>0</v>
      </c>
      <c r="X70" s="28">
        <f>(INDEX(Option5!X$104:X$115, MATCH($D70, Option5!$G$104:$G$115,0)))*conv_2026*X$7</f>
        <v>0</v>
      </c>
      <c r="Y70" s="28">
        <f>(INDEX(Option5!Y$104:Y$115, MATCH($D70, Option5!$G$104:$G$115,0)))*conv_2026*Y$7</f>
        <v>0</v>
      </c>
      <c r="Z70" s="28">
        <f>(INDEX(Option5!Z$104:Z$115, MATCH($D70, Option5!$G$104:$G$115,0)))*conv_2026*Z$7</f>
        <v>0</v>
      </c>
      <c r="AA70" s="28">
        <f>(INDEX(Option5!AA$104:AA$115, MATCH($D70, Option5!$G$104:$G$115,0)))*conv_2026*AA$7</f>
        <v>0</v>
      </c>
      <c r="AB70" s="28">
        <f>(INDEX(Option5!AB$104:AB$115, MATCH($D70, Option5!$G$104:$G$115,0)))*conv_2026*AB$7</f>
        <v>0</v>
      </c>
      <c r="AC70" s="28">
        <f>(INDEX(Option5!AC$104:AC$115, MATCH($D70, Option5!$G$104:$G$115,0)))*conv_2026*AC$7</f>
        <v>0</v>
      </c>
      <c r="AD70" s="28">
        <f>(INDEX(Option5!AD$104:AD$115, MATCH($D70, Option5!$G$104:$G$115,0)))*conv_2026*AD$7</f>
        <v>0</v>
      </c>
      <c r="AE70" s="28">
        <f>(INDEX(Option5!AE$104:AE$115, MATCH($D70, Option5!$G$104:$G$115,0)))*conv_2026*AE$7</f>
        <v>0</v>
      </c>
      <c r="AF70" s="28">
        <f>(INDEX(Option5!AF$104:AF$115, MATCH($D70, Option5!$G$104:$G$115,0)))*conv_2026*AF$7</f>
        <v>0</v>
      </c>
      <c r="AG70" s="28">
        <f>(INDEX(Option5!AG$104:AG$115, MATCH($D70, Option5!$G$104:$G$115,0)))*conv_2026*AG$7</f>
        <v>0</v>
      </c>
      <c r="AH70" s="2"/>
      <c r="AI70" s="2"/>
    </row>
    <row r="71" spans="1:35" s="6" customFormat="1" x14ac:dyDescent="0.2">
      <c r="A71" s="216"/>
      <c r="B71" s="216"/>
      <c r="C71" s="216"/>
      <c r="D71" s="216"/>
      <c r="E71" s="216"/>
      <c r="F71" s="216"/>
      <c r="G71" s="217"/>
      <c r="H71" s="217"/>
      <c r="I71" s="217"/>
      <c r="J71" s="217"/>
      <c r="K71" s="217"/>
      <c r="L71" s="217"/>
      <c r="M71" s="217"/>
      <c r="N71" s="217"/>
      <c r="O71" s="217"/>
      <c r="P71" s="217"/>
      <c r="Q71" s="217"/>
      <c r="R71" s="217"/>
      <c r="S71" s="217"/>
      <c r="T71" s="217"/>
      <c r="U71" s="217"/>
      <c r="V71" s="217"/>
      <c r="W71" s="217"/>
      <c r="X71" s="217"/>
      <c r="Y71" s="217"/>
      <c r="Z71" s="217"/>
      <c r="AA71" s="217"/>
      <c r="AB71" s="217"/>
      <c r="AC71" s="217"/>
      <c r="AD71" s="217"/>
      <c r="AE71" s="217"/>
      <c r="AF71" s="217"/>
      <c r="AG71" s="217"/>
      <c r="AH71" s="2"/>
      <c r="AI71" s="2"/>
    </row>
    <row r="72" spans="1:35" s="6" customFormat="1" x14ac:dyDescent="0.2">
      <c r="A72" s="222" t="s">
        <v>153</v>
      </c>
      <c r="B72" s="222" t="str">
        <f>Option5!A108</f>
        <v>sens1</v>
      </c>
      <c r="C72" s="222" t="str">
        <f>Option5!C108</f>
        <v>Capex 10% higher</v>
      </c>
      <c r="D72" s="222" t="str">
        <f t="shared" ref="D72:D79" si="9">A72&amp;B72</f>
        <v>Option 5sens1</v>
      </c>
      <c r="E72" s="214"/>
      <c r="F72" s="28">
        <f t="shared" si="8"/>
        <v>0</v>
      </c>
      <c r="G72" s="217"/>
      <c r="H72" s="28">
        <f>(INDEX(Option5!H$104:H$115, MATCH($D72, Option5!$G$104:$G$115,0)))*conv_2026*H$7</f>
        <v>0</v>
      </c>
      <c r="I72" s="28">
        <f>(INDEX(Option5!I$104:I$115, MATCH($D72, Option5!$G$104:$G$115,0)))*conv_2026*I$7</f>
        <v>0</v>
      </c>
      <c r="J72" s="28">
        <f>(INDEX(Option5!J$104:J$115, MATCH($D72, Option5!$G$104:$G$115,0)))*conv_2026*J$7</f>
        <v>0</v>
      </c>
      <c r="K72" s="28">
        <f>(INDEX(Option5!K$104:K$115, MATCH($D72, Option5!$G$104:$G$115,0)))*conv_2026*K$7</f>
        <v>0</v>
      </c>
      <c r="L72" s="28">
        <f>(INDEX(Option5!L$104:L$115, MATCH($D72, Option5!$G$104:$G$115,0)))*conv_2026*L$7</f>
        <v>0</v>
      </c>
      <c r="M72" s="28">
        <f>(INDEX(Option5!M$104:M$115, MATCH($D72, Option5!$G$104:$G$115,0)))*conv_2026*M$7</f>
        <v>0</v>
      </c>
      <c r="N72" s="28">
        <f>(INDEX(Option5!N$104:N$115, MATCH($D72, Option5!$G$104:$G$115,0)))*conv_2026*N$7</f>
        <v>0</v>
      </c>
      <c r="O72" s="28">
        <f>(INDEX(Option5!O$104:O$115, MATCH($D72, Option5!$G$104:$G$115,0)))*conv_2026*O$7</f>
        <v>0</v>
      </c>
      <c r="P72" s="28">
        <f>(INDEX(Option5!P$104:P$115, MATCH($D72, Option5!$G$104:$G$115,0)))*conv_2026*P$7</f>
        <v>0</v>
      </c>
      <c r="Q72" s="28">
        <f>(INDEX(Option5!Q$104:Q$115, MATCH($D72, Option5!$G$104:$G$115,0)))*conv_2026*Q$7</f>
        <v>0</v>
      </c>
      <c r="R72" s="28">
        <f>(INDEX(Option5!R$104:R$115, MATCH($D72, Option5!$G$104:$G$115,0)))*conv_2026*R$7</f>
        <v>0</v>
      </c>
      <c r="S72" s="28">
        <f>(INDEX(Option5!S$104:S$115, MATCH($D72, Option5!$G$104:$G$115,0)))*conv_2026*S$7</f>
        <v>0</v>
      </c>
      <c r="T72" s="28">
        <f>(INDEX(Option5!T$104:T$115, MATCH($D72, Option5!$G$104:$G$115,0)))*conv_2026*T$7</f>
        <v>0</v>
      </c>
      <c r="U72" s="28">
        <f>(INDEX(Option5!U$104:U$115, MATCH($D72, Option5!$G$104:$G$115,0)))*conv_2026*U$7</f>
        <v>0</v>
      </c>
      <c r="V72" s="28">
        <f>(INDEX(Option5!V$104:V$115, MATCH($D72, Option5!$G$104:$G$115,0)))*conv_2026*V$7</f>
        <v>0</v>
      </c>
      <c r="W72" s="28">
        <f>(INDEX(Option5!W$104:W$115, MATCH($D72, Option5!$G$104:$G$115,0)))*conv_2026*W$7</f>
        <v>0</v>
      </c>
      <c r="X72" s="28">
        <f>(INDEX(Option5!X$104:X$115, MATCH($D72, Option5!$G$104:$G$115,0)))*conv_2026*X$7</f>
        <v>0</v>
      </c>
      <c r="Y72" s="28">
        <f>(INDEX(Option5!Y$104:Y$115, MATCH($D72, Option5!$G$104:$G$115,0)))*conv_2026*Y$7</f>
        <v>0</v>
      </c>
      <c r="Z72" s="28">
        <f>(INDEX(Option5!Z$104:Z$115, MATCH($D72, Option5!$G$104:$G$115,0)))*conv_2026*Z$7</f>
        <v>0</v>
      </c>
      <c r="AA72" s="28">
        <f>(INDEX(Option5!AA$104:AA$115, MATCH($D72, Option5!$G$104:$G$115,0)))*conv_2026*AA$7</f>
        <v>0</v>
      </c>
      <c r="AB72" s="28">
        <f>(INDEX(Option5!AB$104:AB$115, MATCH($D72, Option5!$G$104:$G$115,0)))*conv_2026*AB$7</f>
        <v>0</v>
      </c>
      <c r="AC72" s="28">
        <f>(INDEX(Option5!AC$104:AC$115, MATCH($D72, Option5!$G$104:$G$115,0)))*conv_2026*AC$7</f>
        <v>0</v>
      </c>
      <c r="AD72" s="28">
        <f>(INDEX(Option5!AD$104:AD$115, MATCH($D72, Option5!$G$104:$G$115,0)))*conv_2026*AD$7</f>
        <v>0</v>
      </c>
      <c r="AE72" s="28">
        <f>(INDEX(Option5!AE$104:AE$115, MATCH($D72, Option5!$G$104:$G$115,0)))*conv_2026*AE$7</f>
        <v>0</v>
      </c>
      <c r="AF72" s="28">
        <f>(INDEX(Option5!AF$104:AF$115, MATCH($D72, Option5!$G$104:$G$115,0)))*conv_2026*AF$7</f>
        <v>0</v>
      </c>
      <c r="AG72" s="28">
        <f>(INDEX(Option5!AG$104:AG$115, MATCH($D72, Option5!$G$104:$G$115,0)))*conv_2026*AG$7</f>
        <v>0</v>
      </c>
      <c r="AH72" s="2"/>
      <c r="AI72" s="2"/>
    </row>
    <row r="73" spans="1:35" s="6" customFormat="1" x14ac:dyDescent="0.2">
      <c r="A73" s="222" t="s">
        <v>153</v>
      </c>
      <c r="B73" s="222" t="str">
        <f>Option5!A109</f>
        <v>sens2</v>
      </c>
      <c r="C73" s="222" t="str">
        <f>Option5!C109</f>
        <v>Capex 10% lower</v>
      </c>
      <c r="D73" s="222" t="str">
        <f t="shared" si="9"/>
        <v>Option 5sens2</v>
      </c>
      <c r="E73" s="214"/>
      <c r="F73" s="28">
        <f t="shared" si="8"/>
        <v>0</v>
      </c>
      <c r="G73" s="222"/>
      <c r="H73" s="28">
        <f>(INDEX(Option5!H$104:H$115, MATCH($D73, Option5!$G$104:$G$115,0)))*conv_2026*H$7</f>
        <v>0</v>
      </c>
      <c r="I73" s="28">
        <f>(INDEX(Option5!I$104:I$115, MATCH($D73, Option5!$G$104:$G$115,0)))*conv_2026*I$7</f>
        <v>0</v>
      </c>
      <c r="J73" s="28">
        <f>(INDEX(Option5!J$104:J$115, MATCH($D73, Option5!$G$104:$G$115,0)))*conv_2026*J$7</f>
        <v>0</v>
      </c>
      <c r="K73" s="28">
        <f>(INDEX(Option5!K$104:K$115, MATCH($D73, Option5!$G$104:$G$115,0)))*conv_2026*K$7</f>
        <v>0</v>
      </c>
      <c r="L73" s="28">
        <f>(INDEX(Option5!L$104:L$115, MATCH($D73, Option5!$G$104:$G$115,0)))*conv_2026*L$7</f>
        <v>0</v>
      </c>
      <c r="M73" s="28">
        <f>(INDEX(Option5!M$104:M$115, MATCH($D73, Option5!$G$104:$G$115,0)))*conv_2026*M$7</f>
        <v>0</v>
      </c>
      <c r="N73" s="28">
        <f>(INDEX(Option5!N$104:N$115, MATCH($D73, Option5!$G$104:$G$115,0)))*conv_2026*N$7</f>
        <v>0</v>
      </c>
      <c r="O73" s="28">
        <f>(INDEX(Option5!O$104:O$115, MATCH($D73, Option5!$G$104:$G$115,0)))*conv_2026*O$7</f>
        <v>0</v>
      </c>
      <c r="P73" s="28">
        <f>(INDEX(Option5!P$104:P$115, MATCH($D73, Option5!$G$104:$G$115,0)))*conv_2026*P$7</f>
        <v>0</v>
      </c>
      <c r="Q73" s="28">
        <f>(INDEX(Option5!Q$104:Q$115, MATCH($D73, Option5!$G$104:$G$115,0)))*conv_2026*Q$7</f>
        <v>0</v>
      </c>
      <c r="R73" s="28">
        <f>(INDEX(Option5!R$104:R$115, MATCH($D73, Option5!$G$104:$G$115,0)))*conv_2026*R$7</f>
        <v>0</v>
      </c>
      <c r="S73" s="28">
        <f>(INDEX(Option5!S$104:S$115, MATCH($D73, Option5!$G$104:$G$115,0)))*conv_2026*S$7</f>
        <v>0</v>
      </c>
      <c r="T73" s="28">
        <f>(INDEX(Option5!T$104:T$115, MATCH($D73, Option5!$G$104:$G$115,0)))*conv_2026*T$7</f>
        <v>0</v>
      </c>
      <c r="U73" s="28">
        <f>(INDEX(Option5!U$104:U$115, MATCH($D73, Option5!$G$104:$G$115,0)))*conv_2026*U$7</f>
        <v>0</v>
      </c>
      <c r="V73" s="28">
        <f>(INDEX(Option5!V$104:V$115, MATCH($D73, Option5!$G$104:$G$115,0)))*conv_2026*V$7</f>
        <v>0</v>
      </c>
      <c r="W73" s="28">
        <f>(INDEX(Option5!W$104:W$115, MATCH($D73, Option5!$G$104:$G$115,0)))*conv_2026*W$7</f>
        <v>0</v>
      </c>
      <c r="X73" s="28">
        <f>(INDEX(Option5!X$104:X$115, MATCH($D73, Option5!$G$104:$G$115,0)))*conv_2026*X$7</f>
        <v>0</v>
      </c>
      <c r="Y73" s="28">
        <f>(INDEX(Option5!Y$104:Y$115, MATCH($D73, Option5!$G$104:$G$115,0)))*conv_2026*Y$7</f>
        <v>0</v>
      </c>
      <c r="Z73" s="28">
        <f>(INDEX(Option5!Z$104:Z$115, MATCH($D73, Option5!$G$104:$G$115,0)))*conv_2026*Z$7</f>
        <v>0</v>
      </c>
      <c r="AA73" s="28">
        <f>(INDEX(Option5!AA$104:AA$115, MATCH($D73, Option5!$G$104:$G$115,0)))*conv_2026*AA$7</f>
        <v>0</v>
      </c>
      <c r="AB73" s="28">
        <f>(INDEX(Option5!AB$104:AB$115, MATCH($D73, Option5!$G$104:$G$115,0)))*conv_2026*AB$7</f>
        <v>0</v>
      </c>
      <c r="AC73" s="28">
        <f>(INDEX(Option5!AC$104:AC$115, MATCH($D73, Option5!$G$104:$G$115,0)))*conv_2026*AC$7</f>
        <v>0</v>
      </c>
      <c r="AD73" s="28">
        <f>(INDEX(Option5!AD$104:AD$115, MATCH($D73, Option5!$G$104:$G$115,0)))*conv_2026*AD$7</f>
        <v>0</v>
      </c>
      <c r="AE73" s="28">
        <f>(INDEX(Option5!AE$104:AE$115, MATCH($D73, Option5!$G$104:$G$115,0)))*conv_2026*AE$7</f>
        <v>0</v>
      </c>
      <c r="AF73" s="28">
        <f>(INDEX(Option5!AF$104:AF$115, MATCH($D73, Option5!$G$104:$G$115,0)))*conv_2026*AF$7</f>
        <v>0</v>
      </c>
      <c r="AG73" s="28">
        <f>(INDEX(Option5!AG$104:AG$115, MATCH($D73, Option5!$G$104:$G$115,0)))*conv_2026*AG$7</f>
        <v>0</v>
      </c>
    </row>
    <row r="74" spans="1:35" s="6" customFormat="1" x14ac:dyDescent="0.2">
      <c r="A74" s="222" t="s">
        <v>153</v>
      </c>
      <c r="B74" s="222" t="str">
        <f>Option5!A110</f>
        <v>sens3</v>
      </c>
      <c r="C74" s="222" t="str">
        <f>Option5!C110</f>
        <v>Total benefits 10% higher</v>
      </c>
      <c r="D74" s="222" t="str">
        <f t="shared" si="9"/>
        <v>Option 5sens3</v>
      </c>
      <c r="E74" s="214"/>
      <c r="F74" s="28">
        <f t="shared" si="8"/>
        <v>0</v>
      </c>
      <c r="H74" s="28">
        <f>(INDEX(Option5!H$104:H$115, MATCH($D74, Option5!$G$104:$G$115,0)))*conv_2026*H$7</f>
        <v>0</v>
      </c>
      <c r="I74" s="28">
        <f>(INDEX(Option5!I$104:I$115, MATCH($D74, Option5!$G$104:$G$115,0)))*conv_2026*I$7</f>
        <v>0</v>
      </c>
      <c r="J74" s="28">
        <f>(INDEX(Option5!J$104:J$115, MATCH($D74, Option5!$G$104:$G$115,0)))*conv_2026*J$7</f>
        <v>0</v>
      </c>
      <c r="K74" s="28">
        <f>(INDEX(Option5!K$104:K$115, MATCH($D74, Option5!$G$104:$G$115,0)))*conv_2026*K$7</f>
        <v>0</v>
      </c>
      <c r="L74" s="28">
        <f>(INDEX(Option5!L$104:L$115, MATCH($D74, Option5!$G$104:$G$115,0)))*conv_2026*L$7</f>
        <v>0</v>
      </c>
      <c r="M74" s="28">
        <f>(INDEX(Option5!M$104:M$115, MATCH($D74, Option5!$G$104:$G$115,0)))*conv_2026*M$7</f>
        <v>0</v>
      </c>
      <c r="N74" s="28">
        <f>(INDEX(Option5!N$104:N$115, MATCH($D74, Option5!$G$104:$G$115,0)))*conv_2026*N$7</f>
        <v>0</v>
      </c>
      <c r="O74" s="28">
        <f>(INDEX(Option5!O$104:O$115, MATCH($D74, Option5!$G$104:$G$115,0)))*conv_2026*O$7</f>
        <v>0</v>
      </c>
      <c r="P74" s="28">
        <f>(INDEX(Option5!P$104:P$115, MATCH($D74, Option5!$G$104:$G$115,0)))*conv_2026*P$7</f>
        <v>0</v>
      </c>
      <c r="Q74" s="28">
        <f>(INDEX(Option5!Q$104:Q$115, MATCH($D74, Option5!$G$104:$G$115,0)))*conv_2026*Q$7</f>
        <v>0</v>
      </c>
      <c r="R74" s="28">
        <f>(INDEX(Option5!R$104:R$115, MATCH($D74, Option5!$G$104:$G$115,0)))*conv_2026*R$7</f>
        <v>0</v>
      </c>
      <c r="S74" s="28">
        <f>(INDEX(Option5!S$104:S$115, MATCH($D74, Option5!$G$104:$G$115,0)))*conv_2026*S$7</f>
        <v>0</v>
      </c>
      <c r="T74" s="28">
        <f>(INDEX(Option5!T$104:T$115, MATCH($D74, Option5!$G$104:$G$115,0)))*conv_2026*T$7</f>
        <v>0</v>
      </c>
      <c r="U74" s="28">
        <f>(INDEX(Option5!U$104:U$115, MATCH($D74, Option5!$G$104:$G$115,0)))*conv_2026*U$7</f>
        <v>0</v>
      </c>
      <c r="V74" s="28">
        <f>(INDEX(Option5!V$104:V$115, MATCH($D74, Option5!$G$104:$G$115,0)))*conv_2026*V$7</f>
        <v>0</v>
      </c>
      <c r="W74" s="28">
        <f>(INDEX(Option5!W$104:W$115, MATCH($D74, Option5!$G$104:$G$115,0)))*conv_2026*W$7</f>
        <v>0</v>
      </c>
      <c r="X74" s="28">
        <f>(INDEX(Option5!X$104:X$115, MATCH($D74, Option5!$G$104:$G$115,0)))*conv_2026*X$7</f>
        <v>0</v>
      </c>
      <c r="Y74" s="28">
        <f>(INDEX(Option5!Y$104:Y$115, MATCH($D74, Option5!$G$104:$G$115,0)))*conv_2026*Y$7</f>
        <v>0</v>
      </c>
      <c r="Z74" s="28">
        <f>(INDEX(Option5!Z$104:Z$115, MATCH($D74, Option5!$G$104:$G$115,0)))*conv_2026*Z$7</f>
        <v>0</v>
      </c>
      <c r="AA74" s="28">
        <f>(INDEX(Option5!AA$104:AA$115, MATCH($D74, Option5!$G$104:$G$115,0)))*conv_2026*AA$7</f>
        <v>0</v>
      </c>
      <c r="AB74" s="28">
        <f>(INDEX(Option5!AB$104:AB$115, MATCH($D74, Option5!$G$104:$G$115,0)))*conv_2026*AB$7</f>
        <v>0</v>
      </c>
      <c r="AC74" s="28">
        <f>(INDEX(Option5!AC$104:AC$115, MATCH($D74, Option5!$G$104:$G$115,0)))*conv_2026*AC$7</f>
        <v>0</v>
      </c>
      <c r="AD74" s="28">
        <f>(INDEX(Option5!AD$104:AD$115, MATCH($D74, Option5!$G$104:$G$115,0)))*conv_2026*AD$7</f>
        <v>0</v>
      </c>
      <c r="AE74" s="28">
        <f>(INDEX(Option5!AE$104:AE$115, MATCH($D74, Option5!$G$104:$G$115,0)))*conv_2026*AE$7</f>
        <v>0</v>
      </c>
      <c r="AF74" s="28">
        <f>(INDEX(Option5!AF$104:AF$115, MATCH($D74, Option5!$G$104:$G$115,0)))*conv_2026*AF$7</f>
        <v>0</v>
      </c>
      <c r="AG74" s="28">
        <f>(INDEX(Option5!AG$104:AG$115, MATCH($D74, Option5!$G$104:$G$115,0)))*conv_2026*AG$7</f>
        <v>0</v>
      </c>
    </row>
    <row r="75" spans="1:35" s="6" customFormat="1" x14ac:dyDescent="0.2">
      <c r="A75" s="222" t="s">
        <v>153</v>
      </c>
      <c r="B75" s="222" t="str">
        <f>Option5!A111</f>
        <v>sens4</v>
      </c>
      <c r="C75" s="222" t="str">
        <f>Option5!C111</f>
        <v>Total benefits 10% lower</v>
      </c>
      <c r="D75" s="222" t="str">
        <f t="shared" si="9"/>
        <v>Option 5sens4</v>
      </c>
      <c r="E75" s="214"/>
      <c r="F75" s="28">
        <f t="shared" si="8"/>
        <v>0</v>
      </c>
      <c r="H75" s="28">
        <f>(INDEX(Option5!H$104:H$115, MATCH($D75, Option5!$G$104:$G$115,0)))*conv_2026*H$7</f>
        <v>0</v>
      </c>
      <c r="I75" s="28">
        <f>(INDEX(Option5!I$104:I$115, MATCH($D75, Option5!$G$104:$G$115,0)))*conv_2026*I$7</f>
        <v>0</v>
      </c>
      <c r="J75" s="28">
        <f>(INDEX(Option5!J$104:J$115, MATCH($D75, Option5!$G$104:$G$115,0)))*conv_2026*J$7</f>
        <v>0</v>
      </c>
      <c r="K75" s="28">
        <f>(INDEX(Option5!K$104:K$115, MATCH($D75, Option5!$G$104:$G$115,0)))*conv_2026*K$7</f>
        <v>0</v>
      </c>
      <c r="L75" s="28">
        <f>(INDEX(Option5!L$104:L$115, MATCH($D75, Option5!$G$104:$G$115,0)))*conv_2026*L$7</f>
        <v>0</v>
      </c>
      <c r="M75" s="28">
        <f>(INDEX(Option5!M$104:M$115, MATCH($D75, Option5!$G$104:$G$115,0)))*conv_2026*M$7</f>
        <v>0</v>
      </c>
      <c r="N75" s="28">
        <f>(INDEX(Option5!N$104:N$115, MATCH($D75, Option5!$G$104:$G$115,0)))*conv_2026*N$7</f>
        <v>0</v>
      </c>
      <c r="O75" s="28">
        <f>(INDEX(Option5!O$104:O$115, MATCH($D75, Option5!$G$104:$G$115,0)))*conv_2026*O$7</f>
        <v>0</v>
      </c>
      <c r="P75" s="28">
        <f>(INDEX(Option5!P$104:P$115, MATCH($D75, Option5!$G$104:$G$115,0)))*conv_2026*P$7</f>
        <v>0</v>
      </c>
      <c r="Q75" s="28">
        <f>(INDEX(Option5!Q$104:Q$115, MATCH($D75, Option5!$G$104:$G$115,0)))*conv_2026*Q$7</f>
        <v>0</v>
      </c>
      <c r="R75" s="28">
        <f>(INDEX(Option5!R$104:R$115, MATCH($D75, Option5!$G$104:$G$115,0)))*conv_2026*R$7</f>
        <v>0</v>
      </c>
      <c r="S75" s="28">
        <f>(INDEX(Option5!S$104:S$115, MATCH($D75, Option5!$G$104:$G$115,0)))*conv_2026*S$7</f>
        <v>0</v>
      </c>
      <c r="T75" s="28">
        <f>(INDEX(Option5!T$104:T$115, MATCH($D75, Option5!$G$104:$G$115,0)))*conv_2026*T$7</f>
        <v>0</v>
      </c>
      <c r="U75" s="28">
        <f>(INDEX(Option5!U$104:U$115, MATCH($D75, Option5!$G$104:$G$115,0)))*conv_2026*U$7</f>
        <v>0</v>
      </c>
      <c r="V75" s="28">
        <f>(INDEX(Option5!V$104:V$115, MATCH($D75, Option5!$G$104:$G$115,0)))*conv_2026*V$7</f>
        <v>0</v>
      </c>
      <c r="W75" s="28">
        <f>(INDEX(Option5!W$104:W$115, MATCH($D75, Option5!$G$104:$G$115,0)))*conv_2026*W$7</f>
        <v>0</v>
      </c>
      <c r="X75" s="28">
        <f>(INDEX(Option5!X$104:X$115, MATCH($D75, Option5!$G$104:$G$115,0)))*conv_2026*X$7</f>
        <v>0</v>
      </c>
      <c r="Y75" s="28">
        <f>(INDEX(Option5!Y$104:Y$115, MATCH($D75, Option5!$G$104:$G$115,0)))*conv_2026*Y$7</f>
        <v>0</v>
      </c>
      <c r="Z75" s="28">
        <f>(INDEX(Option5!Z$104:Z$115, MATCH($D75, Option5!$G$104:$G$115,0)))*conv_2026*Z$7</f>
        <v>0</v>
      </c>
      <c r="AA75" s="28">
        <f>(INDEX(Option5!AA$104:AA$115, MATCH($D75, Option5!$G$104:$G$115,0)))*conv_2026*AA$7</f>
        <v>0</v>
      </c>
      <c r="AB75" s="28">
        <f>(INDEX(Option5!AB$104:AB$115, MATCH($D75, Option5!$G$104:$G$115,0)))*conv_2026*AB$7</f>
        <v>0</v>
      </c>
      <c r="AC75" s="28">
        <f>(INDEX(Option5!AC$104:AC$115, MATCH($D75, Option5!$G$104:$G$115,0)))*conv_2026*AC$7</f>
        <v>0</v>
      </c>
      <c r="AD75" s="28">
        <f>(INDEX(Option5!AD$104:AD$115, MATCH($D75, Option5!$G$104:$G$115,0)))*conv_2026*AD$7</f>
        <v>0</v>
      </c>
      <c r="AE75" s="28">
        <f>(INDEX(Option5!AE$104:AE$115, MATCH($D75, Option5!$G$104:$G$115,0)))*conv_2026*AE$7</f>
        <v>0</v>
      </c>
      <c r="AF75" s="28">
        <f>(INDEX(Option5!AF$104:AF$115, MATCH($D75, Option5!$G$104:$G$115,0)))*conv_2026*AF$7</f>
        <v>0</v>
      </c>
      <c r="AG75" s="28">
        <f>(INDEX(Option5!AG$104:AG$115, MATCH($D75, Option5!$G$104:$G$115,0)))*conv_2026*AG$7</f>
        <v>0</v>
      </c>
    </row>
    <row r="76" spans="1:35" s="6" customFormat="1" x14ac:dyDescent="0.2">
      <c r="A76" s="222" t="s">
        <v>153</v>
      </c>
      <c r="B76" s="222" t="str">
        <f>Option5!A112</f>
        <v>sens5</v>
      </c>
      <c r="C76" s="222" t="str">
        <f>Option5!C112</f>
        <v>Capex 10% higher &amp; Total benefits 10% lower</v>
      </c>
      <c r="D76" s="222" t="str">
        <f t="shared" si="9"/>
        <v>Option 5sens5</v>
      </c>
      <c r="E76" s="214"/>
      <c r="F76" s="28">
        <f t="shared" si="8"/>
        <v>0</v>
      </c>
      <c r="H76" s="28">
        <f>(INDEX(Option5!H$104:H$115, MATCH($D76, Option5!$G$104:$G$115,0)))*conv_2026*H$7</f>
        <v>0</v>
      </c>
      <c r="I76" s="28">
        <f>(INDEX(Option5!I$104:I$115, MATCH($D76, Option5!$G$104:$G$115,0)))*conv_2026*I$7</f>
        <v>0</v>
      </c>
      <c r="J76" s="28">
        <f>(INDEX(Option5!J$104:J$115, MATCH($D76, Option5!$G$104:$G$115,0)))*conv_2026*J$7</f>
        <v>0</v>
      </c>
      <c r="K76" s="28">
        <f>(INDEX(Option5!K$104:K$115, MATCH($D76, Option5!$G$104:$G$115,0)))*conv_2026*K$7</f>
        <v>0</v>
      </c>
      <c r="L76" s="28">
        <f>(INDEX(Option5!L$104:L$115, MATCH($D76, Option5!$G$104:$G$115,0)))*conv_2026*L$7</f>
        <v>0</v>
      </c>
      <c r="M76" s="28">
        <f>(INDEX(Option5!M$104:M$115, MATCH($D76, Option5!$G$104:$G$115,0)))*conv_2026*M$7</f>
        <v>0</v>
      </c>
      <c r="N76" s="28">
        <f>(INDEX(Option5!N$104:N$115, MATCH($D76, Option5!$G$104:$G$115,0)))*conv_2026*N$7</f>
        <v>0</v>
      </c>
      <c r="O76" s="28">
        <f>(INDEX(Option5!O$104:O$115, MATCH($D76, Option5!$G$104:$G$115,0)))*conv_2026*O$7</f>
        <v>0</v>
      </c>
      <c r="P76" s="28">
        <f>(INDEX(Option5!P$104:P$115, MATCH($D76, Option5!$G$104:$G$115,0)))*conv_2026*P$7</f>
        <v>0</v>
      </c>
      <c r="Q76" s="28">
        <f>(INDEX(Option5!Q$104:Q$115, MATCH($D76, Option5!$G$104:$G$115,0)))*conv_2026*Q$7</f>
        <v>0</v>
      </c>
      <c r="R76" s="28">
        <f>(INDEX(Option5!R$104:R$115, MATCH($D76, Option5!$G$104:$G$115,0)))*conv_2026*R$7</f>
        <v>0</v>
      </c>
      <c r="S76" s="28">
        <f>(INDEX(Option5!S$104:S$115, MATCH($D76, Option5!$G$104:$G$115,0)))*conv_2026*S$7</f>
        <v>0</v>
      </c>
      <c r="T76" s="28">
        <f>(INDEX(Option5!T$104:T$115, MATCH($D76, Option5!$G$104:$G$115,0)))*conv_2026*T$7</f>
        <v>0</v>
      </c>
      <c r="U76" s="28">
        <f>(INDEX(Option5!U$104:U$115, MATCH($D76, Option5!$G$104:$G$115,0)))*conv_2026*U$7</f>
        <v>0</v>
      </c>
      <c r="V76" s="28">
        <f>(INDEX(Option5!V$104:V$115, MATCH($D76, Option5!$G$104:$G$115,0)))*conv_2026*V$7</f>
        <v>0</v>
      </c>
      <c r="W76" s="28">
        <f>(INDEX(Option5!W$104:W$115, MATCH($D76, Option5!$G$104:$G$115,0)))*conv_2026*W$7</f>
        <v>0</v>
      </c>
      <c r="X76" s="28">
        <f>(INDEX(Option5!X$104:X$115, MATCH($D76, Option5!$G$104:$G$115,0)))*conv_2026*X$7</f>
        <v>0</v>
      </c>
      <c r="Y76" s="28">
        <f>(INDEX(Option5!Y$104:Y$115, MATCH($D76, Option5!$G$104:$G$115,0)))*conv_2026*Y$7</f>
        <v>0</v>
      </c>
      <c r="Z76" s="28">
        <f>(INDEX(Option5!Z$104:Z$115, MATCH($D76, Option5!$G$104:$G$115,0)))*conv_2026*Z$7</f>
        <v>0</v>
      </c>
      <c r="AA76" s="28">
        <f>(INDEX(Option5!AA$104:AA$115, MATCH($D76, Option5!$G$104:$G$115,0)))*conv_2026*AA$7</f>
        <v>0</v>
      </c>
      <c r="AB76" s="28">
        <f>(INDEX(Option5!AB$104:AB$115, MATCH($D76, Option5!$G$104:$G$115,0)))*conv_2026*AB$7</f>
        <v>0</v>
      </c>
      <c r="AC76" s="28">
        <f>(INDEX(Option5!AC$104:AC$115, MATCH($D76, Option5!$G$104:$G$115,0)))*conv_2026*AC$7</f>
        <v>0</v>
      </c>
      <c r="AD76" s="28">
        <f>(INDEX(Option5!AD$104:AD$115, MATCH($D76, Option5!$G$104:$G$115,0)))*conv_2026*AD$7</f>
        <v>0</v>
      </c>
      <c r="AE76" s="28">
        <f>(INDEX(Option5!AE$104:AE$115, MATCH($D76, Option5!$G$104:$G$115,0)))*conv_2026*AE$7</f>
        <v>0</v>
      </c>
      <c r="AF76" s="28">
        <f>(INDEX(Option5!AF$104:AF$115, MATCH($D76, Option5!$G$104:$G$115,0)))*conv_2026*AF$7</f>
        <v>0</v>
      </c>
      <c r="AG76" s="28">
        <f>(INDEX(Option5!AG$104:AG$115, MATCH($D76, Option5!$G$104:$G$115,0)))*conv_2026*AG$7</f>
        <v>0</v>
      </c>
    </row>
    <row r="77" spans="1:35" s="6" customFormat="1" x14ac:dyDescent="0.2">
      <c r="A77" s="222" t="s">
        <v>153</v>
      </c>
      <c r="B77" s="222" t="str">
        <f>Option5!A113</f>
        <v>sens</v>
      </c>
      <c r="C77" s="222">
        <f>Option5!C113</f>
        <v>0</v>
      </c>
      <c r="D77" s="222" t="str">
        <f t="shared" si="9"/>
        <v>Option 5sens</v>
      </c>
      <c r="E77" s="214"/>
      <c r="F77" s="28">
        <f t="shared" si="8"/>
        <v>0</v>
      </c>
      <c r="H77" s="28">
        <f>(INDEX(Option5!H$104:H$115, MATCH($D77, Option5!$G$104:$G$115,0)))*conv_2026*H$7</f>
        <v>0</v>
      </c>
      <c r="I77" s="28">
        <f>(INDEX(Option5!I$104:I$115, MATCH($D77, Option5!$G$104:$G$115,0)))*conv_2026*I$7</f>
        <v>0</v>
      </c>
      <c r="J77" s="28">
        <f>(INDEX(Option5!J$104:J$115, MATCH($D77, Option5!$G$104:$G$115,0)))*conv_2026*J$7</f>
        <v>0</v>
      </c>
      <c r="K77" s="28">
        <f>(INDEX(Option5!K$104:K$115, MATCH($D77, Option5!$G$104:$G$115,0)))*conv_2026*K$7</f>
        <v>0</v>
      </c>
      <c r="L77" s="28">
        <f>(INDEX(Option5!L$104:L$115, MATCH($D77, Option5!$G$104:$G$115,0)))*conv_2026*L$7</f>
        <v>0</v>
      </c>
      <c r="M77" s="28">
        <f>(INDEX(Option5!M$104:M$115, MATCH($D77, Option5!$G$104:$G$115,0)))*conv_2026*M$7</f>
        <v>0</v>
      </c>
      <c r="N77" s="28">
        <f>(INDEX(Option5!N$104:N$115, MATCH($D77, Option5!$G$104:$G$115,0)))*conv_2026*N$7</f>
        <v>0</v>
      </c>
      <c r="O77" s="28">
        <f>(INDEX(Option5!O$104:O$115, MATCH($D77, Option5!$G$104:$G$115,0)))*conv_2026*O$7</f>
        <v>0</v>
      </c>
      <c r="P77" s="28">
        <f>(INDEX(Option5!P$104:P$115, MATCH($D77, Option5!$G$104:$G$115,0)))*conv_2026*P$7</f>
        <v>0</v>
      </c>
      <c r="Q77" s="28">
        <f>(INDEX(Option5!Q$104:Q$115, MATCH($D77, Option5!$G$104:$G$115,0)))*conv_2026*Q$7</f>
        <v>0</v>
      </c>
      <c r="R77" s="28">
        <f>(INDEX(Option5!R$104:R$115, MATCH($D77, Option5!$G$104:$G$115,0)))*conv_2026*R$7</f>
        <v>0</v>
      </c>
      <c r="S77" s="28">
        <f>(INDEX(Option5!S$104:S$115, MATCH($D77, Option5!$G$104:$G$115,0)))*conv_2026*S$7</f>
        <v>0</v>
      </c>
      <c r="T77" s="28">
        <f>(INDEX(Option5!T$104:T$115, MATCH($D77, Option5!$G$104:$G$115,0)))*conv_2026*T$7</f>
        <v>0</v>
      </c>
      <c r="U77" s="28">
        <f>(INDEX(Option5!U$104:U$115, MATCH($D77, Option5!$G$104:$G$115,0)))*conv_2026*U$7</f>
        <v>0</v>
      </c>
      <c r="V77" s="28">
        <f>(INDEX(Option5!V$104:V$115, MATCH($D77, Option5!$G$104:$G$115,0)))*conv_2026*V$7</f>
        <v>0</v>
      </c>
      <c r="W77" s="28">
        <f>(INDEX(Option5!W$104:W$115, MATCH($D77, Option5!$G$104:$G$115,0)))*conv_2026*W$7</f>
        <v>0</v>
      </c>
      <c r="X77" s="28">
        <f>(INDEX(Option5!X$104:X$115, MATCH($D77, Option5!$G$104:$G$115,0)))*conv_2026*X$7</f>
        <v>0</v>
      </c>
      <c r="Y77" s="28">
        <f>(INDEX(Option5!Y$104:Y$115, MATCH($D77, Option5!$G$104:$G$115,0)))*conv_2026*Y$7</f>
        <v>0</v>
      </c>
      <c r="Z77" s="28">
        <f>(INDEX(Option5!Z$104:Z$115, MATCH($D77, Option5!$G$104:$G$115,0)))*conv_2026*Z$7</f>
        <v>0</v>
      </c>
      <c r="AA77" s="28">
        <f>(INDEX(Option5!AA$104:AA$115, MATCH($D77, Option5!$G$104:$G$115,0)))*conv_2026*AA$7</f>
        <v>0</v>
      </c>
      <c r="AB77" s="28">
        <f>(INDEX(Option5!AB$104:AB$115, MATCH($D77, Option5!$G$104:$G$115,0)))*conv_2026*AB$7</f>
        <v>0</v>
      </c>
      <c r="AC77" s="28">
        <f>(INDEX(Option5!AC$104:AC$115, MATCH($D77, Option5!$G$104:$G$115,0)))*conv_2026*AC$7</f>
        <v>0</v>
      </c>
      <c r="AD77" s="28">
        <f>(INDEX(Option5!AD$104:AD$115, MATCH($D77, Option5!$G$104:$G$115,0)))*conv_2026*AD$7</f>
        <v>0</v>
      </c>
      <c r="AE77" s="28">
        <f>(INDEX(Option5!AE$104:AE$115, MATCH($D77, Option5!$G$104:$G$115,0)))*conv_2026*AE$7</f>
        <v>0</v>
      </c>
      <c r="AF77" s="28">
        <f>(INDEX(Option5!AF$104:AF$115, MATCH($D77, Option5!$G$104:$G$115,0)))*conv_2026*AF$7</f>
        <v>0</v>
      </c>
      <c r="AG77" s="28">
        <f>(INDEX(Option5!AG$104:AG$115, MATCH($D77, Option5!$G$104:$G$115,0)))*conv_2026*AG$7</f>
        <v>0</v>
      </c>
    </row>
    <row r="78" spans="1:35" s="6" customFormat="1" x14ac:dyDescent="0.2">
      <c r="A78" s="222" t="s">
        <v>153</v>
      </c>
      <c r="B78" s="222" t="str">
        <f>Option5!A114</f>
        <v>sens</v>
      </c>
      <c r="C78" s="222">
        <f>Option5!C114</f>
        <v>0</v>
      </c>
      <c r="D78" s="222" t="str">
        <f t="shared" si="9"/>
        <v>Option 5sens</v>
      </c>
      <c r="E78" s="214"/>
      <c r="F78" s="28">
        <f t="shared" si="8"/>
        <v>0</v>
      </c>
      <c r="H78" s="28">
        <f>(INDEX(Option5!H$104:H$115, MATCH($D78, Option5!$G$104:$G$115,0)))*conv_2026*H$7</f>
        <v>0</v>
      </c>
      <c r="I78" s="28">
        <f>(INDEX(Option5!I$104:I$115, MATCH($D78, Option5!$G$104:$G$115,0)))*conv_2026*I$7</f>
        <v>0</v>
      </c>
      <c r="J78" s="28">
        <f>(INDEX(Option5!J$104:J$115, MATCH($D78, Option5!$G$104:$G$115,0)))*conv_2026*J$7</f>
        <v>0</v>
      </c>
      <c r="K78" s="28">
        <f>(INDEX(Option5!K$104:K$115, MATCH($D78, Option5!$G$104:$G$115,0)))*conv_2026*K$7</f>
        <v>0</v>
      </c>
      <c r="L78" s="28">
        <f>(INDEX(Option5!L$104:L$115, MATCH($D78, Option5!$G$104:$G$115,0)))*conv_2026*L$7</f>
        <v>0</v>
      </c>
      <c r="M78" s="28">
        <f>(INDEX(Option5!M$104:M$115, MATCH($D78, Option5!$G$104:$G$115,0)))*conv_2026*M$7</f>
        <v>0</v>
      </c>
      <c r="N78" s="28">
        <f>(INDEX(Option5!N$104:N$115, MATCH($D78, Option5!$G$104:$G$115,0)))*conv_2026*N$7</f>
        <v>0</v>
      </c>
      <c r="O78" s="28">
        <f>(INDEX(Option5!O$104:O$115, MATCH($D78, Option5!$G$104:$G$115,0)))*conv_2026*O$7</f>
        <v>0</v>
      </c>
      <c r="P78" s="28">
        <f>(INDEX(Option5!P$104:P$115, MATCH($D78, Option5!$G$104:$G$115,0)))*conv_2026*P$7</f>
        <v>0</v>
      </c>
      <c r="Q78" s="28">
        <f>(INDEX(Option5!Q$104:Q$115, MATCH($D78, Option5!$G$104:$G$115,0)))*conv_2026*Q$7</f>
        <v>0</v>
      </c>
      <c r="R78" s="28">
        <f>(INDEX(Option5!R$104:R$115, MATCH($D78, Option5!$G$104:$G$115,0)))*conv_2026*R$7</f>
        <v>0</v>
      </c>
      <c r="S78" s="28">
        <f>(INDEX(Option5!S$104:S$115, MATCH($D78, Option5!$G$104:$G$115,0)))*conv_2026*S$7</f>
        <v>0</v>
      </c>
      <c r="T78" s="28">
        <f>(INDEX(Option5!T$104:T$115, MATCH($D78, Option5!$G$104:$G$115,0)))*conv_2026*T$7</f>
        <v>0</v>
      </c>
      <c r="U78" s="28">
        <f>(INDEX(Option5!U$104:U$115, MATCH($D78, Option5!$G$104:$G$115,0)))*conv_2026*U$7</f>
        <v>0</v>
      </c>
      <c r="V78" s="28">
        <f>(INDEX(Option5!V$104:V$115, MATCH($D78, Option5!$G$104:$G$115,0)))*conv_2026*V$7</f>
        <v>0</v>
      </c>
      <c r="W78" s="28">
        <f>(INDEX(Option5!W$104:W$115, MATCH($D78, Option5!$G$104:$G$115,0)))*conv_2026*W$7</f>
        <v>0</v>
      </c>
      <c r="X78" s="28">
        <f>(INDEX(Option5!X$104:X$115, MATCH($D78, Option5!$G$104:$G$115,0)))*conv_2026*X$7</f>
        <v>0</v>
      </c>
      <c r="Y78" s="28">
        <f>(INDEX(Option5!Y$104:Y$115, MATCH($D78, Option5!$G$104:$G$115,0)))*conv_2026*Y$7</f>
        <v>0</v>
      </c>
      <c r="Z78" s="28">
        <f>(INDEX(Option5!Z$104:Z$115, MATCH($D78, Option5!$G$104:$G$115,0)))*conv_2026*Z$7</f>
        <v>0</v>
      </c>
      <c r="AA78" s="28">
        <f>(INDEX(Option5!AA$104:AA$115, MATCH($D78, Option5!$G$104:$G$115,0)))*conv_2026*AA$7</f>
        <v>0</v>
      </c>
      <c r="AB78" s="28">
        <f>(INDEX(Option5!AB$104:AB$115, MATCH($D78, Option5!$G$104:$G$115,0)))*conv_2026*AB$7</f>
        <v>0</v>
      </c>
      <c r="AC78" s="28">
        <f>(INDEX(Option5!AC$104:AC$115, MATCH($D78, Option5!$G$104:$G$115,0)))*conv_2026*AC$7</f>
        <v>0</v>
      </c>
      <c r="AD78" s="28">
        <f>(INDEX(Option5!AD$104:AD$115, MATCH($D78, Option5!$G$104:$G$115,0)))*conv_2026*AD$7</f>
        <v>0</v>
      </c>
      <c r="AE78" s="28">
        <f>(INDEX(Option5!AE$104:AE$115, MATCH($D78, Option5!$G$104:$G$115,0)))*conv_2026*AE$7</f>
        <v>0</v>
      </c>
      <c r="AF78" s="28">
        <f>(INDEX(Option5!AF$104:AF$115, MATCH($D78, Option5!$G$104:$G$115,0)))*conv_2026*AF$7</f>
        <v>0</v>
      </c>
      <c r="AG78" s="28">
        <f>(INDEX(Option5!AG$104:AG$115, MATCH($D78, Option5!$G$104:$G$115,0)))*conv_2026*AG$7</f>
        <v>0</v>
      </c>
    </row>
    <row r="79" spans="1:35" s="6" customFormat="1" x14ac:dyDescent="0.2">
      <c r="A79" s="222" t="s">
        <v>153</v>
      </c>
      <c r="B79" s="222" t="str">
        <f>Option5!A115</f>
        <v>sens</v>
      </c>
      <c r="C79" s="222">
        <f>Option5!C115</f>
        <v>0</v>
      </c>
      <c r="D79" s="222" t="str">
        <f t="shared" si="9"/>
        <v>Option 5sens</v>
      </c>
      <c r="E79" s="214"/>
      <c r="F79" s="28">
        <f t="shared" si="8"/>
        <v>0</v>
      </c>
      <c r="H79" s="28">
        <f>(INDEX(Option5!H$104:H$115, MATCH($D79, Option5!$G$104:$G$115,0)))*conv_2026*H$7</f>
        <v>0</v>
      </c>
      <c r="I79" s="28">
        <f>(INDEX(Option5!I$104:I$115, MATCH($D79, Option5!$G$104:$G$115,0)))*conv_2026*I$7</f>
        <v>0</v>
      </c>
      <c r="J79" s="28">
        <f>(INDEX(Option5!J$104:J$115, MATCH($D79, Option5!$G$104:$G$115,0)))*conv_2026*J$7</f>
        <v>0</v>
      </c>
      <c r="K79" s="28">
        <f>(INDEX(Option5!K$104:K$115, MATCH($D79, Option5!$G$104:$G$115,0)))*conv_2026*K$7</f>
        <v>0</v>
      </c>
      <c r="L79" s="28">
        <f>(INDEX(Option5!L$104:L$115, MATCH($D79, Option5!$G$104:$G$115,0)))*conv_2026*L$7</f>
        <v>0</v>
      </c>
      <c r="M79" s="28">
        <f>(INDEX(Option5!M$104:M$115, MATCH($D79, Option5!$G$104:$G$115,0)))*conv_2026*M$7</f>
        <v>0</v>
      </c>
      <c r="N79" s="28">
        <f>(INDEX(Option5!N$104:N$115, MATCH($D79, Option5!$G$104:$G$115,0)))*conv_2026*N$7</f>
        <v>0</v>
      </c>
      <c r="O79" s="28">
        <f>(INDEX(Option5!O$104:O$115, MATCH($D79, Option5!$G$104:$G$115,0)))*conv_2026*O$7</f>
        <v>0</v>
      </c>
      <c r="P79" s="28">
        <f>(INDEX(Option5!P$104:P$115, MATCH($D79, Option5!$G$104:$G$115,0)))*conv_2026*P$7</f>
        <v>0</v>
      </c>
      <c r="Q79" s="28">
        <f>(INDEX(Option5!Q$104:Q$115, MATCH($D79, Option5!$G$104:$G$115,0)))*conv_2026*Q$7</f>
        <v>0</v>
      </c>
      <c r="R79" s="28">
        <f>(INDEX(Option5!R$104:R$115, MATCH($D79, Option5!$G$104:$G$115,0)))*conv_2026*R$7</f>
        <v>0</v>
      </c>
      <c r="S79" s="28">
        <f>(INDEX(Option5!S$104:S$115, MATCH($D79, Option5!$G$104:$G$115,0)))*conv_2026*S$7</f>
        <v>0</v>
      </c>
      <c r="T79" s="28">
        <f>(INDEX(Option5!T$104:T$115, MATCH($D79, Option5!$G$104:$G$115,0)))*conv_2026*T$7</f>
        <v>0</v>
      </c>
      <c r="U79" s="28">
        <f>(INDEX(Option5!U$104:U$115, MATCH($D79, Option5!$G$104:$G$115,0)))*conv_2026*U$7</f>
        <v>0</v>
      </c>
      <c r="V79" s="28">
        <f>(INDEX(Option5!V$104:V$115, MATCH($D79, Option5!$G$104:$G$115,0)))*conv_2026*V$7</f>
        <v>0</v>
      </c>
      <c r="W79" s="28">
        <f>(INDEX(Option5!W$104:W$115, MATCH($D79, Option5!$G$104:$G$115,0)))*conv_2026*W$7</f>
        <v>0</v>
      </c>
      <c r="X79" s="28">
        <f>(INDEX(Option5!X$104:X$115, MATCH($D79, Option5!$G$104:$G$115,0)))*conv_2026*X$7</f>
        <v>0</v>
      </c>
      <c r="Y79" s="28">
        <f>(INDEX(Option5!Y$104:Y$115, MATCH($D79, Option5!$G$104:$G$115,0)))*conv_2026*Y$7</f>
        <v>0</v>
      </c>
      <c r="Z79" s="28">
        <f>(INDEX(Option5!Z$104:Z$115, MATCH($D79, Option5!$G$104:$G$115,0)))*conv_2026*Z$7</f>
        <v>0</v>
      </c>
      <c r="AA79" s="28">
        <f>(INDEX(Option5!AA$104:AA$115, MATCH($D79, Option5!$G$104:$G$115,0)))*conv_2026*AA$7</f>
        <v>0</v>
      </c>
      <c r="AB79" s="28">
        <f>(INDEX(Option5!AB$104:AB$115, MATCH($D79, Option5!$G$104:$G$115,0)))*conv_2026*AB$7</f>
        <v>0</v>
      </c>
      <c r="AC79" s="28">
        <f>(INDEX(Option5!AC$104:AC$115, MATCH($D79, Option5!$G$104:$G$115,0)))*conv_2026*AC$7</f>
        <v>0</v>
      </c>
      <c r="AD79" s="28">
        <f>(INDEX(Option5!AD$104:AD$115, MATCH($D79, Option5!$G$104:$G$115,0)))*conv_2026*AD$7</f>
        <v>0</v>
      </c>
      <c r="AE79" s="28">
        <f>(INDEX(Option5!AE$104:AE$115, MATCH($D79, Option5!$G$104:$G$115,0)))*conv_2026*AE$7</f>
        <v>0</v>
      </c>
      <c r="AF79" s="28">
        <f>(INDEX(Option5!AF$104:AF$115, MATCH($D79, Option5!$G$104:$G$115,0)))*conv_2026*AF$7</f>
        <v>0</v>
      </c>
      <c r="AG79" s="28">
        <f>(INDEX(Option5!AG$104:AG$115, MATCH($D79, Option5!$G$104:$G$115,0)))*conv_2026*AG$7</f>
        <v>0</v>
      </c>
    </row>
    <row r="80" spans="1:35" s="6" customFormat="1" x14ac:dyDescent="0.2">
      <c r="F80" s="219"/>
    </row>
    <row r="81" spans="1:34" s="6" customFormat="1" x14ac:dyDescent="0.2">
      <c r="F81" s="219"/>
    </row>
    <row r="82" spans="1:34" s="6" customFormat="1" x14ac:dyDescent="0.2">
      <c r="F82" s="219"/>
    </row>
    <row r="83" spans="1:34" s="6" customFormat="1" x14ac:dyDescent="0.2">
      <c r="F83" s="219"/>
    </row>
    <row r="84" spans="1:34" s="6" customFormat="1" ht="15" x14ac:dyDescent="0.25">
      <c r="A84" s="175" t="s">
        <v>4</v>
      </c>
      <c r="B84" s="48"/>
      <c r="C84" s="17"/>
      <c r="D84" s="17"/>
      <c r="E84" s="73"/>
      <c r="F84" s="17"/>
      <c r="G84" s="195"/>
      <c r="H84" s="174"/>
      <c r="I84" s="174"/>
      <c r="J84" s="174"/>
      <c r="K84" s="174"/>
      <c r="L84" s="174"/>
      <c r="M84" s="174"/>
      <c r="N84" s="174"/>
      <c r="O84" s="174"/>
      <c r="P84" s="174"/>
      <c r="Q84" s="174"/>
      <c r="R84" s="174"/>
      <c r="S84" s="174"/>
      <c r="T84" s="174"/>
      <c r="U84" s="174"/>
      <c r="V84" s="174"/>
      <c r="W84" s="174"/>
      <c r="X84" s="174"/>
      <c r="Y84" s="174"/>
      <c r="Z84" s="174"/>
      <c r="AA84" s="174"/>
      <c r="AB84" s="174"/>
      <c r="AC84" s="174"/>
      <c r="AD84" s="174"/>
      <c r="AE84" s="174"/>
      <c r="AF84" s="174"/>
      <c r="AG84" s="8"/>
      <c r="AH84" s="8"/>
    </row>
    <row r="85" spans="1:34" s="6" customFormat="1" x14ac:dyDescent="0.2">
      <c r="F85" s="219"/>
    </row>
    <row r="86" spans="1:34" s="6" customFormat="1" x14ac:dyDescent="0.2">
      <c r="F86" s="219"/>
    </row>
    <row r="87" spans="1:34" s="6" customFormat="1" x14ac:dyDescent="0.2">
      <c r="E87" s="219"/>
    </row>
    <row r="88" spans="1:34" s="6" customFormat="1" x14ac:dyDescent="0.2">
      <c r="C88" s="233" t="b" cm="1">
        <f t="array" ref="C88:G88">TRANSPOSE(Data!F9:F13)</f>
        <v>0</v>
      </c>
      <c r="D88" s="233" t="b">
        <v>0</v>
      </c>
      <c r="E88" s="234" t="b">
        <v>1</v>
      </c>
      <c r="F88" s="233" t="b">
        <v>1</v>
      </c>
      <c r="G88" s="233" t="b">
        <v>1</v>
      </c>
      <c r="K88" s="6" t="b">
        <f>AND(_xlfn.ANCHORARRAY(C88))</f>
        <v>0</v>
      </c>
    </row>
    <row r="89" spans="1:34" s="6" customFormat="1" x14ac:dyDescent="0.2">
      <c r="A89" s="53"/>
      <c r="B89" s="53"/>
      <c r="C89" s="235" t="str" cm="1">
        <f t="array" ref="C89:G89">TRANSPOSE(options)</f>
        <v>Option 1 (base case)</v>
      </c>
      <c r="D89" s="235" t="str">
        <v>Option 2</v>
      </c>
      <c r="E89" s="235" t="str">
        <v>Option 3</v>
      </c>
      <c r="F89" s="235" t="str">
        <v>Option 4</v>
      </c>
      <c r="G89" s="235" t="str">
        <v>Option 5</v>
      </c>
      <c r="I89" s="235" t="s">
        <v>154</v>
      </c>
      <c r="K89" s="53" t="s">
        <v>155</v>
      </c>
    </row>
    <row r="90" spans="1:34" s="6" customFormat="1" x14ac:dyDescent="0.2">
      <c r="A90" s="225" t="s">
        <v>7</v>
      </c>
      <c r="B90" s="225" t="s">
        <v>156</v>
      </c>
      <c r="C90" s="93">
        <f t="shared" ref="C90:G98" si="10">IF(OR($B90=0,C$88),"", INDEX($F$14:$F$81, MATCH(C$89&amp;$A90,$D$14:$D$81,0))/10^6)</f>
        <v>0</v>
      </c>
      <c r="D90" s="93">
        <f t="shared" si="10"/>
        <v>2.9867852534180837</v>
      </c>
      <c r="E90" s="93" t="str">
        <f t="shared" si="10"/>
        <v/>
      </c>
      <c r="F90" s="93" t="str">
        <f t="shared" si="10"/>
        <v/>
      </c>
      <c r="G90" s="93" t="str">
        <f t="shared" si="10"/>
        <v/>
      </c>
      <c r="H90" s="161"/>
      <c r="I90" s="93">
        <f t="shared" ref="I90:I98" si="11">_xlfn.MAXIFS(C90:G90,_xlfn.ANCHORARRAY( C$88),FALSE)</f>
        <v>2.9867852534180837</v>
      </c>
      <c r="K90" s="6" t="str">
        <f t="shared" ref="K90:K98" si="12">IF(OR(B90=0,$K$88),"", INDEX(_xlfn.ANCHORARRAY($C$89), MATCH(I90, $C90:$G90,0)))</f>
        <v>Option 2</v>
      </c>
    </row>
    <row r="91" spans="1:34" s="6" customFormat="1" x14ac:dyDescent="0.2">
      <c r="A91" s="225" t="str">
        <f>"sens"&amp;Assumptions!B117</f>
        <v>sens1</v>
      </c>
      <c r="B91" s="225" t="str">
        <f>Assumptions!C117</f>
        <v>Capex 10% higher</v>
      </c>
      <c r="C91" s="93">
        <f t="shared" si="10"/>
        <v>0</v>
      </c>
      <c r="D91" s="93">
        <f t="shared" si="10"/>
        <v>2.8570987024833454</v>
      </c>
      <c r="E91" s="93" t="str">
        <f t="shared" si="10"/>
        <v/>
      </c>
      <c r="F91" s="93" t="str">
        <f t="shared" si="10"/>
        <v/>
      </c>
      <c r="G91" s="93" t="str">
        <f t="shared" si="10"/>
        <v/>
      </c>
      <c r="H91" s="161"/>
      <c r="I91" s="93">
        <f t="shared" si="11"/>
        <v>2.8570987024833454</v>
      </c>
      <c r="K91" s="6" t="str">
        <f t="shared" si="12"/>
        <v>Option 2</v>
      </c>
    </row>
    <row r="92" spans="1:34" s="6" customFormat="1" x14ac:dyDescent="0.2">
      <c r="A92" s="225" t="str">
        <f>"sens"&amp;Assumptions!B118</f>
        <v>sens2</v>
      </c>
      <c r="B92" s="225" t="str">
        <f>Assumptions!C118</f>
        <v>Capex 10% lower</v>
      </c>
      <c r="C92" s="93">
        <f t="shared" si="10"/>
        <v>0</v>
      </c>
      <c r="D92" s="93">
        <f t="shared" si="10"/>
        <v>3.1164718043528232</v>
      </c>
      <c r="E92" s="93" t="str">
        <f t="shared" si="10"/>
        <v/>
      </c>
      <c r="F92" s="93" t="str">
        <f t="shared" si="10"/>
        <v/>
      </c>
      <c r="G92" s="93" t="str">
        <f t="shared" si="10"/>
        <v/>
      </c>
      <c r="H92" s="161"/>
      <c r="I92" s="93">
        <f t="shared" si="11"/>
        <v>3.1164718043528232</v>
      </c>
      <c r="K92" s="6" t="str">
        <f t="shared" si="12"/>
        <v>Option 2</v>
      </c>
    </row>
    <row r="93" spans="1:34" s="6" customFormat="1" x14ac:dyDescent="0.2">
      <c r="A93" s="225" t="str">
        <f>"sens"&amp;Assumptions!B119</f>
        <v>sens3</v>
      </c>
      <c r="B93" s="225" t="str">
        <f>Assumptions!C119</f>
        <v>Total benefits 10% higher</v>
      </c>
      <c r="C93" s="93">
        <f t="shared" si="10"/>
        <v>0</v>
      </c>
      <c r="D93" s="93">
        <f t="shared" si="10"/>
        <v>3.4151503296946317</v>
      </c>
      <c r="E93" s="93" t="str">
        <f t="shared" si="10"/>
        <v/>
      </c>
      <c r="F93" s="93" t="str">
        <f t="shared" si="10"/>
        <v/>
      </c>
      <c r="G93" s="93" t="str">
        <f t="shared" si="10"/>
        <v/>
      </c>
      <c r="H93" s="161"/>
      <c r="I93" s="93">
        <f t="shared" si="11"/>
        <v>3.4151503296946317</v>
      </c>
      <c r="K93" s="6" t="str">
        <f t="shared" si="12"/>
        <v>Option 2</v>
      </c>
    </row>
    <row r="94" spans="1:34" s="6" customFormat="1" x14ac:dyDescent="0.2">
      <c r="A94" s="225" t="str">
        <f>"sens"&amp;Assumptions!B120</f>
        <v>sens4</v>
      </c>
      <c r="B94" s="225" t="str">
        <f>Assumptions!C120</f>
        <v>Total benefits 10% lower</v>
      </c>
      <c r="C94" s="93">
        <f t="shared" si="10"/>
        <v>0</v>
      </c>
      <c r="D94" s="93">
        <f t="shared" si="10"/>
        <v>2.5584201771415365</v>
      </c>
      <c r="E94" s="93" t="str">
        <f t="shared" si="10"/>
        <v/>
      </c>
      <c r="F94" s="93" t="str">
        <f t="shared" si="10"/>
        <v/>
      </c>
      <c r="G94" s="93" t="str">
        <f t="shared" si="10"/>
        <v/>
      </c>
      <c r="H94" s="161"/>
      <c r="I94" s="93">
        <f t="shared" si="11"/>
        <v>2.5584201771415365</v>
      </c>
      <c r="K94" s="6" t="str">
        <f t="shared" si="12"/>
        <v>Option 2</v>
      </c>
    </row>
    <row r="95" spans="1:34" s="6" customFormat="1" x14ac:dyDescent="0.2">
      <c r="A95" s="225" t="str">
        <f>"sens"&amp;Assumptions!B121</f>
        <v>sens5</v>
      </c>
      <c r="B95" s="225" t="str">
        <f>Assumptions!C121</f>
        <v>Capex 10% higher &amp; Total benefits 10% lower</v>
      </c>
      <c r="C95" s="93">
        <f t="shared" si="10"/>
        <v>0</v>
      </c>
      <c r="D95" s="93">
        <f t="shared" si="10"/>
        <v>2.4287336262067982</v>
      </c>
      <c r="E95" s="93" t="str">
        <f t="shared" si="10"/>
        <v/>
      </c>
      <c r="F95" s="93" t="str">
        <f t="shared" si="10"/>
        <v/>
      </c>
      <c r="G95" s="93" t="str">
        <f t="shared" si="10"/>
        <v/>
      </c>
      <c r="H95" s="161"/>
      <c r="I95" s="93">
        <f t="shared" si="11"/>
        <v>2.4287336262067982</v>
      </c>
      <c r="K95" s="6" t="str">
        <f t="shared" si="12"/>
        <v>Option 2</v>
      </c>
    </row>
    <row r="96" spans="1:34" s="6" customFormat="1" x14ac:dyDescent="0.2">
      <c r="A96" s="225" t="str">
        <f>"sens"&amp;Assumptions!B122</f>
        <v>sens</v>
      </c>
      <c r="B96" s="225">
        <f>Assumptions!C122</f>
        <v>0</v>
      </c>
      <c r="C96" s="93" t="str">
        <f t="shared" si="10"/>
        <v/>
      </c>
      <c r="D96" s="93" t="str">
        <f t="shared" si="10"/>
        <v/>
      </c>
      <c r="E96" s="93" t="str">
        <f t="shared" si="10"/>
        <v/>
      </c>
      <c r="F96" s="93" t="str">
        <f t="shared" si="10"/>
        <v/>
      </c>
      <c r="G96" s="93" t="str">
        <f t="shared" si="10"/>
        <v/>
      </c>
      <c r="H96" s="161"/>
      <c r="I96" s="93">
        <f t="shared" si="11"/>
        <v>0</v>
      </c>
      <c r="K96" s="6" t="str">
        <f t="shared" si="12"/>
        <v/>
      </c>
    </row>
    <row r="97" spans="1:11" x14ac:dyDescent="0.2">
      <c r="A97" s="225" t="str">
        <f>"sens"&amp;Assumptions!B123</f>
        <v>sens</v>
      </c>
      <c r="B97" s="225">
        <f>Assumptions!C123</f>
        <v>0</v>
      </c>
      <c r="C97" s="93" t="str">
        <f t="shared" si="10"/>
        <v/>
      </c>
      <c r="D97" s="93" t="str">
        <f t="shared" si="10"/>
        <v/>
      </c>
      <c r="E97" s="93" t="str">
        <f t="shared" si="10"/>
        <v/>
      </c>
      <c r="F97" s="93" t="str">
        <f t="shared" si="10"/>
        <v/>
      </c>
      <c r="G97" s="93" t="str">
        <f t="shared" si="10"/>
        <v/>
      </c>
      <c r="H97" s="238"/>
      <c r="I97" s="93">
        <f t="shared" si="11"/>
        <v>0</v>
      </c>
      <c r="K97" s="6" t="str">
        <f t="shared" si="12"/>
        <v/>
      </c>
    </row>
    <row r="98" spans="1:11" x14ac:dyDescent="0.2">
      <c r="A98" s="225" t="str">
        <f>"sens"&amp;Assumptions!B124</f>
        <v>sens</v>
      </c>
      <c r="B98" s="225">
        <f>Assumptions!C124</f>
        <v>0</v>
      </c>
      <c r="C98" s="93" t="str">
        <f t="shared" si="10"/>
        <v/>
      </c>
      <c r="D98" s="93" t="str">
        <f t="shared" si="10"/>
        <v/>
      </c>
      <c r="E98" s="93" t="str">
        <f t="shared" si="10"/>
        <v/>
      </c>
      <c r="F98" s="93" t="str">
        <f t="shared" si="10"/>
        <v/>
      </c>
      <c r="G98" s="93" t="str">
        <f t="shared" si="10"/>
        <v/>
      </c>
      <c r="H98" s="238"/>
      <c r="I98" s="93">
        <f t="shared" si="11"/>
        <v>0</v>
      </c>
      <c r="K98" s="6" t="str">
        <f t="shared" si="12"/>
        <v/>
      </c>
    </row>
    <row r="99" spans="1:11" x14ac:dyDescent="0.2">
      <c r="C99" s="28"/>
      <c r="E99"/>
      <c r="F99" s="8"/>
    </row>
    <row r="100" spans="1:11" x14ac:dyDescent="0.2">
      <c r="E100"/>
      <c r="F100" s="8"/>
    </row>
    <row r="101" spans="1:11" x14ac:dyDescent="0.2">
      <c r="E101"/>
      <c r="F101" s="8"/>
    </row>
    <row r="102" spans="1:11" x14ac:dyDescent="0.2">
      <c r="E102"/>
      <c r="F102" s="8"/>
    </row>
    <row r="103" spans="1:11" x14ac:dyDescent="0.2">
      <c r="E103"/>
      <c r="F103" s="8"/>
    </row>
    <row r="104" spans="1:11" x14ac:dyDescent="0.2">
      <c r="E104"/>
      <c r="F104" s="8"/>
    </row>
    <row r="105" spans="1:11" x14ac:dyDescent="0.2">
      <c r="E105"/>
      <c r="F105" s="8"/>
    </row>
    <row r="106" spans="1:11" x14ac:dyDescent="0.2"/>
    <row r="107" spans="1:11" x14ac:dyDescent="0.2"/>
    <row r="108" spans="1:11" x14ac:dyDescent="0.2"/>
    <row r="109" spans="1:11" x14ac:dyDescent="0.2"/>
    <row r="110" spans="1:11" x14ac:dyDescent="0.2"/>
    <row r="111" spans="1:11" x14ac:dyDescent="0.2"/>
    <row r="112" spans="1:11"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sheetData>
  <pageMargins left="0.25" right="0.25" top="0.75" bottom="0.75" header="0.3" footer="0.3"/>
  <pageSetup paperSize="9" scale="3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075B0-6CA1-4C7D-910D-58E8BB9DF2B8}">
  <sheetPr codeName="Sheet4">
    <tabColor rgb="FFFFFF00"/>
  </sheetPr>
  <dimension ref="A1:Z40"/>
  <sheetViews>
    <sheetView showGridLines="0" zoomScaleNormal="100" workbookViewId="0">
      <pane xSplit="2" ySplit="5" topLeftCell="C6" activePane="bottomRight" state="frozen"/>
      <selection pane="topRight" activeCell="G31" sqref="G31"/>
      <selection pane="bottomLeft" activeCell="G31" sqref="G31"/>
      <selection pane="bottomRight" activeCell="C6" sqref="C6"/>
    </sheetView>
  </sheetViews>
  <sheetFormatPr defaultColWidth="8" defaultRowHeight="12.75" x14ac:dyDescent="0.2"/>
  <cols>
    <col min="1" max="1" width="2.625" style="1" customWidth="1"/>
    <col min="2" max="2" width="10.75" style="1" customWidth="1"/>
    <col min="3" max="3" width="18.5" style="1" customWidth="1"/>
    <col min="4" max="4" width="15.125" style="1" customWidth="1"/>
    <col min="5" max="5" width="14" style="1" customWidth="1"/>
    <col min="6" max="6" width="14.75" style="1" customWidth="1"/>
    <col min="7" max="7" width="18.375" style="1" customWidth="1"/>
    <col min="8" max="26" width="8.625" style="1" customWidth="1"/>
    <col min="27" max="16384" width="8" style="1"/>
  </cols>
  <sheetData>
    <row r="1" spans="1:26" ht="18.75" x14ac:dyDescent="0.3">
      <c r="A1" s="13" t="str">
        <f>bus</f>
        <v>Powercor</v>
      </c>
      <c r="B1" s="9"/>
      <c r="C1" s="9"/>
      <c r="D1" s="9"/>
      <c r="E1" s="9"/>
      <c r="F1" s="9"/>
      <c r="G1" s="9"/>
      <c r="H1" s="9"/>
      <c r="I1" s="9"/>
      <c r="J1" s="9"/>
      <c r="K1" s="9"/>
      <c r="L1" s="9"/>
      <c r="M1" s="9"/>
      <c r="N1" s="9"/>
      <c r="O1" s="9"/>
      <c r="P1" s="9"/>
      <c r="Q1" s="9"/>
      <c r="R1" s="9"/>
      <c r="S1" s="9"/>
      <c r="T1" s="9"/>
      <c r="U1" s="9"/>
      <c r="V1" s="9"/>
      <c r="W1" s="9"/>
      <c r="X1" s="9"/>
      <c r="Y1" s="9"/>
      <c r="Z1" s="9"/>
    </row>
    <row r="2" spans="1:26" ht="18.75" x14ac:dyDescent="0.3">
      <c r="A2" s="50" t="str">
        <f>proj</f>
        <v>TRG024-WBL012 Tie upgrade</v>
      </c>
      <c r="B2" s="9"/>
      <c r="C2" s="9"/>
      <c r="D2" s="9"/>
      <c r="E2" s="9"/>
      <c r="F2" s="9"/>
      <c r="G2" s="9"/>
      <c r="H2" s="9"/>
      <c r="I2" s="9"/>
      <c r="J2" s="9"/>
      <c r="K2" s="9"/>
      <c r="L2" s="9"/>
      <c r="M2" s="9"/>
      <c r="N2" s="9"/>
      <c r="O2" s="9"/>
      <c r="P2" s="9"/>
      <c r="Q2" s="9"/>
      <c r="R2" s="9"/>
      <c r="S2" s="9"/>
      <c r="T2" s="9"/>
      <c r="U2" s="9"/>
      <c r="V2" s="9"/>
      <c r="W2" s="9"/>
      <c r="X2" s="9"/>
      <c r="Y2" s="9"/>
      <c r="Z2" s="9"/>
    </row>
    <row r="3" spans="1:26" ht="15.75" x14ac:dyDescent="0.25">
      <c r="A3" s="5" t="s">
        <v>157</v>
      </c>
      <c r="B3" s="5"/>
    </row>
    <row r="5" spans="1:26" ht="15" x14ac:dyDescent="0.2">
      <c r="A5" s="274"/>
      <c r="B5" s="274"/>
      <c r="C5" s="274"/>
      <c r="D5" s="274"/>
      <c r="E5" s="274"/>
      <c r="F5" s="274"/>
      <c r="G5" s="274"/>
      <c r="H5" s="274"/>
      <c r="I5" s="274"/>
      <c r="J5" s="274"/>
      <c r="K5" s="274"/>
      <c r="L5" s="274"/>
      <c r="M5" s="274"/>
      <c r="N5" s="274"/>
      <c r="O5" s="274"/>
      <c r="P5" s="274"/>
      <c r="Q5" s="274"/>
      <c r="R5" s="274"/>
      <c r="S5" s="274"/>
      <c r="T5" s="274"/>
      <c r="U5" s="274"/>
      <c r="V5" s="274"/>
      <c r="W5" s="274"/>
      <c r="X5" s="274"/>
      <c r="Y5" s="274"/>
      <c r="Z5" s="274"/>
    </row>
    <row r="6" spans="1:26" x14ac:dyDescent="0.2">
      <c r="B6" s="3"/>
    </row>
    <row r="7" spans="1:26" s="275" customFormat="1" x14ac:dyDescent="0.2">
      <c r="B7" s="276" t="s">
        <v>158</v>
      </c>
    </row>
    <row r="9" spans="1:26" ht="35.25" customHeight="1" x14ac:dyDescent="0.2">
      <c r="C9" s="388" t="s">
        <v>159</v>
      </c>
      <c r="D9" s="389"/>
      <c r="E9" s="389"/>
      <c r="F9" s="389"/>
      <c r="G9" s="389"/>
      <c r="H9" s="389"/>
      <c r="I9" s="389"/>
      <c r="J9" s="389"/>
      <c r="K9" s="389"/>
      <c r="L9" s="389"/>
      <c r="M9" s="389"/>
      <c r="N9" s="389"/>
      <c r="O9" s="389"/>
      <c r="P9" s="389"/>
    </row>
    <row r="11" spans="1:26" x14ac:dyDescent="0.2">
      <c r="C11" s="277" t="s">
        <v>160</v>
      </c>
    </row>
    <row r="12" spans="1:26" x14ac:dyDescent="0.2">
      <c r="C12" s="277" t="s">
        <v>161</v>
      </c>
    </row>
    <row r="13" spans="1:26" x14ac:dyDescent="0.2">
      <c r="C13" s="277" t="s">
        <v>162</v>
      </c>
    </row>
    <row r="14" spans="1:26" x14ac:dyDescent="0.2">
      <c r="C14" s="277" t="s">
        <v>163</v>
      </c>
    </row>
    <row r="15" spans="1:26" x14ac:dyDescent="0.2">
      <c r="C15" s="277" t="s">
        <v>164</v>
      </c>
    </row>
    <row r="16" spans="1:26" x14ac:dyDescent="0.2">
      <c r="C16" s="277" t="s">
        <v>165</v>
      </c>
    </row>
    <row r="17" spans="2:7" x14ac:dyDescent="0.2">
      <c r="C17" s="277"/>
    </row>
    <row r="18" spans="2:7" x14ac:dyDescent="0.2">
      <c r="C18" s="277"/>
    </row>
    <row r="21" spans="2:7" s="275" customFormat="1" x14ac:dyDescent="0.2">
      <c r="B21" s="276" t="s">
        <v>166</v>
      </c>
    </row>
    <row r="24" spans="2:7" x14ac:dyDescent="0.2">
      <c r="C24" s="392"/>
      <c r="D24" s="402" t="s">
        <v>101</v>
      </c>
      <c r="E24" s="402" t="s">
        <v>167</v>
      </c>
      <c r="F24" s="393" t="s">
        <v>168</v>
      </c>
      <c r="G24" s="403" t="s">
        <v>338</v>
      </c>
    </row>
    <row r="25" spans="2:7" x14ac:dyDescent="0.2">
      <c r="C25" s="394" t="s">
        <v>169</v>
      </c>
      <c r="D25" s="395" t="s">
        <v>333</v>
      </c>
      <c r="E25" s="395">
        <v>0.75</v>
      </c>
      <c r="F25" s="396">
        <v>297000</v>
      </c>
      <c r="G25" s="397">
        <f>F25*E25</f>
        <v>222750</v>
      </c>
    </row>
    <row r="26" spans="2:7" x14ac:dyDescent="0.2">
      <c r="C26" s="394" t="s">
        <v>170</v>
      </c>
      <c r="D26" s="395" t="s">
        <v>333</v>
      </c>
      <c r="E26" s="395">
        <v>0</v>
      </c>
      <c r="F26" s="396">
        <v>1870000</v>
      </c>
      <c r="G26" s="397">
        <f t="shared" ref="G26:G31" si="0">F26*E26</f>
        <v>0</v>
      </c>
    </row>
    <row r="27" spans="2:7" x14ac:dyDescent="0.2">
      <c r="C27" s="394" t="s">
        <v>171</v>
      </c>
      <c r="D27" s="395" t="s">
        <v>333</v>
      </c>
      <c r="E27" s="395">
        <v>8.65</v>
      </c>
      <c r="F27" s="396">
        <v>179300</v>
      </c>
      <c r="G27" s="397">
        <f t="shared" si="0"/>
        <v>1550945</v>
      </c>
    </row>
    <row r="28" spans="2:7" x14ac:dyDescent="0.2">
      <c r="C28" s="394" t="s">
        <v>334</v>
      </c>
      <c r="D28" s="395" t="s">
        <v>337</v>
      </c>
      <c r="E28" s="395">
        <v>0</v>
      </c>
      <c r="F28" s="396">
        <v>93500</v>
      </c>
      <c r="G28" s="397">
        <f t="shared" si="0"/>
        <v>0</v>
      </c>
    </row>
    <row r="29" spans="2:7" x14ac:dyDescent="0.2">
      <c r="C29" s="394" t="s">
        <v>335</v>
      </c>
      <c r="D29" s="395" t="s">
        <v>337</v>
      </c>
      <c r="E29" s="395">
        <v>3</v>
      </c>
      <c r="F29" s="396">
        <v>132000</v>
      </c>
      <c r="G29" s="397">
        <f t="shared" si="0"/>
        <v>396000</v>
      </c>
    </row>
    <row r="30" spans="2:7" x14ac:dyDescent="0.2">
      <c r="C30" s="394" t="s">
        <v>336</v>
      </c>
      <c r="D30" s="395" t="s">
        <v>337</v>
      </c>
      <c r="E30" s="395">
        <v>0</v>
      </c>
      <c r="F30" s="396">
        <v>385000</v>
      </c>
      <c r="G30" s="397">
        <f t="shared" si="0"/>
        <v>0</v>
      </c>
    </row>
    <row r="31" spans="2:7" x14ac:dyDescent="0.2">
      <c r="C31" s="394" t="s">
        <v>172</v>
      </c>
      <c r="D31" s="395" t="s">
        <v>337</v>
      </c>
      <c r="E31" s="395">
        <v>75</v>
      </c>
      <c r="F31" s="396">
        <v>2200</v>
      </c>
      <c r="G31" s="397">
        <f t="shared" si="0"/>
        <v>165000</v>
      </c>
    </row>
    <row r="32" spans="2:7" x14ac:dyDescent="0.2">
      <c r="C32" s="398" t="s">
        <v>13</v>
      </c>
      <c r="D32" s="398"/>
      <c r="E32" s="399"/>
      <c r="F32" s="400"/>
      <c r="G32" s="401">
        <f>SUM(G25:G31)</f>
        <v>2334695</v>
      </c>
    </row>
    <row r="37" spans="3:7" x14ac:dyDescent="0.2">
      <c r="C37" s="3" t="s">
        <v>173</v>
      </c>
    </row>
    <row r="39" spans="3:7" x14ac:dyDescent="0.2">
      <c r="C39" s="15" t="s">
        <v>30</v>
      </c>
      <c r="D39" s="15" t="s">
        <v>76</v>
      </c>
      <c r="E39" s="15" t="s">
        <v>77</v>
      </c>
      <c r="F39" s="15" t="s">
        <v>78</v>
      </c>
      <c r="G39" s="15" t="s">
        <v>79</v>
      </c>
    </row>
    <row r="40" spans="3:7" x14ac:dyDescent="0.2">
      <c r="C40" s="29">
        <v>0</v>
      </c>
      <c r="D40" s="29">
        <v>335000</v>
      </c>
      <c r="E40" s="29">
        <v>780500</v>
      </c>
      <c r="F40" s="29">
        <v>1219500</v>
      </c>
      <c r="G40" s="29">
        <v>0</v>
      </c>
    </row>
  </sheetData>
  <mergeCells count="1">
    <mergeCell ref="C9:P9"/>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44E66-DAC4-41D7-9F3C-B63C58CFAE2C}">
  <sheetPr codeName="Sheet10">
    <tabColor rgb="FFFFFF00"/>
  </sheetPr>
  <dimension ref="A1:AB21"/>
  <sheetViews>
    <sheetView showGridLines="0" zoomScaleNormal="100" workbookViewId="0">
      <pane xSplit="4" ySplit="5" topLeftCell="E6" activePane="bottomRight" state="frozen"/>
      <selection pane="topRight" activeCell="G31" sqref="G31"/>
      <selection pane="bottomLeft" activeCell="G31" sqref="G31"/>
      <selection pane="bottomRight" activeCell="E6" sqref="E6"/>
    </sheetView>
  </sheetViews>
  <sheetFormatPr defaultColWidth="8" defaultRowHeight="12.75" x14ac:dyDescent="0.2"/>
  <cols>
    <col min="1" max="1" width="2.625" style="1" customWidth="1"/>
    <col min="2" max="2" width="5.25" style="1" customWidth="1"/>
    <col min="3" max="3" width="10.75" style="1" customWidth="1"/>
    <col min="4" max="4" width="7.625" style="1" customWidth="1"/>
    <col min="5" max="5" width="25" style="1" customWidth="1"/>
    <col min="6" max="6" width="24.25" style="1" bestFit="1" customWidth="1"/>
    <col min="7" max="7" width="8.875" style="1" bestFit="1" customWidth="1"/>
    <col min="8" max="8" width="10" style="1" bestFit="1" customWidth="1"/>
    <col min="9" max="9" width="10.25" style="1" bestFit="1" customWidth="1"/>
    <col min="10" max="10" width="11.875" style="1" bestFit="1" customWidth="1"/>
    <col min="11" max="11" width="10.75" style="1" bestFit="1" customWidth="1"/>
    <col min="12" max="12" width="8" style="1" bestFit="1" customWidth="1"/>
    <col min="13" max="13" width="14.625" style="1" bestFit="1" customWidth="1"/>
    <col min="14" max="14" width="6.625" style="1" bestFit="1" customWidth="1"/>
    <col min="15" max="15" width="18.625" style="1" bestFit="1" customWidth="1"/>
    <col min="16" max="28" width="8.625" style="1" customWidth="1"/>
    <col min="29" max="16384" width="8" style="1"/>
  </cols>
  <sheetData>
    <row r="1" spans="1:28" ht="18.75" x14ac:dyDescent="0.3">
      <c r="A1" s="13" t="str">
        <f>bus</f>
        <v>Powercor</v>
      </c>
      <c r="B1" s="9"/>
      <c r="C1" s="9"/>
      <c r="D1" s="9"/>
      <c r="E1" s="9"/>
      <c r="F1" s="9"/>
      <c r="G1" s="9"/>
      <c r="H1" s="9"/>
      <c r="I1" s="9"/>
      <c r="J1" s="9"/>
      <c r="K1" s="9"/>
      <c r="L1" s="9"/>
      <c r="M1" s="9"/>
      <c r="N1" s="9"/>
      <c r="O1" s="9"/>
      <c r="P1" s="9"/>
      <c r="Q1" s="9"/>
      <c r="R1" s="9"/>
      <c r="S1" s="9"/>
      <c r="T1" s="9"/>
      <c r="U1" s="9"/>
      <c r="V1" s="9"/>
      <c r="W1" s="9"/>
      <c r="X1" s="9"/>
      <c r="Y1" s="9"/>
      <c r="Z1" s="9"/>
      <c r="AA1" s="9"/>
      <c r="AB1" s="9"/>
    </row>
    <row r="2" spans="1:28" ht="18.75" x14ac:dyDescent="0.3">
      <c r="A2" s="50" t="str">
        <f>proj</f>
        <v>TRG024-WBL012 Tie upgrade</v>
      </c>
      <c r="B2" s="9"/>
      <c r="C2" s="9"/>
      <c r="D2" s="9"/>
      <c r="E2" s="9"/>
      <c r="F2" s="9"/>
      <c r="G2" s="9"/>
      <c r="H2" s="9"/>
      <c r="I2" s="9"/>
      <c r="J2" s="9"/>
      <c r="K2" s="9"/>
      <c r="L2" s="9"/>
      <c r="M2" s="9"/>
      <c r="N2" s="9"/>
      <c r="O2" s="9"/>
      <c r="P2" s="9"/>
      <c r="Q2" s="9"/>
      <c r="R2" s="9"/>
      <c r="S2" s="9"/>
      <c r="T2" s="9"/>
      <c r="U2" s="9"/>
      <c r="V2" s="9"/>
      <c r="W2" s="9"/>
      <c r="X2" s="9"/>
      <c r="Y2" s="9"/>
      <c r="Z2" s="9"/>
      <c r="AA2" s="9"/>
      <c r="AB2" s="9"/>
    </row>
    <row r="3" spans="1:28" ht="18.75" x14ac:dyDescent="0.3">
      <c r="A3" s="5" t="s">
        <v>174</v>
      </c>
      <c r="B3" s="273"/>
      <c r="C3" s="5"/>
      <c r="D3" s="5"/>
    </row>
    <row r="5" spans="1:28" ht="15" x14ac:dyDescent="0.2">
      <c r="A5" s="274"/>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row>
    <row r="6" spans="1:28" x14ac:dyDescent="0.2">
      <c r="C6" s="3"/>
      <c r="D6" s="3"/>
    </row>
    <row r="8" spans="1:28" s="275" customFormat="1" x14ac:dyDescent="0.2">
      <c r="C8" s="276" t="s">
        <v>175</v>
      </c>
    </row>
    <row r="9" spans="1:28" s="278" customFormat="1" x14ac:dyDescent="0.2">
      <c r="C9" s="279"/>
    </row>
    <row r="10" spans="1:28" s="278" customFormat="1" x14ac:dyDescent="0.2">
      <c r="C10" s="279"/>
    </row>
    <row r="11" spans="1:28" x14ac:dyDescent="0.2">
      <c r="D11" s="414"/>
      <c r="E11" s="415"/>
      <c r="F11" s="415"/>
      <c r="G11" s="415"/>
      <c r="H11" s="415"/>
      <c r="I11" s="415"/>
      <c r="J11" s="415"/>
      <c r="K11" s="415"/>
      <c r="L11" s="415"/>
      <c r="M11" s="415"/>
      <c r="N11" s="415"/>
    </row>
    <row r="12" spans="1:28" x14ac:dyDescent="0.2">
      <c r="E12" s="12" t="s">
        <v>176</v>
      </c>
      <c r="F12" s="6"/>
      <c r="G12" s="6"/>
      <c r="H12" s="6"/>
      <c r="I12" s="404"/>
      <c r="J12" s="6"/>
      <c r="K12" s="6"/>
      <c r="L12" s="6"/>
      <c r="M12" s="6"/>
      <c r="N12" s="280"/>
      <c r="O12" s="6"/>
    </row>
    <row r="13" spans="1:28" ht="15" x14ac:dyDescent="0.25">
      <c r="E13" s="47" t="s">
        <v>177</v>
      </c>
      <c r="F13" s="47" t="s">
        <v>178</v>
      </c>
      <c r="G13" s="47" t="s">
        <v>179</v>
      </c>
      <c r="H13" s="47" t="s">
        <v>180</v>
      </c>
      <c r="I13" s="47" t="s">
        <v>181</v>
      </c>
      <c r="J13" s="47" t="s">
        <v>182</v>
      </c>
      <c r="K13" s="47" t="s">
        <v>183</v>
      </c>
      <c r="L13" s="47" t="s">
        <v>184</v>
      </c>
      <c r="M13" s="47" t="s">
        <v>185</v>
      </c>
      <c r="N13" s="280"/>
      <c r="O13" s="47" t="s">
        <v>186</v>
      </c>
      <c r="P13" s="282"/>
      <c r="Q13" s="282"/>
    </row>
    <row r="14" spans="1:28" x14ac:dyDescent="0.2">
      <c r="E14" s="6" t="s">
        <v>187</v>
      </c>
      <c r="F14" s="6" t="s">
        <v>188</v>
      </c>
      <c r="G14" s="405">
        <v>418</v>
      </c>
      <c r="H14" s="406">
        <v>5.5043062200957023</v>
      </c>
      <c r="I14" s="407">
        <v>848.16459330143243</v>
      </c>
      <c r="J14" s="408">
        <f>G14*H14</f>
        <v>2300.8000000000034</v>
      </c>
      <c r="K14" s="408">
        <f>G14*I14</f>
        <v>354532.79999999877</v>
      </c>
      <c r="L14" s="408">
        <f>K14/J14</f>
        <v>154.09109874826072</v>
      </c>
      <c r="M14" s="409">
        <f>(J14*HLOOKUP(F14,Workings_benefits!$D$45:$F$48,3,FALSE)+(K14*HLOOKUP(F14,Workings_benefits!$D$45:$F$46,2,FALSE)))</f>
        <v>8.5427717620628272</v>
      </c>
      <c r="N14" s="280">
        <v>149.60890237709012</v>
      </c>
      <c r="O14" s="410">
        <f>M14+M15</f>
        <v>14.556887127774912</v>
      </c>
    </row>
    <row r="15" spans="1:28" ht="15" x14ac:dyDescent="0.25">
      <c r="E15" s="6" t="s">
        <v>189</v>
      </c>
      <c r="F15" s="6" t="s">
        <v>188</v>
      </c>
      <c r="G15" s="405">
        <v>268</v>
      </c>
      <c r="H15" s="406">
        <v>5.9761194029850815</v>
      </c>
      <c r="I15" s="407">
        <v>936.68656716417934</v>
      </c>
      <c r="J15" s="408">
        <f>G15*H15</f>
        <v>1601.6000000000017</v>
      </c>
      <c r="K15" s="408">
        <f>G15*I15</f>
        <v>251032.00000000006</v>
      </c>
      <c r="L15" s="408">
        <f>K15/J15</f>
        <v>156.7382617382616</v>
      </c>
      <c r="M15" s="409">
        <f>(J15*HLOOKUP(F15,Workings_benefits!$D$45:$F$48,3,FALSE)+(K15*HLOOKUP(F15,Workings_benefits!$D$45:$F$46,2,FALSE)))</f>
        <v>6.0141153657120849</v>
      </c>
      <c r="N15" s="411">
        <v>134.99480961877529</v>
      </c>
      <c r="O15" s="410"/>
      <c r="P15" s="282"/>
      <c r="Q15" s="282"/>
    </row>
    <row r="16" spans="1:28" x14ac:dyDescent="0.2">
      <c r="E16" s="6"/>
      <c r="F16" s="6"/>
      <c r="G16" s="6"/>
      <c r="H16" s="6"/>
      <c r="I16" s="6"/>
      <c r="J16" s="6"/>
      <c r="K16" s="6"/>
      <c r="L16" s="6"/>
      <c r="M16" s="6"/>
      <c r="N16" s="280"/>
      <c r="O16" s="6"/>
    </row>
    <row r="17" spans="4:20" x14ac:dyDescent="0.2">
      <c r="E17" s="12" t="s">
        <v>330</v>
      </c>
      <c r="F17" s="6"/>
      <c r="G17" s="6"/>
      <c r="H17" s="6"/>
      <c r="I17" s="404"/>
      <c r="J17" s="6"/>
      <c r="K17" s="6"/>
      <c r="L17" s="6"/>
      <c r="M17" s="6"/>
      <c r="N17" s="280"/>
      <c r="O17" s="6"/>
    </row>
    <row r="18" spans="4:20" x14ac:dyDescent="0.2">
      <c r="E18" s="47" t="s">
        <v>177</v>
      </c>
      <c r="F18" s="47" t="s">
        <v>178</v>
      </c>
      <c r="G18" s="47" t="s">
        <v>179</v>
      </c>
      <c r="H18" s="47" t="s">
        <v>180</v>
      </c>
      <c r="I18" s="47" t="s">
        <v>181</v>
      </c>
      <c r="J18" s="47" t="s">
        <v>182</v>
      </c>
      <c r="K18" s="47" t="s">
        <v>183</v>
      </c>
      <c r="L18" s="47" t="s">
        <v>184</v>
      </c>
      <c r="M18" s="47" t="s">
        <v>185</v>
      </c>
      <c r="N18" s="6"/>
      <c r="O18" s="6"/>
    </row>
    <row r="19" spans="4:20" x14ac:dyDescent="0.2">
      <c r="E19" s="6" t="s">
        <v>187</v>
      </c>
      <c r="F19" s="6" t="s">
        <v>188</v>
      </c>
      <c r="G19" s="21">
        <v>398</v>
      </c>
      <c r="H19" s="406">
        <v>5.67</v>
      </c>
      <c r="I19" s="412">
        <v>870.96</v>
      </c>
      <c r="J19" s="408">
        <f>G19*H19</f>
        <v>2256.66</v>
      </c>
      <c r="K19" s="408">
        <f>G19*I19</f>
        <v>346642.08</v>
      </c>
      <c r="L19" s="408">
        <f>K19/J19</f>
        <v>153.60846560846562</v>
      </c>
      <c r="M19" s="409">
        <f>(J19*HLOOKUP(F19,Workings_benefits!$D$45:$F$48,3,FALSE)+(K19*HLOOKUP(F19,Workings_benefits!$D$45:$F$46,2,FALSE)))</f>
        <v>8.3615562904989833</v>
      </c>
      <c r="N19" s="413">
        <v>149.60890237709012</v>
      </c>
      <c r="O19" s="410"/>
    </row>
    <row r="20" spans="4:20" x14ac:dyDescent="0.2">
      <c r="E20" s="6" t="s">
        <v>189</v>
      </c>
      <c r="F20" s="6" t="s">
        <v>188</v>
      </c>
      <c r="G20" s="21">
        <v>209</v>
      </c>
      <c r="H20" s="406">
        <v>6.36</v>
      </c>
      <c r="I20" s="412">
        <v>1027.3</v>
      </c>
      <c r="J20" s="408">
        <f>G20*H20</f>
        <v>1329.24</v>
      </c>
      <c r="K20" s="408">
        <f>G20*I20</f>
        <v>214705.69999999998</v>
      </c>
      <c r="L20" s="408">
        <f>K20/J20</f>
        <v>161.5251572327044</v>
      </c>
      <c r="M20" s="409">
        <f>(J20*HLOOKUP(F20,Workings_benefits!$D$45:$F$48,3,FALSE)+(K20*HLOOKUP(F20,Workings_benefits!$D$45:$F$46,2,FALSE)))</f>
        <v>5.0926040542158475</v>
      </c>
      <c r="N20" s="413">
        <v>134.99480961877529</v>
      </c>
      <c r="O20" s="410"/>
    </row>
    <row r="21" spans="4:20" x14ac:dyDescent="0.2">
      <c r="D21" s="414"/>
      <c r="E21" s="415"/>
      <c r="F21" s="415"/>
      <c r="G21" s="415"/>
      <c r="H21" s="415"/>
      <c r="I21" s="415"/>
      <c r="J21" s="415"/>
      <c r="K21" s="415"/>
      <c r="L21" s="415"/>
      <c r="M21" s="415"/>
      <c r="N21" s="415"/>
      <c r="O21" s="415"/>
      <c r="P21" s="414"/>
      <c r="Q21" s="414"/>
      <c r="R21" s="414"/>
      <c r="S21" s="414"/>
      <c r="T21" s="414"/>
    </row>
  </sheetData>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A38EE-C190-45CD-88C6-662A2E97178A}">
  <sheetPr codeName="Sheet12">
    <tabColor rgb="FFFFFF00"/>
  </sheetPr>
  <dimension ref="A1:Z87"/>
  <sheetViews>
    <sheetView showGridLines="0" zoomScaleNormal="100" workbookViewId="0"/>
  </sheetViews>
  <sheetFormatPr defaultColWidth="8" defaultRowHeight="12.75" x14ac:dyDescent="0.2"/>
  <cols>
    <col min="1" max="1" width="2.625" style="1" customWidth="1"/>
    <col min="2" max="2" width="10.75" style="1" customWidth="1"/>
    <col min="3" max="3" width="25" style="1" customWidth="1"/>
    <col min="4" max="4" width="15.125" style="1" customWidth="1"/>
    <col min="5" max="5" width="18.5" style="1" bestFit="1" customWidth="1"/>
    <col min="6" max="6" width="14.75" style="1" customWidth="1"/>
    <col min="7" max="7" width="13" style="1" bestFit="1" customWidth="1"/>
    <col min="8" max="8" width="17.5" style="1" bestFit="1" customWidth="1"/>
    <col min="9" max="9" width="10.5" style="1" bestFit="1" customWidth="1"/>
    <col min="10" max="10" width="19.375" style="1" bestFit="1" customWidth="1"/>
    <col min="11" max="11" width="9" style="1" customWidth="1"/>
    <col min="12" max="12" width="13.875" style="1" bestFit="1" customWidth="1"/>
    <col min="13" max="26" width="8.625" style="1" customWidth="1"/>
    <col min="27" max="16384" width="8" style="1"/>
  </cols>
  <sheetData>
    <row r="1" spans="1:26" ht="18.75" x14ac:dyDescent="0.3">
      <c r="A1" s="13" t="str">
        <f>bus</f>
        <v>Powercor</v>
      </c>
      <c r="B1" s="9"/>
      <c r="C1" s="9"/>
      <c r="D1" s="9"/>
      <c r="E1" s="9"/>
      <c r="F1" s="9"/>
      <c r="G1" s="9"/>
      <c r="H1" s="9"/>
      <c r="I1" s="9"/>
      <c r="J1" s="9"/>
      <c r="K1" s="9"/>
      <c r="L1" s="9"/>
      <c r="M1" s="9"/>
      <c r="N1" s="9"/>
      <c r="O1" s="9"/>
      <c r="P1" s="9"/>
      <c r="Q1" s="9"/>
      <c r="R1" s="9"/>
      <c r="S1" s="9"/>
      <c r="T1" s="9"/>
      <c r="U1" s="9"/>
      <c r="V1" s="9"/>
      <c r="W1" s="9"/>
      <c r="X1" s="9"/>
      <c r="Y1" s="9"/>
      <c r="Z1" s="9"/>
    </row>
    <row r="2" spans="1:26" ht="18.75" x14ac:dyDescent="0.3">
      <c r="A2" s="50" t="str">
        <f>proj</f>
        <v>TRG024-WBL012 Tie upgrade</v>
      </c>
      <c r="B2" s="9"/>
      <c r="C2" s="9"/>
      <c r="D2" s="9"/>
      <c r="E2" s="9"/>
      <c r="F2" s="9"/>
      <c r="G2" s="9"/>
      <c r="H2" s="9"/>
      <c r="I2" s="9"/>
      <c r="J2" s="9"/>
      <c r="K2" s="9"/>
      <c r="L2" s="9"/>
      <c r="M2" s="9"/>
      <c r="N2" s="9"/>
      <c r="O2" s="9"/>
      <c r="P2" s="9"/>
      <c r="Q2" s="9"/>
      <c r="R2" s="9"/>
      <c r="S2" s="9"/>
      <c r="T2" s="9"/>
      <c r="U2" s="9"/>
      <c r="V2" s="9"/>
      <c r="W2" s="9"/>
      <c r="X2" s="9"/>
      <c r="Y2" s="9"/>
      <c r="Z2" s="9"/>
    </row>
    <row r="3" spans="1:26" ht="15.75" x14ac:dyDescent="0.25">
      <c r="A3" s="5" t="s">
        <v>174</v>
      </c>
      <c r="B3" s="5"/>
    </row>
    <row r="5" spans="1:26" ht="15" x14ac:dyDescent="0.2">
      <c r="A5" s="274"/>
      <c r="B5" s="274"/>
      <c r="C5" s="274"/>
      <c r="D5" s="274"/>
      <c r="E5" s="274"/>
      <c r="F5" s="274"/>
      <c r="G5" s="274"/>
      <c r="H5" s="274"/>
      <c r="I5" s="274"/>
      <c r="J5" s="274"/>
      <c r="K5" s="274"/>
      <c r="L5" s="274"/>
      <c r="M5" s="274"/>
      <c r="N5" s="274"/>
      <c r="O5" s="274"/>
      <c r="P5" s="274"/>
      <c r="Q5" s="274"/>
      <c r="R5" s="274"/>
      <c r="S5" s="274"/>
      <c r="T5" s="274"/>
      <c r="U5" s="274"/>
      <c r="V5" s="274"/>
      <c r="W5" s="274"/>
      <c r="X5" s="274"/>
      <c r="Y5" s="274"/>
      <c r="Z5" s="274"/>
    </row>
    <row r="6" spans="1:26" x14ac:dyDescent="0.2">
      <c r="B6" s="3"/>
    </row>
    <row r="7" spans="1:26" s="275" customFormat="1" x14ac:dyDescent="0.2">
      <c r="B7" s="276" t="s">
        <v>190</v>
      </c>
    </row>
    <row r="8" spans="1:26" s="278" customFormat="1" x14ac:dyDescent="0.2">
      <c r="B8" s="279"/>
    </row>
    <row r="9" spans="1:26" x14ac:dyDescent="0.2">
      <c r="C9" s="285" t="s">
        <v>191</v>
      </c>
      <c r="D9" s="286"/>
      <c r="E9" s="286"/>
      <c r="F9" s="287"/>
    </row>
    <row r="10" spans="1:26" x14ac:dyDescent="0.2">
      <c r="C10" s="288"/>
      <c r="D10" s="289"/>
      <c r="E10" s="289"/>
      <c r="F10" s="290"/>
    </row>
    <row r="11" spans="1:26" x14ac:dyDescent="0.2">
      <c r="C11" s="291"/>
      <c r="D11" s="289" t="s">
        <v>192</v>
      </c>
      <c r="E11" s="289" t="s">
        <v>193</v>
      </c>
      <c r="F11" s="290" t="s">
        <v>188</v>
      </c>
    </row>
    <row r="12" spans="1:26" x14ac:dyDescent="0.2">
      <c r="C12" s="291" t="s">
        <v>194</v>
      </c>
      <c r="D12" s="292">
        <v>41210</v>
      </c>
      <c r="E12" s="292">
        <v>41210</v>
      </c>
      <c r="F12" s="293">
        <v>41210</v>
      </c>
    </row>
    <row r="13" spans="1:26" x14ac:dyDescent="0.2">
      <c r="C13" s="291" t="s">
        <v>195</v>
      </c>
      <c r="D13" s="294">
        <v>2.0905923344947785E-2</v>
      </c>
      <c r="E13" s="294">
        <v>2.0905923344947785E-2</v>
      </c>
      <c r="F13" s="295">
        <v>2.0905923344947785E-2</v>
      </c>
    </row>
    <row r="14" spans="1:26" x14ac:dyDescent="0.2">
      <c r="C14" s="291" t="s">
        <v>196</v>
      </c>
      <c r="D14" s="296">
        <v>1.5</v>
      </c>
      <c r="E14" s="296">
        <v>1.5</v>
      </c>
      <c r="F14" s="297">
        <v>1.5</v>
      </c>
    </row>
    <row r="15" spans="1:26" x14ac:dyDescent="0.2">
      <c r="C15" s="291" t="s">
        <v>197</v>
      </c>
      <c r="D15" s="298">
        <v>4166180.3850682126</v>
      </c>
      <c r="E15" s="298">
        <v>4425570.7123436071</v>
      </c>
      <c r="F15" s="299">
        <v>2740818.2368324664</v>
      </c>
    </row>
    <row r="16" spans="1:26" x14ac:dyDescent="0.2">
      <c r="C16" s="291" t="s">
        <v>198</v>
      </c>
      <c r="D16" s="300">
        <v>650149950.32043111</v>
      </c>
      <c r="E16" s="300">
        <v>650149950.32043111</v>
      </c>
      <c r="F16" s="301">
        <v>650149950.32043111</v>
      </c>
    </row>
    <row r="17" spans="3:10" x14ac:dyDescent="0.2">
      <c r="C17" s="291" t="s">
        <v>199</v>
      </c>
      <c r="D17" s="294">
        <v>69.226869838403246</v>
      </c>
      <c r="E17" s="294">
        <v>104.14162857981962</v>
      </c>
      <c r="F17" s="295">
        <v>240.91593855847913</v>
      </c>
    </row>
    <row r="18" spans="3:10" x14ac:dyDescent="0.2">
      <c r="C18" s="291" t="s">
        <v>200</v>
      </c>
      <c r="D18" s="294">
        <v>0.82319392460420227</v>
      </c>
      <c r="E18" s="294">
        <v>1.1472422278929248</v>
      </c>
      <c r="F18" s="295">
        <v>2.0249150004550946</v>
      </c>
    </row>
    <row r="19" spans="3:10" x14ac:dyDescent="0.2">
      <c r="C19" s="291" t="s">
        <v>201</v>
      </c>
      <c r="D19" s="302">
        <v>1.1995902512760259</v>
      </c>
      <c r="E19" s="302">
        <v>2.5075506205544258</v>
      </c>
      <c r="F19" s="303">
        <v>4.3932740444333884</v>
      </c>
      <c r="H19" s="304"/>
      <c r="I19" s="304"/>
      <c r="J19" s="304"/>
    </row>
    <row r="20" spans="3:10" x14ac:dyDescent="0.2">
      <c r="C20" s="291"/>
      <c r="D20" s="289"/>
      <c r="E20" s="289"/>
      <c r="F20" s="290"/>
    </row>
    <row r="21" spans="3:10" x14ac:dyDescent="0.2">
      <c r="C21" s="291"/>
      <c r="D21" s="289"/>
      <c r="E21" s="289"/>
      <c r="F21" s="290"/>
    </row>
    <row r="22" spans="3:10" x14ac:dyDescent="0.2">
      <c r="C22" s="288" t="s">
        <v>202</v>
      </c>
      <c r="D22" s="289"/>
      <c r="E22" s="289"/>
      <c r="F22" s="290"/>
    </row>
    <row r="23" spans="3:10" x14ac:dyDescent="0.2">
      <c r="C23" s="305" t="s">
        <v>203</v>
      </c>
      <c r="D23" s="306">
        <f>((D12*(1+D13)*(1-(1/(1+D14)))*D15)/D16)/(365.25*24*60)*100</f>
        <v>3.0754693838394902E-2</v>
      </c>
      <c r="E23" s="306">
        <f>((E12*(1+E13)*(1-(1/(1+E14)))*E15)/E16)/(365.25*24*60)*100</f>
        <v>3.2669510135977083E-2</v>
      </c>
      <c r="F23" s="307">
        <f>((F12*(1+F13)*(1-(1/(1+F14)))*F15)/F16)/(365.25*24*60)*100</f>
        <v>2.023268748578003E-2</v>
      </c>
    </row>
    <row r="24" spans="3:10" x14ac:dyDescent="0.2">
      <c r="C24" s="305" t="s">
        <v>204</v>
      </c>
      <c r="D24" s="306">
        <f>(D12*(1+D13)/(1+D14))*D15/D16/(365.25*24*60)*D17/D18*100</f>
        <v>1.7242200358351529</v>
      </c>
      <c r="E24" s="306">
        <f>(E12*(1+E13)/(1+E14))*E15/E16/(365.25*24*60)*E17/E18*100</f>
        <v>1.977063435396905</v>
      </c>
      <c r="F24" s="307">
        <f>(F12*(1+F13)/(1+F14))*F15/F16/(365.25*24*60)*F17/F18*100</f>
        <v>1.6048004958567268</v>
      </c>
    </row>
    <row r="25" spans="3:10" x14ac:dyDescent="0.2">
      <c r="C25" s="305" t="s">
        <v>205</v>
      </c>
      <c r="D25" s="306">
        <f>D24*$C$26</f>
        <v>0.13793760286681223</v>
      </c>
      <c r="E25" s="306">
        <f>E24*$C$26</f>
        <v>0.15816507483175241</v>
      </c>
      <c r="F25" s="307">
        <f>F24*$C$26</f>
        <v>0.12838403966853815</v>
      </c>
    </row>
    <row r="26" spans="3:10" x14ac:dyDescent="0.2">
      <c r="C26" s="308">
        <v>0.08</v>
      </c>
      <c r="D26" s="309"/>
      <c r="E26" s="309"/>
      <c r="F26" s="310"/>
    </row>
    <row r="27" spans="3:10" x14ac:dyDescent="0.2">
      <c r="C27" s="311" t="s">
        <v>206</v>
      </c>
      <c r="D27" s="312"/>
      <c r="E27" s="312"/>
      <c r="F27" s="313"/>
    </row>
    <row r="28" spans="3:10" x14ac:dyDescent="0.2">
      <c r="C28" s="314"/>
      <c r="D28" s="315"/>
      <c r="E28" s="315"/>
      <c r="F28" s="316"/>
    </row>
    <row r="29" spans="3:10" x14ac:dyDescent="0.2">
      <c r="C29" s="314" t="s">
        <v>207</v>
      </c>
      <c r="D29" s="317">
        <v>689.89885299074126</v>
      </c>
      <c r="E29" s="317">
        <v>689.89885299074126</v>
      </c>
      <c r="F29" s="318">
        <v>689.89885299074126</v>
      </c>
    </row>
    <row r="30" spans="3:10" x14ac:dyDescent="0.2">
      <c r="C30" s="314"/>
      <c r="D30" s="315"/>
      <c r="E30" s="315"/>
      <c r="F30" s="316"/>
    </row>
    <row r="31" spans="3:10" x14ac:dyDescent="0.2">
      <c r="C31" s="314" t="s">
        <v>208</v>
      </c>
      <c r="D31" s="315"/>
      <c r="E31" s="315"/>
      <c r="F31" s="316"/>
    </row>
    <row r="32" spans="3:10" x14ac:dyDescent="0.2">
      <c r="C32" s="319" t="s">
        <v>199</v>
      </c>
      <c r="D32" s="320">
        <f>(D23*D$29)*10000</f>
        <v>212176.28003190062</v>
      </c>
      <c r="E32" s="320">
        <f>(E23*E$29)*10000</f>
        <v>225386.57570579986</v>
      </c>
      <c r="F32" s="321">
        <f>(F23*F$29)*10000</f>
        <v>139585.07889359767</v>
      </c>
    </row>
    <row r="33" spans="3:6" x14ac:dyDescent="0.2">
      <c r="C33" s="319" t="s">
        <v>200</v>
      </c>
      <c r="D33" s="320">
        <f t="shared" ref="D33:F34" si="0">(D24*D$29)*10000</f>
        <v>11895374.250263268</v>
      </c>
      <c r="E33" s="320">
        <f t="shared" si="0"/>
        <v>13639737.963702591</v>
      </c>
      <c r="F33" s="321">
        <f t="shared" si="0"/>
        <v>11071500.213705288</v>
      </c>
    </row>
    <row r="34" spans="3:6" x14ac:dyDescent="0.2">
      <c r="C34" s="319" t="s">
        <v>201</v>
      </c>
      <c r="D34" s="320">
        <f t="shared" si="0"/>
        <v>951629.94002106134</v>
      </c>
      <c r="E34" s="320">
        <f t="shared" si="0"/>
        <v>1091179.0370962075</v>
      </c>
      <c r="F34" s="321">
        <f t="shared" si="0"/>
        <v>885720.01709642296</v>
      </c>
    </row>
    <row r="35" spans="3:6" x14ac:dyDescent="0.2">
      <c r="C35" s="322"/>
      <c r="D35" s="315"/>
      <c r="E35" s="315"/>
      <c r="F35" s="316"/>
    </row>
    <row r="36" spans="3:6" x14ac:dyDescent="0.2">
      <c r="C36" s="322" t="s">
        <v>209</v>
      </c>
      <c r="D36" s="323">
        <v>320111</v>
      </c>
      <c r="E36" s="323">
        <v>356763</v>
      </c>
      <c r="F36" s="324">
        <v>212928</v>
      </c>
    </row>
    <row r="37" spans="3:6" x14ac:dyDescent="0.2">
      <c r="C37" s="325"/>
      <c r="D37" s="326"/>
      <c r="E37" s="326"/>
      <c r="F37" s="327"/>
    </row>
    <row r="38" spans="3:6" x14ac:dyDescent="0.2">
      <c r="C38" s="328" t="s">
        <v>210</v>
      </c>
      <c r="D38" s="329"/>
      <c r="E38" s="329"/>
      <c r="F38" s="330"/>
    </row>
    <row r="39" spans="3:6" x14ac:dyDescent="0.2">
      <c r="C39" s="331"/>
      <c r="D39" s="332"/>
      <c r="E39" s="332"/>
      <c r="F39" s="333"/>
    </row>
    <row r="40" spans="3:6" x14ac:dyDescent="0.2">
      <c r="C40" s="334" t="s">
        <v>211</v>
      </c>
      <c r="D40" s="335">
        <f>D32/D$36</f>
        <v>0.66282095907950878</v>
      </c>
      <c r="E40" s="335">
        <f>E32/E$36</f>
        <v>0.6317543458985373</v>
      </c>
      <c r="F40" s="336">
        <f>F32/F$36</f>
        <v>0.65555060346031369</v>
      </c>
    </row>
    <row r="41" spans="3:6" x14ac:dyDescent="0.2">
      <c r="C41" s="334" t="s">
        <v>212</v>
      </c>
      <c r="D41" s="335">
        <f t="shared" ref="D41:F42" si="1">D33/D$36</f>
        <v>37.160154603444646</v>
      </c>
      <c r="E41" s="335">
        <f t="shared" si="1"/>
        <v>38.231929778880072</v>
      </c>
      <c r="F41" s="336">
        <f t="shared" si="1"/>
        <v>51.996450507708182</v>
      </c>
    </row>
    <row r="42" spans="3:6" x14ac:dyDescent="0.2">
      <c r="C42" s="334" t="s">
        <v>213</v>
      </c>
      <c r="D42" s="335">
        <f t="shared" si="1"/>
        <v>2.9728123682755712</v>
      </c>
      <c r="E42" s="335">
        <f t="shared" si="1"/>
        <v>3.0585543823104064</v>
      </c>
      <c r="F42" s="336">
        <f t="shared" si="1"/>
        <v>4.1597160406166545</v>
      </c>
    </row>
    <row r="43" spans="3:6" x14ac:dyDescent="0.2">
      <c r="C43" s="337"/>
      <c r="D43" s="338"/>
      <c r="E43" s="338"/>
      <c r="F43" s="339"/>
    </row>
    <row r="44" spans="3:6" x14ac:dyDescent="0.2">
      <c r="C44" s="340" t="s">
        <v>214</v>
      </c>
      <c r="D44" s="341"/>
      <c r="E44" s="341"/>
      <c r="F44" s="342"/>
    </row>
    <row r="45" spans="3:6" x14ac:dyDescent="0.2">
      <c r="C45" s="343"/>
      <c r="D45" s="344" t="s">
        <v>192</v>
      </c>
      <c r="E45" s="344" t="s">
        <v>193</v>
      </c>
      <c r="F45" s="345" t="s">
        <v>188</v>
      </c>
    </row>
    <row r="46" spans="3:6" x14ac:dyDescent="0.2">
      <c r="C46" s="346" t="s">
        <v>215</v>
      </c>
      <c r="D46" s="347">
        <f>D40/D$12</f>
        <v>1.6083983476814095E-5</v>
      </c>
      <c r="E46" s="347">
        <f>E40/E$12</f>
        <v>1.5330122443546161E-5</v>
      </c>
      <c r="F46" s="348">
        <f>F40/F$12</f>
        <v>1.5907561355503851E-5</v>
      </c>
    </row>
    <row r="47" spans="3:6" x14ac:dyDescent="0.2">
      <c r="C47" s="346" t="s">
        <v>216</v>
      </c>
      <c r="D47" s="347">
        <f t="shared" ref="D47:F48" si="2">D41/D$12</f>
        <v>9.0172663439564782E-4</v>
      </c>
      <c r="E47" s="347">
        <f t="shared" si="2"/>
        <v>9.277342824285385E-4</v>
      </c>
      <c r="F47" s="348">
        <f t="shared" si="2"/>
        <v>1.2617435211770974E-3</v>
      </c>
    </row>
    <row r="48" spans="3:6" x14ac:dyDescent="0.2">
      <c r="C48" s="346" t="s">
        <v>217</v>
      </c>
      <c r="D48" s="347">
        <f t="shared" si="2"/>
        <v>7.2138130751651808E-5</v>
      </c>
      <c r="E48" s="347">
        <f t="shared" si="2"/>
        <v>7.4218742594283103E-5</v>
      </c>
      <c r="F48" s="348">
        <f t="shared" si="2"/>
        <v>1.0093948169416778E-4</v>
      </c>
    </row>
    <row r="49" spans="2:16" x14ac:dyDescent="0.2">
      <c r="C49" s="349"/>
      <c r="D49" s="350"/>
      <c r="E49" s="350"/>
      <c r="F49" s="351"/>
    </row>
    <row r="51" spans="2:16" s="275" customFormat="1" x14ac:dyDescent="0.2">
      <c r="B51" s="276" t="s">
        <v>218</v>
      </c>
    </row>
    <row r="52" spans="2:16" x14ac:dyDescent="0.2">
      <c r="C52" s="353"/>
      <c r="D52" s="354"/>
      <c r="E52" s="354"/>
      <c r="F52" s="354"/>
      <c r="G52" s="354"/>
      <c r="H52" s="354"/>
      <c r="I52" s="354"/>
      <c r="J52" s="354"/>
      <c r="K52" s="354"/>
      <c r="L52" s="354"/>
      <c r="M52" s="354"/>
      <c r="N52" s="354"/>
      <c r="O52" s="354"/>
      <c r="P52" s="354"/>
    </row>
    <row r="53" spans="2:16" x14ac:dyDescent="0.2">
      <c r="C53" s="388" t="s">
        <v>219</v>
      </c>
      <c r="D53" s="389"/>
      <c r="E53" s="389"/>
      <c r="F53" s="389"/>
      <c r="G53" s="389"/>
      <c r="H53" s="389"/>
      <c r="I53" s="389"/>
      <c r="J53" s="389"/>
      <c r="K53" s="389"/>
      <c r="L53" s="389"/>
      <c r="M53" s="389"/>
      <c r="N53" s="389"/>
      <c r="O53" s="389"/>
      <c r="P53" s="389"/>
    </row>
    <row r="54" spans="2:16" x14ac:dyDescent="0.2">
      <c r="C54" s="353"/>
      <c r="D54" s="354"/>
      <c r="G54" s="354"/>
      <c r="H54" s="354"/>
      <c r="I54" s="354"/>
      <c r="J54" s="354"/>
      <c r="K54" s="354"/>
      <c r="L54" s="354"/>
      <c r="M54" s="354"/>
      <c r="N54" s="354"/>
      <c r="O54" s="354"/>
      <c r="P54" s="354"/>
    </row>
    <row r="55" spans="2:16" x14ac:dyDescent="0.2">
      <c r="J55" s="354"/>
      <c r="K55" s="354"/>
      <c r="L55" s="354"/>
      <c r="M55" s="354"/>
      <c r="N55" s="354"/>
      <c r="O55" s="354"/>
      <c r="P55" s="354"/>
    </row>
    <row r="56" spans="2:16" x14ac:dyDescent="0.2">
      <c r="H56" s="416" t="s">
        <v>187</v>
      </c>
      <c r="I56" s="417"/>
      <c r="J56" s="416" t="s">
        <v>189</v>
      </c>
      <c r="K56" s="417"/>
      <c r="L56" s="354"/>
      <c r="M56" s="354"/>
      <c r="N56" s="354"/>
      <c r="O56" s="354"/>
      <c r="P56" s="354"/>
    </row>
    <row r="57" spans="2:16" x14ac:dyDescent="0.2">
      <c r="C57" s="390" t="s">
        <v>220</v>
      </c>
      <c r="D57" s="391"/>
      <c r="H57" s="418" t="s">
        <v>199</v>
      </c>
      <c r="I57" s="419" t="s">
        <v>200</v>
      </c>
      <c r="J57" s="418" t="s">
        <v>199</v>
      </c>
      <c r="K57" s="419" t="s">
        <v>200</v>
      </c>
      <c r="L57" s="354"/>
      <c r="M57" s="354"/>
      <c r="N57" s="354"/>
      <c r="O57" s="354"/>
      <c r="P57" s="354"/>
    </row>
    <row r="58" spans="2:16" ht="30.75" customHeight="1" x14ac:dyDescent="0.2">
      <c r="C58" s="380" t="s">
        <v>221</v>
      </c>
      <c r="D58" s="381"/>
      <c r="E58" s="428"/>
      <c r="F58" s="428"/>
      <c r="G58" s="429"/>
      <c r="H58" s="431">
        <v>0.5</v>
      </c>
      <c r="I58" s="432">
        <v>0.5</v>
      </c>
      <c r="J58" s="431">
        <v>0.5</v>
      </c>
      <c r="K58" s="432">
        <v>0.5</v>
      </c>
      <c r="L58" s="354"/>
      <c r="M58" s="354"/>
      <c r="N58" s="354"/>
      <c r="O58" s="354"/>
      <c r="P58" s="354"/>
    </row>
    <row r="59" spans="2:16" ht="44.25" customHeight="1" x14ac:dyDescent="0.2">
      <c r="C59" s="380" t="s">
        <v>222</v>
      </c>
      <c r="D59" s="381"/>
      <c r="E59" s="428"/>
      <c r="F59" s="428"/>
      <c r="G59" s="429"/>
      <c r="H59" s="431">
        <v>0.1</v>
      </c>
      <c r="I59" s="432">
        <v>0.1</v>
      </c>
      <c r="J59" s="431">
        <v>0.1</v>
      </c>
      <c r="K59" s="432">
        <v>0.1</v>
      </c>
      <c r="L59" s="6"/>
      <c r="M59" s="354"/>
      <c r="N59" s="354"/>
      <c r="O59" s="354"/>
      <c r="P59" s="354"/>
    </row>
    <row r="60" spans="2:16" ht="58.5" customHeight="1" x14ac:dyDescent="0.2">
      <c r="C60" s="380" t="s">
        <v>223</v>
      </c>
      <c r="D60" s="380"/>
      <c r="E60" s="380"/>
      <c r="F60" s="380"/>
      <c r="G60" s="430"/>
      <c r="H60" s="431">
        <v>0.05</v>
      </c>
      <c r="I60" s="432">
        <v>0.25</v>
      </c>
      <c r="J60" s="431">
        <v>0.05</v>
      </c>
      <c r="K60" s="432">
        <v>0.25</v>
      </c>
      <c r="L60" s="354"/>
      <c r="M60" s="354"/>
      <c r="N60" s="354"/>
      <c r="O60" s="354"/>
      <c r="P60" s="354"/>
    </row>
    <row r="61" spans="2:16" ht="56.25" customHeight="1" x14ac:dyDescent="0.2">
      <c r="C61" s="380" t="s">
        <v>224</v>
      </c>
      <c r="D61" s="380"/>
      <c r="E61" s="380"/>
      <c r="F61" s="380"/>
      <c r="G61" s="65"/>
      <c r="H61" s="431">
        <v>0.4</v>
      </c>
      <c r="I61" s="432">
        <v>0.4</v>
      </c>
      <c r="J61" s="431">
        <v>0.4</v>
      </c>
      <c r="K61" s="432">
        <v>0.4</v>
      </c>
      <c r="L61" s="354"/>
      <c r="M61" s="354"/>
      <c r="N61" s="354"/>
      <c r="O61" s="354"/>
      <c r="P61" s="354"/>
    </row>
    <row r="62" spans="2:16" x14ac:dyDescent="0.2">
      <c r="C62" s="353"/>
      <c r="D62" s="354"/>
      <c r="E62" s="354"/>
      <c r="F62" s="354"/>
      <c r="G62" s="354"/>
      <c r="H62" s="420">
        <f>(1-H58)*(1-H59)*(1-H60)*(1-H61)</f>
        <v>0.25650000000000001</v>
      </c>
      <c r="I62" s="421">
        <f>(1-I58)*(1-I59)*(1-I60)*(1-I61)</f>
        <v>0.20250000000000001</v>
      </c>
      <c r="J62" s="420">
        <f>(1-J58)*(1-J59)*(1-J60)*(1-J61)</f>
        <v>0.25650000000000001</v>
      </c>
      <c r="K62" s="421">
        <f>(1-K58)*(1-K59)*(1-K60)*(1-K61)</f>
        <v>0.20250000000000001</v>
      </c>
      <c r="L62" s="354"/>
      <c r="M62" s="354"/>
      <c r="N62" s="354"/>
      <c r="O62" s="354"/>
      <c r="P62" s="354"/>
    </row>
    <row r="63" spans="2:16" x14ac:dyDescent="0.2">
      <c r="D63" s="352"/>
    </row>
    <row r="64" spans="2:16" x14ac:dyDescent="0.2">
      <c r="C64" s="3" t="s">
        <v>225</v>
      </c>
      <c r="D64" s="352"/>
      <c r="K64"/>
    </row>
    <row r="65" spans="3:12" x14ac:dyDescent="0.2">
      <c r="C65" s="422" t="s">
        <v>177</v>
      </c>
      <c r="D65" s="355" t="s">
        <v>178</v>
      </c>
      <c r="E65" s="355" t="s">
        <v>226</v>
      </c>
      <c r="F65" s="356" t="s">
        <v>227</v>
      </c>
      <c r="G65" s="356" t="s">
        <v>228</v>
      </c>
      <c r="H65" s="355" t="s">
        <v>229</v>
      </c>
      <c r="I65" s="355" t="s">
        <v>230</v>
      </c>
      <c r="J65" s="355" t="s">
        <v>231</v>
      </c>
      <c r="K65"/>
    </row>
    <row r="66" spans="3:12" x14ac:dyDescent="0.2">
      <c r="C66" s="423" t="s">
        <v>187</v>
      </c>
      <c r="D66" s="281" t="s">
        <v>188</v>
      </c>
      <c r="E66" s="424">
        <v>418</v>
      </c>
      <c r="F66" s="425">
        <f>I62</f>
        <v>0.20250000000000001</v>
      </c>
      <c r="G66" s="425">
        <f>H62</f>
        <v>0.25650000000000001</v>
      </c>
      <c r="H66" s="357">
        <f>(Workings_risks!H14*F66)*E66</f>
        <v>465.91200000000072</v>
      </c>
      <c r="I66" s="357">
        <f>Workings_risks!I14*G66*E66</f>
        <v>90937.663199999675</v>
      </c>
      <c r="J66" s="284">
        <f>(H66*HLOOKUP(D66,Workings_benefits!$D$45:$F$48,3,FALSE)+(I66*HLOOKUP(D66,Workings_benefits!$D$45:$F$46,2,FALSE)))</f>
        <v>2.0344579043188045</v>
      </c>
      <c r="K66"/>
    </row>
    <row r="67" spans="3:12" x14ac:dyDescent="0.2">
      <c r="C67" s="423" t="s">
        <v>189</v>
      </c>
      <c r="D67" s="281" t="s">
        <v>188</v>
      </c>
      <c r="E67" s="424">
        <v>268</v>
      </c>
      <c r="F67" s="425">
        <f>K62</f>
        <v>0.20250000000000001</v>
      </c>
      <c r="G67" s="425">
        <f>J62</f>
        <v>0.25650000000000001</v>
      </c>
      <c r="H67" s="357">
        <f>(Workings_risks!H15*F67)*E67</f>
        <v>324.32400000000041</v>
      </c>
      <c r="I67" s="357">
        <f>Workings_risks!I15*G67*E67</f>
        <v>64389.708000000013</v>
      </c>
      <c r="J67" s="284">
        <f>(H67*HLOOKUP(D67,Workings_benefits!$D$45:$F$48,3,FALSE)+(I67*HLOOKUP(D67,Workings_benefits!$D$45:$F$46,2,FALSE)))</f>
        <v>1.433496936435219</v>
      </c>
      <c r="K67"/>
    </row>
    <row r="68" spans="3:12" x14ac:dyDescent="0.2">
      <c r="D68" s="352"/>
      <c r="K68"/>
    </row>
    <row r="69" spans="3:12" x14ac:dyDescent="0.2">
      <c r="C69" s="3" t="s">
        <v>232</v>
      </c>
      <c r="D69" s="352"/>
      <c r="K69"/>
    </row>
    <row r="70" spans="3:12" x14ac:dyDescent="0.2">
      <c r="C70" s="422" t="s">
        <v>177</v>
      </c>
      <c r="D70" s="355" t="s">
        <v>178</v>
      </c>
      <c r="E70" s="355" t="s">
        <v>226</v>
      </c>
      <c r="F70" s="356" t="s">
        <v>227</v>
      </c>
      <c r="G70" s="356" t="s">
        <v>228</v>
      </c>
      <c r="H70" s="355" t="s">
        <v>229</v>
      </c>
      <c r="I70" s="355" t="s">
        <v>230</v>
      </c>
      <c r="J70" s="355" t="s">
        <v>231</v>
      </c>
      <c r="K70"/>
      <c r="L70" s="358"/>
    </row>
    <row r="71" spans="3:12" x14ac:dyDescent="0.2">
      <c r="C71" s="423" t="s">
        <v>187</v>
      </c>
      <c r="D71" s="281" t="s">
        <v>188</v>
      </c>
      <c r="E71" s="424">
        <v>398</v>
      </c>
      <c r="F71" s="425">
        <f>F66</f>
        <v>0.20250000000000001</v>
      </c>
      <c r="G71" s="425">
        <f>G66</f>
        <v>0.25650000000000001</v>
      </c>
      <c r="H71" s="357">
        <f>(Workings_risks!H19*F71)*E71</f>
        <v>456.97365000000008</v>
      </c>
      <c r="I71" s="357">
        <f>(Workings_risks!I19-500)*G71*E71</f>
        <v>37870.193520000008</v>
      </c>
      <c r="J71" s="284">
        <f>(H71*HLOOKUP(D71,Workings_benefits!$D$45:$F$48,3,FALSE)+(I71*HLOOKUP(D71,Workings_benefits!$D$45:$F$46,2,FALSE)))</f>
        <v>1.1790059692003552</v>
      </c>
      <c r="K71"/>
      <c r="L71" s="359"/>
    </row>
    <row r="72" spans="3:12" x14ac:dyDescent="0.2">
      <c r="C72" s="423" t="s">
        <v>189</v>
      </c>
      <c r="D72" s="281" t="s">
        <v>188</v>
      </c>
      <c r="E72" s="424">
        <v>209</v>
      </c>
      <c r="F72" s="425">
        <f>F67</f>
        <v>0.20250000000000001</v>
      </c>
      <c r="G72" s="425">
        <f>G67</f>
        <v>0.25650000000000001</v>
      </c>
      <c r="H72" s="357">
        <f>(Workings_risks!H20*F72)*E72</f>
        <v>269.17110000000002</v>
      </c>
      <c r="I72" s="357">
        <f>(Workings_risks!I20-500)*G72*E72</f>
        <v>28267.762049999998</v>
      </c>
      <c r="J72" s="284">
        <f>(H72*HLOOKUP(D72,Workings_benefits!$D$45:$F$48,3,FALSE)+(I72*HLOOKUP(D72,Workings_benefits!$D$45:$F$46,2,FALSE)))</f>
        <v>0.78929605070627096</v>
      </c>
      <c r="K72"/>
      <c r="L72" s="359"/>
    </row>
    <row r="73" spans="3:12" x14ac:dyDescent="0.2">
      <c r="C73" s="283"/>
      <c r="D73" s="283"/>
      <c r="E73" s="283"/>
      <c r="F73" s="283"/>
      <c r="G73" s="283"/>
      <c r="H73" s="283"/>
      <c r="I73" s="283"/>
      <c r="J73" s="283"/>
      <c r="K73"/>
      <c r="L73" s="359"/>
    </row>
    <row r="74" spans="3:12" x14ac:dyDescent="0.2">
      <c r="C74" s="3" t="s">
        <v>225</v>
      </c>
      <c r="D74" s="352"/>
      <c r="K74"/>
    </row>
    <row r="75" spans="3:12" x14ac:dyDescent="0.2">
      <c r="C75" s="426"/>
      <c r="D75" s="355"/>
      <c r="E75" s="355" t="s">
        <v>226</v>
      </c>
      <c r="F75" s="360"/>
      <c r="G75" s="360"/>
      <c r="H75" s="355" t="s">
        <v>229</v>
      </c>
      <c r="I75" s="355" t="s">
        <v>230</v>
      </c>
      <c r="J75" s="355" t="s">
        <v>231</v>
      </c>
      <c r="K75"/>
    </row>
    <row r="76" spans="3:12" x14ac:dyDescent="0.2">
      <c r="C76" s="423" t="s">
        <v>233</v>
      </c>
      <c r="D76" s="281" t="s">
        <v>188</v>
      </c>
      <c r="E76" s="361">
        <f>E66+E67</f>
        <v>686</v>
      </c>
      <c r="F76" s="362"/>
      <c r="G76" s="362"/>
      <c r="H76" s="357">
        <f>H66+H67</f>
        <v>790.23600000000113</v>
      </c>
      <c r="I76" s="357">
        <f>I66+I67</f>
        <v>155327.3711999997</v>
      </c>
      <c r="J76" s="284">
        <f>(H76*HLOOKUP(D76,Workings_benefits!$D$45:$F$48,3,FALSE)+(I76*HLOOKUP(D76,Workings_benefits!$D$45:$F$46,2,FALSE)))</f>
        <v>3.4679548407540235</v>
      </c>
      <c r="K76"/>
    </row>
    <row r="77" spans="3:12" x14ac:dyDescent="0.2">
      <c r="K77"/>
    </row>
    <row r="78" spans="3:12" x14ac:dyDescent="0.2">
      <c r="C78" s="3" t="s">
        <v>234</v>
      </c>
      <c r="K78"/>
    </row>
    <row r="79" spans="3:12" x14ac:dyDescent="0.2">
      <c r="C79" s="422"/>
      <c r="D79" s="355"/>
      <c r="E79" s="355" t="s">
        <v>226</v>
      </c>
      <c r="F79" s="356"/>
      <c r="G79" s="356"/>
      <c r="H79" s="355" t="s">
        <v>229</v>
      </c>
      <c r="I79" s="355" t="s">
        <v>230</v>
      </c>
      <c r="J79" s="355" t="s">
        <v>231</v>
      </c>
      <c r="K79"/>
    </row>
    <row r="80" spans="3:12" x14ac:dyDescent="0.2">
      <c r="C80" s="423" t="s">
        <v>233</v>
      </c>
      <c r="D80" s="281" t="s">
        <v>188</v>
      </c>
      <c r="E80" s="281">
        <f>E71+E72</f>
        <v>607</v>
      </c>
      <c r="F80" s="362"/>
      <c r="G80" s="362"/>
      <c r="H80" s="357">
        <f>H71+H72</f>
        <v>726.14475000000016</v>
      </c>
      <c r="I80" s="357">
        <f>I71+I72</f>
        <v>66137.955570000006</v>
      </c>
      <c r="J80" s="284">
        <f>(H80*HLOOKUP(D80,Workings_benefits!$D$45:$F$48,3,FALSE)+(I80*HLOOKUP(D80,Workings_benefits!$D$45:$F$46,2,FALSE)))</f>
        <v>1.9683020199066261</v>
      </c>
      <c r="K80"/>
    </row>
    <row r="81" spans="3:11" x14ac:dyDescent="0.2">
      <c r="C81" s="283"/>
      <c r="D81" s="283"/>
      <c r="E81" s="283"/>
      <c r="H81" s="6"/>
      <c r="I81" s="6"/>
      <c r="J81" s="6"/>
      <c r="K81"/>
    </row>
    <row r="82" spans="3:11" x14ac:dyDescent="0.2">
      <c r="E82" s="416" t="s">
        <v>235</v>
      </c>
      <c r="F82" s="417"/>
      <c r="K82"/>
    </row>
    <row r="83" spans="3:11" x14ac:dyDescent="0.2">
      <c r="E83" s="363" t="s">
        <v>236</v>
      </c>
      <c r="F83" s="363" t="s">
        <v>237</v>
      </c>
      <c r="K83"/>
    </row>
    <row r="84" spans="3:11" x14ac:dyDescent="0.2">
      <c r="E84" s="427">
        <f>J80</f>
        <v>1.9683020199066261</v>
      </c>
      <c r="F84" s="427">
        <f>SUM(J66:J67)</f>
        <v>3.4679548407540235</v>
      </c>
      <c r="K84"/>
    </row>
    <row r="85" spans="3:11" x14ac:dyDescent="0.2">
      <c r="K85"/>
    </row>
    <row r="86" spans="3:11" x14ac:dyDescent="0.2">
      <c r="K86"/>
    </row>
    <row r="87" spans="3:11" x14ac:dyDescent="0.2">
      <c r="K87"/>
    </row>
  </sheetData>
  <mergeCells count="6">
    <mergeCell ref="C53:P53"/>
    <mergeCell ref="C57:D57"/>
    <mergeCell ref="C58:G58"/>
    <mergeCell ref="C59:G59"/>
    <mergeCell ref="C60:F60"/>
    <mergeCell ref="C61:F61"/>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5BE28-7759-4AD8-93D9-96655D9E0FC5}">
  <sheetPr codeName="Sheet8">
    <tabColor rgb="FFFFFFCC"/>
  </sheetPr>
  <dimension ref="A1:AH41"/>
  <sheetViews>
    <sheetView showGridLines="0" zoomScale="70" zoomScaleNormal="70" workbookViewId="0"/>
  </sheetViews>
  <sheetFormatPr defaultRowHeight="12.75" x14ac:dyDescent="0.2"/>
  <cols>
    <col min="2" max="2" width="21.375" customWidth="1"/>
    <col min="3" max="3" width="20.5" customWidth="1"/>
    <col min="4" max="4" width="14.5" style="43" customWidth="1"/>
    <col min="5" max="5" width="14.5" customWidth="1"/>
    <col min="8" max="11" width="14.375" customWidth="1"/>
    <col min="12" max="12" width="15.75" customWidth="1"/>
    <col min="13" max="18" width="14.375" customWidth="1"/>
  </cols>
  <sheetData>
    <row r="1" spans="1:23" ht="18.75" x14ac:dyDescent="0.3">
      <c r="A1" s="13" t="str">
        <f>bus</f>
        <v>Powercor</v>
      </c>
      <c r="B1" s="13"/>
      <c r="C1" s="13"/>
      <c r="D1" s="42"/>
      <c r="E1" s="13"/>
      <c r="F1" s="13"/>
      <c r="G1" s="13"/>
      <c r="H1" s="13"/>
      <c r="I1" s="13"/>
      <c r="J1" s="13"/>
      <c r="K1" s="13"/>
      <c r="L1" s="13"/>
      <c r="M1" s="13"/>
      <c r="N1" s="13"/>
      <c r="O1" s="13"/>
      <c r="P1" s="13"/>
      <c r="Q1" s="13"/>
      <c r="R1" s="13"/>
    </row>
    <row r="2" spans="1:23" ht="18.75" x14ac:dyDescent="0.3">
      <c r="A2" s="50" t="str">
        <f>proj</f>
        <v>TRG024-WBL012 Tie upgrade</v>
      </c>
      <c r="B2" s="13"/>
      <c r="C2" s="13"/>
      <c r="D2" s="42"/>
      <c r="E2" s="13"/>
      <c r="F2" s="13"/>
      <c r="G2" s="13"/>
      <c r="H2" s="13"/>
      <c r="I2" s="13"/>
      <c r="J2" s="13"/>
      <c r="K2" s="13"/>
      <c r="L2" s="13"/>
      <c r="M2" s="13"/>
      <c r="N2" s="13"/>
      <c r="O2" s="13"/>
      <c r="P2" s="13"/>
      <c r="Q2" s="13"/>
      <c r="R2" s="13"/>
    </row>
    <row r="3" spans="1:23" ht="15.75" x14ac:dyDescent="0.25">
      <c r="A3" s="5"/>
    </row>
    <row r="4" spans="1:23" s="1" customFormat="1" ht="15" x14ac:dyDescent="0.2">
      <c r="A4" s="16" t="s">
        <v>238</v>
      </c>
      <c r="B4" s="16"/>
      <c r="C4" s="14"/>
      <c r="D4" s="14"/>
      <c r="E4" s="14"/>
      <c r="F4" s="14"/>
      <c r="G4" s="14"/>
      <c r="H4" s="14"/>
      <c r="I4" s="14"/>
      <c r="J4" s="14"/>
      <c r="K4" s="14"/>
      <c r="L4" s="14"/>
      <c r="M4" s="15"/>
      <c r="N4" s="15"/>
      <c r="O4" s="15"/>
      <c r="P4" s="15"/>
      <c r="Q4" s="15"/>
      <c r="R4" s="15"/>
    </row>
    <row r="5" spans="1:23" s="1" customFormat="1" x14ac:dyDescent="0.2"/>
    <row r="6" spans="1:23" s="1" customFormat="1" x14ac:dyDescent="0.2">
      <c r="B6" s="69" t="s">
        <v>239</v>
      </c>
      <c r="C6" s="69"/>
      <c r="D6" s="44"/>
      <c r="E6" s="27"/>
      <c r="F6" s="40"/>
      <c r="G6" s="27"/>
      <c r="H6" s="41">
        <v>44377</v>
      </c>
      <c r="I6" s="39">
        <f>IF(EOMONTH(H6,12)&gt;output_dollars, output_dollars, EOMONTH(H6,12))</f>
        <v>44742</v>
      </c>
      <c r="J6" s="39">
        <f>IF(EOMONTH(I6,12)&gt;output_dollars, output_dollars, EOMONTH(I6,12))</f>
        <v>45107</v>
      </c>
      <c r="K6" s="39">
        <f>IF(EOMONTH(J6,12)&gt;output_dollars, output_dollars, EOMONTH(J6,12))</f>
        <v>45473</v>
      </c>
      <c r="L6" s="39">
        <f>IF(EOMONTH(K6,12)&gt;output_dollars, output_dollars, EOMONTH(K6,12))</f>
        <v>45838</v>
      </c>
      <c r="M6" s="39">
        <f>IF(EOMONTH(L6,12)&gt;output_dollars, output_dollars, EOMONTH(L6,12))</f>
        <v>46203</v>
      </c>
    </row>
    <row r="7" spans="1:23" s="20" customFormat="1" x14ac:dyDescent="0.2">
      <c r="D7" s="45"/>
      <c r="N7" s="1"/>
      <c r="O7"/>
      <c r="P7"/>
      <c r="Q7"/>
      <c r="R7"/>
      <c r="S7"/>
      <c r="T7"/>
      <c r="U7"/>
      <c r="V7"/>
      <c r="W7"/>
    </row>
    <row r="8" spans="1:23" s="20" customFormat="1" x14ac:dyDescent="0.2">
      <c r="B8" s="20" t="s">
        <v>240</v>
      </c>
      <c r="D8" s="45"/>
      <c r="H8" s="35">
        <v>0</v>
      </c>
      <c r="I8" s="35">
        <v>8.6058519793459354E-3</v>
      </c>
      <c r="J8" s="35">
        <v>3.4982935153583528E-2</v>
      </c>
      <c r="K8" s="35">
        <v>7.8318219291014124E-2</v>
      </c>
      <c r="L8" s="35">
        <v>4.0519877675840865E-2</v>
      </c>
      <c r="M8" s="35">
        <v>2.4246877296105973E-2</v>
      </c>
      <c r="N8" s="1"/>
      <c r="O8"/>
      <c r="P8"/>
      <c r="Q8"/>
      <c r="R8"/>
      <c r="S8"/>
      <c r="T8"/>
      <c r="U8"/>
      <c r="V8"/>
      <c r="W8"/>
    </row>
    <row r="9" spans="1:23" s="1" customFormat="1" x14ac:dyDescent="0.2">
      <c r="D9" s="10"/>
      <c r="O9"/>
      <c r="P9"/>
      <c r="Q9"/>
      <c r="R9"/>
      <c r="S9"/>
      <c r="T9"/>
      <c r="U9"/>
      <c r="V9"/>
      <c r="W9"/>
    </row>
    <row r="10" spans="1:23" s="1" customFormat="1" x14ac:dyDescent="0.2">
      <c r="D10" s="10"/>
      <c r="O10"/>
      <c r="P10"/>
      <c r="Q10"/>
      <c r="R10"/>
      <c r="S10"/>
      <c r="T10"/>
      <c r="U10"/>
      <c r="V10"/>
      <c r="W10"/>
    </row>
    <row r="11" spans="1:23" s="1" customFormat="1" x14ac:dyDescent="0.2">
      <c r="A11"/>
      <c r="B11" s="20" t="s">
        <v>241</v>
      </c>
      <c r="C11"/>
      <c r="D11"/>
      <c r="E11"/>
      <c r="F11"/>
      <c r="G11"/>
      <c r="H11" s="70">
        <f>H6</f>
        <v>44377</v>
      </c>
      <c r="I11" s="70">
        <f>EOMONTH(H11,6)</f>
        <v>44561</v>
      </c>
      <c r="J11" s="70">
        <f>EOMONTH(I11,6)</f>
        <v>44742</v>
      </c>
      <c r="K11" s="70">
        <f t="shared" ref="K11:Q11" si="0">EOMONTH(J11,6)</f>
        <v>44926</v>
      </c>
      <c r="L11" s="70">
        <f t="shared" si="0"/>
        <v>45107</v>
      </c>
      <c r="M11" s="70">
        <f t="shared" si="0"/>
        <v>45291</v>
      </c>
      <c r="N11" s="70">
        <f t="shared" si="0"/>
        <v>45473</v>
      </c>
      <c r="O11" s="70">
        <f t="shared" si="0"/>
        <v>45657</v>
      </c>
      <c r="P11" s="70">
        <f t="shared" si="0"/>
        <v>45838</v>
      </c>
      <c r="Q11" s="70">
        <f t="shared" si="0"/>
        <v>46022</v>
      </c>
      <c r="R11" s="70">
        <f>EOMONTH(Q11,6)</f>
        <v>46203</v>
      </c>
      <c r="S11"/>
      <c r="T11"/>
      <c r="U11"/>
      <c r="V11"/>
      <c r="W11"/>
    </row>
    <row r="12" spans="1:23" s="1" customFormat="1" x14ac:dyDescent="0.2">
      <c r="A12"/>
      <c r="B12" s="20" t="s">
        <v>242</v>
      </c>
      <c r="C12"/>
      <c r="D12"/>
      <c r="E12"/>
      <c r="F12"/>
      <c r="G12"/>
      <c r="H12" s="68">
        <f t="shared" ref="H12:R12" si="1">IF(MONTH(H11)=12, EOMONTH(H11,6), H11)</f>
        <v>44377</v>
      </c>
      <c r="I12" s="68">
        <f t="shared" si="1"/>
        <v>44742</v>
      </c>
      <c r="J12" s="68">
        <f t="shared" si="1"/>
        <v>44742</v>
      </c>
      <c r="K12" s="68">
        <f t="shared" si="1"/>
        <v>45107</v>
      </c>
      <c r="L12" s="68">
        <f t="shared" si="1"/>
        <v>45107</v>
      </c>
      <c r="M12" s="68">
        <f t="shared" si="1"/>
        <v>45473</v>
      </c>
      <c r="N12" s="68">
        <f t="shared" si="1"/>
        <v>45473</v>
      </c>
      <c r="O12" s="68">
        <f t="shared" si="1"/>
        <v>45838</v>
      </c>
      <c r="P12" s="68">
        <f t="shared" si="1"/>
        <v>45838</v>
      </c>
      <c r="Q12" s="68">
        <f t="shared" si="1"/>
        <v>46203</v>
      </c>
      <c r="R12" s="68">
        <f t="shared" si="1"/>
        <v>46203</v>
      </c>
      <c r="S12"/>
      <c r="T12"/>
      <c r="U12"/>
      <c r="V12"/>
      <c r="W12"/>
    </row>
    <row r="13" spans="1:23" s="1" customFormat="1" x14ac:dyDescent="0.2">
      <c r="A13"/>
      <c r="B13" s="20" t="s">
        <v>240</v>
      </c>
      <c r="C13"/>
      <c r="D13"/>
      <c r="E13"/>
      <c r="F13"/>
      <c r="G13"/>
      <c r="H13" s="71">
        <f t="shared" ref="H13:R13" si="2">IF(output_dollars&lt;H12,0,INDEX($H$8:$M$8,MATCH(H12,CY_years,0)))</f>
        <v>0</v>
      </c>
      <c r="I13" s="71">
        <f t="shared" si="2"/>
        <v>8.6058519793459354E-3</v>
      </c>
      <c r="J13" s="71">
        <f t="shared" si="2"/>
        <v>8.6058519793459354E-3</v>
      </c>
      <c r="K13" s="71">
        <f t="shared" si="2"/>
        <v>3.4982935153583528E-2</v>
      </c>
      <c r="L13" s="71">
        <f t="shared" si="2"/>
        <v>3.4982935153583528E-2</v>
      </c>
      <c r="M13" s="71">
        <f t="shared" si="2"/>
        <v>7.8318219291014124E-2</v>
      </c>
      <c r="N13" s="71">
        <f t="shared" si="2"/>
        <v>7.8318219291014124E-2</v>
      </c>
      <c r="O13" s="71">
        <f t="shared" si="2"/>
        <v>4.0519877675840865E-2</v>
      </c>
      <c r="P13" s="71">
        <f t="shared" si="2"/>
        <v>4.0519877675840865E-2</v>
      </c>
      <c r="Q13" s="71">
        <f t="shared" si="2"/>
        <v>2.4246877296105973E-2</v>
      </c>
      <c r="R13" s="71">
        <f t="shared" si="2"/>
        <v>2.4246877296105973E-2</v>
      </c>
      <c r="S13"/>
      <c r="T13"/>
      <c r="U13"/>
      <c r="V13"/>
      <c r="W13"/>
    </row>
    <row r="14" spans="1:23" s="1" customFormat="1" x14ac:dyDescent="0.2">
      <c r="A14"/>
      <c r="B14"/>
      <c r="C14"/>
      <c r="D14"/>
      <c r="E14"/>
      <c r="F14"/>
      <c r="G14"/>
      <c r="S14"/>
      <c r="T14"/>
      <c r="U14"/>
      <c r="V14"/>
      <c r="W14"/>
    </row>
    <row r="15" spans="1:23" s="20" customFormat="1" x14ac:dyDescent="0.2">
      <c r="A15"/>
      <c r="B15" s="20" t="s">
        <v>243</v>
      </c>
      <c r="C15"/>
      <c r="D15"/>
      <c r="E15"/>
      <c r="F15"/>
      <c r="G15"/>
      <c r="H15" s="36">
        <v>1</v>
      </c>
      <c r="I15" s="20">
        <f t="shared" ref="I15:R15" si="3">H15*(1+I$13)^0.5</f>
        <v>1.0042937080253693</v>
      </c>
      <c r="J15" s="20">
        <f t="shared" si="3"/>
        <v>1.0086058519793457</v>
      </c>
      <c r="K15" s="20">
        <f t="shared" si="3"/>
        <v>1.0260961975293987</v>
      </c>
      <c r="L15" s="20">
        <f t="shared" si="3"/>
        <v>1.0438898450946641</v>
      </c>
      <c r="M15" s="20">
        <f t="shared" si="3"/>
        <v>1.0839971599793141</v>
      </c>
      <c r="N15" s="20">
        <f t="shared" si="3"/>
        <v>1.1256454388984505</v>
      </c>
      <c r="O15" s="20">
        <f t="shared" si="3"/>
        <v>1.1482244927118261</v>
      </c>
      <c r="P15" s="20">
        <f t="shared" si="3"/>
        <v>1.1712564543889838</v>
      </c>
      <c r="Q15" s="20">
        <f t="shared" si="3"/>
        <v>1.1853710637938346</v>
      </c>
      <c r="R15" s="20">
        <f t="shared" si="3"/>
        <v>1.1996557659208258</v>
      </c>
      <c r="S15"/>
      <c r="T15"/>
      <c r="U15"/>
      <c r="V15"/>
      <c r="W15"/>
    </row>
    <row r="16" spans="1:23" s="20" customFormat="1" x14ac:dyDescent="0.2">
      <c r="A16"/>
      <c r="B16" s="20" t="s">
        <v>244</v>
      </c>
      <c r="C16" s="60">
        <f>input_dollars</f>
        <v>45291</v>
      </c>
      <c r="D16" s="20">
        <f>INDEX(hy_escalation, MATCH(C16,hy_dates,0))</f>
        <v>1.0839971599793141</v>
      </c>
      <c r="E16"/>
      <c r="F16"/>
      <c r="G16"/>
      <c r="S16"/>
      <c r="T16"/>
      <c r="U16"/>
      <c r="V16"/>
      <c r="W16"/>
    </row>
    <row r="17" spans="1:34" s="20" customFormat="1" x14ac:dyDescent="0.2">
      <c r="A17"/>
      <c r="B17" s="20" t="s">
        <v>245</v>
      </c>
      <c r="C17" s="60">
        <f>output_dollars</f>
        <v>46203</v>
      </c>
      <c r="D17" s="20">
        <f>INDEX(hy_escalation, MATCH(C17,hy_dates,0))</f>
        <v>1.1996557659208258</v>
      </c>
      <c r="E17"/>
      <c r="F17"/>
      <c r="G17"/>
      <c r="S17"/>
      <c r="T17"/>
      <c r="U17"/>
      <c r="V17"/>
      <c r="W17"/>
    </row>
    <row r="18" spans="1:34" s="1" customFormat="1" x14ac:dyDescent="0.2">
      <c r="A18"/>
      <c r="B18"/>
      <c r="C18"/>
      <c r="D18"/>
      <c r="E18"/>
      <c r="F18"/>
      <c r="G18"/>
      <c r="H18"/>
      <c r="I18"/>
      <c r="J18"/>
      <c r="K18"/>
      <c r="L18"/>
      <c r="M18"/>
      <c r="N18"/>
      <c r="O18"/>
      <c r="P18"/>
      <c r="Q18"/>
      <c r="R18"/>
      <c r="S18"/>
      <c r="T18"/>
      <c r="U18"/>
      <c r="V18"/>
      <c r="W18"/>
    </row>
    <row r="19" spans="1:34" x14ac:dyDescent="0.2">
      <c r="B19" s="20" t="s">
        <v>246</v>
      </c>
      <c r="D19" s="20">
        <f>D17/D16</f>
        <v>1.1066964104811112</v>
      </c>
      <c r="L19" s="246"/>
    </row>
    <row r="20" spans="1:34" x14ac:dyDescent="0.2">
      <c r="B20" s="20"/>
      <c r="D20" s="20"/>
    </row>
    <row r="21" spans="1:34" x14ac:dyDescent="0.2">
      <c r="B21" s="20" t="s">
        <v>247</v>
      </c>
      <c r="C21" s="60">
        <f>vcr_date</f>
        <v>45657</v>
      </c>
      <c r="D21" s="20">
        <f>INDEX(hy_escalation, MATCH(C21,hy_dates,0))</f>
        <v>1.1482244927118261</v>
      </c>
    </row>
    <row r="22" spans="1:34" x14ac:dyDescent="0.2">
      <c r="B22" s="20" t="s">
        <v>248</v>
      </c>
      <c r="C22" s="60">
        <f>input_dollars</f>
        <v>45291</v>
      </c>
      <c r="D22" s="20">
        <f>INDEX(hy_escalation, MATCH(C22,hy_dates,0))</f>
        <v>1.0839971599793141</v>
      </c>
    </row>
    <row r="23" spans="1:34" x14ac:dyDescent="0.2">
      <c r="B23" s="20" t="s">
        <v>249</v>
      </c>
      <c r="D23" s="20">
        <f>D22/D21</f>
        <v>0.94406378444268968</v>
      </c>
    </row>
    <row r="25" spans="1:34" x14ac:dyDescent="0.2">
      <c r="B25" s="20" t="s">
        <v>250</v>
      </c>
      <c r="C25" s="6" t="str">
        <f>start</f>
        <v>2026-27</v>
      </c>
    </row>
    <row r="28" spans="1:34" s="1" customFormat="1" ht="15" x14ac:dyDescent="0.2">
      <c r="A28" s="16" t="s">
        <v>251</v>
      </c>
      <c r="B28" s="16"/>
      <c r="C28" s="14"/>
      <c r="D28" s="14"/>
      <c r="E28" s="14"/>
      <c r="F28" s="14"/>
      <c r="G28" s="14"/>
      <c r="H28" s="14"/>
      <c r="I28" s="14"/>
      <c r="J28" s="14"/>
      <c r="K28" s="14"/>
      <c r="L28" s="14"/>
      <c r="M28" s="15"/>
      <c r="N28" s="15"/>
      <c r="O28" s="15"/>
      <c r="P28" s="15"/>
      <c r="Q28" s="15"/>
      <c r="R28" s="15"/>
    </row>
    <row r="31" spans="1:34" x14ac:dyDescent="0.2">
      <c r="B31" s="167" t="s">
        <v>8</v>
      </c>
      <c r="C31" s="168" t="s">
        <v>138</v>
      </c>
      <c r="D31" s="169" t="s">
        <v>252</v>
      </c>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row>
    <row r="32" spans="1:34" x14ac:dyDescent="0.2">
      <c r="B32" s="114" t="s">
        <v>150</v>
      </c>
      <c r="C32" s="166">
        <f>Option2!$G$90</f>
        <v>2</v>
      </c>
      <c r="D32" s="8" t="b">
        <f>NOT(Data!C10)</f>
        <v>1</v>
      </c>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row>
    <row r="33" spans="1:34" x14ac:dyDescent="0.2">
      <c r="B33" s="114" t="s">
        <v>151</v>
      </c>
      <c r="C33" s="166" t="str">
        <f>Option3!$G$90</f>
        <v>Not used</v>
      </c>
      <c r="D33" s="8" t="b">
        <f>NOT(Data!C11)</f>
        <v>0</v>
      </c>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row>
    <row r="34" spans="1:34" x14ac:dyDescent="0.2">
      <c r="B34" s="114" t="s">
        <v>152</v>
      </c>
      <c r="C34" s="166" t="str">
        <f>Option4!$G$90</f>
        <v>Not used</v>
      </c>
      <c r="D34" s="8" t="b">
        <f>NOT(Data!C12)</f>
        <v>0</v>
      </c>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row>
    <row r="35" spans="1:34" x14ac:dyDescent="0.2">
      <c r="B35" s="114" t="s">
        <v>153</v>
      </c>
      <c r="C35" s="166" t="str">
        <f>Option5!$G$90</f>
        <v>Not used</v>
      </c>
      <c r="D35" s="8" t="b">
        <f>NOT(Data!C13)</f>
        <v>0</v>
      </c>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row>
    <row r="36" spans="1:34" x14ac:dyDescent="0.2">
      <c r="B36" s="8"/>
      <c r="C36" s="74"/>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1:34" x14ac:dyDescent="0.2">
      <c r="B37" s="8"/>
      <c r="C37" s="74"/>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row>
    <row r="38" spans="1:34" x14ac:dyDescent="0.2">
      <c r="B38" s="170" t="s">
        <v>138</v>
      </c>
      <c r="C38" s="170" cm="1">
        <f t="array" ref="C38">IF(OR(NOT(Data!$C$10:$C$13)), _xlfn.MINIFS($C$32:$C$35,$D$32:$D$35,TRUE), 0)</f>
        <v>2</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row>
    <row r="39" spans="1:34" x14ac:dyDescent="0.2">
      <c r="B39" s="8"/>
      <c r="C39" s="74"/>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row>
    <row r="40" spans="1:34" x14ac:dyDescent="0.2">
      <c r="B40" s="8"/>
      <c r="C40" s="74"/>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row>
    <row r="41" spans="1:34" x14ac:dyDescent="0.2">
      <c r="A41" s="8"/>
      <c r="B41" s="8"/>
      <c r="C41" s="74"/>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row>
  </sheetData>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1E31B-D919-4625-B2CD-E9F193C9DE73}">
  <sheetPr codeName="Sheet9">
    <tabColor rgb="FFFFFFCC"/>
  </sheetPr>
  <dimension ref="A1:AA323"/>
  <sheetViews>
    <sheetView showGridLines="0" zoomScale="80" zoomScaleNormal="80" workbookViewId="0"/>
  </sheetViews>
  <sheetFormatPr defaultColWidth="9" defaultRowHeight="12.75" x14ac:dyDescent="0.2"/>
  <cols>
    <col min="1" max="1" width="5.375" style="6" customWidth="1"/>
    <col min="2" max="2" width="24.5" style="6" customWidth="1"/>
    <col min="3" max="3" width="9" style="6"/>
    <col min="4" max="4" width="9.875" style="6" bestFit="1" customWidth="1"/>
    <col min="5" max="5" width="10.875" style="6" customWidth="1"/>
    <col min="6" max="14" width="9" style="6"/>
    <col min="15" max="15" width="30.125" style="6" customWidth="1"/>
    <col min="16" max="16" width="43.25" style="6" customWidth="1"/>
    <col min="17" max="20" width="9" style="6"/>
    <col min="21" max="21" width="11.375" style="6" bestFit="1" customWidth="1"/>
    <col min="22" max="26" width="9" style="6"/>
    <col min="27" max="27" width="19.125" style="6" customWidth="1"/>
    <col min="28" max="16384" width="9" style="6"/>
  </cols>
  <sheetData>
    <row r="1" spans="1:27" ht="18.75" x14ac:dyDescent="0.3">
      <c r="A1" s="13" t="str">
        <f>bus</f>
        <v>Powercor</v>
      </c>
      <c r="B1" s="13"/>
      <c r="C1" s="13"/>
      <c r="D1" s="13"/>
      <c r="E1" s="13"/>
      <c r="F1" s="13"/>
      <c r="G1" s="13"/>
      <c r="H1" s="13"/>
      <c r="I1" s="13"/>
      <c r="J1" s="13"/>
      <c r="K1" s="42"/>
      <c r="L1" s="42"/>
      <c r="M1" s="42"/>
      <c r="N1" s="13"/>
      <c r="O1" s="13"/>
      <c r="P1" s="13"/>
      <c r="Q1" s="13"/>
      <c r="R1" s="13"/>
      <c r="S1" s="13"/>
      <c r="T1"/>
      <c r="U1" s="124"/>
      <c r="V1"/>
      <c r="W1"/>
    </row>
    <row r="2" spans="1:27" ht="18.75" x14ac:dyDescent="0.3">
      <c r="A2" s="50" t="str">
        <f>proj</f>
        <v>TRG024-WBL012 Tie upgrade</v>
      </c>
      <c r="B2" s="50"/>
      <c r="C2" s="50"/>
      <c r="D2" s="50"/>
      <c r="E2" s="50"/>
      <c r="F2" s="50"/>
      <c r="G2" s="13"/>
      <c r="H2" s="13"/>
      <c r="I2" s="13"/>
      <c r="J2" s="13"/>
      <c r="K2" s="42"/>
      <c r="L2" s="42"/>
      <c r="M2" s="42"/>
      <c r="N2" s="13"/>
      <c r="O2" s="13"/>
      <c r="P2" s="13"/>
      <c r="Q2" s="13"/>
      <c r="R2" s="13"/>
      <c r="S2" s="13"/>
      <c r="T2"/>
      <c r="U2"/>
      <c r="V2"/>
      <c r="W2"/>
    </row>
    <row r="3" spans="1:27" ht="15.75" x14ac:dyDescent="0.25">
      <c r="A3" s="5"/>
      <c r="B3" s="5"/>
      <c r="C3" s="5"/>
      <c r="D3" s="5"/>
      <c r="E3" s="5"/>
      <c r="F3" s="5"/>
      <c r="T3"/>
      <c r="U3"/>
      <c r="V3"/>
      <c r="W3"/>
    </row>
    <row r="4" spans="1:27" x14ac:dyDescent="0.2">
      <c r="T4"/>
      <c r="U4"/>
      <c r="V4"/>
    </row>
    <row r="5" spans="1:27" ht="15" x14ac:dyDescent="0.25">
      <c r="A5" s="17" t="s">
        <v>255</v>
      </c>
      <c r="B5" s="17"/>
      <c r="C5" s="17"/>
      <c r="D5" s="17"/>
      <c r="E5" s="17"/>
      <c r="F5" s="18"/>
      <c r="G5" s="17"/>
      <c r="H5" s="17"/>
      <c r="I5" s="17"/>
      <c r="J5" s="18"/>
      <c r="K5" s="18"/>
      <c r="L5" s="18"/>
      <c r="M5" s="18"/>
      <c r="N5" s="18"/>
      <c r="O5" s="18"/>
      <c r="P5" s="18"/>
      <c r="Q5" s="18"/>
      <c r="R5" s="18"/>
      <c r="S5" s="18"/>
      <c r="T5"/>
      <c r="U5"/>
      <c r="V5"/>
    </row>
    <row r="6" spans="1:27" x14ac:dyDescent="0.2">
      <c r="T6"/>
      <c r="U6"/>
      <c r="V6"/>
    </row>
    <row r="7" spans="1:27" x14ac:dyDescent="0.2">
      <c r="A7" s="12" t="s">
        <v>256</v>
      </c>
      <c r="T7"/>
      <c r="U7"/>
      <c r="V7"/>
    </row>
    <row r="8" spans="1:27" x14ac:dyDescent="0.2">
      <c r="A8" s="53"/>
      <c r="B8" s="53"/>
      <c r="C8" s="47" t="s">
        <v>257</v>
      </c>
      <c r="D8" s="47" t="s">
        <v>258</v>
      </c>
      <c r="F8" s="6" t="s">
        <v>259</v>
      </c>
      <c r="T8"/>
      <c r="U8"/>
      <c r="V8"/>
    </row>
    <row r="9" spans="1:27" x14ac:dyDescent="0.2">
      <c r="A9" s="25" t="s">
        <v>260</v>
      </c>
      <c r="B9" s="76" t="s">
        <v>253</v>
      </c>
      <c r="C9" s="19" t="b">
        <v>0</v>
      </c>
      <c r="D9" s="6" t="str">
        <f>IF(C9, $C$8, "")</f>
        <v/>
      </c>
      <c r="E9" s="6" t="str">
        <f>B9&amp;": "&amp;Assumptions!E14</f>
        <v>Option 1 (base case): No change to existing practices</v>
      </c>
      <c r="F9" s="6" t="b">
        <f>compliance</f>
        <v>0</v>
      </c>
      <c r="T9"/>
      <c r="U9"/>
      <c r="V9"/>
      <c r="W9"/>
    </row>
    <row r="10" spans="1:27" x14ac:dyDescent="0.2">
      <c r="A10" s="25" t="s">
        <v>261</v>
      </c>
      <c r="B10" s="76" t="s">
        <v>150</v>
      </c>
      <c r="C10" s="19" t="b">
        <f>SUM(Option2!I$17:AB$17, Option2!I$19:AB$19)=0</f>
        <v>0</v>
      </c>
      <c r="D10" s="6" t="str">
        <f>IF(C10, $C$8, "")</f>
        <v/>
      </c>
      <c r="F10" s="6" t="b">
        <f>C10</f>
        <v>0</v>
      </c>
      <c r="T10"/>
      <c r="U10"/>
      <c r="V10"/>
      <c r="W10"/>
      <c r="Z10"/>
      <c r="AA10"/>
    </row>
    <row r="11" spans="1:27" x14ac:dyDescent="0.2">
      <c r="A11" s="25" t="s">
        <v>262</v>
      </c>
      <c r="B11" s="76" t="s">
        <v>151</v>
      </c>
      <c r="C11" s="19" t="b">
        <f>SUM(Option3!I$17:AB$17, Option3!I$19:AB$19)=0</f>
        <v>1</v>
      </c>
      <c r="D11" s="6" t="str">
        <f>IF(C11, $C$8, "")</f>
        <v>Not used</v>
      </c>
      <c r="F11" s="6" t="b">
        <f>C11</f>
        <v>1</v>
      </c>
      <c r="T11"/>
      <c r="U11"/>
      <c r="V11"/>
      <c r="W11"/>
      <c r="Z11"/>
      <c r="AA11"/>
    </row>
    <row r="12" spans="1:27" x14ac:dyDescent="0.2">
      <c r="A12" s="25" t="s">
        <v>263</v>
      </c>
      <c r="B12" s="76" t="s">
        <v>152</v>
      </c>
      <c r="C12" s="19" t="b">
        <f>SUM(Option4!I$17:AB$17, Option4!I$19:AB$19)=0</f>
        <v>1</v>
      </c>
      <c r="D12" s="6" t="str">
        <f>IF(C12, $C$8, "")</f>
        <v>Not used</v>
      </c>
      <c r="F12" s="6" t="b">
        <f>C12</f>
        <v>1</v>
      </c>
      <c r="T12"/>
      <c r="U12"/>
      <c r="V12"/>
      <c r="W12"/>
      <c r="Z12"/>
      <c r="AA12"/>
    </row>
    <row r="13" spans="1:27" x14ac:dyDescent="0.2">
      <c r="A13" s="25" t="s">
        <v>264</v>
      </c>
      <c r="B13" s="76" t="s">
        <v>153</v>
      </c>
      <c r="C13" s="19" t="b">
        <f>SUM(Option5!I$17:AB$17, Option5!I$19:AB$19)=0</f>
        <v>1</v>
      </c>
      <c r="D13" s="6" t="str">
        <f>IF(C13, $C$8, "")</f>
        <v>Not used</v>
      </c>
      <c r="F13" s="6" t="b">
        <f>C13</f>
        <v>1</v>
      </c>
      <c r="T13"/>
      <c r="U13"/>
      <c r="V13"/>
      <c r="W13"/>
      <c r="Z13"/>
      <c r="AA13"/>
    </row>
    <row r="14" spans="1:27" x14ac:dyDescent="0.2">
      <c r="T14"/>
      <c r="U14"/>
      <c r="V14"/>
      <c r="W14"/>
      <c r="Z14"/>
      <c r="AA14"/>
    </row>
    <row r="15" spans="1:27" x14ac:dyDescent="0.2">
      <c r="T15"/>
      <c r="U15"/>
      <c r="V15"/>
      <c r="W15"/>
      <c r="Z15"/>
      <c r="AA15"/>
    </row>
    <row r="16" spans="1:27" x14ac:dyDescent="0.2">
      <c r="A16" s="6" t="s">
        <v>27</v>
      </c>
      <c r="D16" s="21" t="s">
        <v>265</v>
      </c>
      <c r="E16" s="6" t="b">
        <f>Assumptions!E20=Data!D16</f>
        <v>0</v>
      </c>
      <c r="T16"/>
      <c r="U16"/>
      <c r="V16"/>
      <c r="W16"/>
      <c r="Z16"/>
      <c r="AA16"/>
    </row>
    <row r="17" spans="1:27" x14ac:dyDescent="0.2">
      <c r="T17"/>
      <c r="U17"/>
      <c r="V17"/>
      <c r="W17"/>
      <c r="Z17"/>
      <c r="AA17"/>
    </row>
    <row r="18" spans="1:27" x14ac:dyDescent="0.2">
      <c r="T18"/>
      <c r="U18"/>
      <c r="V18"/>
      <c r="W18"/>
      <c r="Z18"/>
      <c r="AA18"/>
    </row>
    <row r="19" spans="1:27" x14ac:dyDescent="0.2">
      <c r="B19" s="76" t="s">
        <v>26</v>
      </c>
      <c r="C19" s="19"/>
      <c r="T19"/>
      <c r="U19"/>
      <c r="V19"/>
      <c r="W19"/>
      <c r="Z19"/>
      <c r="AA19"/>
    </row>
    <row r="20" spans="1:27" x14ac:dyDescent="0.2">
      <c r="B20" s="76" t="s">
        <v>266</v>
      </c>
      <c r="C20" s="19"/>
      <c r="T20"/>
      <c r="U20"/>
      <c r="V20"/>
      <c r="W20"/>
      <c r="Z20"/>
      <c r="AA20"/>
    </row>
    <row r="21" spans="1:27" x14ac:dyDescent="0.2">
      <c r="B21" s="76" t="s">
        <v>267</v>
      </c>
      <c r="T21"/>
      <c r="U21"/>
      <c r="V21"/>
      <c r="W21"/>
      <c r="Z21"/>
      <c r="AA21"/>
    </row>
    <row r="22" spans="1:27" x14ac:dyDescent="0.2">
      <c r="T22"/>
      <c r="U22"/>
      <c r="V22"/>
      <c r="W22"/>
      <c r="Z22"/>
      <c r="AA22"/>
    </row>
    <row r="23" spans="1:27" x14ac:dyDescent="0.2">
      <c r="T23"/>
      <c r="U23"/>
      <c r="V23"/>
      <c r="W23"/>
    </row>
    <row r="24" spans="1:27" x14ac:dyDescent="0.2">
      <c r="A24" s="6" t="s">
        <v>268</v>
      </c>
      <c r="B24" s="90"/>
      <c r="T24"/>
      <c r="U24"/>
      <c r="V24"/>
      <c r="W24"/>
    </row>
    <row r="25" spans="1:27" x14ac:dyDescent="0.2">
      <c r="B25" s="21" t="s">
        <v>104</v>
      </c>
      <c r="T25"/>
      <c r="U25"/>
      <c r="V25"/>
      <c r="W25"/>
    </row>
    <row r="26" spans="1:27" x14ac:dyDescent="0.2">
      <c r="T26"/>
      <c r="U26"/>
      <c r="V26"/>
      <c r="W26"/>
    </row>
    <row r="27" spans="1:27" x14ac:dyDescent="0.2">
      <c r="T27"/>
      <c r="U27"/>
      <c r="V27"/>
      <c r="W27"/>
    </row>
    <row r="28" spans="1:27" x14ac:dyDescent="0.2">
      <c r="A28" s="12" t="s">
        <v>269</v>
      </c>
      <c r="T28"/>
      <c r="U28"/>
      <c r="V28"/>
      <c r="W28"/>
    </row>
    <row r="29" spans="1:27" x14ac:dyDescent="0.2">
      <c r="A29" s="12"/>
      <c r="B29" s="47"/>
      <c r="C29" s="47" t="s">
        <v>270</v>
      </c>
      <c r="T29"/>
      <c r="U29"/>
      <c r="V29"/>
      <c r="W29"/>
    </row>
    <row r="30" spans="1:27" x14ac:dyDescent="0.2">
      <c r="B30" s="21" t="s">
        <v>14</v>
      </c>
      <c r="C30" s="21">
        <v>-1</v>
      </c>
      <c r="T30"/>
      <c r="U30"/>
      <c r="V30"/>
      <c r="W30"/>
    </row>
    <row r="31" spans="1:27" x14ac:dyDescent="0.2">
      <c r="B31" s="21" t="s">
        <v>131</v>
      </c>
      <c r="C31" s="21">
        <v>-1</v>
      </c>
      <c r="T31"/>
      <c r="U31"/>
      <c r="V31"/>
      <c r="W31"/>
      <c r="AA31" s="59"/>
    </row>
    <row r="32" spans="1:27" x14ac:dyDescent="0.2">
      <c r="B32" s="21" t="s">
        <v>15</v>
      </c>
      <c r="C32" s="21">
        <v>-1</v>
      </c>
      <c r="T32"/>
      <c r="U32"/>
      <c r="V32"/>
      <c r="W32"/>
      <c r="AA32" s="59"/>
    </row>
    <row r="33" spans="1:23" x14ac:dyDescent="0.2">
      <c r="B33" s="21" t="s">
        <v>133</v>
      </c>
      <c r="C33" s="21">
        <v>1</v>
      </c>
      <c r="T33"/>
      <c r="U33"/>
      <c r="V33"/>
      <c r="W33"/>
    </row>
    <row r="34" spans="1:23" x14ac:dyDescent="0.2">
      <c r="B34" s="21" t="s">
        <v>134</v>
      </c>
      <c r="C34" s="21">
        <v>1</v>
      </c>
      <c r="T34"/>
      <c r="U34"/>
      <c r="V34"/>
      <c r="W34"/>
    </row>
    <row r="35" spans="1:23" x14ac:dyDescent="0.2">
      <c r="B35" s="21" t="s">
        <v>135</v>
      </c>
      <c r="C35" s="21">
        <v>1</v>
      </c>
      <c r="T35"/>
      <c r="U35"/>
      <c r="V35"/>
      <c r="W35"/>
    </row>
    <row r="36" spans="1:23" x14ac:dyDescent="0.2">
      <c r="B36" s="21" t="s">
        <v>116</v>
      </c>
      <c r="C36" s="21">
        <v>1</v>
      </c>
      <c r="T36"/>
      <c r="U36"/>
      <c r="V36"/>
      <c r="W36"/>
    </row>
    <row r="37" spans="1:23" x14ac:dyDescent="0.2">
      <c r="T37"/>
      <c r="U37"/>
      <c r="V37"/>
      <c r="W37"/>
    </row>
    <row r="38" spans="1:23" x14ac:dyDescent="0.2">
      <c r="T38"/>
      <c r="U38"/>
      <c r="V38"/>
      <c r="W38"/>
    </row>
    <row r="39" spans="1:23" x14ac:dyDescent="0.2">
      <c r="T39"/>
      <c r="U39"/>
      <c r="V39"/>
      <c r="W39"/>
    </row>
    <row r="40" spans="1:23" x14ac:dyDescent="0.2">
      <c r="T40"/>
      <c r="U40"/>
      <c r="V40"/>
      <c r="W40"/>
    </row>
    <row r="41" spans="1:23" x14ac:dyDescent="0.2">
      <c r="A41" s="12" t="s">
        <v>271</v>
      </c>
      <c r="T41"/>
      <c r="U41"/>
      <c r="V41"/>
      <c r="W41"/>
    </row>
    <row r="42" spans="1:23" x14ac:dyDescent="0.2">
      <c r="A42" s="53"/>
      <c r="B42" s="53"/>
      <c r="C42" s="47" t="s">
        <v>270</v>
      </c>
      <c r="D42" s="47" t="s">
        <v>272</v>
      </c>
      <c r="E42" s="47" t="s">
        <v>101</v>
      </c>
      <c r="F42" s="6" t="s">
        <v>273</v>
      </c>
      <c r="T42"/>
      <c r="U42"/>
      <c r="V42"/>
      <c r="W42"/>
    </row>
    <row r="43" spans="1:23" x14ac:dyDescent="0.2">
      <c r="A43" s="25">
        <v>1</v>
      </c>
      <c r="B43" s="25" t="s">
        <v>274</v>
      </c>
      <c r="C43" s="25" t="s">
        <v>275</v>
      </c>
      <c r="D43" s="25" t="b">
        <v>0</v>
      </c>
      <c r="E43" s="21" t="s">
        <v>109</v>
      </c>
      <c r="F43" s="25" t="b">
        <v>0</v>
      </c>
      <c r="T43"/>
      <c r="U43"/>
      <c r="V43"/>
      <c r="W43"/>
    </row>
    <row r="44" spans="1:23" x14ac:dyDescent="0.2">
      <c r="A44" s="25">
        <f>A43+1</f>
        <v>2</v>
      </c>
      <c r="B44" s="25" t="s">
        <v>276</v>
      </c>
      <c r="C44" s="25" t="s">
        <v>276</v>
      </c>
      <c r="D44" s="25" t="b">
        <v>0</v>
      </c>
      <c r="E44" s="21" t="s">
        <v>120</v>
      </c>
      <c r="F44" s="25" t="b">
        <v>1</v>
      </c>
      <c r="T44"/>
      <c r="U44"/>
      <c r="V44"/>
      <c r="W44"/>
    </row>
    <row r="45" spans="1:23" x14ac:dyDescent="0.2">
      <c r="A45" s="25">
        <f t="shared" ref="A45:A55" si="0">A44+1</f>
        <v>3</v>
      </c>
      <c r="B45" s="25" t="s">
        <v>277</v>
      </c>
      <c r="C45" s="25" t="s">
        <v>278</v>
      </c>
      <c r="D45" s="25" t="b">
        <v>0</v>
      </c>
      <c r="E45" s="21" t="s">
        <v>120</v>
      </c>
      <c r="F45" s="25" t="b">
        <v>1</v>
      </c>
      <c r="T45"/>
      <c r="U45"/>
      <c r="V45"/>
      <c r="W45"/>
    </row>
    <row r="46" spans="1:23" x14ac:dyDescent="0.2">
      <c r="A46" s="25">
        <f t="shared" si="0"/>
        <v>4</v>
      </c>
      <c r="B46" s="25" t="s">
        <v>279</v>
      </c>
      <c r="C46" s="25" t="s">
        <v>280</v>
      </c>
      <c r="D46" s="25" t="b">
        <v>0</v>
      </c>
      <c r="E46" s="21" t="s">
        <v>120</v>
      </c>
      <c r="F46" s="25" t="b">
        <v>1</v>
      </c>
      <c r="T46"/>
      <c r="U46"/>
      <c r="V46"/>
      <c r="W46"/>
    </row>
    <row r="47" spans="1:23" ht="13.5" x14ac:dyDescent="0.25">
      <c r="A47" s="25">
        <f t="shared" si="0"/>
        <v>5</v>
      </c>
      <c r="B47" s="25" t="s">
        <v>118</v>
      </c>
      <c r="C47" s="25" t="s">
        <v>281</v>
      </c>
      <c r="D47" s="25" t="b">
        <v>1</v>
      </c>
      <c r="E47" s="21" t="s">
        <v>109</v>
      </c>
      <c r="F47" s="25" t="b">
        <v>0</v>
      </c>
      <c r="T47"/>
      <c r="U47"/>
      <c r="V47"/>
      <c r="W47"/>
    </row>
    <row r="48" spans="1:23" x14ac:dyDescent="0.2">
      <c r="A48" s="25">
        <f t="shared" si="0"/>
        <v>6</v>
      </c>
      <c r="B48" s="25" t="s">
        <v>84</v>
      </c>
      <c r="C48" s="25" t="s">
        <v>282</v>
      </c>
      <c r="D48" s="25" t="b">
        <v>1</v>
      </c>
      <c r="E48" s="21" t="s">
        <v>109</v>
      </c>
      <c r="F48" s="25" t="b">
        <v>0</v>
      </c>
      <c r="T48"/>
      <c r="U48"/>
      <c r="V48"/>
      <c r="W48"/>
    </row>
    <row r="49" spans="1:23" x14ac:dyDescent="0.2">
      <c r="A49" s="25">
        <f t="shared" si="0"/>
        <v>7</v>
      </c>
      <c r="B49" s="25" t="s">
        <v>283</v>
      </c>
      <c r="C49" s="25" t="s">
        <v>282</v>
      </c>
      <c r="D49" s="25" t="b">
        <v>1</v>
      </c>
      <c r="E49" s="21" t="s">
        <v>109</v>
      </c>
      <c r="F49" s="25" t="b">
        <v>0</v>
      </c>
      <c r="T49"/>
      <c r="U49"/>
      <c r="V49"/>
      <c r="W49"/>
    </row>
    <row r="50" spans="1:23" x14ac:dyDescent="0.2">
      <c r="A50" s="25">
        <f t="shared" si="0"/>
        <v>8</v>
      </c>
      <c r="B50" s="25" t="s">
        <v>86</v>
      </c>
      <c r="C50" s="25" t="s">
        <v>282</v>
      </c>
      <c r="D50" s="25" t="b">
        <v>1</v>
      </c>
      <c r="E50" s="21" t="s">
        <v>109</v>
      </c>
      <c r="F50" s="25" t="b">
        <v>0</v>
      </c>
      <c r="T50"/>
      <c r="U50"/>
      <c r="V50"/>
      <c r="W50"/>
    </row>
    <row r="51" spans="1:23" x14ac:dyDescent="0.2">
      <c r="A51" s="25">
        <f t="shared" si="0"/>
        <v>9</v>
      </c>
      <c r="B51" s="25" t="s">
        <v>284</v>
      </c>
      <c r="C51" s="25" t="s">
        <v>282</v>
      </c>
      <c r="D51" s="25" t="b">
        <v>1</v>
      </c>
      <c r="E51" s="21" t="s">
        <v>285</v>
      </c>
      <c r="F51" s="25" t="b">
        <v>0</v>
      </c>
      <c r="T51"/>
      <c r="U51"/>
      <c r="V51"/>
      <c r="W51"/>
    </row>
    <row r="52" spans="1:23" x14ac:dyDescent="0.2">
      <c r="A52" s="25">
        <f t="shared" si="0"/>
        <v>10</v>
      </c>
      <c r="B52" s="25" t="s">
        <v>89</v>
      </c>
      <c r="C52" s="25" t="s">
        <v>282</v>
      </c>
      <c r="D52" s="25" t="b">
        <v>1</v>
      </c>
      <c r="E52" s="21" t="s">
        <v>286</v>
      </c>
      <c r="F52" s="25" t="b">
        <v>0</v>
      </c>
      <c r="T52"/>
      <c r="U52"/>
      <c r="V52"/>
      <c r="W52"/>
    </row>
    <row r="53" spans="1:23" x14ac:dyDescent="0.2">
      <c r="A53" s="25">
        <f t="shared" si="0"/>
        <v>11</v>
      </c>
      <c r="B53" s="25" t="s">
        <v>91</v>
      </c>
      <c r="C53" s="25" t="s">
        <v>282</v>
      </c>
      <c r="D53" s="25" t="b">
        <v>1</v>
      </c>
      <c r="E53" s="21" t="s">
        <v>286</v>
      </c>
      <c r="F53" s="25" t="b">
        <v>0</v>
      </c>
      <c r="T53"/>
      <c r="U53"/>
      <c r="V53"/>
      <c r="W53"/>
    </row>
    <row r="54" spans="1:23" x14ac:dyDescent="0.2">
      <c r="A54" s="25">
        <f t="shared" si="0"/>
        <v>12</v>
      </c>
      <c r="B54" s="25" t="s">
        <v>92</v>
      </c>
      <c r="C54" s="25" t="s">
        <v>282</v>
      </c>
      <c r="D54" s="25" t="b">
        <v>1</v>
      </c>
      <c r="E54" s="21" t="s">
        <v>285</v>
      </c>
      <c r="F54" s="25" t="b">
        <v>0</v>
      </c>
      <c r="O54"/>
      <c r="P54"/>
      <c r="Q54"/>
      <c r="R54"/>
      <c r="S54"/>
      <c r="T54"/>
      <c r="U54"/>
      <c r="V54"/>
      <c r="W54"/>
    </row>
    <row r="55" spans="1:23" x14ac:dyDescent="0.2">
      <c r="A55" s="25">
        <f t="shared" si="0"/>
        <v>13</v>
      </c>
      <c r="B55" s="25" t="s">
        <v>93</v>
      </c>
      <c r="C55" s="25" t="s">
        <v>282</v>
      </c>
      <c r="D55" s="25" t="b">
        <v>1</v>
      </c>
      <c r="E55" s="21" t="s">
        <v>285</v>
      </c>
      <c r="F55" s="25" t="b">
        <v>0</v>
      </c>
      <c r="O55"/>
      <c r="P55"/>
      <c r="Q55"/>
      <c r="R55"/>
      <c r="S55"/>
      <c r="T55"/>
      <c r="U55"/>
      <c r="V55"/>
      <c r="W55"/>
    </row>
    <row r="56" spans="1:23" x14ac:dyDescent="0.2">
      <c r="O56"/>
      <c r="P56"/>
      <c r="Q56"/>
      <c r="R56"/>
      <c r="S56"/>
      <c r="T56"/>
      <c r="U56"/>
      <c r="V56"/>
      <c r="W56"/>
    </row>
    <row r="57" spans="1:23" x14ac:dyDescent="0.2">
      <c r="O57"/>
      <c r="P57"/>
      <c r="Q57"/>
      <c r="R57"/>
      <c r="S57"/>
      <c r="T57"/>
      <c r="U57"/>
      <c r="V57"/>
      <c r="W57"/>
    </row>
    <row r="58" spans="1:23" x14ac:dyDescent="0.2">
      <c r="A58" s="12" t="s">
        <v>287</v>
      </c>
      <c r="O58"/>
      <c r="P58"/>
      <c r="Q58"/>
      <c r="R58"/>
      <c r="S58"/>
      <c r="T58"/>
      <c r="U58"/>
      <c r="V58"/>
      <c r="W58"/>
    </row>
    <row r="59" spans="1:23" x14ac:dyDescent="0.2">
      <c r="A59" s="47"/>
      <c r="B59" s="47"/>
      <c r="C59" s="77"/>
      <c r="D59" s="47" t="s">
        <v>0</v>
      </c>
      <c r="H59"/>
      <c r="I59"/>
      <c r="J59"/>
      <c r="O59"/>
      <c r="P59"/>
      <c r="Q59"/>
      <c r="R59"/>
      <c r="S59"/>
      <c r="T59"/>
      <c r="U59"/>
      <c r="V59"/>
      <c r="W59"/>
    </row>
    <row r="60" spans="1:23" x14ac:dyDescent="0.2">
      <c r="B60" s="25" t="s">
        <v>84</v>
      </c>
      <c r="C60" s="25" t="s">
        <v>85</v>
      </c>
      <c r="D60" s="84">
        <v>151432.81740793545</v>
      </c>
      <c r="H60"/>
      <c r="I60"/>
      <c r="J60"/>
      <c r="O60"/>
      <c r="P60"/>
      <c r="Q60"/>
      <c r="R60"/>
      <c r="S60"/>
      <c r="T60"/>
      <c r="U60"/>
      <c r="V60"/>
      <c r="W60"/>
    </row>
    <row r="61" spans="1:23" x14ac:dyDescent="0.2">
      <c r="B61" s="25" t="s">
        <v>283</v>
      </c>
      <c r="C61" s="25" t="s">
        <v>85</v>
      </c>
      <c r="D61" s="84">
        <v>0</v>
      </c>
      <c r="H61"/>
      <c r="I61"/>
      <c r="J61"/>
      <c r="O61"/>
      <c r="P61"/>
      <c r="Q61"/>
      <c r="R61"/>
      <c r="S61"/>
      <c r="T61"/>
      <c r="U61"/>
      <c r="V61"/>
      <c r="W61"/>
    </row>
    <row r="62" spans="1:23" x14ac:dyDescent="0.2">
      <c r="B62" s="25" t="s">
        <v>86</v>
      </c>
      <c r="C62" s="25" t="s">
        <v>85</v>
      </c>
      <c r="D62" s="84">
        <v>88.357719508603083</v>
      </c>
      <c r="H62"/>
      <c r="I62"/>
      <c r="J62"/>
      <c r="O62"/>
      <c r="P62"/>
      <c r="Q62"/>
      <c r="R62"/>
      <c r="S62"/>
      <c r="T62"/>
      <c r="U62"/>
      <c r="V62"/>
      <c r="W62"/>
    </row>
    <row r="63" spans="1:23" x14ac:dyDescent="0.2">
      <c r="B63" s="25" t="s">
        <v>284</v>
      </c>
      <c r="C63" s="25" t="s">
        <v>288</v>
      </c>
      <c r="D63" s="84">
        <v>0</v>
      </c>
      <c r="H63"/>
      <c r="I63"/>
      <c r="J63"/>
      <c r="O63"/>
      <c r="P63"/>
      <c r="Q63"/>
      <c r="R63"/>
      <c r="S63"/>
      <c r="T63"/>
      <c r="U63"/>
      <c r="V63"/>
      <c r="W63"/>
    </row>
    <row r="64" spans="1:23" x14ac:dyDescent="0.2">
      <c r="B64" s="25" t="s">
        <v>89</v>
      </c>
      <c r="C64" s="25" t="s">
        <v>289</v>
      </c>
      <c r="D64" s="84">
        <v>0.35181336539087127</v>
      </c>
      <c r="H64"/>
      <c r="I64"/>
      <c r="J64"/>
      <c r="O64"/>
      <c r="P64"/>
      <c r="Q64"/>
      <c r="R64"/>
      <c r="S64"/>
      <c r="T64"/>
      <c r="U64"/>
      <c r="V64"/>
      <c r="W64"/>
    </row>
    <row r="65" spans="1:23" x14ac:dyDescent="0.2">
      <c r="B65" s="25" t="s">
        <v>91</v>
      </c>
      <c r="C65" s="25" t="s">
        <v>289</v>
      </c>
      <c r="D65" s="84">
        <v>0.35181336539087127</v>
      </c>
      <c r="H65"/>
      <c r="I65"/>
      <c r="J65"/>
      <c r="O65"/>
      <c r="P65"/>
      <c r="Q65"/>
      <c r="R65"/>
      <c r="S65"/>
      <c r="T65"/>
      <c r="U65"/>
      <c r="V65"/>
      <c r="W65"/>
    </row>
    <row r="66" spans="1:23" x14ac:dyDescent="0.2">
      <c r="B66" s="25" t="s">
        <v>92</v>
      </c>
      <c r="C66" s="25" t="s">
        <v>288</v>
      </c>
      <c r="D66" s="84">
        <v>0</v>
      </c>
      <c r="H66"/>
      <c r="I66"/>
      <c r="J66"/>
      <c r="O66"/>
      <c r="P66"/>
      <c r="Q66"/>
      <c r="R66"/>
      <c r="S66"/>
      <c r="T66"/>
      <c r="U66"/>
      <c r="V66"/>
      <c r="W66"/>
    </row>
    <row r="67" spans="1:23" x14ac:dyDescent="0.2">
      <c r="B67" s="25" t="s">
        <v>93</v>
      </c>
      <c r="C67" s="25" t="s">
        <v>288</v>
      </c>
      <c r="D67" s="84">
        <v>0</v>
      </c>
      <c r="H67"/>
      <c r="I67"/>
      <c r="J67"/>
      <c r="O67"/>
      <c r="P67"/>
      <c r="Q67"/>
      <c r="R67"/>
      <c r="S67"/>
      <c r="T67"/>
      <c r="U67"/>
      <c r="V67"/>
      <c r="W67"/>
    </row>
    <row r="68" spans="1:23" x14ac:dyDescent="0.2">
      <c r="H68"/>
      <c r="I68"/>
      <c r="J68"/>
      <c r="O68"/>
      <c r="P68"/>
      <c r="Q68"/>
      <c r="R68"/>
      <c r="S68"/>
      <c r="T68"/>
      <c r="U68"/>
      <c r="V68"/>
      <c r="W68"/>
    </row>
    <row r="69" spans="1:23" x14ac:dyDescent="0.2">
      <c r="A69" s="6" t="s">
        <v>290</v>
      </c>
      <c r="O69"/>
      <c r="P69"/>
      <c r="Q69"/>
      <c r="R69"/>
      <c r="S69"/>
      <c r="T69"/>
      <c r="U69"/>
      <c r="V69"/>
      <c r="W69"/>
    </row>
    <row r="70" spans="1:23" x14ac:dyDescent="0.2">
      <c r="B70" s="6" t="s">
        <v>291</v>
      </c>
      <c r="C70" s="83">
        <v>1000</v>
      </c>
      <c r="O70"/>
      <c r="P70"/>
      <c r="Q70"/>
      <c r="R70"/>
      <c r="S70"/>
      <c r="T70"/>
      <c r="U70"/>
      <c r="V70"/>
      <c r="W70"/>
    </row>
    <row r="71" spans="1:23" x14ac:dyDescent="0.2">
      <c r="B71" s="6" t="s">
        <v>292</v>
      </c>
      <c r="C71" s="83">
        <v>1000000</v>
      </c>
      <c r="O71"/>
      <c r="P71"/>
      <c r="Q71"/>
      <c r="R71"/>
      <c r="S71"/>
      <c r="T71"/>
      <c r="U71"/>
      <c r="V71"/>
      <c r="W71"/>
    </row>
    <row r="72" spans="1:23" x14ac:dyDescent="0.2">
      <c r="O72"/>
      <c r="P72"/>
      <c r="Q72"/>
      <c r="R72"/>
      <c r="S72"/>
      <c r="T72"/>
      <c r="U72"/>
      <c r="V72"/>
      <c r="W72"/>
    </row>
    <row r="73" spans="1:23" x14ac:dyDescent="0.2">
      <c r="O73"/>
      <c r="P73"/>
      <c r="Q73"/>
      <c r="R73"/>
      <c r="S73"/>
      <c r="T73"/>
      <c r="U73"/>
      <c r="V73"/>
      <c r="W73"/>
    </row>
    <row r="74" spans="1:23" x14ac:dyDescent="0.2">
      <c r="A74" s="6" t="s">
        <v>254</v>
      </c>
      <c r="O74"/>
      <c r="P74"/>
      <c r="Q74"/>
      <c r="R74"/>
      <c r="S74"/>
      <c r="T74"/>
      <c r="U74"/>
      <c r="V74"/>
      <c r="W74"/>
    </row>
    <row r="75" spans="1:23" x14ac:dyDescent="0.2">
      <c r="B75" s="6" t="s">
        <v>254</v>
      </c>
      <c r="C75" s="131" t="s">
        <v>293</v>
      </c>
      <c r="O75"/>
      <c r="P75"/>
      <c r="Q75"/>
      <c r="R75"/>
      <c r="S75"/>
      <c r="T75"/>
      <c r="U75"/>
      <c r="V75"/>
      <c r="W75"/>
    </row>
    <row r="76" spans="1:23" x14ac:dyDescent="0.2">
      <c r="O76"/>
      <c r="P76"/>
      <c r="Q76"/>
      <c r="R76"/>
      <c r="S76"/>
      <c r="T76"/>
      <c r="U76"/>
      <c r="V76"/>
      <c r="W76"/>
    </row>
    <row r="77" spans="1:23" x14ac:dyDescent="0.2">
      <c r="O77"/>
      <c r="P77"/>
      <c r="Q77"/>
      <c r="R77"/>
      <c r="S77"/>
      <c r="T77"/>
      <c r="U77"/>
      <c r="V77"/>
      <c r="W77"/>
    </row>
    <row r="78" spans="1:23" x14ac:dyDescent="0.2">
      <c r="A78" s="6" t="s">
        <v>294</v>
      </c>
      <c r="C78" s="6" t="s">
        <v>295</v>
      </c>
      <c r="O78"/>
      <c r="P78"/>
      <c r="Q78"/>
      <c r="R78"/>
      <c r="S78"/>
      <c r="T78"/>
      <c r="U78"/>
      <c r="V78"/>
      <c r="W78"/>
    </row>
    <row r="79" spans="1:23" x14ac:dyDescent="0.2">
      <c r="O79"/>
      <c r="P79"/>
      <c r="Q79"/>
      <c r="R79"/>
      <c r="S79"/>
      <c r="T79"/>
      <c r="U79"/>
      <c r="V79"/>
      <c r="W79"/>
    </row>
    <row r="80" spans="1:23" x14ac:dyDescent="0.2">
      <c r="O80"/>
      <c r="P80"/>
      <c r="Q80"/>
      <c r="R80"/>
      <c r="S80"/>
      <c r="T80"/>
      <c r="U80"/>
      <c r="V80"/>
      <c r="W80"/>
    </row>
    <row r="81" spans="1:23" x14ac:dyDescent="0.2">
      <c r="O81"/>
      <c r="P81"/>
      <c r="Q81"/>
      <c r="R81"/>
      <c r="S81"/>
      <c r="T81"/>
      <c r="U81"/>
      <c r="V81"/>
      <c r="W81"/>
    </row>
    <row r="82" spans="1:23" x14ac:dyDescent="0.2">
      <c r="A82" s="1"/>
      <c r="B82" s="1"/>
      <c r="C82" s="1"/>
      <c r="D82" s="1"/>
      <c r="E82" s="1"/>
      <c r="F82" s="1"/>
      <c r="K82" s="1"/>
      <c r="L82" s="1"/>
      <c r="M82" s="1"/>
      <c r="N82" s="1"/>
      <c r="O82"/>
      <c r="P82"/>
      <c r="Q82"/>
      <c r="R82"/>
      <c r="S82"/>
      <c r="T82"/>
      <c r="U82"/>
      <c r="V82"/>
      <c r="W82"/>
    </row>
    <row r="83" spans="1:23" x14ac:dyDescent="0.2">
      <c r="A83" s="12" t="s">
        <v>296</v>
      </c>
      <c r="B83" s="12"/>
      <c r="K83" s="1"/>
      <c r="L83" s="1"/>
      <c r="M83" s="1"/>
      <c r="N83" s="1"/>
      <c r="O83"/>
      <c r="P83"/>
      <c r="Q83"/>
      <c r="R83"/>
      <c r="S83"/>
      <c r="T83"/>
      <c r="U83"/>
      <c r="V83"/>
      <c r="W83"/>
    </row>
    <row r="84" spans="1:23" x14ac:dyDescent="0.2">
      <c r="A84" s="12"/>
      <c r="B84" s="57" t="s">
        <v>297</v>
      </c>
      <c r="F84" s="133">
        <v>0</v>
      </c>
      <c r="K84" s="1"/>
      <c r="L84" s="1"/>
      <c r="M84" s="1"/>
      <c r="N84" s="1"/>
      <c r="O84"/>
      <c r="P84"/>
      <c r="Q84"/>
      <c r="R84"/>
      <c r="S84"/>
      <c r="T84"/>
      <c r="U84"/>
      <c r="V84"/>
      <c r="W84"/>
    </row>
    <row r="85" spans="1:23" x14ac:dyDescent="0.2">
      <c r="A85" s="1"/>
      <c r="B85" s="6" t="s">
        <v>298</v>
      </c>
      <c r="F85" s="133">
        <v>1</v>
      </c>
      <c r="K85" s="1"/>
      <c r="L85" s="1"/>
      <c r="M85" s="1"/>
      <c r="N85" s="1"/>
      <c r="O85"/>
      <c r="P85"/>
      <c r="Q85"/>
      <c r="R85"/>
      <c r="S85"/>
      <c r="T85"/>
      <c r="U85"/>
      <c r="V85"/>
      <c r="W85"/>
    </row>
    <row r="86" spans="1:23" x14ac:dyDescent="0.2">
      <c r="A86" s="1"/>
      <c r="B86" s="6" t="s">
        <v>299</v>
      </c>
      <c r="F86" s="133">
        <v>1</v>
      </c>
      <c r="K86" s="1"/>
      <c r="L86" s="1"/>
      <c r="M86" s="1"/>
      <c r="N86" s="1"/>
      <c r="O86"/>
      <c r="P86"/>
      <c r="Q86"/>
      <c r="R86"/>
      <c r="S86"/>
      <c r="T86"/>
      <c r="U86"/>
      <c r="V86"/>
      <c r="W86"/>
    </row>
    <row r="87" spans="1:23" x14ac:dyDescent="0.2">
      <c r="A87" s="1"/>
      <c r="B87" s="6" t="s">
        <v>300</v>
      </c>
      <c r="F87" s="133">
        <v>1</v>
      </c>
      <c r="K87" s="1"/>
      <c r="L87" s="1"/>
      <c r="M87" s="1"/>
      <c r="N87" s="1"/>
      <c r="O87"/>
      <c r="P87"/>
      <c r="Q87"/>
      <c r="R87"/>
      <c r="S87"/>
      <c r="T87"/>
      <c r="U87"/>
      <c r="V87"/>
      <c r="W87"/>
    </row>
    <row r="88" spans="1:23" x14ac:dyDescent="0.2">
      <c r="A88" s="1"/>
      <c r="B88" s="6" t="s">
        <v>301</v>
      </c>
      <c r="F88" s="133">
        <v>1</v>
      </c>
      <c r="K88" s="1"/>
      <c r="L88" s="1"/>
      <c r="M88" s="1"/>
      <c r="N88" s="1"/>
      <c r="O88"/>
      <c r="P88"/>
      <c r="Q88"/>
      <c r="R88"/>
      <c r="S88"/>
      <c r="T88"/>
      <c r="U88"/>
      <c r="V88"/>
      <c r="W88"/>
    </row>
    <row r="89" spans="1:23" x14ac:dyDescent="0.2">
      <c r="A89" s="1"/>
      <c r="B89" s="6" t="s">
        <v>302</v>
      </c>
      <c r="F89" s="133">
        <v>3</v>
      </c>
      <c r="K89" s="1"/>
      <c r="L89" s="1"/>
      <c r="M89" s="1"/>
      <c r="N89" s="1"/>
      <c r="O89"/>
      <c r="P89"/>
      <c r="Q89"/>
      <c r="R89"/>
      <c r="S89"/>
      <c r="T89"/>
      <c r="U89"/>
      <c r="V89"/>
      <c r="W89"/>
    </row>
    <row r="90" spans="1:23" x14ac:dyDescent="0.2">
      <c r="A90" s="1"/>
      <c r="B90" s="6" t="s">
        <v>303</v>
      </c>
      <c r="F90" s="133">
        <v>3</v>
      </c>
      <c r="K90" s="1"/>
      <c r="L90" s="1"/>
      <c r="M90" s="1"/>
      <c r="N90" s="1"/>
      <c r="O90" s="1"/>
    </row>
    <row r="91" spans="1:23" x14ac:dyDescent="0.2">
      <c r="A91" s="1"/>
      <c r="B91" s="6" t="s">
        <v>304</v>
      </c>
      <c r="F91" s="133">
        <v>6</v>
      </c>
      <c r="K91" s="1"/>
      <c r="L91" s="1"/>
      <c r="M91" s="1"/>
      <c r="N91" s="1"/>
      <c r="O91" s="1"/>
    </row>
    <row r="92" spans="1:23" x14ac:dyDescent="0.2">
      <c r="A92" s="1"/>
      <c r="B92" s="6" t="s">
        <v>305</v>
      </c>
      <c r="F92" s="133">
        <v>6</v>
      </c>
      <c r="K92" s="1"/>
      <c r="L92" s="1"/>
      <c r="M92" s="1"/>
      <c r="N92" s="1"/>
      <c r="O92" s="1"/>
    </row>
    <row r="93" spans="1:23" x14ac:dyDescent="0.2">
      <c r="A93" s="1"/>
      <c r="B93" s="6" t="s">
        <v>306</v>
      </c>
      <c r="F93" s="133">
        <v>10</v>
      </c>
      <c r="K93" s="1"/>
      <c r="L93" s="1"/>
      <c r="M93" s="1"/>
      <c r="N93" s="1"/>
      <c r="O93" s="1"/>
    </row>
    <row r="94" spans="1:23" x14ac:dyDescent="0.2">
      <c r="A94" s="1"/>
      <c r="B94" s="1"/>
      <c r="C94" s="1"/>
      <c r="D94" s="1"/>
      <c r="E94" s="1"/>
      <c r="F94" s="1"/>
      <c r="K94" s="1"/>
      <c r="L94" s="1"/>
      <c r="M94" s="1"/>
      <c r="N94" s="1"/>
      <c r="O94" s="1"/>
    </row>
    <row r="95" spans="1:23" x14ac:dyDescent="0.2">
      <c r="A95" s="1"/>
      <c r="B95" s="1"/>
      <c r="C95" s="1"/>
      <c r="D95" s="1"/>
      <c r="E95" s="1"/>
      <c r="F95" s="1"/>
      <c r="K95" s="1"/>
      <c r="L95" s="1"/>
      <c r="M95" s="1"/>
      <c r="N95" s="1"/>
      <c r="O95" s="1"/>
    </row>
    <row r="96" spans="1:23" x14ac:dyDescent="0.2">
      <c r="A96" s="1"/>
      <c r="B96" s="1"/>
      <c r="C96" s="1"/>
      <c r="D96" s="1"/>
      <c r="E96" s="1"/>
      <c r="F96" s="1"/>
      <c r="K96" s="1"/>
      <c r="L96" s="1"/>
      <c r="M96" s="1"/>
      <c r="N96" s="1"/>
      <c r="O96" s="1"/>
    </row>
    <row r="97" spans="1:25" x14ac:dyDescent="0.2">
      <c r="A97" s="1"/>
      <c r="B97" s="123" t="s">
        <v>132</v>
      </c>
      <c r="C97" s="1"/>
      <c r="D97" s="1"/>
      <c r="E97" s="1"/>
      <c r="F97" s="1"/>
      <c r="K97" s="1"/>
      <c r="L97" s="1"/>
      <c r="M97" s="1"/>
      <c r="N97" s="1"/>
      <c r="O97" s="1"/>
    </row>
    <row r="98" spans="1:25" x14ac:dyDescent="0.2">
      <c r="A98" s="1"/>
      <c r="B98" s="123" t="s">
        <v>110</v>
      </c>
      <c r="C98" s="1"/>
      <c r="D98" s="1"/>
      <c r="E98" s="1"/>
      <c r="F98" s="1"/>
      <c r="K98" s="1"/>
      <c r="L98" s="1"/>
      <c r="M98" s="1"/>
      <c r="N98" s="1"/>
      <c r="O98" s="1"/>
    </row>
    <row r="99" spans="1:25" x14ac:dyDescent="0.2">
      <c r="A99" s="1"/>
      <c r="B99" s="123" t="s">
        <v>128</v>
      </c>
      <c r="C99" s="1"/>
      <c r="D99" s="1"/>
      <c r="E99" s="1"/>
      <c r="F99" s="1"/>
      <c r="K99" s="1"/>
      <c r="L99" s="1"/>
      <c r="M99" s="1"/>
      <c r="N99" s="1"/>
      <c r="O99" s="1"/>
    </row>
    <row r="100" spans="1:25" x14ac:dyDescent="0.2">
      <c r="A100" s="1"/>
      <c r="B100" s="1"/>
      <c r="C100" s="1"/>
      <c r="D100" s="1"/>
      <c r="E100" s="1"/>
      <c r="F100" s="1"/>
      <c r="K100" s="1"/>
      <c r="L100" s="1"/>
      <c r="M100" s="1"/>
      <c r="N100" s="1"/>
      <c r="O100" s="1"/>
    </row>
    <row r="101" spans="1:25" x14ac:dyDescent="0.2">
      <c r="A101" s="1"/>
      <c r="B101" s="1"/>
      <c r="C101" s="1"/>
      <c r="D101" s="1"/>
      <c r="E101" s="1"/>
      <c r="F101" s="1"/>
      <c r="K101" s="1"/>
      <c r="L101" s="1"/>
      <c r="M101" s="1"/>
      <c r="N101" s="1"/>
      <c r="O101" s="1"/>
    </row>
    <row r="102" spans="1:25" x14ac:dyDescent="0.2">
      <c r="T102"/>
      <c r="U102"/>
      <c r="V102"/>
      <c r="W102"/>
    </row>
    <row r="103" spans="1:25" x14ac:dyDescent="0.2">
      <c r="T103"/>
      <c r="U103"/>
      <c r="V103"/>
      <c r="W103"/>
    </row>
    <row r="104" spans="1:25" ht="15" x14ac:dyDescent="0.25">
      <c r="A104" s="17" t="s">
        <v>307</v>
      </c>
      <c r="B104" s="17"/>
      <c r="C104" s="17"/>
      <c r="D104" s="17"/>
      <c r="E104" s="17"/>
      <c r="F104" s="18"/>
      <c r="G104" s="17"/>
      <c r="H104" s="17"/>
      <c r="I104" s="17"/>
      <c r="J104" s="18"/>
      <c r="K104" s="18"/>
      <c r="L104" s="18"/>
      <c r="M104" s="18"/>
      <c r="N104" s="18"/>
      <c r="O104" s="18"/>
      <c r="P104" s="18"/>
      <c r="Q104" s="18"/>
      <c r="R104" s="18"/>
      <c r="S104" s="18"/>
      <c r="T104" s="18"/>
      <c r="U104" s="18"/>
      <c r="V104" s="18"/>
      <c r="W104" s="18"/>
    </row>
    <row r="105" spans="1:25" x14ac:dyDescent="0.2">
      <c r="U105"/>
      <c r="V105"/>
      <c r="W105"/>
      <c r="X105"/>
      <c r="Y105"/>
    </row>
    <row r="106" spans="1:25" x14ac:dyDescent="0.2">
      <c r="B106" s="6" t="s">
        <v>308</v>
      </c>
      <c r="F106" s="6" t="s">
        <v>309</v>
      </c>
      <c r="H106" s="6" t="s">
        <v>310</v>
      </c>
      <c r="J106" s="6" t="s">
        <v>311</v>
      </c>
      <c r="N106" s="6" t="s">
        <v>312</v>
      </c>
      <c r="P106" s="6" t="s">
        <v>290</v>
      </c>
      <c r="R106" s="6" t="s">
        <v>313</v>
      </c>
      <c r="T106" s="6" t="s">
        <v>314</v>
      </c>
      <c r="U106"/>
      <c r="V106" s="6" t="s">
        <v>315</v>
      </c>
      <c r="W106"/>
      <c r="Y106"/>
    </row>
    <row r="107" spans="1:25" x14ac:dyDescent="0.2">
      <c r="B107" s="23" t="s">
        <v>316</v>
      </c>
      <c r="C107" s="110" t="s">
        <v>317</v>
      </c>
      <c r="D107" s="110" t="s">
        <v>318</v>
      </c>
      <c r="F107" s="57" t="s">
        <v>297</v>
      </c>
      <c r="H107" s="23" t="b">
        <v>0</v>
      </c>
      <c r="J107" s="23" t="s">
        <v>319</v>
      </c>
      <c r="K107" s="38">
        <v>6</v>
      </c>
      <c r="L107" s="38" t="s">
        <v>320</v>
      </c>
      <c r="N107" s="38" t="s">
        <v>257</v>
      </c>
      <c r="Q107" s="22"/>
      <c r="R107" s="21">
        <v>2026</v>
      </c>
      <c r="T107" s="21" t="s">
        <v>28</v>
      </c>
      <c r="U107"/>
      <c r="V107" s="21" t="s">
        <v>30</v>
      </c>
      <c r="W107"/>
    </row>
    <row r="108" spans="1:25" x14ac:dyDescent="0.2">
      <c r="B108" s="23" t="s">
        <v>0</v>
      </c>
      <c r="C108" s="110" t="s">
        <v>321</v>
      </c>
      <c r="D108" s="110" t="s">
        <v>322</v>
      </c>
      <c r="F108" s="23" t="s">
        <v>95</v>
      </c>
      <c r="H108" s="23" t="b">
        <v>1</v>
      </c>
      <c r="J108" s="23" t="s">
        <v>24</v>
      </c>
      <c r="K108" s="38">
        <v>12</v>
      </c>
      <c r="L108" s="38" t="s">
        <v>323</v>
      </c>
      <c r="Q108" s="22"/>
      <c r="R108" s="21">
        <f t="shared" ref="R108:R113" si="1">R107-1</f>
        <v>2025</v>
      </c>
      <c r="T108" s="21" t="s">
        <v>265</v>
      </c>
      <c r="U108"/>
      <c r="V108" s="21" t="s">
        <v>324</v>
      </c>
      <c r="W108"/>
    </row>
    <row r="109" spans="1:25" x14ac:dyDescent="0.2">
      <c r="B109" s="23" t="s">
        <v>325</v>
      </c>
      <c r="C109" s="110" t="s">
        <v>326</v>
      </c>
      <c r="D109" s="110" t="s">
        <v>327</v>
      </c>
      <c r="F109" s="23" t="s">
        <v>328</v>
      </c>
      <c r="J109" s="19"/>
      <c r="K109" s="19"/>
      <c r="L109" s="22"/>
      <c r="Q109" s="22"/>
      <c r="R109" s="21">
        <f t="shared" si="1"/>
        <v>2024</v>
      </c>
      <c r="T109" s="21" t="s">
        <v>267</v>
      </c>
      <c r="U109"/>
      <c r="V109" s="21" t="s">
        <v>329</v>
      </c>
      <c r="W109"/>
      <c r="X109"/>
      <c r="Y109"/>
    </row>
    <row r="110" spans="1:25" x14ac:dyDescent="0.2">
      <c r="C110" s="106"/>
      <c r="D110" s="106"/>
      <c r="F110" s="23"/>
      <c r="J110" s="19"/>
      <c r="K110" s="19"/>
      <c r="Q110" s="22"/>
      <c r="R110" s="21">
        <f t="shared" si="1"/>
        <v>2023</v>
      </c>
      <c r="U110"/>
      <c r="V110" s="21"/>
      <c r="W110"/>
      <c r="X110"/>
      <c r="Y110"/>
    </row>
    <row r="111" spans="1:25" x14ac:dyDescent="0.2">
      <c r="C111" s="106"/>
      <c r="D111" s="106"/>
      <c r="J111" s="19"/>
      <c r="K111" s="19"/>
      <c r="R111" s="21">
        <f t="shared" si="1"/>
        <v>2022</v>
      </c>
      <c r="U111"/>
      <c r="W111"/>
      <c r="X111"/>
      <c r="Y111"/>
    </row>
    <row r="112" spans="1:25" x14ac:dyDescent="0.2">
      <c r="J112" s="19"/>
      <c r="K112" s="19"/>
      <c r="R112" s="21">
        <f t="shared" si="1"/>
        <v>2021</v>
      </c>
      <c r="U112"/>
      <c r="W112"/>
      <c r="X112"/>
      <c r="Y112"/>
    </row>
    <row r="113" spans="18:25" x14ac:dyDescent="0.2">
      <c r="R113" s="21">
        <f t="shared" si="1"/>
        <v>2020</v>
      </c>
      <c r="U113"/>
      <c r="V113" s="220"/>
      <c r="W113"/>
      <c r="X113"/>
      <c r="Y113"/>
    </row>
    <row r="114" spans="18:25" x14ac:dyDescent="0.2">
      <c r="R114" s="21"/>
      <c r="U114"/>
      <c r="V114" s="220"/>
      <c r="W114"/>
      <c r="X114"/>
      <c r="Y114"/>
    </row>
    <row r="115" spans="18:25" x14ac:dyDescent="0.2">
      <c r="U115"/>
      <c r="V115" s="220"/>
      <c r="W115"/>
      <c r="X115"/>
      <c r="Y115"/>
    </row>
    <row r="116" spans="18:25" x14ac:dyDescent="0.2">
      <c r="U116"/>
      <c r="V116"/>
      <c r="W116"/>
      <c r="X116"/>
      <c r="Y116"/>
    </row>
    <row r="117" spans="18:25" x14ac:dyDescent="0.2">
      <c r="U117"/>
      <c r="V117"/>
      <c r="W117"/>
      <c r="X117"/>
      <c r="Y117"/>
    </row>
    <row r="118" spans="18:25" x14ac:dyDescent="0.2">
      <c r="U118"/>
      <c r="V118"/>
      <c r="W118"/>
      <c r="X118"/>
    </row>
    <row r="119" spans="18:25" x14ac:dyDescent="0.2">
      <c r="U119"/>
      <c r="V119"/>
      <c r="W119"/>
      <c r="X119"/>
    </row>
    <row r="120" spans="18:25" x14ac:dyDescent="0.2">
      <c r="V120"/>
      <c r="W120"/>
      <c r="X120"/>
    </row>
    <row r="121" spans="18:25" x14ac:dyDescent="0.2">
      <c r="U121"/>
      <c r="V121"/>
      <c r="W121"/>
      <c r="X121"/>
    </row>
    <row r="122" spans="18:25" x14ac:dyDescent="0.2">
      <c r="U122"/>
      <c r="V122"/>
      <c r="W122"/>
      <c r="X122"/>
    </row>
    <row r="123" spans="18:25" x14ac:dyDescent="0.2">
      <c r="U123"/>
      <c r="V123"/>
      <c r="W123"/>
      <c r="X123"/>
    </row>
    <row r="124" spans="18:25" x14ac:dyDescent="0.2">
      <c r="U124"/>
      <c r="V124"/>
      <c r="W124"/>
      <c r="X124"/>
    </row>
    <row r="125" spans="18:25" x14ac:dyDescent="0.2">
      <c r="U125"/>
      <c r="V125"/>
      <c r="W125"/>
      <c r="X125"/>
    </row>
    <row r="126" spans="18:25" x14ac:dyDescent="0.2">
      <c r="U126"/>
      <c r="V126"/>
      <c r="W126"/>
      <c r="X126"/>
    </row>
    <row r="127" spans="18:25" x14ac:dyDescent="0.2">
      <c r="T127"/>
      <c r="U127"/>
      <c r="V127"/>
      <c r="W127"/>
    </row>
    <row r="128" spans="18:25" x14ac:dyDescent="0.2">
      <c r="T128"/>
      <c r="U128"/>
      <c r="V128"/>
      <c r="W128"/>
    </row>
    <row r="129" spans="20:23" x14ac:dyDescent="0.2">
      <c r="T129"/>
      <c r="U129"/>
      <c r="V129"/>
      <c r="W129"/>
    </row>
    <row r="130" spans="20:23" x14ac:dyDescent="0.2">
      <c r="T130"/>
      <c r="U130"/>
      <c r="V130"/>
      <c r="W130"/>
    </row>
    <row r="131" spans="20:23" x14ac:dyDescent="0.2">
      <c r="T131"/>
      <c r="U131"/>
      <c r="V131"/>
      <c r="W131"/>
    </row>
    <row r="132" spans="20:23" x14ac:dyDescent="0.2">
      <c r="T132"/>
      <c r="U132"/>
      <c r="V132"/>
      <c r="W132"/>
    </row>
    <row r="133" spans="20:23" x14ac:dyDescent="0.2">
      <c r="T133"/>
      <c r="U133"/>
      <c r="V133"/>
      <c r="W133"/>
    </row>
    <row r="134" spans="20:23" x14ac:dyDescent="0.2">
      <c r="T134"/>
      <c r="U134"/>
      <c r="V134"/>
      <c r="W134"/>
    </row>
    <row r="135" spans="20:23" x14ac:dyDescent="0.2">
      <c r="T135"/>
      <c r="U135"/>
      <c r="V135"/>
      <c r="W135"/>
    </row>
    <row r="136" spans="20:23" x14ac:dyDescent="0.2">
      <c r="T136"/>
      <c r="U136"/>
      <c r="V136"/>
      <c r="W136"/>
    </row>
    <row r="137" spans="20:23" x14ac:dyDescent="0.2">
      <c r="T137"/>
      <c r="U137"/>
      <c r="V137"/>
      <c r="W137"/>
    </row>
    <row r="138" spans="20:23" x14ac:dyDescent="0.2">
      <c r="T138"/>
      <c r="U138"/>
      <c r="V138"/>
      <c r="W138"/>
    </row>
    <row r="139" spans="20:23" x14ac:dyDescent="0.2">
      <c r="T139"/>
      <c r="U139"/>
      <c r="V139"/>
      <c r="W139"/>
    </row>
    <row r="140" spans="20:23" x14ac:dyDescent="0.2">
      <c r="T140"/>
      <c r="U140"/>
      <c r="V140"/>
      <c r="W140"/>
    </row>
    <row r="141" spans="20:23" x14ac:dyDescent="0.2">
      <c r="T141"/>
      <c r="U141"/>
      <c r="V141"/>
      <c r="W141"/>
    </row>
    <row r="142" spans="20:23" x14ac:dyDescent="0.2">
      <c r="T142"/>
      <c r="U142"/>
      <c r="V142"/>
      <c r="W142"/>
    </row>
    <row r="143" spans="20:23" x14ac:dyDescent="0.2">
      <c r="T143"/>
      <c r="U143"/>
      <c r="V143"/>
      <c r="W143"/>
    </row>
    <row r="144" spans="20:23" x14ac:dyDescent="0.2">
      <c r="T144"/>
      <c r="U144"/>
      <c r="V144"/>
      <c r="W144"/>
    </row>
    <row r="145" spans="20:23" x14ac:dyDescent="0.2">
      <c r="T145"/>
      <c r="U145"/>
      <c r="V145"/>
      <c r="W145"/>
    </row>
    <row r="146" spans="20:23" x14ac:dyDescent="0.2">
      <c r="T146"/>
      <c r="U146"/>
      <c r="V146"/>
      <c r="W146"/>
    </row>
    <row r="147" spans="20:23" x14ac:dyDescent="0.2">
      <c r="T147"/>
      <c r="U147"/>
      <c r="V147"/>
      <c r="W147"/>
    </row>
    <row r="148" spans="20:23" x14ac:dyDescent="0.2">
      <c r="T148"/>
      <c r="U148"/>
      <c r="V148"/>
      <c r="W148"/>
    </row>
    <row r="149" spans="20:23" x14ac:dyDescent="0.2">
      <c r="T149"/>
      <c r="U149"/>
      <c r="V149"/>
      <c r="W149"/>
    </row>
    <row r="150" spans="20:23" x14ac:dyDescent="0.2">
      <c r="T150"/>
      <c r="U150"/>
      <c r="V150"/>
      <c r="W150"/>
    </row>
    <row r="151" spans="20:23" x14ac:dyDescent="0.2">
      <c r="T151"/>
      <c r="U151"/>
      <c r="V151"/>
      <c r="W151"/>
    </row>
    <row r="152" spans="20:23" x14ac:dyDescent="0.2">
      <c r="T152"/>
      <c r="U152"/>
      <c r="V152"/>
      <c r="W152"/>
    </row>
    <row r="153" spans="20:23" x14ac:dyDescent="0.2">
      <c r="T153"/>
      <c r="U153"/>
      <c r="V153"/>
      <c r="W153"/>
    </row>
    <row r="154" spans="20:23" x14ac:dyDescent="0.2">
      <c r="T154"/>
      <c r="U154"/>
      <c r="V154"/>
      <c r="W154"/>
    </row>
    <row r="155" spans="20:23" x14ac:dyDescent="0.2">
      <c r="T155"/>
      <c r="U155"/>
      <c r="V155"/>
      <c r="W155"/>
    </row>
    <row r="156" spans="20:23" x14ac:dyDescent="0.2">
      <c r="T156"/>
      <c r="U156"/>
      <c r="V156"/>
      <c r="W156"/>
    </row>
    <row r="157" spans="20:23" x14ac:dyDescent="0.2">
      <c r="T157"/>
      <c r="U157"/>
      <c r="V157"/>
      <c r="W157"/>
    </row>
    <row r="158" spans="20:23" x14ac:dyDescent="0.2">
      <c r="T158"/>
      <c r="U158"/>
      <c r="V158"/>
      <c r="W158"/>
    </row>
    <row r="159" spans="20:23" x14ac:dyDescent="0.2">
      <c r="T159"/>
      <c r="U159"/>
      <c r="V159"/>
      <c r="W159"/>
    </row>
    <row r="160" spans="20:23" x14ac:dyDescent="0.2">
      <c r="T160"/>
      <c r="U160"/>
      <c r="V160"/>
      <c r="W160"/>
    </row>
    <row r="161" spans="20:23" x14ac:dyDescent="0.2">
      <c r="T161"/>
      <c r="U161"/>
      <c r="V161"/>
      <c r="W161"/>
    </row>
    <row r="162" spans="20:23" x14ac:dyDescent="0.2">
      <c r="T162"/>
      <c r="U162"/>
      <c r="V162"/>
      <c r="W162"/>
    </row>
    <row r="163" spans="20:23" x14ac:dyDescent="0.2">
      <c r="T163"/>
      <c r="U163"/>
      <c r="V163"/>
      <c r="W163"/>
    </row>
    <row r="164" spans="20:23" x14ac:dyDescent="0.2">
      <c r="T164"/>
      <c r="U164"/>
      <c r="V164"/>
      <c r="W164"/>
    </row>
    <row r="165" spans="20:23" x14ac:dyDescent="0.2">
      <c r="T165"/>
      <c r="U165"/>
      <c r="V165"/>
      <c r="W165"/>
    </row>
    <row r="166" spans="20:23" x14ac:dyDescent="0.2">
      <c r="T166"/>
      <c r="U166"/>
      <c r="V166"/>
      <c r="W166"/>
    </row>
    <row r="167" spans="20:23" x14ac:dyDescent="0.2">
      <c r="T167"/>
      <c r="U167"/>
      <c r="V167"/>
      <c r="W167"/>
    </row>
    <row r="168" spans="20:23" x14ac:dyDescent="0.2">
      <c r="T168"/>
      <c r="U168"/>
      <c r="V168"/>
      <c r="W168"/>
    </row>
    <row r="169" spans="20:23" x14ac:dyDescent="0.2">
      <c r="T169"/>
      <c r="U169"/>
      <c r="V169"/>
      <c r="W169"/>
    </row>
    <row r="170" spans="20:23" x14ac:dyDescent="0.2">
      <c r="T170"/>
      <c r="U170"/>
      <c r="V170"/>
      <c r="W170"/>
    </row>
    <row r="171" spans="20:23" x14ac:dyDescent="0.2">
      <c r="T171"/>
      <c r="U171"/>
      <c r="V171"/>
      <c r="W171"/>
    </row>
    <row r="172" spans="20:23" x14ac:dyDescent="0.2">
      <c r="T172"/>
      <c r="U172"/>
      <c r="V172"/>
      <c r="W172"/>
    </row>
    <row r="173" spans="20:23" x14ac:dyDescent="0.2">
      <c r="T173"/>
      <c r="U173"/>
      <c r="V173"/>
      <c r="W173"/>
    </row>
    <row r="174" spans="20:23" x14ac:dyDescent="0.2">
      <c r="T174"/>
      <c r="U174"/>
      <c r="V174"/>
      <c r="W174"/>
    </row>
    <row r="175" spans="20:23" x14ac:dyDescent="0.2">
      <c r="T175"/>
      <c r="U175"/>
      <c r="V175"/>
      <c r="W175"/>
    </row>
    <row r="176" spans="20:23" x14ac:dyDescent="0.2">
      <c r="T176"/>
      <c r="U176"/>
      <c r="V176"/>
      <c r="W176"/>
    </row>
    <row r="177" spans="20:23" x14ac:dyDescent="0.2">
      <c r="T177"/>
      <c r="U177"/>
      <c r="V177"/>
      <c r="W177"/>
    </row>
    <row r="178" spans="20:23" x14ac:dyDescent="0.2">
      <c r="T178"/>
      <c r="U178"/>
      <c r="V178"/>
      <c r="W178"/>
    </row>
    <row r="179" spans="20:23" x14ac:dyDescent="0.2">
      <c r="T179"/>
      <c r="U179"/>
      <c r="V179"/>
      <c r="W179"/>
    </row>
    <row r="180" spans="20:23" x14ac:dyDescent="0.2">
      <c r="T180"/>
      <c r="U180"/>
      <c r="V180"/>
      <c r="W180"/>
    </row>
    <row r="181" spans="20:23" x14ac:dyDescent="0.2">
      <c r="T181"/>
      <c r="U181"/>
      <c r="V181"/>
      <c r="W181"/>
    </row>
    <row r="182" spans="20:23" x14ac:dyDescent="0.2">
      <c r="T182"/>
      <c r="U182"/>
      <c r="V182"/>
      <c r="W182"/>
    </row>
    <row r="183" spans="20:23" x14ac:dyDescent="0.2">
      <c r="T183"/>
      <c r="U183"/>
      <c r="V183"/>
      <c r="W183"/>
    </row>
    <row r="184" spans="20:23" x14ac:dyDescent="0.2">
      <c r="T184"/>
      <c r="U184"/>
      <c r="V184"/>
      <c r="W184"/>
    </row>
    <row r="185" spans="20:23" x14ac:dyDescent="0.2">
      <c r="T185"/>
      <c r="U185"/>
      <c r="V185"/>
      <c r="W185"/>
    </row>
    <row r="186" spans="20:23" x14ac:dyDescent="0.2">
      <c r="T186"/>
      <c r="U186"/>
      <c r="V186"/>
      <c r="W186"/>
    </row>
    <row r="187" spans="20:23" x14ac:dyDescent="0.2">
      <c r="T187"/>
      <c r="U187"/>
      <c r="V187"/>
      <c r="W187"/>
    </row>
    <row r="188" spans="20:23" x14ac:dyDescent="0.2">
      <c r="T188"/>
      <c r="U188"/>
      <c r="V188"/>
      <c r="W188"/>
    </row>
    <row r="189" spans="20:23" x14ac:dyDescent="0.2">
      <c r="T189"/>
      <c r="U189"/>
      <c r="V189"/>
      <c r="W189"/>
    </row>
    <row r="190" spans="20:23" x14ac:dyDescent="0.2">
      <c r="T190"/>
      <c r="U190"/>
      <c r="V190"/>
      <c r="W190"/>
    </row>
    <row r="191" spans="20:23" x14ac:dyDescent="0.2">
      <c r="T191"/>
      <c r="U191"/>
      <c r="V191"/>
      <c r="W191"/>
    </row>
    <row r="192" spans="20:23" x14ac:dyDescent="0.2">
      <c r="T192"/>
      <c r="U192"/>
      <c r="V192"/>
      <c r="W192"/>
    </row>
    <row r="193" spans="20:23" x14ac:dyDescent="0.2">
      <c r="T193"/>
      <c r="U193"/>
      <c r="V193"/>
      <c r="W193"/>
    </row>
    <row r="194" spans="20:23" x14ac:dyDescent="0.2">
      <c r="T194"/>
      <c r="U194"/>
      <c r="V194"/>
      <c r="W194"/>
    </row>
    <row r="195" spans="20:23" x14ac:dyDescent="0.2">
      <c r="T195"/>
      <c r="U195"/>
      <c r="V195"/>
      <c r="W195"/>
    </row>
    <row r="196" spans="20:23" x14ac:dyDescent="0.2">
      <c r="T196"/>
      <c r="U196"/>
      <c r="V196"/>
      <c r="W196"/>
    </row>
    <row r="197" spans="20:23" x14ac:dyDescent="0.2">
      <c r="T197"/>
      <c r="U197"/>
      <c r="V197"/>
      <c r="W197"/>
    </row>
    <row r="198" spans="20:23" x14ac:dyDescent="0.2">
      <c r="T198"/>
      <c r="U198"/>
      <c r="V198"/>
      <c r="W198"/>
    </row>
    <row r="199" spans="20:23" x14ac:dyDescent="0.2">
      <c r="T199"/>
      <c r="U199"/>
      <c r="V199"/>
      <c r="W199"/>
    </row>
    <row r="200" spans="20:23" x14ac:dyDescent="0.2">
      <c r="T200"/>
      <c r="U200"/>
      <c r="V200"/>
      <c r="W200"/>
    </row>
    <row r="201" spans="20:23" x14ac:dyDescent="0.2">
      <c r="T201"/>
      <c r="U201"/>
      <c r="V201"/>
      <c r="W201"/>
    </row>
    <row r="202" spans="20:23" x14ac:dyDescent="0.2">
      <c r="T202"/>
      <c r="U202"/>
      <c r="V202"/>
      <c r="W202"/>
    </row>
    <row r="203" spans="20:23" x14ac:dyDescent="0.2">
      <c r="T203"/>
      <c r="U203"/>
      <c r="V203"/>
      <c r="W203"/>
    </row>
    <row r="204" spans="20:23" x14ac:dyDescent="0.2">
      <c r="T204"/>
      <c r="U204"/>
      <c r="V204"/>
      <c r="W204"/>
    </row>
    <row r="205" spans="20:23" x14ac:dyDescent="0.2">
      <c r="T205"/>
      <c r="U205"/>
      <c r="V205"/>
      <c r="W205"/>
    </row>
    <row r="206" spans="20:23" x14ac:dyDescent="0.2">
      <c r="T206"/>
      <c r="U206"/>
      <c r="V206"/>
      <c r="W206"/>
    </row>
    <row r="207" spans="20:23" x14ac:dyDescent="0.2">
      <c r="T207"/>
      <c r="U207"/>
      <c r="V207"/>
      <c r="W207"/>
    </row>
    <row r="208" spans="20:23" x14ac:dyDescent="0.2">
      <c r="T208"/>
      <c r="U208"/>
      <c r="V208"/>
      <c r="W208"/>
    </row>
    <row r="209" spans="20:23" x14ac:dyDescent="0.2">
      <c r="T209"/>
      <c r="U209"/>
      <c r="V209"/>
      <c r="W209"/>
    </row>
    <row r="210" spans="20:23" x14ac:dyDescent="0.2">
      <c r="T210"/>
      <c r="U210"/>
      <c r="V210"/>
      <c r="W210"/>
    </row>
    <row r="211" spans="20:23" x14ac:dyDescent="0.2">
      <c r="T211"/>
      <c r="U211"/>
      <c r="V211"/>
      <c r="W211"/>
    </row>
    <row r="212" spans="20:23" x14ac:dyDescent="0.2">
      <c r="T212"/>
      <c r="U212"/>
      <c r="V212"/>
      <c r="W212"/>
    </row>
    <row r="213" spans="20:23" x14ac:dyDescent="0.2">
      <c r="T213"/>
      <c r="U213"/>
      <c r="V213"/>
      <c r="W213"/>
    </row>
    <row r="214" spans="20:23" x14ac:dyDescent="0.2">
      <c r="T214"/>
      <c r="U214"/>
      <c r="V214"/>
      <c r="W214"/>
    </row>
    <row r="215" spans="20:23" x14ac:dyDescent="0.2">
      <c r="T215"/>
      <c r="U215"/>
      <c r="V215"/>
      <c r="W215"/>
    </row>
    <row r="216" spans="20:23" x14ac:dyDescent="0.2">
      <c r="T216"/>
      <c r="U216"/>
      <c r="V216"/>
      <c r="W216"/>
    </row>
    <row r="217" spans="20:23" x14ac:dyDescent="0.2">
      <c r="T217"/>
      <c r="U217"/>
      <c r="V217"/>
      <c r="W217"/>
    </row>
    <row r="218" spans="20:23" x14ac:dyDescent="0.2">
      <c r="T218"/>
      <c r="U218"/>
      <c r="V218"/>
      <c r="W218"/>
    </row>
    <row r="219" spans="20:23" x14ac:dyDescent="0.2">
      <c r="T219"/>
      <c r="U219"/>
      <c r="V219"/>
      <c r="W219"/>
    </row>
    <row r="220" spans="20:23" x14ac:dyDescent="0.2">
      <c r="T220"/>
      <c r="U220"/>
      <c r="V220"/>
      <c r="W220"/>
    </row>
    <row r="221" spans="20:23" x14ac:dyDescent="0.2">
      <c r="T221"/>
      <c r="U221"/>
      <c r="V221"/>
      <c r="W221"/>
    </row>
    <row r="222" spans="20:23" x14ac:dyDescent="0.2">
      <c r="T222"/>
      <c r="U222"/>
      <c r="V222"/>
      <c r="W222"/>
    </row>
    <row r="223" spans="20:23" x14ac:dyDescent="0.2">
      <c r="T223"/>
      <c r="U223"/>
      <c r="V223"/>
      <c r="W223"/>
    </row>
    <row r="224" spans="20:23" x14ac:dyDescent="0.2">
      <c r="T224"/>
      <c r="U224"/>
      <c r="V224"/>
      <c r="W224"/>
    </row>
    <row r="225" spans="20:23" x14ac:dyDescent="0.2">
      <c r="T225"/>
      <c r="U225"/>
      <c r="V225"/>
      <c r="W225"/>
    </row>
    <row r="226" spans="20:23" x14ac:dyDescent="0.2">
      <c r="T226"/>
      <c r="U226"/>
      <c r="V226"/>
      <c r="W226"/>
    </row>
    <row r="227" spans="20:23" x14ac:dyDescent="0.2">
      <c r="T227"/>
      <c r="U227"/>
      <c r="V227"/>
      <c r="W227"/>
    </row>
    <row r="228" spans="20:23" x14ac:dyDescent="0.2">
      <c r="T228"/>
      <c r="U228"/>
      <c r="V228"/>
      <c r="W228"/>
    </row>
    <row r="229" spans="20:23" x14ac:dyDescent="0.2">
      <c r="T229"/>
      <c r="U229"/>
      <c r="V229"/>
      <c r="W229"/>
    </row>
    <row r="230" spans="20:23" x14ac:dyDescent="0.2">
      <c r="T230"/>
      <c r="U230"/>
      <c r="V230"/>
      <c r="W230"/>
    </row>
    <row r="231" spans="20:23" x14ac:dyDescent="0.2">
      <c r="T231"/>
      <c r="U231"/>
      <c r="V231"/>
      <c r="W231"/>
    </row>
    <row r="232" spans="20:23" x14ac:dyDescent="0.2">
      <c r="T232"/>
      <c r="U232"/>
      <c r="V232"/>
      <c r="W232"/>
    </row>
    <row r="233" spans="20:23" x14ac:dyDescent="0.2">
      <c r="T233"/>
      <c r="U233"/>
      <c r="V233"/>
      <c r="W233"/>
    </row>
    <row r="234" spans="20:23" x14ac:dyDescent="0.2">
      <c r="T234"/>
      <c r="U234"/>
      <c r="V234"/>
      <c r="W234"/>
    </row>
    <row r="235" spans="20:23" x14ac:dyDescent="0.2">
      <c r="T235"/>
      <c r="U235"/>
      <c r="V235"/>
      <c r="W235"/>
    </row>
    <row r="236" spans="20:23" x14ac:dyDescent="0.2">
      <c r="T236"/>
      <c r="U236"/>
      <c r="V236"/>
      <c r="W236"/>
    </row>
    <row r="237" spans="20:23" x14ac:dyDescent="0.2">
      <c r="T237"/>
      <c r="U237"/>
      <c r="V237"/>
      <c r="W237"/>
    </row>
    <row r="238" spans="20:23" x14ac:dyDescent="0.2">
      <c r="T238"/>
      <c r="U238"/>
      <c r="V238"/>
      <c r="W238"/>
    </row>
    <row r="239" spans="20:23" x14ac:dyDescent="0.2">
      <c r="T239"/>
      <c r="U239"/>
      <c r="V239"/>
      <c r="W239"/>
    </row>
    <row r="240" spans="20:23" x14ac:dyDescent="0.2">
      <c r="T240"/>
      <c r="U240"/>
      <c r="V240"/>
      <c r="W240"/>
    </row>
    <row r="241" spans="20:23" x14ac:dyDescent="0.2">
      <c r="T241"/>
      <c r="U241"/>
      <c r="V241"/>
      <c r="W241"/>
    </row>
    <row r="242" spans="20:23" x14ac:dyDescent="0.2">
      <c r="T242"/>
      <c r="U242"/>
      <c r="V242"/>
      <c r="W242"/>
    </row>
    <row r="243" spans="20:23" x14ac:dyDescent="0.2">
      <c r="T243"/>
      <c r="U243"/>
      <c r="V243"/>
      <c r="W243"/>
    </row>
    <row r="244" spans="20:23" x14ac:dyDescent="0.2">
      <c r="T244"/>
      <c r="U244"/>
      <c r="V244"/>
      <c r="W244"/>
    </row>
    <row r="245" spans="20:23" x14ac:dyDescent="0.2">
      <c r="T245"/>
      <c r="U245"/>
      <c r="V245"/>
      <c r="W245"/>
    </row>
    <row r="246" spans="20:23" x14ac:dyDescent="0.2">
      <c r="T246"/>
      <c r="U246"/>
      <c r="V246"/>
      <c r="W246"/>
    </row>
    <row r="247" spans="20:23" x14ac:dyDescent="0.2">
      <c r="T247"/>
      <c r="U247"/>
      <c r="V247"/>
      <c r="W247"/>
    </row>
    <row r="248" spans="20:23" x14ac:dyDescent="0.2">
      <c r="T248"/>
      <c r="U248"/>
      <c r="V248"/>
      <c r="W248"/>
    </row>
    <row r="249" spans="20:23" x14ac:dyDescent="0.2">
      <c r="T249"/>
      <c r="U249"/>
      <c r="V249"/>
      <c r="W249"/>
    </row>
    <row r="250" spans="20:23" x14ac:dyDescent="0.2">
      <c r="T250"/>
      <c r="U250"/>
      <c r="V250"/>
      <c r="W250"/>
    </row>
    <row r="251" spans="20:23" x14ac:dyDescent="0.2">
      <c r="T251"/>
      <c r="U251"/>
      <c r="V251"/>
      <c r="W251"/>
    </row>
    <row r="252" spans="20:23" x14ac:dyDescent="0.2">
      <c r="T252"/>
      <c r="U252"/>
      <c r="V252"/>
      <c r="W252"/>
    </row>
    <row r="253" spans="20:23" x14ac:dyDescent="0.2">
      <c r="T253"/>
      <c r="U253"/>
      <c r="V253"/>
      <c r="W253"/>
    </row>
    <row r="254" spans="20:23" x14ac:dyDescent="0.2">
      <c r="T254"/>
      <c r="U254"/>
      <c r="V254"/>
      <c r="W254"/>
    </row>
    <row r="255" spans="20:23" x14ac:dyDescent="0.2">
      <c r="T255"/>
      <c r="U255"/>
      <c r="V255"/>
      <c r="W255"/>
    </row>
    <row r="256" spans="20:23" x14ac:dyDescent="0.2">
      <c r="T256"/>
      <c r="U256"/>
      <c r="V256"/>
      <c r="W256"/>
    </row>
    <row r="257" spans="20:23" x14ac:dyDescent="0.2">
      <c r="T257"/>
      <c r="U257"/>
      <c r="V257"/>
      <c r="W257"/>
    </row>
    <row r="258" spans="20:23" x14ac:dyDescent="0.2">
      <c r="T258"/>
      <c r="U258"/>
      <c r="V258"/>
      <c r="W258"/>
    </row>
    <row r="259" spans="20:23" x14ac:dyDescent="0.2">
      <c r="T259"/>
      <c r="U259"/>
      <c r="V259"/>
      <c r="W259"/>
    </row>
    <row r="260" spans="20:23" x14ac:dyDescent="0.2">
      <c r="T260"/>
      <c r="U260"/>
      <c r="V260"/>
      <c r="W260"/>
    </row>
    <row r="261" spans="20:23" x14ac:dyDescent="0.2">
      <c r="T261"/>
      <c r="U261"/>
      <c r="V261"/>
      <c r="W261"/>
    </row>
    <row r="262" spans="20:23" x14ac:dyDescent="0.2">
      <c r="T262"/>
      <c r="U262"/>
      <c r="V262"/>
      <c r="W262"/>
    </row>
    <row r="263" spans="20:23" x14ac:dyDescent="0.2">
      <c r="T263"/>
      <c r="U263"/>
      <c r="V263"/>
    </row>
    <row r="264" spans="20:23" x14ac:dyDescent="0.2">
      <c r="T264"/>
      <c r="U264"/>
      <c r="V264"/>
    </row>
    <row r="265" spans="20:23" x14ac:dyDescent="0.2">
      <c r="T265"/>
      <c r="U265"/>
      <c r="V265"/>
    </row>
    <row r="266" spans="20:23" x14ac:dyDescent="0.2">
      <c r="T266"/>
      <c r="U266"/>
      <c r="V266"/>
    </row>
    <row r="267" spans="20:23" x14ac:dyDescent="0.2">
      <c r="T267"/>
      <c r="U267"/>
      <c r="V267"/>
    </row>
    <row r="268" spans="20:23" x14ac:dyDescent="0.2">
      <c r="T268"/>
      <c r="U268"/>
      <c r="V268"/>
    </row>
    <row r="269" spans="20:23" x14ac:dyDescent="0.2">
      <c r="T269"/>
      <c r="U269"/>
      <c r="V269"/>
    </row>
    <row r="270" spans="20:23" x14ac:dyDescent="0.2">
      <c r="T270"/>
      <c r="U270"/>
      <c r="V270"/>
    </row>
    <row r="271" spans="20:23" x14ac:dyDescent="0.2">
      <c r="T271"/>
      <c r="U271"/>
      <c r="V271"/>
    </row>
    <row r="272" spans="20:23" x14ac:dyDescent="0.2">
      <c r="T272"/>
      <c r="U272"/>
      <c r="V272"/>
    </row>
    <row r="273" spans="20:22" x14ac:dyDescent="0.2">
      <c r="T273"/>
      <c r="U273"/>
      <c r="V273"/>
    </row>
    <row r="274" spans="20:22" x14ac:dyDescent="0.2">
      <c r="T274"/>
      <c r="U274"/>
      <c r="V274"/>
    </row>
    <row r="275" spans="20:22" x14ac:dyDescent="0.2">
      <c r="T275"/>
      <c r="U275"/>
      <c r="V275"/>
    </row>
    <row r="276" spans="20:22" x14ac:dyDescent="0.2">
      <c r="T276"/>
      <c r="U276"/>
      <c r="V276"/>
    </row>
    <row r="277" spans="20:22" x14ac:dyDescent="0.2">
      <c r="T277"/>
      <c r="U277"/>
      <c r="V277"/>
    </row>
    <row r="278" spans="20:22" x14ac:dyDescent="0.2">
      <c r="T278"/>
      <c r="U278"/>
      <c r="V278"/>
    </row>
    <row r="279" spans="20:22" x14ac:dyDescent="0.2">
      <c r="T279"/>
      <c r="U279"/>
      <c r="V279"/>
    </row>
    <row r="280" spans="20:22" x14ac:dyDescent="0.2">
      <c r="T280"/>
      <c r="U280"/>
      <c r="V280"/>
    </row>
    <row r="281" spans="20:22" x14ac:dyDescent="0.2">
      <c r="T281"/>
      <c r="U281"/>
      <c r="V281"/>
    </row>
    <row r="282" spans="20:22" x14ac:dyDescent="0.2">
      <c r="T282"/>
      <c r="U282"/>
      <c r="V282"/>
    </row>
    <row r="283" spans="20:22" x14ac:dyDescent="0.2">
      <c r="T283"/>
      <c r="U283"/>
      <c r="V283"/>
    </row>
    <row r="284" spans="20:22" x14ac:dyDescent="0.2">
      <c r="T284"/>
      <c r="U284"/>
      <c r="V284"/>
    </row>
    <row r="285" spans="20:22" x14ac:dyDescent="0.2">
      <c r="T285"/>
      <c r="U285"/>
      <c r="V285"/>
    </row>
    <row r="286" spans="20:22" x14ac:dyDescent="0.2">
      <c r="T286"/>
      <c r="U286"/>
      <c r="V286"/>
    </row>
    <row r="287" spans="20:22" x14ac:dyDescent="0.2">
      <c r="T287"/>
      <c r="U287"/>
      <c r="V287"/>
    </row>
    <row r="288" spans="20:22" x14ac:dyDescent="0.2">
      <c r="T288"/>
      <c r="U288"/>
      <c r="V288"/>
    </row>
    <row r="289" spans="20:22" x14ac:dyDescent="0.2">
      <c r="T289"/>
      <c r="U289"/>
      <c r="V289"/>
    </row>
    <row r="290" spans="20:22" x14ac:dyDescent="0.2">
      <c r="T290"/>
      <c r="U290"/>
      <c r="V290"/>
    </row>
    <row r="291" spans="20:22" x14ac:dyDescent="0.2">
      <c r="T291"/>
      <c r="U291"/>
      <c r="V291"/>
    </row>
    <row r="292" spans="20:22" x14ac:dyDescent="0.2">
      <c r="T292"/>
      <c r="U292"/>
      <c r="V292"/>
    </row>
    <row r="293" spans="20:22" x14ac:dyDescent="0.2">
      <c r="T293"/>
      <c r="U293"/>
      <c r="V293"/>
    </row>
    <row r="294" spans="20:22" x14ac:dyDescent="0.2">
      <c r="T294"/>
      <c r="U294"/>
      <c r="V294"/>
    </row>
    <row r="295" spans="20:22" x14ac:dyDescent="0.2">
      <c r="T295"/>
      <c r="U295"/>
      <c r="V295"/>
    </row>
    <row r="296" spans="20:22" x14ac:dyDescent="0.2">
      <c r="T296"/>
      <c r="U296"/>
      <c r="V296"/>
    </row>
    <row r="297" spans="20:22" x14ac:dyDescent="0.2">
      <c r="T297"/>
      <c r="U297"/>
      <c r="V297"/>
    </row>
    <row r="298" spans="20:22" x14ac:dyDescent="0.2">
      <c r="T298"/>
      <c r="U298"/>
      <c r="V298"/>
    </row>
    <row r="299" spans="20:22" x14ac:dyDescent="0.2">
      <c r="T299"/>
      <c r="U299"/>
      <c r="V299"/>
    </row>
    <row r="300" spans="20:22" x14ac:dyDescent="0.2">
      <c r="T300"/>
      <c r="U300"/>
      <c r="V300"/>
    </row>
    <row r="301" spans="20:22" x14ac:dyDescent="0.2">
      <c r="T301"/>
      <c r="U301"/>
      <c r="V301"/>
    </row>
    <row r="302" spans="20:22" x14ac:dyDescent="0.2">
      <c r="T302"/>
      <c r="U302"/>
      <c r="V302"/>
    </row>
    <row r="303" spans="20:22" x14ac:dyDescent="0.2">
      <c r="T303"/>
      <c r="U303"/>
      <c r="V303"/>
    </row>
    <row r="304" spans="20:22" x14ac:dyDescent="0.2">
      <c r="T304"/>
      <c r="U304"/>
      <c r="V304"/>
    </row>
    <row r="305" spans="20:22" x14ac:dyDescent="0.2">
      <c r="T305"/>
      <c r="U305"/>
      <c r="V305"/>
    </row>
    <row r="306" spans="20:22" x14ac:dyDescent="0.2">
      <c r="T306"/>
      <c r="U306"/>
      <c r="V306"/>
    </row>
    <row r="307" spans="20:22" x14ac:dyDescent="0.2">
      <c r="T307"/>
      <c r="U307"/>
      <c r="V307"/>
    </row>
    <row r="308" spans="20:22" x14ac:dyDescent="0.2">
      <c r="T308"/>
      <c r="U308"/>
      <c r="V308"/>
    </row>
    <row r="309" spans="20:22" x14ac:dyDescent="0.2">
      <c r="T309"/>
      <c r="U309"/>
      <c r="V309"/>
    </row>
    <row r="310" spans="20:22" x14ac:dyDescent="0.2">
      <c r="T310"/>
      <c r="U310"/>
      <c r="V310"/>
    </row>
    <row r="311" spans="20:22" x14ac:dyDescent="0.2">
      <c r="T311"/>
      <c r="U311"/>
      <c r="V311"/>
    </row>
    <row r="312" spans="20:22" x14ac:dyDescent="0.2">
      <c r="T312"/>
      <c r="U312"/>
      <c r="V312"/>
    </row>
    <row r="313" spans="20:22" x14ac:dyDescent="0.2">
      <c r="T313"/>
      <c r="U313"/>
      <c r="V313"/>
    </row>
    <row r="314" spans="20:22" x14ac:dyDescent="0.2">
      <c r="T314"/>
      <c r="U314"/>
      <c r="V314"/>
    </row>
    <row r="315" spans="20:22" x14ac:dyDescent="0.2">
      <c r="T315"/>
      <c r="U315"/>
    </row>
    <row r="316" spans="20:22" x14ac:dyDescent="0.2">
      <c r="T316"/>
      <c r="U316"/>
    </row>
    <row r="317" spans="20:22" x14ac:dyDescent="0.2">
      <c r="T317"/>
      <c r="U317"/>
    </row>
    <row r="318" spans="20:22" x14ac:dyDescent="0.2">
      <c r="T318"/>
      <c r="U318"/>
    </row>
    <row r="319" spans="20:22" x14ac:dyDescent="0.2">
      <c r="T319"/>
      <c r="U319"/>
    </row>
    <row r="320" spans="20:22" x14ac:dyDescent="0.2">
      <c r="T320"/>
    </row>
    <row r="321" spans="20:20" x14ac:dyDescent="0.2">
      <c r="T321"/>
    </row>
    <row r="322" spans="20:20" x14ac:dyDescent="0.2">
      <c r="T322"/>
    </row>
    <row r="323" spans="20:20" x14ac:dyDescent="0.2">
      <c r="T323"/>
    </row>
  </sheetData>
  <phoneticPr fontId="79" type="noConversion"/>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66FFFF"/>
    <pageSetUpPr fitToPage="1"/>
  </sheetPr>
  <dimension ref="A1:N232"/>
  <sheetViews>
    <sheetView showGridLines="0" zoomScale="85" zoomScaleNormal="85" workbookViewId="0">
      <pane ySplit="2" topLeftCell="A3" activePane="bottomLeft" state="frozen"/>
      <selection activeCell="Z23" sqref="Z23"/>
      <selection pane="bottomLeft" activeCell="A3" sqref="A3"/>
    </sheetView>
  </sheetViews>
  <sheetFormatPr defaultColWidth="0" defaultRowHeight="12" zeroHeight="1" x14ac:dyDescent="0.2"/>
  <cols>
    <col min="1" max="1" width="1.875" style="8" customWidth="1"/>
    <col min="2" max="2" width="2" style="8" customWidth="1"/>
    <col min="3" max="3" width="21.625" style="8" customWidth="1"/>
    <col min="4" max="4" width="34.625" style="8" customWidth="1"/>
    <col min="5" max="5" width="15.25" style="8" customWidth="1"/>
    <col min="6" max="9" width="13.125" style="8" customWidth="1"/>
    <col min="10" max="10" width="11.75" style="8" customWidth="1"/>
    <col min="11" max="11" width="1.75" style="8" customWidth="1"/>
    <col min="12" max="12" width="14.625" style="8" customWidth="1"/>
    <col min="13" max="13" width="2.25" style="8" customWidth="1"/>
    <col min="14" max="14" width="8.75" style="8" hidden="1" customWidth="1"/>
    <col min="15" max="16384" width="9" style="8" hidden="1"/>
  </cols>
  <sheetData>
    <row r="1" spans="1:13" s="6" customFormat="1" ht="18.75" x14ac:dyDescent="0.3">
      <c r="A1" s="13" t="str">
        <f>bus</f>
        <v>Powercor</v>
      </c>
      <c r="B1" s="13"/>
      <c r="C1" s="13"/>
      <c r="D1" s="13"/>
      <c r="E1" s="13"/>
      <c r="F1" s="13"/>
      <c r="G1" s="13"/>
      <c r="H1" s="13"/>
      <c r="I1" s="13"/>
      <c r="J1" s="13"/>
      <c r="K1" s="13"/>
      <c r="L1" s="13"/>
    </row>
    <row r="2" spans="1:13" s="6" customFormat="1" ht="18.75" x14ac:dyDescent="0.3">
      <c r="A2" s="50" t="str">
        <f>proj</f>
        <v>TRG024-WBL012 Tie upgrade</v>
      </c>
      <c r="B2" s="13"/>
      <c r="C2" s="13"/>
      <c r="D2" s="13"/>
      <c r="E2" s="13"/>
      <c r="F2" s="13"/>
      <c r="G2" s="13"/>
      <c r="H2" s="13"/>
      <c r="I2" s="13"/>
      <c r="J2" s="13"/>
      <c r="K2" s="13"/>
      <c r="L2" s="13"/>
    </row>
    <row r="3" spans="1:13" s="2" customFormat="1" ht="18.75" x14ac:dyDescent="0.3">
      <c r="A3" s="176" t="s">
        <v>3</v>
      </c>
      <c r="B3" s="31"/>
      <c r="C3" s="31"/>
      <c r="D3" s="30"/>
      <c r="E3" s="30"/>
      <c r="F3" s="30"/>
      <c r="G3" s="30"/>
      <c r="H3" s="30"/>
      <c r="I3" s="30"/>
      <c r="J3" s="30"/>
      <c r="K3" s="30"/>
      <c r="L3" s="30"/>
      <c r="M3" s="6"/>
    </row>
    <row r="4" spans="1:13" s="2" customFormat="1" ht="18.75" x14ac:dyDescent="0.3">
      <c r="A4" s="31"/>
      <c r="B4" s="31"/>
      <c r="C4" s="31"/>
      <c r="D4" s="30"/>
      <c r="E4" s="30"/>
      <c r="F4" s="30"/>
      <c r="G4" s="30"/>
      <c r="H4" s="30"/>
      <c r="I4" s="30"/>
      <c r="J4" s="30"/>
      <c r="K4" s="30"/>
      <c r="L4" s="30"/>
      <c r="M4" s="6"/>
    </row>
    <row r="5" spans="1:13" s="2" customFormat="1" ht="15" x14ac:dyDescent="0.25">
      <c r="A5" s="17" t="s">
        <v>4</v>
      </c>
      <c r="B5" s="17"/>
      <c r="C5" s="17"/>
      <c r="D5" s="17"/>
      <c r="E5" s="17"/>
      <c r="F5" s="17"/>
      <c r="G5" s="17"/>
      <c r="H5" s="17"/>
      <c r="I5" s="17"/>
      <c r="J5" s="17"/>
      <c r="K5" s="17"/>
      <c r="L5" s="17"/>
      <c r="M5" s="6"/>
    </row>
    <row r="6" spans="1:13" s="2" customFormat="1" ht="12.75" x14ac:dyDescent="0.2">
      <c r="A6" s="7"/>
      <c r="B6" s="7"/>
      <c r="C6" s="7"/>
      <c r="D6" s="4"/>
      <c r="E6" s="4"/>
      <c r="F6" s="7"/>
      <c r="G6" s="7"/>
      <c r="H6" s="7"/>
      <c r="I6" s="7"/>
      <c r="J6" s="7"/>
      <c r="K6" s="7"/>
      <c r="L6" s="7"/>
    </row>
    <row r="7" spans="1:13" s="2" customFormat="1" ht="12.75" x14ac:dyDescent="0.2">
      <c r="G7" s="130" t="s">
        <v>5</v>
      </c>
      <c r="H7" s="130" t="s">
        <v>6</v>
      </c>
      <c r="I7" s="130" t="s">
        <v>7</v>
      </c>
    </row>
    <row r="8" spans="1:13" s="2" customFormat="1" ht="12.75" x14ac:dyDescent="0.2">
      <c r="C8" s="26" t="s">
        <v>8</v>
      </c>
      <c r="D8" s="26"/>
      <c r="E8" s="26"/>
      <c r="F8" s="26"/>
      <c r="G8" s="159">
        <f>output_dollars</f>
        <v>46203</v>
      </c>
      <c r="H8" s="159">
        <f>output_dollars</f>
        <v>46203</v>
      </c>
      <c r="I8" s="159">
        <f>output_dollars</f>
        <v>46203</v>
      </c>
    </row>
    <row r="9" spans="1:13" s="2" customFormat="1" ht="12.75" x14ac:dyDescent="0.2">
      <c r="C9" s="65" t="str" cm="1">
        <f t="array" ref="C9:C13">options</f>
        <v>Option 1 (base case)</v>
      </c>
      <c r="D9" s="378" t="str">
        <f>INDEX(Assumptions!$E$14:$E$18, MATCH(C9, Assumptions!$C$14:$C$18,0))</f>
        <v>No change to existing practices</v>
      </c>
      <c r="E9" s="379"/>
      <c r="F9" s="379"/>
      <c r="G9" s="91">
        <f>IF(Data!$C9, "", INDEX(Consol!$F$15:$F$82, MATCH($C9&amp;G$7, Consol!$D$15:$D$82,0))/mill_conv)</f>
        <v>0</v>
      </c>
      <c r="H9" s="91">
        <f>IF(Data!$C9, "", INDEX(Consol!$F$15:$F$82, MATCH($C9&amp;H$7, Consol!$D$15:$D$82,0))/mill_conv)</f>
        <v>0</v>
      </c>
      <c r="I9" s="91">
        <f>IF(Data!$C9, "", INDEX(Consol!$F$15:$F$82, MATCH($C9&amp;I$7, Consol!$D$15:$D$82,0))/mill_conv)</f>
        <v>0</v>
      </c>
    </row>
    <row r="10" spans="1:13" s="2" customFormat="1" ht="12.75" customHeight="1" x14ac:dyDescent="0.2">
      <c r="C10" s="65" t="str">
        <v>Option 2</v>
      </c>
      <c r="D10" s="380" t="str">
        <f>INDEX(Assumptions!$E$14:$E$18, MATCH(C10, Assumptions!$C$14:$C$18,0))</f>
        <v>TRG024-WBL012 Tie upgrade</v>
      </c>
      <c r="E10" s="381"/>
      <c r="F10" s="381"/>
      <c r="G10" s="91">
        <f>IF(Data!$C10, "", INDEX(Consol!$F$15:$F$82, MATCH($C10&amp;G$7, Consol!$D$15:$D$82,0))/mill_conv)</f>
        <v>-1.2968655093473902</v>
      </c>
      <c r="H10" s="91">
        <f>IF(Data!$C10, "", INDEX(Consol!$F$15:$F$82, MATCH($C10&amp;H$7, Consol!$D$15:$D$82,0))/mill_conv)</f>
        <v>4.2836507627654736</v>
      </c>
      <c r="I10" s="91">
        <f>IF(Data!$C10, "", INDEX(Consol!$F$15:$F$82, MATCH($C10&amp;I$7, Consol!$D$15:$D$82,0))/mill_conv)</f>
        <v>2.9867852534180837</v>
      </c>
    </row>
    <row r="11" spans="1:13" s="2" customFormat="1" ht="12.75" x14ac:dyDescent="0.2">
      <c r="C11" s="65" t="str">
        <v>Option 3</v>
      </c>
      <c r="D11" s="380">
        <f>INDEX(Assumptions!$E$14:$E$18, MATCH(C11, Assumptions!$C$14:$C$18,0))</f>
        <v>0</v>
      </c>
      <c r="E11" s="381"/>
      <c r="F11" s="381"/>
      <c r="G11" s="91" t="str">
        <f>IF(Data!$C11, "", INDEX(Consol!$F$15:$F$82, MATCH($C11&amp;G$7, Consol!$D$15:$D$82,0))/mill_conv)</f>
        <v/>
      </c>
      <c r="H11" s="91" t="str">
        <f>IF(Data!$C11, "", INDEX(Consol!$F$15:$F$82, MATCH($C11&amp;H$7, Consol!$D$15:$D$82,0))/mill_conv)</f>
        <v/>
      </c>
      <c r="I11" s="91" t="str">
        <f>IF(Data!$C11, "", INDEX(Consol!$F$15:$F$82, MATCH($C11&amp;I$7, Consol!$D$15:$D$82,0))/mill_conv)</f>
        <v/>
      </c>
    </row>
    <row r="12" spans="1:13" s="2" customFormat="1" ht="12.75" x14ac:dyDescent="0.2">
      <c r="C12" s="65" t="str">
        <v>Option 4</v>
      </c>
      <c r="D12" s="380">
        <f>INDEX(Assumptions!$E$14:$E$18, MATCH(C12, Assumptions!$C$14:$C$18,0))</f>
        <v>0</v>
      </c>
      <c r="E12" s="381"/>
      <c r="F12" s="381"/>
      <c r="G12" s="91" t="str">
        <f>IF(Data!$C12, "", INDEX(Consol!$F$15:$F$82, MATCH($C12&amp;G$7, Consol!$D$15:$D$82,0))/mill_conv)</f>
        <v/>
      </c>
      <c r="H12" s="91" t="str">
        <f>IF(Data!$C12, "", INDEX(Consol!$F$15:$F$82, MATCH($C12&amp;H$7, Consol!$D$15:$D$82,0))/mill_conv)</f>
        <v/>
      </c>
      <c r="I12" s="91" t="str">
        <f>IF(Data!$C12, "", INDEX(Consol!$F$15:$F$82, MATCH($C12&amp;I$7, Consol!$D$15:$D$82,0))/mill_conv)</f>
        <v/>
      </c>
    </row>
    <row r="13" spans="1:13" s="2" customFormat="1" ht="12.75" x14ac:dyDescent="0.2">
      <c r="C13" s="65" t="str">
        <v>Option 5</v>
      </c>
      <c r="D13" s="380">
        <f>INDEX(Assumptions!$E$14:$E$18, MATCH(C13, Assumptions!$C$14:$C$18,0))</f>
        <v>0</v>
      </c>
      <c r="E13" s="381"/>
      <c r="F13" s="381"/>
      <c r="G13" s="91" t="str">
        <f>IF(Data!$C13, "", INDEX(Consol!$F$15:$F$82, MATCH($C13&amp;G$7, Consol!$D$15:$D$82,0))/mill_conv)</f>
        <v/>
      </c>
      <c r="H13" s="91" t="str">
        <f>IF(Data!$C13, "", INDEX(Consol!$F$15:$F$82, MATCH($C13&amp;H$7, Consol!$D$15:$D$82,0))/mill_conv)</f>
        <v/>
      </c>
      <c r="I13" s="91" t="str">
        <f>IF(Data!$C13, "", INDEX(Consol!$F$15:$F$82, MATCH($C13&amp;I$7, Consol!$D$15:$D$82,0))/mill_conv)</f>
        <v/>
      </c>
    </row>
    <row r="14" spans="1:13" s="2" customFormat="1" ht="12.75" x14ac:dyDescent="0.2">
      <c r="C14" s="65"/>
      <c r="D14" s="65"/>
      <c r="E14" s="65"/>
      <c r="F14" s="80"/>
      <c r="H14" s="7"/>
    </row>
    <row r="15" spans="1:13" s="2" customFormat="1" ht="12.75" x14ac:dyDescent="0.2">
      <c r="C15" s="65"/>
      <c r="D15" s="65"/>
      <c r="E15" s="65"/>
      <c r="F15" s="80"/>
      <c r="G15"/>
      <c r="I15" s="7"/>
    </row>
    <row r="16" spans="1:13" s="2" customFormat="1" ht="12.75" x14ac:dyDescent="0.2">
      <c r="G16" s="130" t="s">
        <v>7</v>
      </c>
      <c r="H16"/>
      <c r="J16" s="7"/>
    </row>
    <row r="17" spans="1:13" s="2" customFormat="1" ht="12.75" x14ac:dyDescent="0.2">
      <c r="C17" s="24" t="s">
        <v>9</v>
      </c>
      <c r="D17" s="26"/>
      <c r="E17" s="26"/>
      <c r="F17" s="26"/>
      <c r="G17" s="159">
        <f>output_dollars</f>
        <v>46203</v>
      </c>
      <c r="H17"/>
      <c r="J17" s="7"/>
    </row>
    <row r="18" spans="1:13" s="2" customFormat="1" ht="12.75" x14ac:dyDescent="0.2">
      <c r="C18" s="32" t="str">
        <f>INDEX($C$9:$C$13,MATCH(G18, $I$9:$I$13,0))</f>
        <v>Option 2</v>
      </c>
      <c r="D18" s="377" t="str">
        <f>INDEX($D$9:$D$13,MATCH(G18, $I$9:$I$13,0))</f>
        <v>TRG024-WBL012 Tie upgrade</v>
      </c>
      <c r="E18" s="377"/>
      <c r="F18" s="377"/>
      <c r="G18" s="92">
        <f>_xlfn.MAXIFS(I9:I13, IF(compliance, Data!$F$9:$F$13, Data!$C$9:$C$13),FALSE)</f>
        <v>2.9867852534180837</v>
      </c>
      <c r="H18"/>
    </row>
    <row r="19" spans="1:13" s="2" customFormat="1" ht="12.75" x14ac:dyDescent="0.2">
      <c r="H19"/>
    </row>
    <row r="20" spans="1:13" x14ac:dyDescent="0.2"/>
    <row r="21" spans="1:13" x14ac:dyDescent="0.2"/>
    <row r="22" spans="1:13" x14ac:dyDescent="0.2"/>
    <row r="23" spans="1:13" ht="15" x14ac:dyDescent="0.25">
      <c r="A23" s="17" t="s">
        <v>10</v>
      </c>
      <c r="B23" s="17"/>
      <c r="C23" s="17"/>
      <c r="D23" s="17"/>
      <c r="E23" s="17"/>
      <c r="F23" s="17"/>
      <c r="G23" s="17"/>
      <c r="H23" s="17"/>
      <c r="I23" s="17"/>
      <c r="J23" s="17"/>
      <c r="K23" s="17"/>
      <c r="L23" s="17"/>
      <c r="M23" s="6"/>
    </row>
    <row r="24" spans="1:13" x14ac:dyDescent="0.2"/>
    <row r="25" spans="1:13" s="6" customFormat="1" ht="12.75" x14ac:dyDescent="0.2">
      <c r="C25" s="12" t="s">
        <v>11</v>
      </c>
    </row>
    <row r="26" spans="1:13" s="6" customFormat="1" ht="12.75" x14ac:dyDescent="0.2">
      <c r="C26" s="81" t="str">
        <f>C18</f>
        <v>Option 2</v>
      </c>
    </row>
    <row r="27" spans="1:13" s="6" customFormat="1" ht="12.75" x14ac:dyDescent="0.2"/>
    <row r="28" spans="1:13" s="6" customFormat="1" ht="12.75" x14ac:dyDescent="0.2"/>
    <row r="29" spans="1:13" s="6" customFormat="1" ht="12.75" x14ac:dyDescent="0.2">
      <c r="C29" s="47" t="s">
        <v>12</v>
      </c>
      <c r="D29" s="243">
        <f>output_dollars</f>
        <v>46203</v>
      </c>
      <c r="E29" s="160"/>
      <c r="F29" s="49" t="str">
        <f>Assumptions!K96</f>
        <v>2026-27</v>
      </c>
      <c r="G29" s="49" t="str">
        <f>Assumptions!L96</f>
        <v>2027-28</v>
      </c>
      <c r="H29" s="49" t="str">
        <f>Assumptions!M96</f>
        <v>2028-29</v>
      </c>
      <c r="I29" s="49" t="str">
        <f>Assumptions!N96</f>
        <v>2029-30</v>
      </c>
      <c r="J29" s="49" t="str">
        <f>Assumptions!O96</f>
        <v>2030-31</v>
      </c>
      <c r="L29" s="49" t="s">
        <v>13</v>
      </c>
    </row>
    <row r="30" spans="1:13" s="6" customFormat="1" ht="12.75" x14ac:dyDescent="0.2">
      <c r="C30" s="4" t="s">
        <v>14</v>
      </c>
      <c r="F30" s="93">
        <f>-INDEX(Consol!I$15:I$82,MATCH($C$26&amp;$C30,Consol!$D$15:$D$82,0))/mill_conv</f>
        <v>0</v>
      </c>
      <c r="G30" s="93">
        <f>-INDEX(Consol!J$15:J$82,MATCH($C$26&amp;$C30,Consol!$D$15:$D$82,0))/mill_conv</f>
        <v>0.37074329751117224</v>
      </c>
      <c r="H30" s="93">
        <f>-INDEX(Consol!K$15:K$82,MATCH($C$26&amp;$C30,Consol!$D$15:$D$82,0))/mill_conv</f>
        <v>0.86377654838050733</v>
      </c>
      <c r="I30" s="93">
        <f>-INDEX(Consol!L$15:L$82,MATCH($C$26&amp;$C30,Consol!$D$15:$D$82,0))/mill_conv</f>
        <v>1.3496162725817151</v>
      </c>
      <c r="J30" s="93">
        <f>-INDEX(Consol!M$15:M$82,MATCH($C$26&amp;$C30,Consol!$D$15:$D$82,0))/mill_conv</f>
        <v>0</v>
      </c>
      <c r="K30" s="161"/>
      <c r="L30" s="161">
        <f>SUM(F30:J30)</f>
        <v>2.5841361184733946</v>
      </c>
    </row>
    <row r="31" spans="1:13" s="6" customFormat="1" ht="12.75" x14ac:dyDescent="0.2">
      <c r="C31" s="4" t="s">
        <v>15</v>
      </c>
      <c r="D31" s="10"/>
      <c r="E31" s="10"/>
      <c r="F31" s="93">
        <f>-INDEX(Consol!I$15:I$82,MATCH($C$26&amp;$C31,Consol!$D$15:$D$82,0))/mill_conv</f>
        <v>0</v>
      </c>
      <c r="G31" s="93">
        <f>-INDEX(Consol!J$15:J$82,MATCH($C$26&amp;$C31,Consol!$D$15:$D$82,0))/mill_conv</f>
        <v>0</v>
      </c>
      <c r="H31" s="93">
        <f>-INDEX(Consol!K$15:K$82,MATCH($C$26&amp;$C31,Consol!$D$15:$D$82,0))/mill_conv</f>
        <v>0</v>
      </c>
      <c r="I31" s="93">
        <f>-INDEX(Consol!L$15:L$82,MATCH($C$26&amp;$C31,Consol!$D$15:$D$82,0))/mill_conv</f>
        <v>0</v>
      </c>
      <c r="J31" s="93">
        <f>-INDEX(Consol!M$15:M$82,MATCH($C$26&amp;$C31,Consol!$D$15:$D$82,0))/mill_conv</f>
        <v>0</v>
      </c>
      <c r="K31" s="161"/>
      <c r="L31" s="161">
        <f>SUM(F31:J31)</f>
        <v>0</v>
      </c>
    </row>
    <row r="32" spans="1:13" s="6" customFormat="1" ht="12.75" x14ac:dyDescent="0.2"/>
    <row r="33" spans="1:13" s="6" customFormat="1" ht="12.75" x14ac:dyDescent="0.2"/>
    <row r="34" spans="1:13" s="6" customFormat="1" ht="12.75" x14ac:dyDescent="0.2"/>
    <row r="35" spans="1:13" s="6" customFormat="1" ht="15" x14ac:dyDescent="0.25">
      <c r="A35" s="17" t="s">
        <v>16</v>
      </c>
      <c r="B35" s="17"/>
      <c r="C35" s="17"/>
      <c r="D35" s="17"/>
      <c r="E35" s="17"/>
      <c r="F35" s="17"/>
      <c r="G35" s="17"/>
      <c r="H35" s="17"/>
      <c r="I35" s="17"/>
      <c r="J35" s="17"/>
      <c r="K35" s="17"/>
      <c r="L35" s="17"/>
    </row>
    <row r="36" spans="1:13" s="6" customFormat="1" ht="12.75" x14ac:dyDescent="0.2"/>
    <row r="37" spans="1:13" s="6" customFormat="1" ht="12.75" x14ac:dyDescent="0.2"/>
    <row r="38" spans="1:13" s="6" customFormat="1" ht="12.75" x14ac:dyDescent="0.2">
      <c r="C38" s="47" t="s">
        <v>17</v>
      </c>
      <c r="D38" s="160">
        <f>output_dollars</f>
        <v>46203</v>
      </c>
      <c r="E38" s="160"/>
      <c r="F38" s="49" t="str">
        <f>Sensitivity_calcs!C89</f>
        <v>Option 1 (base case)</v>
      </c>
      <c r="G38" s="49" t="str">
        <f>Sensitivity_calcs!D89</f>
        <v>Option 2</v>
      </c>
      <c r="H38" s="49" t="str">
        <f>Sensitivity_calcs!E89</f>
        <v>Option 3</v>
      </c>
      <c r="I38" s="49" t="str">
        <f>Sensitivity_calcs!F89</f>
        <v>Option 4</v>
      </c>
      <c r="J38" s="49" t="str">
        <f>Sensitivity_calcs!G89</f>
        <v>Option 5</v>
      </c>
      <c r="K38" s="226"/>
      <c r="L38" s="135" t="s">
        <v>18</v>
      </c>
      <c r="M38" s="226"/>
    </row>
    <row r="39" spans="1:13" s="6" customFormat="1" ht="12.75" x14ac:dyDescent="0.2">
      <c r="C39" s="240" t="str">
        <f>Sensitivity_calcs!B90</f>
        <v>None</v>
      </c>
      <c r="D39" s="228"/>
      <c r="E39" s="228"/>
      <c r="F39" s="241">
        <f>Sensitivity_calcs!C90</f>
        <v>0</v>
      </c>
      <c r="G39" s="241">
        <f>Sensitivity_calcs!D90</f>
        <v>2.9867852534180837</v>
      </c>
      <c r="H39" s="241" t="str">
        <f>Sensitivity_calcs!E90</f>
        <v/>
      </c>
      <c r="I39" s="241" t="str">
        <f>Sensitivity_calcs!F90</f>
        <v/>
      </c>
      <c r="J39" s="241" t="str">
        <f>Sensitivity_calcs!G90</f>
        <v/>
      </c>
      <c r="L39" s="242" t="str">
        <f>Sensitivity_calcs!K90</f>
        <v>Option 2</v>
      </c>
    </row>
    <row r="40" spans="1:13" s="6" customFormat="1" ht="12.75" x14ac:dyDescent="0.2">
      <c r="C40" s="227" t="str">
        <f>Sensitivity_calcs!B91</f>
        <v>Capex 10% higher</v>
      </c>
      <c r="D40" s="227"/>
      <c r="E40" s="227"/>
      <c r="F40" s="236">
        <f>Sensitivity_calcs!C91</f>
        <v>0</v>
      </c>
      <c r="G40" s="231">
        <f>Sensitivity_calcs!D91</f>
        <v>2.8570987024833454</v>
      </c>
      <c r="H40" s="231" t="str">
        <f>Sensitivity_calcs!E91</f>
        <v/>
      </c>
      <c r="I40" s="231" t="str">
        <f>Sensitivity_calcs!F91</f>
        <v/>
      </c>
      <c r="J40" s="231" t="str">
        <f>Sensitivity_calcs!G91</f>
        <v/>
      </c>
      <c r="L40" s="237" t="str">
        <f>Sensitivity_calcs!K91</f>
        <v>Option 2</v>
      </c>
    </row>
    <row r="41" spans="1:13" s="6" customFormat="1" ht="12.75" x14ac:dyDescent="0.2">
      <c r="C41" s="227" t="str">
        <f>Sensitivity_calcs!B92</f>
        <v>Capex 10% lower</v>
      </c>
      <c r="D41" s="227"/>
      <c r="E41" s="227"/>
      <c r="F41" s="93">
        <f>Sensitivity_calcs!C92</f>
        <v>0</v>
      </c>
      <c r="G41" s="232">
        <f>Sensitivity_calcs!D92</f>
        <v>3.1164718043528232</v>
      </c>
      <c r="H41" s="232" t="str">
        <f>Sensitivity_calcs!E92</f>
        <v/>
      </c>
      <c r="I41" s="232" t="str">
        <f>Sensitivity_calcs!F92</f>
        <v/>
      </c>
      <c r="J41" s="232" t="str">
        <f>Sensitivity_calcs!G92</f>
        <v/>
      </c>
      <c r="L41" s="237" t="str">
        <f>Sensitivity_calcs!K92</f>
        <v>Option 2</v>
      </c>
    </row>
    <row r="42" spans="1:13" s="6" customFormat="1" ht="12.75" x14ac:dyDescent="0.2">
      <c r="C42" s="227" t="str">
        <f>Sensitivity_calcs!B93</f>
        <v>Total benefits 10% higher</v>
      </c>
      <c r="D42" s="227"/>
      <c r="E42" s="227"/>
      <c r="F42" s="93">
        <f>Sensitivity_calcs!C93</f>
        <v>0</v>
      </c>
      <c r="G42" s="232">
        <f>Sensitivity_calcs!D93</f>
        <v>3.4151503296946317</v>
      </c>
      <c r="H42" s="232" t="str">
        <f>Sensitivity_calcs!E93</f>
        <v/>
      </c>
      <c r="I42" s="232" t="str">
        <f>Sensitivity_calcs!F93</f>
        <v/>
      </c>
      <c r="J42" s="232" t="str">
        <f>Sensitivity_calcs!G93</f>
        <v/>
      </c>
      <c r="L42" s="237" t="str">
        <f>Sensitivity_calcs!K93</f>
        <v>Option 2</v>
      </c>
    </row>
    <row r="43" spans="1:13" s="6" customFormat="1" ht="12.75" x14ac:dyDescent="0.2">
      <c r="C43" s="227" t="str">
        <f>Sensitivity_calcs!B94</f>
        <v>Total benefits 10% lower</v>
      </c>
      <c r="D43" s="227"/>
      <c r="E43" s="227"/>
      <c r="F43" s="93">
        <f>Sensitivity_calcs!C94</f>
        <v>0</v>
      </c>
      <c r="G43" s="232">
        <f>Sensitivity_calcs!D94</f>
        <v>2.5584201771415365</v>
      </c>
      <c r="H43" s="232" t="str">
        <f>Sensitivity_calcs!E94</f>
        <v/>
      </c>
      <c r="I43" s="232" t="str">
        <f>Sensitivity_calcs!F94</f>
        <v/>
      </c>
      <c r="J43" s="232" t="str">
        <f>Sensitivity_calcs!G94</f>
        <v/>
      </c>
      <c r="L43" s="237" t="str">
        <f>Sensitivity_calcs!K94</f>
        <v>Option 2</v>
      </c>
    </row>
    <row r="44" spans="1:13" s="6" customFormat="1" ht="12.75" x14ac:dyDescent="0.2">
      <c r="C44" s="227" t="str">
        <f>Sensitivity_calcs!B95</f>
        <v>Capex 10% higher &amp; Total benefits 10% lower</v>
      </c>
      <c r="D44" s="227"/>
      <c r="E44" s="227"/>
      <c r="F44" s="93">
        <f>Sensitivity_calcs!C95</f>
        <v>0</v>
      </c>
      <c r="G44" s="232">
        <f>Sensitivity_calcs!D95</f>
        <v>2.4287336262067982</v>
      </c>
      <c r="H44" s="232" t="str">
        <f>Sensitivity_calcs!E95</f>
        <v/>
      </c>
      <c r="I44" s="232" t="str">
        <f>Sensitivity_calcs!F95</f>
        <v/>
      </c>
      <c r="J44" s="232" t="str">
        <f>Sensitivity_calcs!G95</f>
        <v/>
      </c>
      <c r="L44" s="237" t="str">
        <f>Sensitivity_calcs!K95</f>
        <v>Option 2</v>
      </c>
    </row>
    <row r="45" spans="1:13" s="6" customFormat="1" ht="12.75" x14ac:dyDescent="0.2">
      <c r="C45" s="227">
        <f>Sensitivity_calcs!B96</f>
        <v>0</v>
      </c>
      <c r="D45" s="227"/>
      <c r="E45" s="227"/>
      <c r="F45" s="93" t="str">
        <f>Sensitivity_calcs!C96</f>
        <v/>
      </c>
      <c r="G45" s="232" t="str">
        <f>Sensitivity_calcs!D96</f>
        <v/>
      </c>
      <c r="H45" s="232" t="str">
        <f>Sensitivity_calcs!E96</f>
        <v/>
      </c>
      <c r="I45" s="232" t="str">
        <f>Sensitivity_calcs!F96</f>
        <v/>
      </c>
      <c r="J45" s="232" t="str">
        <f>Sensitivity_calcs!G96</f>
        <v/>
      </c>
      <c r="L45" s="237" t="str">
        <f>Sensitivity_calcs!K96</f>
        <v/>
      </c>
    </row>
    <row r="46" spans="1:13" s="6" customFormat="1" ht="12.75" x14ac:dyDescent="0.2">
      <c r="C46" s="227">
        <f>Sensitivity_calcs!B97</f>
        <v>0</v>
      </c>
      <c r="D46" s="12"/>
      <c r="E46" s="12"/>
      <c r="F46" s="93" t="str">
        <f>Sensitivity_calcs!C97</f>
        <v/>
      </c>
      <c r="G46" s="232" t="str">
        <f>Sensitivity_calcs!D97</f>
        <v/>
      </c>
      <c r="H46" s="232" t="str">
        <f>Sensitivity_calcs!E97</f>
        <v/>
      </c>
      <c r="I46" s="232" t="str">
        <f>Sensitivity_calcs!F97</f>
        <v/>
      </c>
      <c r="J46" s="232" t="str">
        <f>Sensitivity_calcs!G97</f>
        <v/>
      </c>
      <c r="K46" s="229">
        <f>IF(C46=0,0, INDEX($F$38:$J$38, MATCH(MAX($F46:$I46),$F46:$I46,0)))</f>
        <v>0</v>
      </c>
      <c r="L46" s="237" t="str">
        <f>Sensitivity_calcs!K97</f>
        <v/>
      </c>
    </row>
    <row r="47" spans="1:13" s="6" customFormat="1" ht="12.75" x14ac:dyDescent="0.2">
      <c r="D47" s="227">
        <f>Sensitivity_calcs!B98</f>
        <v>0</v>
      </c>
      <c r="E47" s="227"/>
      <c r="F47" s="93" t="str">
        <f>Sensitivity_calcs!C98</f>
        <v/>
      </c>
      <c r="G47" s="232" t="str">
        <f>Sensitivity_calcs!D98</f>
        <v/>
      </c>
      <c r="H47" s="232" t="str">
        <f>Sensitivity_calcs!E98</f>
        <v/>
      </c>
      <c r="I47" s="232" t="str">
        <f>Sensitivity_calcs!F98</f>
        <v/>
      </c>
      <c r="J47" s="232" t="str">
        <f>Sensitivity_calcs!G98</f>
        <v/>
      </c>
      <c r="L47" s="237" t="str">
        <f>Sensitivity_calcs!K98</f>
        <v/>
      </c>
    </row>
    <row r="48" spans="1:13" s="6" customFormat="1" ht="12.75" x14ac:dyDescent="0.2">
      <c r="D48" s="227">
        <f>Sensitivity_calcs!B99</f>
        <v>0</v>
      </c>
      <c r="E48" s="227"/>
      <c r="F48" s="161"/>
      <c r="G48" s="93"/>
      <c r="H48" s="93"/>
      <c r="I48" s="93"/>
      <c r="J48" s="93"/>
    </row>
    <row r="49" spans="4:10" s="6" customFormat="1" ht="12.75" x14ac:dyDescent="0.2">
      <c r="G49" s="93"/>
      <c r="H49" s="93"/>
      <c r="I49" s="93"/>
      <c r="J49" s="93"/>
    </row>
    <row r="50" spans="4:10" s="6" customFormat="1" ht="12.75" x14ac:dyDescent="0.2"/>
    <row r="51" spans="4:10" s="6" customFormat="1" ht="12.75" x14ac:dyDescent="0.2"/>
    <row r="52" spans="4:10" s="6" customFormat="1" ht="12.75" x14ac:dyDescent="0.2"/>
    <row r="53" spans="4:10" s="6" customFormat="1" ht="12.75" x14ac:dyDescent="0.2">
      <c r="D53" s="215"/>
      <c r="E53" s="215"/>
      <c r="F53" s="215"/>
    </row>
    <row r="54" spans="4:10" s="6" customFormat="1" ht="12.75" x14ac:dyDescent="0.2">
      <c r="D54" s="215"/>
      <c r="E54" s="215"/>
      <c r="F54" s="215"/>
    </row>
    <row r="55" spans="4:10" s="6" customFormat="1" ht="12.75" hidden="1" x14ac:dyDescent="0.2">
      <c r="D55" s="215"/>
      <c r="E55" s="215"/>
      <c r="F55" s="215"/>
    </row>
    <row r="56" spans="4:10" s="6" customFormat="1" ht="12.75" hidden="1" x14ac:dyDescent="0.2"/>
    <row r="57" spans="4:10" s="6" customFormat="1" ht="12.75" hidden="1" x14ac:dyDescent="0.2"/>
    <row r="58" spans="4:10" s="6" customFormat="1" ht="12.75" hidden="1" x14ac:dyDescent="0.2"/>
    <row r="59" spans="4:10" s="6" customFormat="1" ht="12.75" hidden="1" x14ac:dyDescent="0.2"/>
    <row r="60" spans="4:10" s="6" customFormat="1" ht="12.75" hidden="1" x14ac:dyDescent="0.2"/>
    <row r="61" spans="4:10" s="6" customFormat="1" ht="12.75" hidden="1" x14ac:dyDescent="0.2"/>
    <row r="62" spans="4:10" s="6" customFormat="1" ht="12.75" hidden="1" x14ac:dyDescent="0.2"/>
    <row r="63" spans="4:10" s="6" customFormat="1" ht="12.75" hidden="1" x14ac:dyDescent="0.2"/>
    <row r="64" spans="4:10" s="6" customFormat="1" ht="12.75" hidden="1" x14ac:dyDescent="0.2"/>
    <row r="65" s="6" customFormat="1" ht="12.75" hidden="1" x14ac:dyDescent="0.2"/>
    <row r="66" s="6" customFormat="1" ht="12.75" hidden="1" x14ac:dyDescent="0.2"/>
    <row r="67" s="6" customFormat="1" ht="12.75" hidden="1" x14ac:dyDescent="0.2"/>
    <row r="68" s="6" customFormat="1" ht="12.75" hidden="1" x14ac:dyDescent="0.2"/>
    <row r="69" s="6" customFormat="1" ht="12.75" hidden="1" x14ac:dyDescent="0.2"/>
    <row r="70" s="6" customFormat="1" ht="12.75" hidden="1" x14ac:dyDescent="0.2"/>
    <row r="71" s="6" customFormat="1" ht="12.75" hidden="1" x14ac:dyDescent="0.2"/>
    <row r="72" s="6" customFormat="1" ht="12.75" hidden="1" x14ac:dyDescent="0.2"/>
    <row r="73" s="6" customFormat="1" ht="12.75" hidden="1" x14ac:dyDescent="0.2"/>
    <row r="74" s="6" customFormat="1" ht="12.75" hidden="1" x14ac:dyDescent="0.2"/>
    <row r="75" s="6" customFormat="1" ht="12.75" hidden="1" x14ac:dyDescent="0.2"/>
    <row r="76" s="6" customFormat="1" ht="12.75" hidden="1" x14ac:dyDescent="0.2"/>
    <row r="77" s="6" customFormat="1" ht="12.75" hidden="1" x14ac:dyDescent="0.2"/>
    <row r="78" s="6" customFormat="1" ht="12.75" hidden="1" x14ac:dyDescent="0.2"/>
    <row r="79" s="6" customFormat="1" ht="12.75" hidden="1" x14ac:dyDescent="0.2"/>
    <row r="80" s="6" customFormat="1" ht="12.75" hidden="1" x14ac:dyDescent="0.2"/>
    <row r="81" s="6" customFormat="1" ht="12.75" hidden="1" x14ac:dyDescent="0.2"/>
    <row r="82" s="6" customFormat="1" ht="12.75" hidden="1" x14ac:dyDescent="0.2"/>
    <row r="83" s="6" customFormat="1" ht="12.75" hidden="1" x14ac:dyDescent="0.2"/>
    <row r="84" s="6" customFormat="1" ht="12.75" hidden="1" x14ac:dyDescent="0.2"/>
    <row r="85" s="6" customFormat="1" ht="12.75" hidden="1" x14ac:dyDescent="0.2"/>
    <row r="86" s="6" customFormat="1" ht="12.75" hidden="1" x14ac:dyDescent="0.2"/>
    <row r="87" s="6" customFormat="1" ht="12.75" hidden="1" x14ac:dyDescent="0.2"/>
    <row r="88" s="6" customFormat="1" ht="12.75" hidden="1" x14ac:dyDescent="0.2"/>
    <row r="89" s="6" customFormat="1" ht="12.75" hidden="1" x14ac:dyDescent="0.2"/>
    <row r="90" s="6" customFormat="1" ht="12.75" hidden="1" x14ac:dyDescent="0.2"/>
    <row r="91" s="6" customFormat="1" ht="12.75" hidden="1" x14ac:dyDescent="0.2"/>
    <row r="92" s="6" customFormat="1" ht="12.75" hidden="1" x14ac:dyDescent="0.2"/>
    <row r="93" s="6" customFormat="1" ht="12.75" hidden="1" x14ac:dyDescent="0.2"/>
    <row r="94" s="6" customFormat="1" ht="12.75" hidden="1" x14ac:dyDescent="0.2"/>
    <row r="95" s="6" customFormat="1" ht="12.75" hidden="1" x14ac:dyDescent="0.2"/>
    <row r="96" s="6" customFormat="1" ht="12.75" hidden="1" x14ac:dyDescent="0.2"/>
    <row r="97" s="6" customFormat="1" ht="12.75" hidden="1" x14ac:dyDescent="0.2"/>
    <row r="98" s="6" customFormat="1" ht="12.75" hidden="1" x14ac:dyDescent="0.2"/>
    <row r="99" s="6" customFormat="1" ht="12.75" hidden="1" x14ac:dyDescent="0.2"/>
    <row r="100" s="6" customFormat="1" ht="12.75" hidden="1" x14ac:dyDescent="0.2"/>
    <row r="101" s="6" customFormat="1" ht="12.75" hidden="1" x14ac:dyDescent="0.2"/>
    <row r="102" s="6" customFormat="1" ht="12.75" hidden="1" x14ac:dyDescent="0.2"/>
    <row r="103" s="6" customFormat="1" ht="12.75" hidden="1" x14ac:dyDescent="0.2"/>
    <row r="104" s="6" customFormat="1" ht="12.75" hidden="1" x14ac:dyDescent="0.2"/>
    <row r="105" s="6" customFormat="1" ht="12.75" hidden="1" x14ac:dyDescent="0.2"/>
    <row r="106" s="6" customFormat="1" ht="12.75" hidden="1" x14ac:dyDescent="0.2"/>
    <row r="107" s="6" customFormat="1" ht="12.75" hidden="1" x14ac:dyDescent="0.2"/>
    <row r="108" s="6" customFormat="1" ht="12.75" hidden="1" x14ac:dyDescent="0.2"/>
    <row r="109" s="6" customFormat="1" ht="12.75" hidden="1" x14ac:dyDescent="0.2"/>
    <row r="110" s="6" customFormat="1" ht="12.75" hidden="1" x14ac:dyDescent="0.2"/>
    <row r="111" s="6" customFormat="1" ht="12.75" hidden="1" x14ac:dyDescent="0.2"/>
    <row r="112" s="6" customFormat="1" ht="12.75" hidden="1" x14ac:dyDescent="0.2"/>
    <row r="113" s="6" customFormat="1" ht="12.75" hidden="1" x14ac:dyDescent="0.2"/>
    <row r="114" s="6" customFormat="1" ht="12.75" hidden="1" x14ac:dyDescent="0.2"/>
    <row r="115" s="6" customFormat="1" ht="12.75" hidden="1" x14ac:dyDescent="0.2"/>
    <row r="116" s="6" customFormat="1" ht="12.75" hidden="1" x14ac:dyDescent="0.2"/>
    <row r="117" s="6" customFormat="1" ht="12.75" hidden="1" x14ac:dyDescent="0.2"/>
    <row r="118" s="6" customFormat="1" ht="12.75" hidden="1" x14ac:dyDescent="0.2"/>
    <row r="119" s="6" customFormat="1" ht="12.75" hidden="1" x14ac:dyDescent="0.2"/>
    <row r="120" s="6" customFormat="1" ht="12.75" hidden="1" x14ac:dyDescent="0.2"/>
    <row r="121" s="6" customFormat="1" ht="12.75" hidden="1" x14ac:dyDescent="0.2"/>
    <row r="122" s="6" customFormat="1" ht="12.75" hidden="1" x14ac:dyDescent="0.2"/>
    <row r="123" s="6" customFormat="1" ht="12.75" hidden="1" x14ac:dyDescent="0.2"/>
    <row r="124" s="6" customFormat="1" ht="12.75" hidden="1" x14ac:dyDescent="0.2"/>
    <row r="125" s="6" customFormat="1" ht="12.75" hidden="1" x14ac:dyDescent="0.2"/>
    <row r="126" s="6" customFormat="1" ht="12.75" hidden="1" x14ac:dyDescent="0.2"/>
    <row r="127" s="6" customFormat="1" ht="12.75" hidden="1" x14ac:dyDescent="0.2"/>
    <row r="128" s="6" customFormat="1" ht="12.75" hidden="1" x14ac:dyDescent="0.2"/>
    <row r="129" s="6" customFormat="1" ht="12.75" hidden="1" x14ac:dyDescent="0.2"/>
    <row r="130" s="6" customFormat="1" ht="12.75" hidden="1" x14ac:dyDescent="0.2"/>
    <row r="131" s="6" customFormat="1" ht="12.75" hidden="1" x14ac:dyDescent="0.2"/>
    <row r="132" s="6" customFormat="1" ht="12.75" hidden="1" x14ac:dyDescent="0.2"/>
    <row r="133" s="6" customFormat="1" ht="12.75" hidden="1" x14ac:dyDescent="0.2"/>
    <row r="134" s="6" customFormat="1" ht="12.75" hidden="1" x14ac:dyDescent="0.2"/>
    <row r="135" s="6" customFormat="1" ht="12.75" hidden="1" x14ac:dyDescent="0.2"/>
    <row r="136" s="6" customFormat="1" ht="12.75" hidden="1" x14ac:dyDescent="0.2"/>
    <row r="137" s="6" customFormat="1" ht="12.75" hidden="1" x14ac:dyDescent="0.2"/>
    <row r="138" s="6" customFormat="1" ht="12.75" hidden="1" x14ac:dyDescent="0.2"/>
    <row r="139" s="6" customFormat="1" ht="12.75" hidden="1" x14ac:dyDescent="0.2"/>
    <row r="140" s="6" customFormat="1" ht="12.75" hidden="1" x14ac:dyDescent="0.2"/>
    <row r="141" s="6" customFormat="1" ht="12.75" hidden="1" x14ac:dyDescent="0.2"/>
    <row r="142" s="6" customFormat="1" ht="12.75" hidden="1" x14ac:dyDescent="0.2"/>
    <row r="143" s="6" customFormat="1" ht="12.75" hidden="1" x14ac:dyDescent="0.2"/>
    <row r="144" s="6" customFormat="1" ht="12.75" hidden="1" x14ac:dyDescent="0.2"/>
    <row r="145" s="6" customFormat="1" ht="12.75" hidden="1" x14ac:dyDescent="0.2"/>
    <row r="146" s="6" customFormat="1" ht="12.75" hidden="1" x14ac:dyDescent="0.2"/>
    <row r="147" s="6" customFormat="1" ht="12.75" hidden="1" x14ac:dyDescent="0.2"/>
    <row r="148" s="6" customFormat="1" ht="12.75" hidden="1" x14ac:dyDescent="0.2"/>
    <row r="149" s="6" customFormat="1" ht="12.75" hidden="1" x14ac:dyDescent="0.2"/>
    <row r="150" s="6" customFormat="1" ht="12.75" hidden="1" x14ac:dyDescent="0.2"/>
    <row r="151" s="6" customFormat="1" ht="12.75" hidden="1" x14ac:dyDescent="0.2"/>
    <row r="152" s="6" customFormat="1" ht="12.75" hidden="1" x14ac:dyDescent="0.2"/>
    <row r="153" s="6" customFormat="1" ht="12.75" hidden="1" x14ac:dyDescent="0.2"/>
    <row r="154" s="6" customFormat="1" ht="12.75" hidden="1" x14ac:dyDescent="0.2"/>
    <row r="155" s="6" customFormat="1" ht="12.75" hidden="1" x14ac:dyDescent="0.2"/>
    <row r="156" s="6" customFormat="1" ht="12.75" hidden="1" x14ac:dyDescent="0.2"/>
    <row r="157" s="6" customFormat="1" ht="12.75" hidden="1" x14ac:dyDescent="0.2"/>
    <row r="158" s="6" customFormat="1" ht="12.75" hidden="1" x14ac:dyDescent="0.2"/>
    <row r="159" s="6" customFormat="1" ht="12.75" hidden="1" x14ac:dyDescent="0.2"/>
    <row r="160" s="6" customFormat="1" ht="12.75" hidden="1" x14ac:dyDescent="0.2"/>
    <row r="161" s="6" customFormat="1" ht="12.75" hidden="1" x14ac:dyDescent="0.2"/>
    <row r="162" s="6" customFormat="1" ht="12.75" hidden="1" x14ac:dyDescent="0.2"/>
    <row r="163" s="6" customFormat="1" ht="12.75" hidden="1" x14ac:dyDescent="0.2"/>
    <row r="164" s="6" customFormat="1" ht="12.75" hidden="1" x14ac:dyDescent="0.2"/>
    <row r="165" s="6" customFormat="1" ht="12.75" hidden="1" x14ac:dyDescent="0.2"/>
    <row r="166" s="6" customFormat="1" ht="12.75" hidden="1" x14ac:dyDescent="0.2"/>
    <row r="167" s="6" customFormat="1" ht="12.75" hidden="1" x14ac:dyDescent="0.2"/>
    <row r="168" s="6" customFormat="1" ht="12.75" hidden="1" x14ac:dyDescent="0.2"/>
    <row r="169" s="6" customFormat="1" ht="12.75" hidden="1" x14ac:dyDescent="0.2"/>
    <row r="170" s="6" customFormat="1" ht="12.75" hidden="1" x14ac:dyDescent="0.2"/>
    <row r="171" s="6" customFormat="1" ht="12.75" hidden="1" x14ac:dyDescent="0.2"/>
    <row r="172" s="6" customFormat="1" ht="12.75" hidden="1" x14ac:dyDescent="0.2"/>
    <row r="173" s="6" customFormat="1" ht="12.75" hidden="1" x14ac:dyDescent="0.2"/>
    <row r="174" s="6" customFormat="1" ht="12.75" hidden="1" x14ac:dyDescent="0.2"/>
    <row r="175" s="6" customFormat="1" ht="12.75" hidden="1" x14ac:dyDescent="0.2"/>
    <row r="176" s="6" customFormat="1" ht="12.75" hidden="1" x14ac:dyDescent="0.2"/>
    <row r="177" s="6" customFormat="1" ht="12.75" hidden="1" x14ac:dyDescent="0.2"/>
    <row r="178" s="6" customFormat="1" ht="12.75" hidden="1" x14ac:dyDescent="0.2"/>
    <row r="179" s="6" customFormat="1" ht="12.75" hidden="1" x14ac:dyDescent="0.2"/>
    <row r="180" s="6" customFormat="1" ht="12.75" hidden="1" x14ac:dyDescent="0.2"/>
    <row r="181" s="6" customFormat="1" ht="12.75" hidden="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sheetData>
  <mergeCells count="6">
    <mergeCell ref="D18:F18"/>
    <mergeCell ref="D9:F9"/>
    <mergeCell ref="D10:F10"/>
    <mergeCell ref="D11:F11"/>
    <mergeCell ref="D12:F12"/>
    <mergeCell ref="D13:F13"/>
  </mergeCells>
  <pageMargins left="0.23622047244094491" right="0.23622047244094491" top="0.74803149606299213" bottom="0.74803149606299213" header="0.31496062992125984" footer="0.31496062992125984"/>
  <pageSetup paperSize="9" scale="55" orientation="portrait" r:id="rId1"/>
  <extLst>
    <ext xmlns:x14="http://schemas.microsoft.com/office/spreadsheetml/2009/9/main" uri="{78C0D931-6437-407d-A8EE-F0AAD7539E65}">
      <x14:conditionalFormattings>
        <x14:conditionalFormatting xmlns:xm="http://schemas.microsoft.com/office/excel/2006/main">
          <x14:cfRule type="expression" priority="256" id="{6E0000F2-4B34-40F0-A950-26A22E7F516A}">
            <xm:f>Data!$C9</xm:f>
            <x14:dxf>
              <font>
                <color theme="0"/>
              </font>
            </x14:dxf>
          </x14:cfRule>
          <xm:sqref>C9:D13 G9:I13</xm:sqref>
        </x14:conditionalFormatting>
        <x14:conditionalFormatting xmlns:xm="http://schemas.microsoft.com/office/excel/2006/main">
          <x14:cfRule type="expression" priority="175" id="{6E0000F2-4B34-40F0-A950-26A22E7F516A}">
            <xm:f>AND(Data!$C18, NOT(#REF!))</xm:f>
            <x14:dxf>
              <font>
                <color theme="0"/>
              </font>
            </x14:dxf>
          </x14:cfRule>
          <xm:sqref>C14:E14</xm:sqref>
        </x14:conditionalFormatting>
        <x14:conditionalFormatting xmlns:xm="http://schemas.microsoft.com/office/excel/2006/main">
          <x14:cfRule type="expression" priority="217" id="{6E0000F2-4B34-40F0-A950-26A22E7F516A}">
            <xm:f>Data!$C18</xm:f>
            <x14:dxf>
              <font>
                <color theme="0"/>
              </font>
            </x14:dxf>
          </x14:cfRule>
          <xm:sqref>C15:E15</xm:sqref>
        </x14:conditionalFormatting>
        <x14:conditionalFormatting xmlns:xm="http://schemas.microsoft.com/office/excel/2006/main">
          <x14:cfRule type="expression" priority="26" id="{DCC025E7-DD10-45A4-B46F-8DAF8172BEA5}">
            <xm:f>$D$18=Data!B$25</xm:f>
            <x14:dxf>
              <font>
                <color theme="0" tint="-0.24994659260841701"/>
              </font>
            </x14:dxf>
          </x14:cfRule>
          <xm:sqref>D18:F18</xm:sqref>
        </x14:conditionalFormatting>
        <x14:conditionalFormatting xmlns:xm="http://schemas.microsoft.com/office/excel/2006/main">
          <x14:cfRule type="expression" priority="22" id="{6B3CD12B-2C7F-467C-B21A-8374D0C11F7F}">
            <xm:f>AND($C39&lt;&gt;0, F$38=$L39, Sensitivity_calcs!C$88=FALSE)</xm:f>
            <x14:dxf>
              <fill>
                <patternFill>
                  <bgColor rgb="FFCCFFFF"/>
                </patternFill>
              </fill>
            </x14:dxf>
          </x14:cfRule>
          <xm:sqref>F39 G39:J47</xm:sqref>
        </x14:conditionalFormatting>
        <x14:conditionalFormatting xmlns:xm="http://schemas.microsoft.com/office/excel/2006/main">
          <x14:cfRule type="expression" priority="25" id="{0E9BFFB2-7AAD-452D-A6DC-B193223D0B5B}">
            <xm:f>INDEX(Data!$C$9:$C$13, MATCH(F$38, Data!$B$9:$B$13,0))=TRUE</xm:f>
            <x14:dxf>
              <font>
                <b val="0"/>
                <i val="0"/>
                <color theme="1" tint="0.34998626667073579"/>
              </font>
            </x14:dxf>
          </x14:cfRule>
          <xm:sqref>F38:J38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EEEA9-DF92-454A-AC78-2AB747F8189C}">
  <sheetPr codeName="Sheet2">
    <tabColor rgb="FFFFFFCC"/>
    <pageSetUpPr fitToPage="1"/>
  </sheetPr>
  <dimension ref="A1:T128"/>
  <sheetViews>
    <sheetView showGridLines="0" zoomScale="90" zoomScaleNormal="90" workbookViewId="0">
      <pane ySplit="2" topLeftCell="A3" activePane="bottomLeft" state="frozen"/>
      <selection activeCell="A101" sqref="A101"/>
      <selection pane="bottomLeft" activeCell="A3" sqref="A3"/>
    </sheetView>
  </sheetViews>
  <sheetFormatPr defaultColWidth="9" defaultRowHeight="12.75" x14ac:dyDescent="0.2"/>
  <cols>
    <col min="1" max="1" width="3.625" style="6" customWidth="1"/>
    <col min="2" max="2" width="2.625" style="6" customWidth="1"/>
    <col min="3" max="3" width="18.75" style="6" customWidth="1"/>
    <col min="4" max="4" width="9.25" style="6" customWidth="1"/>
    <col min="5" max="5" width="16.375" style="6" customWidth="1"/>
    <col min="6" max="6" width="1.125" style="6" customWidth="1"/>
    <col min="7" max="7" width="14.75" style="6" customWidth="1"/>
    <col min="8" max="8" width="12.875" style="6" customWidth="1"/>
    <col min="9" max="9" width="11.5" style="6" customWidth="1"/>
    <col min="10" max="10" width="6.875" style="6" customWidth="1"/>
    <col min="11" max="16" width="8.125" style="6" customWidth="1"/>
    <col min="17" max="19" width="9" style="6"/>
    <col min="20" max="20" width="17.625" style="6" customWidth="1"/>
    <col min="21" max="16384" width="9" style="6"/>
  </cols>
  <sheetData>
    <row r="1" spans="1:16" ht="18.75" x14ac:dyDescent="0.3">
      <c r="A1" s="13" t="str">
        <f>bus</f>
        <v>Powercor</v>
      </c>
      <c r="B1" s="13"/>
      <c r="C1" s="13"/>
      <c r="D1" s="13"/>
      <c r="E1" s="13"/>
      <c r="F1" s="13"/>
      <c r="G1" s="13"/>
      <c r="H1" s="13"/>
      <c r="I1" s="13"/>
      <c r="J1" s="13"/>
      <c r="K1" s="13"/>
      <c r="L1" s="13"/>
      <c r="M1" s="13"/>
      <c r="N1" s="13"/>
      <c r="O1" s="13"/>
      <c r="P1" s="13"/>
    </row>
    <row r="2" spans="1:16" ht="15.75" x14ac:dyDescent="0.25">
      <c r="A2" s="50" t="str">
        <f>proj</f>
        <v>TRG024-WBL012 Tie upgrade</v>
      </c>
      <c r="B2" s="17"/>
      <c r="C2" s="17"/>
      <c r="D2" s="17"/>
      <c r="E2" s="17"/>
      <c r="F2" s="17"/>
      <c r="G2" s="17"/>
      <c r="H2" s="17"/>
      <c r="I2" s="17"/>
      <c r="J2" s="17"/>
      <c r="K2" s="17"/>
      <c r="L2" s="17"/>
      <c r="M2" s="17"/>
      <c r="N2" s="17"/>
      <c r="O2" s="17"/>
      <c r="P2" s="17"/>
    </row>
    <row r="4" spans="1:16" s="1" customFormat="1" ht="15" x14ac:dyDescent="0.2">
      <c r="A4" s="16" t="s">
        <v>19</v>
      </c>
      <c r="B4" s="16"/>
      <c r="C4" s="14"/>
      <c r="D4" s="14"/>
      <c r="E4" s="14"/>
      <c r="F4" s="14"/>
      <c r="G4" s="14"/>
      <c r="H4" s="14"/>
      <c r="I4" s="14"/>
      <c r="J4" s="14"/>
      <c r="K4" s="15"/>
      <c r="L4" s="15"/>
      <c r="M4" s="15"/>
      <c r="N4" s="15"/>
      <c r="O4" s="15"/>
      <c r="P4" s="15"/>
    </row>
    <row r="5" spans="1:16" s="1" customFormat="1" x14ac:dyDescent="0.2">
      <c r="M5" s="10"/>
      <c r="N5" s="10"/>
      <c r="O5" s="10"/>
      <c r="P5" s="10"/>
    </row>
    <row r="6" spans="1:16" ht="12.75" customHeight="1" x14ac:dyDescent="0.2">
      <c r="C6" s="12" t="s">
        <v>20</v>
      </c>
      <c r="D6" s="58"/>
      <c r="E6" s="11" t="s">
        <v>0</v>
      </c>
    </row>
    <row r="7" spans="1:16" s="1" customFormat="1" ht="12.75" customHeight="1" x14ac:dyDescent="0.2">
      <c r="M7" s="10"/>
      <c r="N7" s="10"/>
      <c r="O7" s="10"/>
      <c r="P7" s="10"/>
    </row>
    <row r="8" spans="1:16" x14ac:dyDescent="0.2">
      <c r="C8" s="12" t="s">
        <v>21</v>
      </c>
      <c r="D8" s="12"/>
      <c r="E8" s="385" t="s">
        <v>22</v>
      </c>
      <c r="F8" s="385"/>
      <c r="G8" s="385"/>
      <c r="H8" s="385"/>
      <c r="I8" s="1"/>
      <c r="J8" s="1"/>
    </row>
    <row r="9" spans="1:16" x14ac:dyDescent="0.2">
      <c r="C9" s="12"/>
      <c r="D9" s="12"/>
    </row>
    <row r="10" spans="1:16" s="1" customFormat="1" x14ac:dyDescent="0.2">
      <c r="C10" s="3" t="s">
        <v>23</v>
      </c>
      <c r="D10" s="58"/>
      <c r="E10" s="54" t="s">
        <v>24</v>
      </c>
      <c r="F10" s="6"/>
      <c r="G10" s="33">
        <v>2023</v>
      </c>
      <c r="I10" s="59"/>
      <c r="J10" s="59"/>
    </row>
    <row r="11" spans="1:16" x14ac:dyDescent="0.2">
      <c r="I11" s="59"/>
      <c r="J11" s="59"/>
    </row>
    <row r="12" spans="1:16" x14ac:dyDescent="0.2">
      <c r="H12" s="37"/>
      <c r="I12" s="37"/>
      <c r="J12" s="37"/>
    </row>
    <row r="13" spans="1:16" s="65" customFormat="1" x14ac:dyDescent="0.2">
      <c r="C13" s="66" t="s">
        <v>8</v>
      </c>
      <c r="D13" s="66"/>
      <c r="E13" s="66" t="s">
        <v>25</v>
      </c>
      <c r="F13" s="66"/>
      <c r="G13" s="66"/>
      <c r="H13" s="67"/>
      <c r="I13" s="67"/>
      <c r="J13" s="67"/>
      <c r="K13" s="67"/>
      <c r="L13"/>
    </row>
    <row r="14" spans="1:16" s="1" customFormat="1" ht="12.75" customHeight="1" x14ac:dyDescent="0.2">
      <c r="C14" s="55" t="str" cm="1">
        <f t="array" ref="C14:C18">options</f>
        <v>Option 1 (base case)</v>
      </c>
      <c r="D14" s="55"/>
      <c r="E14" s="386" t="s">
        <v>26</v>
      </c>
      <c r="F14" s="386"/>
      <c r="G14" s="386"/>
      <c r="H14" s="386"/>
      <c r="I14" s="386"/>
      <c r="J14" s="386"/>
      <c r="K14" s="386"/>
      <c r="L14"/>
    </row>
    <row r="15" spans="1:16" s="1" customFormat="1" ht="12.75" customHeight="1" x14ac:dyDescent="0.2">
      <c r="C15" s="55" t="str">
        <v>Option 2</v>
      </c>
      <c r="D15" s="55"/>
      <c r="E15" s="387" t="s">
        <v>22</v>
      </c>
      <c r="F15" s="387"/>
      <c r="G15" s="387"/>
      <c r="H15" s="387"/>
      <c r="I15" s="387"/>
      <c r="J15" s="387"/>
      <c r="K15" s="387"/>
      <c r="L15"/>
    </row>
    <row r="16" spans="1:16" s="1" customFormat="1" ht="12.75" customHeight="1" x14ac:dyDescent="0.2">
      <c r="C16" s="55" t="str">
        <v>Option 3</v>
      </c>
      <c r="D16" s="55"/>
      <c r="E16" s="387"/>
      <c r="F16" s="387"/>
      <c r="G16" s="387"/>
      <c r="H16" s="387"/>
      <c r="I16" s="387"/>
      <c r="J16" s="387"/>
      <c r="K16" s="387"/>
      <c r="L16"/>
    </row>
    <row r="17" spans="1:16" s="1" customFormat="1" ht="12.75" customHeight="1" x14ac:dyDescent="0.2">
      <c r="C17" s="55" t="str">
        <v>Option 4</v>
      </c>
      <c r="D17" s="55"/>
      <c r="E17" s="387"/>
      <c r="F17" s="387"/>
      <c r="G17" s="387"/>
      <c r="H17" s="387"/>
      <c r="I17" s="387"/>
      <c r="J17" s="387"/>
      <c r="K17" s="387"/>
      <c r="L17"/>
    </row>
    <row r="18" spans="1:16" s="1" customFormat="1" ht="12.75" customHeight="1" x14ac:dyDescent="0.2">
      <c r="C18" s="55" t="str">
        <v>Option 5</v>
      </c>
      <c r="D18" s="55"/>
      <c r="E18" s="387"/>
      <c r="F18" s="387"/>
      <c r="G18" s="387"/>
      <c r="H18" s="387"/>
      <c r="I18" s="387"/>
      <c r="J18" s="387"/>
      <c r="K18" s="387"/>
      <c r="L18"/>
    </row>
    <row r="19" spans="1:16" s="1" customFormat="1" ht="12.75" customHeight="1" x14ac:dyDescent="0.2">
      <c r="C19"/>
      <c r="D19"/>
      <c r="E19"/>
      <c r="F19"/>
      <c r="G19"/>
      <c r="H19"/>
      <c r="I19"/>
      <c r="J19"/>
      <c r="K19"/>
      <c r="L19"/>
      <c r="M19"/>
    </row>
    <row r="20" spans="1:16" s="1" customFormat="1" ht="12.75" customHeight="1" x14ac:dyDescent="0.2">
      <c r="C20" s="244" t="s">
        <v>27</v>
      </c>
      <c r="D20"/>
      <c r="E20" s="245" t="s">
        <v>28</v>
      </c>
      <c r="F20"/>
      <c r="G20"/>
      <c r="H20"/>
      <c r="I20"/>
      <c r="J20"/>
      <c r="K20"/>
      <c r="L20"/>
      <c r="M20"/>
    </row>
    <row r="21" spans="1:16" s="1" customFormat="1" ht="12.75" customHeight="1" x14ac:dyDescent="0.2">
      <c r="C21"/>
      <c r="D21"/>
      <c r="E21"/>
      <c r="F21"/>
      <c r="G21"/>
      <c r="H21"/>
      <c r="I21"/>
      <c r="J21"/>
      <c r="K21"/>
      <c r="L21"/>
      <c r="M21"/>
    </row>
    <row r="22" spans="1:16" s="1" customFormat="1" x14ac:dyDescent="0.2">
      <c r="C22" s="1" t="s">
        <v>29</v>
      </c>
      <c r="E22" s="250" t="s">
        <v>30</v>
      </c>
      <c r="F22" s="61" t="s">
        <v>31</v>
      </c>
      <c r="J22" s="61"/>
    </row>
    <row r="23" spans="1:16" s="1" customFormat="1" ht="12.75" customHeight="1" x14ac:dyDescent="0.2">
      <c r="C23"/>
      <c r="D23"/>
      <c r="E23"/>
      <c r="F23"/>
      <c r="G23"/>
      <c r="H23"/>
      <c r="I23"/>
      <c r="J23"/>
      <c r="K23"/>
      <c r="L23"/>
      <c r="M23"/>
    </row>
    <row r="24" spans="1:16" s="1" customFormat="1" ht="15.75" x14ac:dyDescent="0.25">
      <c r="E24" s="5"/>
      <c r="F24" s="5"/>
      <c r="L24" s="6"/>
    </row>
    <row r="25" spans="1:16" s="1" customFormat="1" ht="15" x14ac:dyDescent="0.2">
      <c r="A25" s="16" t="s">
        <v>32</v>
      </c>
      <c r="B25" s="16"/>
      <c r="C25" s="14"/>
      <c r="D25" s="14"/>
      <c r="E25" s="14"/>
      <c r="F25" s="14"/>
      <c r="G25" s="14"/>
      <c r="H25" s="14"/>
      <c r="I25" s="14"/>
      <c r="J25" s="14"/>
      <c r="K25" s="14"/>
      <c r="L25" s="14"/>
      <c r="M25" s="15"/>
      <c r="N25" s="15"/>
      <c r="O25" s="15"/>
      <c r="P25" s="15"/>
    </row>
    <row r="26" spans="1:16" s="1" customFormat="1" x14ac:dyDescent="0.2"/>
    <row r="27" spans="1:16" s="1" customFormat="1" x14ac:dyDescent="0.2">
      <c r="C27" s="1" t="s">
        <v>33</v>
      </c>
      <c r="G27" s="60">
        <f>EOMONTH(DATE(Assumptions!$G$10,INDEX(Data!$K$107:$K$108, MATCH(Assumptions!$E$10, Data!$J$107:$J$108,0)), 1),0)</f>
        <v>45291</v>
      </c>
      <c r="H27" s="61" t="s">
        <v>34</v>
      </c>
    </row>
    <row r="28" spans="1:16" s="1" customFormat="1" x14ac:dyDescent="0.2">
      <c r="C28" s="1" t="s">
        <v>35</v>
      </c>
      <c r="G28" s="254">
        <v>3.5000000000000003E-2</v>
      </c>
      <c r="H28" s="61" t="s">
        <v>36</v>
      </c>
      <c r="J28" s="61"/>
    </row>
    <row r="29" spans="1:16" s="1" customFormat="1" x14ac:dyDescent="0.2">
      <c r="C29" s="1" t="s">
        <v>37</v>
      </c>
      <c r="G29" s="255">
        <v>45657</v>
      </c>
      <c r="H29" s="61" t="s">
        <v>38</v>
      </c>
      <c r="J29" s="61"/>
    </row>
    <row r="30" spans="1:16" s="1" customFormat="1" x14ac:dyDescent="0.2">
      <c r="J30" s="61"/>
    </row>
    <row r="31" spans="1:16" x14ac:dyDescent="0.2">
      <c r="C31" s="6" t="s">
        <v>39</v>
      </c>
      <c r="G31" s="256">
        <v>20</v>
      </c>
      <c r="H31" s="61" t="s">
        <v>40</v>
      </c>
    </row>
    <row r="32" spans="1:16" s="1" customFormat="1" x14ac:dyDescent="0.2"/>
    <row r="33" spans="1:20" s="1" customFormat="1" x14ac:dyDescent="0.2">
      <c r="C33" s="1" t="s">
        <v>41</v>
      </c>
      <c r="G33" s="257">
        <v>46203</v>
      </c>
      <c r="H33" s="61" t="s">
        <v>42</v>
      </c>
      <c r="J33" s="61"/>
    </row>
    <row r="34" spans="1:20" s="1" customFormat="1" x14ac:dyDescent="0.2">
      <c r="C34" s="1" t="s">
        <v>43</v>
      </c>
      <c r="G34" s="272">
        <v>45291</v>
      </c>
      <c r="H34" s="61" t="s">
        <v>44</v>
      </c>
      <c r="J34" s="61"/>
    </row>
    <row r="35" spans="1:20" s="1" customFormat="1" ht="13.5" x14ac:dyDescent="0.25">
      <c r="C35" s="1" t="s">
        <v>45</v>
      </c>
      <c r="G35" s="255">
        <v>45107</v>
      </c>
      <c r="H35" s="61"/>
      <c r="J35" s="61"/>
    </row>
    <row r="39" spans="1:20" s="1" customFormat="1" ht="15" x14ac:dyDescent="0.2">
      <c r="A39" s="16" t="s">
        <v>46</v>
      </c>
      <c r="B39" s="16"/>
      <c r="C39" s="14"/>
      <c r="D39" s="14"/>
      <c r="E39" s="14"/>
      <c r="F39" s="14"/>
      <c r="G39" s="14"/>
      <c r="H39" s="14"/>
      <c r="I39" s="14"/>
      <c r="J39" s="14"/>
      <c r="K39" s="14"/>
      <c r="L39" s="15"/>
      <c r="M39" s="15"/>
      <c r="N39" s="15"/>
      <c r="O39" s="15"/>
      <c r="P39" s="15"/>
    </row>
    <row r="40" spans="1:20" s="1" customFormat="1" x14ac:dyDescent="0.2">
      <c r="M40" s="10"/>
      <c r="N40" s="10"/>
      <c r="O40" s="10"/>
      <c r="P40" s="10"/>
    </row>
    <row r="42" spans="1:20" s="107" customFormat="1" x14ac:dyDescent="0.2">
      <c r="A42"/>
      <c r="B42"/>
      <c r="C42"/>
      <c r="D42"/>
      <c r="E42"/>
      <c r="F42"/>
      <c r="G42"/>
      <c r="H42"/>
      <c r="I42"/>
      <c r="J42"/>
      <c r="K42"/>
      <c r="L42"/>
      <c r="M42" s="106"/>
      <c r="N42" s="106"/>
      <c r="O42" s="106"/>
      <c r="P42" s="106"/>
      <c r="Q42" s="106"/>
      <c r="R42" s="106"/>
      <c r="S42" s="106"/>
      <c r="T42" s="106"/>
    </row>
    <row r="43" spans="1:20" s="107" customFormat="1" x14ac:dyDescent="0.2">
      <c r="A43" s="106"/>
      <c r="B43" s="106"/>
      <c r="C43" s="369" t="s">
        <v>47</v>
      </c>
      <c r="D43" s="212"/>
      <c r="E43" s="107" t="s">
        <v>46</v>
      </c>
      <c r="F43" s="108"/>
      <c r="G43" s="111">
        <f>SUMPRODUCT(G47:G50,I47:I50)</f>
        <v>33219.363624877478</v>
      </c>
      <c r="H43" s="211" t="s">
        <v>48</v>
      </c>
      <c r="J43" s="106"/>
      <c r="M43" s="106"/>
      <c r="N43" s="106"/>
      <c r="O43" s="106"/>
      <c r="P43" s="106"/>
      <c r="Q43" s="106"/>
      <c r="R43" s="106"/>
      <c r="S43" s="106"/>
      <c r="T43" s="106"/>
    </row>
    <row r="44" spans="1:20" s="107" customFormat="1" x14ac:dyDescent="0.2">
      <c r="A44" s="106"/>
      <c r="B44" s="106"/>
      <c r="C44" s="369"/>
      <c r="D44" s="212"/>
      <c r="E44" s="107" t="s">
        <v>49</v>
      </c>
      <c r="G44" s="111">
        <f>SUMPRODUCT(H47:H50,I47:I50)</f>
        <v>15037.631963070122</v>
      </c>
      <c r="H44" s="211" t="s">
        <v>50</v>
      </c>
      <c r="J44" s="106"/>
      <c r="M44" s="106"/>
      <c r="N44" s="106"/>
      <c r="O44" s="106"/>
      <c r="P44" s="106"/>
      <c r="Q44" s="106"/>
      <c r="R44" s="106"/>
      <c r="S44" s="106"/>
      <c r="T44" s="106"/>
    </row>
    <row r="46" spans="1:20" x14ac:dyDescent="0.2">
      <c r="C46" s="366" t="s">
        <v>51</v>
      </c>
      <c r="D46" s="367"/>
      <c r="E46" s="366"/>
      <c r="F46" s="366"/>
      <c r="G46" s="368" t="s">
        <v>46</v>
      </c>
      <c r="H46" s="368" t="s">
        <v>52</v>
      </c>
      <c r="I46" s="368" t="s">
        <v>53</v>
      </c>
    </row>
    <row r="47" spans="1:20" x14ac:dyDescent="0.2">
      <c r="C47" s="369" t="s">
        <v>54</v>
      </c>
      <c r="D47" s="107"/>
      <c r="E47"/>
      <c r="F47" s="107"/>
      <c r="G47" s="258">
        <v>38897.618107964721</v>
      </c>
      <c r="H47" s="258">
        <v>24489</v>
      </c>
      <c r="I47" s="370">
        <v>0.39141681672382567</v>
      </c>
    </row>
    <row r="48" spans="1:20" x14ac:dyDescent="0.2">
      <c r="C48" s="369" t="s">
        <v>55</v>
      </c>
      <c r="D48" s="107"/>
      <c r="E48"/>
      <c r="F48" s="107"/>
      <c r="G48" s="258">
        <v>34390</v>
      </c>
      <c r="H48" s="258">
        <v>10120.346334172034</v>
      </c>
      <c r="I48" s="370">
        <v>0.19159561661883187</v>
      </c>
    </row>
    <row r="49" spans="1:16" x14ac:dyDescent="0.2">
      <c r="C49" s="369" t="s">
        <v>56</v>
      </c>
      <c r="D49" s="107"/>
      <c r="E49"/>
      <c r="F49" s="107"/>
      <c r="G49" s="258">
        <v>33490</v>
      </c>
      <c r="H49" s="258">
        <v>8296.0059374104003</v>
      </c>
      <c r="I49" s="370">
        <v>0.18925579655439445</v>
      </c>
    </row>
    <row r="50" spans="1:16" x14ac:dyDescent="0.2">
      <c r="C50" s="369" t="s">
        <v>57</v>
      </c>
      <c r="D50" s="107"/>
      <c r="E50"/>
      <c r="F50" s="107"/>
      <c r="G50" s="258">
        <v>22250</v>
      </c>
      <c r="H50" s="258">
        <v>8532.6010035645213</v>
      </c>
      <c r="I50" s="370">
        <v>0.22773177010294787</v>
      </c>
    </row>
    <row r="53" spans="1:16" ht="15" x14ac:dyDescent="0.2">
      <c r="A53" s="16" t="s">
        <v>58</v>
      </c>
      <c r="B53" s="16"/>
      <c r="C53" s="14"/>
      <c r="D53" s="14"/>
      <c r="E53" s="14"/>
      <c r="F53" s="14"/>
      <c r="G53" s="14"/>
      <c r="H53" s="14"/>
      <c r="I53" s="14"/>
      <c r="J53" s="14"/>
      <c r="K53" s="14"/>
      <c r="L53" s="15"/>
      <c r="M53" s="15"/>
      <c r="N53" s="15"/>
      <c r="O53" s="15"/>
      <c r="P53" s="15"/>
    </row>
    <row r="56" spans="1:16" x14ac:dyDescent="0.2">
      <c r="B56" s="27" t="s">
        <v>59</v>
      </c>
      <c r="C56" s="27"/>
      <c r="D56" s="27"/>
      <c r="E56" s="27"/>
      <c r="F56" s="27"/>
      <c r="G56" s="27"/>
      <c r="H56" s="27"/>
      <c r="I56" s="27"/>
      <c r="J56" s="27"/>
      <c r="K56" s="27"/>
      <c r="L56" s="27"/>
      <c r="M56" s="27"/>
      <c r="N56" s="27"/>
      <c r="O56" s="27"/>
      <c r="P56" s="27"/>
    </row>
    <row r="58" spans="1:16" x14ac:dyDescent="0.2">
      <c r="C58" s="6" t="s">
        <v>60</v>
      </c>
      <c r="G58" s="258">
        <v>5400000</v>
      </c>
      <c r="H58" s="62">
        <v>45107</v>
      </c>
    </row>
    <row r="60" spans="1:16" x14ac:dyDescent="0.2">
      <c r="C60" s="6" t="s">
        <v>61</v>
      </c>
      <c r="G60" s="132">
        <v>0</v>
      </c>
      <c r="H60" s="62">
        <f>input_dollars</f>
        <v>45291</v>
      </c>
    </row>
    <row r="62" spans="1:16" x14ac:dyDescent="0.2">
      <c r="C62" s="12" t="str">
        <f>Data!A83</f>
        <v>Disproportionate factors applied to various bushfire and other risk valuations</v>
      </c>
    </row>
    <row r="63" spans="1:16" x14ac:dyDescent="0.2">
      <c r="C63" s="6" t="str">
        <f>Data!B85</f>
        <v>Harm to property from network</v>
      </c>
      <c r="G63" s="256">
        <f>Data!F85</f>
        <v>1</v>
      </c>
    </row>
    <row r="64" spans="1:16" x14ac:dyDescent="0.2">
      <c r="C64" s="6" t="str">
        <f>Data!B86</f>
        <v>Harm to property from bushfire</v>
      </c>
      <c r="G64" s="256">
        <f>Data!F86</f>
        <v>1</v>
      </c>
    </row>
    <row r="65" spans="3:13" x14ac:dyDescent="0.2">
      <c r="C65" s="6" t="str">
        <f>Data!B87</f>
        <v>Harm to environment</v>
      </c>
      <c r="G65" s="256">
        <f>Data!F87</f>
        <v>1</v>
      </c>
    </row>
    <row r="66" spans="3:13" x14ac:dyDescent="0.2">
      <c r="C66" s="6" t="str">
        <f>Data!B88</f>
        <v>Safety - Public trespass</v>
      </c>
      <c r="G66" s="256">
        <f>Data!F88</f>
        <v>1</v>
      </c>
    </row>
    <row r="67" spans="3:13" x14ac:dyDescent="0.2">
      <c r="C67" s="6" t="str">
        <f>Data!B89</f>
        <v>Safety - Single fatality or serious injury ^</v>
      </c>
      <c r="G67" s="256">
        <f>Data!F89</f>
        <v>3</v>
      </c>
    </row>
    <row r="68" spans="3:13" x14ac:dyDescent="0.2">
      <c r="C68" s="6" t="str">
        <f>Data!B90</f>
        <v>Safety from bushfire in HBRA</v>
      </c>
      <c r="G68" s="256">
        <f>Data!F90</f>
        <v>3</v>
      </c>
    </row>
    <row r="69" spans="3:13" x14ac:dyDescent="0.2">
      <c r="C69" s="6" t="str">
        <f>Data!B91</f>
        <v>Safety - Multiple fatality or serious injury ^</v>
      </c>
      <c r="G69" s="256">
        <f>Data!F91</f>
        <v>6</v>
      </c>
    </row>
    <row r="70" spans="3:13" x14ac:dyDescent="0.2">
      <c r="C70" s="6" t="str">
        <f>Data!B92</f>
        <v>Safety from bushfire (REFCL declared areas)</v>
      </c>
      <c r="G70" s="256">
        <f>Data!F92</f>
        <v>6</v>
      </c>
    </row>
    <row r="71" spans="3:13" x14ac:dyDescent="0.2">
      <c r="C71" s="6" t="str">
        <f>Data!B93</f>
        <v>Safety from bushfire (electric line construction areas)</v>
      </c>
      <c r="G71" s="256">
        <f>Data!F93</f>
        <v>10</v>
      </c>
    </row>
    <row r="72" spans="3:13" x14ac:dyDescent="0.2">
      <c r="E72"/>
      <c r="F72"/>
      <c r="G72"/>
      <c r="H72"/>
    </row>
    <row r="74" spans="3:13" x14ac:dyDescent="0.2">
      <c r="C74" s="72" t="s">
        <v>62</v>
      </c>
    </row>
    <row r="77" spans="3:13" x14ac:dyDescent="0.2">
      <c r="C77" s="47" t="s">
        <v>63</v>
      </c>
      <c r="D77" s="53"/>
      <c r="E77" s="53"/>
      <c r="F77" s="53"/>
      <c r="G77" s="135" t="s">
        <v>64</v>
      </c>
      <c r="H77" s="135" t="s">
        <v>65</v>
      </c>
      <c r="I77" s="135" t="s">
        <v>66</v>
      </c>
      <c r="J77" s="134" t="s">
        <v>67</v>
      </c>
      <c r="K77" s="135"/>
      <c r="L77" s="135"/>
      <c r="M77" s="135"/>
    </row>
    <row r="78" spans="3:13" x14ac:dyDescent="0.2">
      <c r="C78" s="6" t="s">
        <v>68</v>
      </c>
      <c r="G78" s="100">
        <f>G58*INDEX(hy_escalation, MATCH(input_dollars,hy_dates,0))/INDEX(hy_escalation, MATCH(H58,hy_dates,0))</f>
        <v>5607473.5197347086</v>
      </c>
      <c r="H78" s="140">
        <v>0</v>
      </c>
      <c r="I78" s="141">
        <v>0</v>
      </c>
      <c r="J78" s="382">
        <v>0</v>
      </c>
      <c r="K78" s="383"/>
      <c r="L78" s="383"/>
      <c r="M78" s="384"/>
    </row>
    <row r="79" spans="3:13" x14ac:dyDescent="0.2">
      <c r="C79" s="6" t="s">
        <v>69</v>
      </c>
      <c r="G79" s="100">
        <f>G60*INDEX(hy_escalation, MATCH(input_dollars,hy_dates,0))/INDEX(hy_escalation, MATCH(H60,hy_dates,0))</f>
        <v>0</v>
      </c>
      <c r="H79" s="139">
        <v>0</v>
      </c>
      <c r="I79" s="141">
        <v>0</v>
      </c>
      <c r="J79" s="382">
        <v>0</v>
      </c>
      <c r="K79" s="383"/>
      <c r="L79" s="383"/>
      <c r="M79" s="384"/>
    </row>
    <row r="80" spans="3:13" x14ac:dyDescent="0.2">
      <c r="I80" s="138"/>
      <c r="M80"/>
    </row>
    <row r="81" spans="1:16" x14ac:dyDescent="0.2">
      <c r="G81" s="142"/>
    </row>
    <row r="82" spans="1:16" x14ac:dyDescent="0.2">
      <c r="C82" s="72"/>
    </row>
    <row r="85" spans="1:16" x14ac:dyDescent="0.2">
      <c r="B85" s="27" t="s">
        <v>70</v>
      </c>
      <c r="C85" s="27"/>
      <c r="D85" s="27"/>
      <c r="E85" s="27"/>
      <c r="F85" s="27"/>
      <c r="G85" s="27"/>
      <c r="H85" s="27"/>
      <c r="I85" s="27"/>
      <c r="J85" s="27"/>
      <c r="K85" s="27"/>
      <c r="L85" s="27"/>
      <c r="M85" s="27"/>
      <c r="N85" s="27"/>
      <c r="O85" s="27"/>
      <c r="P85" s="27"/>
    </row>
    <row r="86" spans="1:16" x14ac:dyDescent="0.2">
      <c r="C86" s="6" t="s">
        <v>71</v>
      </c>
      <c r="G86" s="132">
        <v>0</v>
      </c>
      <c r="H86" s="62">
        <f>input_dollars</f>
        <v>45291</v>
      </c>
    </row>
    <row r="87" spans="1:16" x14ac:dyDescent="0.2">
      <c r="C87" s="6" t="s">
        <v>72</v>
      </c>
      <c r="G87" s="132">
        <v>0</v>
      </c>
      <c r="H87" s="62">
        <f>input_dollars</f>
        <v>45291</v>
      </c>
    </row>
    <row r="89" spans="1:16" x14ac:dyDescent="0.2">
      <c r="C89" s="6" t="s">
        <v>73</v>
      </c>
      <c r="G89" s="136">
        <v>0.2</v>
      </c>
    </row>
    <row r="93" spans="1:16" x14ac:dyDescent="0.2">
      <c r="A93" s="1"/>
      <c r="B93" s="1"/>
      <c r="C93" s="1"/>
      <c r="D93" s="1"/>
      <c r="E93" s="1"/>
      <c r="F93" s="1"/>
      <c r="K93" s="1"/>
      <c r="L93" s="1"/>
      <c r="M93" s="1"/>
      <c r="N93" s="1"/>
      <c r="O93" s="1"/>
    </row>
    <row r="94" spans="1:16" ht="15" x14ac:dyDescent="0.2">
      <c r="A94" s="16" t="s">
        <v>74</v>
      </c>
      <c r="B94" s="16"/>
      <c r="C94" s="14"/>
      <c r="D94" s="14"/>
      <c r="E94" s="14"/>
      <c r="F94" s="14"/>
      <c r="G94" s="14"/>
      <c r="H94" s="14"/>
      <c r="I94" s="14"/>
      <c r="J94" s="14"/>
      <c r="K94" s="14"/>
      <c r="L94" s="15"/>
      <c r="M94" s="15"/>
      <c r="N94" s="15"/>
      <c r="O94" s="15"/>
      <c r="P94" s="15"/>
    </row>
    <row r="95" spans="1:16" x14ac:dyDescent="0.2">
      <c r="A95" s="1"/>
      <c r="B95" s="1"/>
      <c r="C95" s="1"/>
      <c r="D95" s="1"/>
      <c r="F95" s="1"/>
      <c r="H95" s="1"/>
      <c r="L95" s="1"/>
      <c r="N95" s="1"/>
      <c r="O95" s="1"/>
    </row>
    <row r="96" spans="1:16" x14ac:dyDescent="0.2">
      <c r="A96" s="1"/>
      <c r="B96" s="27" t="s">
        <v>75</v>
      </c>
      <c r="C96" s="27"/>
      <c r="D96" s="27"/>
      <c r="E96" s="27"/>
      <c r="F96" s="27"/>
      <c r="G96" s="27"/>
      <c r="H96" s="47"/>
      <c r="I96" s="47"/>
      <c r="J96" s="47"/>
      <c r="K96" s="63" t="s">
        <v>30</v>
      </c>
      <c r="L96" s="63" t="s">
        <v>76</v>
      </c>
      <c r="M96" s="63" t="s">
        <v>77</v>
      </c>
      <c r="N96" s="63" t="s">
        <v>78</v>
      </c>
      <c r="O96" s="63" t="s">
        <v>79</v>
      </c>
      <c r="P96" s="63" t="s">
        <v>80</v>
      </c>
    </row>
    <row r="97" spans="1:16" ht="13.5" x14ac:dyDescent="0.25">
      <c r="A97" s="1"/>
      <c r="B97" s="1"/>
      <c r="C97" s="1" t="s">
        <v>81</v>
      </c>
      <c r="D97" s="1"/>
      <c r="F97" s="1"/>
      <c r="G97" s="61"/>
      <c r="H97" s="62">
        <f>G35</f>
        <v>45107</v>
      </c>
      <c r="I97" s="64" t="s">
        <v>82</v>
      </c>
      <c r="J97" s="64"/>
      <c r="K97" s="259">
        <v>2.4730486797759084E-2</v>
      </c>
      <c r="L97" s="259">
        <v>2.2340740091772258E-2</v>
      </c>
      <c r="M97" s="259">
        <v>2.0196329122153123E-2</v>
      </c>
      <c r="N97" s="259">
        <v>1.806294207659629E-2</v>
      </c>
      <c r="O97" s="259">
        <v>1.5913397615084226E-2</v>
      </c>
      <c r="P97" s="259">
        <v>1.3715069432539001E-2</v>
      </c>
    </row>
    <row r="98" spans="1:16" x14ac:dyDescent="0.2">
      <c r="A98" s="1"/>
      <c r="B98" s="1"/>
      <c r="C98" s="1"/>
      <c r="D98" s="1"/>
      <c r="E98" s="1"/>
      <c r="F98" s="1"/>
      <c r="G98" s="1"/>
      <c r="K98" s="1"/>
      <c r="L98" s="1"/>
      <c r="M98" s="1"/>
      <c r="N98" s="1"/>
      <c r="O98" s="1"/>
    </row>
    <row r="99" spans="1:16" x14ac:dyDescent="0.2">
      <c r="A99" s="1"/>
      <c r="B99" s="1"/>
      <c r="C99" s="1"/>
      <c r="D99" s="1"/>
      <c r="E99" s="1"/>
      <c r="F99" s="1"/>
      <c r="K99" s="1"/>
      <c r="L99" s="1"/>
      <c r="M99" s="1"/>
      <c r="N99" s="1"/>
      <c r="O99" s="1"/>
    </row>
    <row r="100" spans="1:16" x14ac:dyDescent="0.2">
      <c r="A100" s="1"/>
      <c r="B100" s="27" t="s">
        <v>83</v>
      </c>
      <c r="C100" s="27"/>
      <c r="D100" s="27"/>
      <c r="E100" s="27"/>
      <c r="F100" s="27"/>
      <c r="G100" s="63" t="s">
        <v>64</v>
      </c>
      <c r="H100" s="27"/>
      <c r="I100" s="27"/>
      <c r="J100" s="3"/>
      <c r="K100" s="1"/>
      <c r="L100" s="1"/>
    </row>
    <row r="101" spans="1:16" x14ac:dyDescent="0.2">
      <c r="A101" s="1"/>
      <c r="B101" s="1"/>
      <c r="C101" s="1" t="s">
        <v>84</v>
      </c>
      <c r="D101" s="1"/>
      <c r="E101"/>
      <c r="F101" s="1"/>
      <c r="G101" s="258">
        <v>151433</v>
      </c>
      <c r="H101" s="62">
        <f t="shared" ref="H101:H107" si="0">custval_date</f>
        <v>45291</v>
      </c>
      <c r="I101" s="64" t="s">
        <v>85</v>
      </c>
      <c r="J101" s="64"/>
      <c r="K101" s="1"/>
      <c r="P101" s="1"/>
    </row>
    <row r="102" spans="1:16" x14ac:dyDescent="0.2">
      <c r="A102" s="1"/>
      <c r="B102" s="1"/>
      <c r="C102" s="1" t="s">
        <v>86</v>
      </c>
      <c r="D102" s="1"/>
      <c r="E102"/>
      <c r="G102" s="258">
        <v>10</v>
      </c>
      <c r="H102" s="62">
        <f t="shared" si="0"/>
        <v>45291</v>
      </c>
      <c r="I102" s="64" t="s">
        <v>85</v>
      </c>
      <c r="J102" s="64"/>
      <c r="P102" s="1"/>
    </row>
    <row r="103" spans="1:16" x14ac:dyDescent="0.2">
      <c r="A103" s="1"/>
      <c r="B103" s="1"/>
      <c r="C103" s="1" t="s">
        <v>87</v>
      </c>
      <c r="D103" s="1"/>
      <c r="E103"/>
      <c r="G103" s="258">
        <v>51130</v>
      </c>
      <c r="H103" s="62">
        <f t="shared" si="0"/>
        <v>45291</v>
      </c>
      <c r="I103" s="64" t="s">
        <v>88</v>
      </c>
      <c r="J103" s="64"/>
      <c r="P103" s="1"/>
    </row>
    <row r="104" spans="1:16" x14ac:dyDescent="0.2">
      <c r="A104" s="1"/>
      <c r="B104" s="1"/>
      <c r="C104" s="1" t="s">
        <v>89</v>
      </c>
      <c r="D104" s="1"/>
      <c r="E104"/>
      <c r="G104" s="259">
        <v>0.73</v>
      </c>
      <c r="H104" s="62">
        <f t="shared" si="0"/>
        <v>45291</v>
      </c>
      <c r="I104" s="64" t="s">
        <v>90</v>
      </c>
      <c r="J104" s="64"/>
      <c r="P104" s="1"/>
    </row>
    <row r="105" spans="1:16" x14ac:dyDescent="0.2">
      <c r="A105" s="1"/>
      <c r="B105" s="1"/>
      <c r="C105" s="1" t="s">
        <v>91</v>
      </c>
      <c r="D105" s="1"/>
      <c r="E105"/>
      <c r="G105" s="259">
        <v>4.45</v>
      </c>
      <c r="H105" s="62">
        <f t="shared" si="0"/>
        <v>45291</v>
      </c>
      <c r="I105" s="64" t="s">
        <v>90</v>
      </c>
      <c r="J105" s="64"/>
      <c r="P105" s="1"/>
    </row>
    <row r="106" spans="1:16" x14ac:dyDescent="0.2">
      <c r="A106" s="1"/>
      <c r="B106" s="1"/>
      <c r="C106" s="1" t="s">
        <v>92</v>
      </c>
      <c r="D106" s="1"/>
      <c r="E106"/>
      <c r="G106" s="259">
        <v>0.28000000000000003</v>
      </c>
      <c r="H106" s="62">
        <f t="shared" si="0"/>
        <v>45291</v>
      </c>
      <c r="I106" s="64" t="s">
        <v>88</v>
      </c>
      <c r="J106" s="64"/>
      <c r="P106" s="1"/>
    </row>
    <row r="107" spans="1:16" x14ac:dyDescent="0.2">
      <c r="A107" s="1"/>
      <c r="B107" s="1"/>
      <c r="C107" s="1" t="s">
        <v>93</v>
      </c>
      <c r="D107" s="1"/>
      <c r="E107"/>
      <c r="G107" s="259">
        <v>0.17</v>
      </c>
      <c r="H107" s="62">
        <f t="shared" si="0"/>
        <v>45291</v>
      </c>
      <c r="I107" s="64" t="s">
        <v>88</v>
      </c>
      <c r="J107" s="64"/>
      <c r="P107" s="1"/>
    </row>
    <row r="108" spans="1:16" x14ac:dyDescent="0.2">
      <c r="A108" s="1"/>
      <c r="B108" s="1"/>
      <c r="C108" s="1"/>
      <c r="D108" s="1"/>
      <c r="E108"/>
      <c r="L108" s="1"/>
      <c r="N108" s="1"/>
      <c r="O108" s="1"/>
      <c r="P108" s="1"/>
    </row>
    <row r="109" spans="1:16" x14ac:dyDescent="0.2">
      <c r="A109" s="1"/>
      <c r="B109" s="1"/>
      <c r="C109" s="1"/>
      <c r="D109" s="1"/>
      <c r="E109"/>
      <c r="F109" s="1"/>
      <c r="L109" s="1"/>
      <c r="N109" s="1"/>
      <c r="O109" s="1"/>
    </row>
    <row r="112" spans="1:16" ht="15" x14ac:dyDescent="0.2">
      <c r="A112" s="16" t="s">
        <v>94</v>
      </c>
      <c r="B112" s="16"/>
      <c r="C112" s="14"/>
      <c r="D112" s="14"/>
      <c r="E112" s="14"/>
      <c r="F112" s="14"/>
      <c r="G112" s="14"/>
      <c r="H112" s="14"/>
      <c r="I112" s="14"/>
      <c r="J112" s="14"/>
      <c r="K112" s="14"/>
      <c r="L112" s="15"/>
      <c r="M112" s="15"/>
      <c r="N112" s="15"/>
      <c r="O112" s="15"/>
      <c r="P112" s="15"/>
    </row>
    <row r="113" spans="1:16" x14ac:dyDescent="0.2">
      <c r="A113" s="1"/>
      <c r="B113" s="1"/>
      <c r="C113" s="1"/>
      <c r="D113" s="1"/>
      <c r="E113" s="1"/>
      <c r="F113" s="1"/>
      <c r="G113" s="1"/>
      <c r="K113" s="1"/>
      <c r="L113" s="1"/>
      <c r="M113" s="1"/>
      <c r="N113" s="1"/>
      <c r="O113" s="1"/>
    </row>
    <row r="114" spans="1:16" x14ac:dyDescent="0.2">
      <c r="A114" s="1"/>
      <c r="B114" s="1"/>
      <c r="C114" s="1"/>
      <c r="D114" s="1"/>
      <c r="E114" s="1"/>
      <c r="F114" s="1"/>
      <c r="G114" s="1"/>
      <c r="K114" s="1"/>
      <c r="L114" s="1"/>
      <c r="M114" s="1"/>
      <c r="N114" s="1"/>
      <c r="O114" s="1"/>
    </row>
    <row r="115" spans="1:16" x14ac:dyDescent="0.2">
      <c r="A115" s="1"/>
      <c r="B115" s="1"/>
      <c r="C115" s="1"/>
      <c r="D115" s="1"/>
      <c r="E115" s="1"/>
      <c r="F115" s="1"/>
      <c r="G115" s="1"/>
      <c r="K115" s="1"/>
      <c r="L115" s="1"/>
      <c r="M115" s="1"/>
      <c r="N115" s="1"/>
      <c r="O115" s="1"/>
    </row>
    <row r="116" spans="1:16" x14ac:dyDescent="0.2">
      <c r="A116" s="1"/>
      <c r="B116" s="147"/>
      <c r="C116" s="147"/>
      <c r="D116" s="53"/>
      <c r="E116" s="251"/>
      <c r="F116" s="147"/>
      <c r="G116" s="147" t="s">
        <v>95</v>
      </c>
      <c r="H116" s="147" t="s">
        <v>96</v>
      </c>
      <c r="I116"/>
      <c r="J116"/>
      <c r="K116"/>
      <c r="L116"/>
      <c r="M116"/>
      <c r="N116"/>
      <c r="O116"/>
      <c r="P116"/>
    </row>
    <row r="117" spans="1:16" x14ac:dyDescent="0.2">
      <c r="B117" s="6">
        <v>1</v>
      </c>
      <c r="C117" s="6" t="str">
        <f>IF(G117=0, "", G$116&amp;" "&amp;ABS($G117)*100&amp;"%"&amp;IF($G117&gt;0, " higher", " lower"))&amp;IF(AND(G117&lt;&gt;0, H117&lt;&gt;0), " &amp; ", "")&amp;IF(H117=0, "", H$116&amp;" "&amp;ABS($H117)*100&amp;"%"&amp;IF($H117&gt;0, " higher", " lower"))</f>
        <v>Capex 10% higher</v>
      </c>
      <c r="E117" s="230"/>
      <c r="G117" s="260">
        <v>0.1</v>
      </c>
      <c r="H117" s="260">
        <v>0</v>
      </c>
      <c r="I117" s="225"/>
      <c r="J117"/>
      <c r="K117"/>
      <c r="L117"/>
      <c r="M117"/>
      <c r="N117"/>
      <c r="O117"/>
      <c r="P117"/>
    </row>
    <row r="118" spans="1:16" x14ac:dyDescent="0.2">
      <c r="B118" s="6">
        <v>2</v>
      </c>
      <c r="C118" s="6" t="str">
        <f>IF(G118=0, "", G$116&amp;" "&amp;ABS($G118)*100&amp;"%"&amp;IF($G118&gt;0, " higher", " lower"))&amp;IF(AND(G118&lt;&gt;0, H118&lt;&gt;0), " &amp; ", "")&amp;IF(H118=0, "", H$116&amp;" "&amp;ABS($H118)*100&amp;"%"&amp;IF($H118&gt;0, " higher", " lower"))</f>
        <v>Capex 10% lower</v>
      </c>
      <c r="E118" s="230"/>
      <c r="G118" s="260">
        <v>-0.1</v>
      </c>
      <c r="H118" s="260">
        <v>0</v>
      </c>
      <c r="I118" s="225"/>
      <c r="J118"/>
      <c r="K118"/>
      <c r="L118"/>
      <c r="M118"/>
      <c r="N118"/>
      <c r="O118"/>
      <c r="P118"/>
    </row>
    <row r="119" spans="1:16" x14ac:dyDescent="0.2">
      <c r="B119" s="6">
        <v>3</v>
      </c>
      <c r="C119" s="6" t="str">
        <f>IF(G119=0, "", G$116&amp;" "&amp;ABS($G119)*100&amp;"%"&amp;IF($G119&gt;0, " higher", " lower"))&amp;IF(AND(G119&lt;&gt;0, H119&lt;&gt;0), " &amp; ", "")&amp;IF(H119=0, "", H$116&amp;" "&amp;ABS($H119)*100&amp;"%"&amp;IF($H119&gt;0, " higher", " lower"))</f>
        <v>Total benefits 10% higher</v>
      </c>
      <c r="E119" s="230"/>
      <c r="G119" s="261">
        <v>0</v>
      </c>
      <c r="H119" s="260">
        <v>0.1</v>
      </c>
      <c r="I119" s="225"/>
      <c r="J119"/>
      <c r="K119"/>
      <c r="L119"/>
      <c r="M119"/>
      <c r="N119"/>
      <c r="O119"/>
      <c r="P119"/>
    </row>
    <row r="120" spans="1:16" x14ac:dyDescent="0.2">
      <c r="B120" s="6">
        <v>4</v>
      </c>
      <c r="C120" s="6" t="str">
        <f>IF(G120=0, "", G$116&amp;" "&amp;ABS($G120)*100&amp;"%"&amp;IF($G120&gt;0, " higher", " lower"))&amp;IF(AND(G120&lt;&gt;0, H120&lt;&gt;0), " &amp; ", "")&amp;IF(H120=0, "", H$116&amp;" "&amp;ABS($H120)*100&amp;"%"&amp;IF($H120&gt;0, " higher", " lower"))</f>
        <v>Total benefits 10% lower</v>
      </c>
      <c r="E120" s="230"/>
      <c r="G120" s="261">
        <v>0</v>
      </c>
      <c r="H120" s="260">
        <v>-0.1</v>
      </c>
      <c r="I120" s="225"/>
      <c r="J120"/>
      <c r="K120"/>
      <c r="L120"/>
      <c r="M120"/>
      <c r="N120"/>
      <c r="O120"/>
      <c r="P120"/>
    </row>
    <row r="121" spans="1:16" x14ac:dyDescent="0.2">
      <c r="B121" s="6">
        <v>5</v>
      </c>
      <c r="C121" s="6" t="str">
        <f>IF(G121=0, "", G$116&amp;" "&amp;ABS($G121)*100&amp;"%"&amp;IF($G121&gt;0, " higher", " lower"))&amp;IF(AND(G121&lt;&gt;0, H121&lt;&gt;0), " &amp; ", "")&amp;IF(H121=0, "", H$116&amp;" "&amp;ABS($H121)*100&amp;"%"&amp;IF($H121&gt;0, " higher", " lower"))</f>
        <v>Capex 10% higher &amp; Total benefits 10% lower</v>
      </c>
      <c r="E121" s="230"/>
      <c r="G121" s="260">
        <v>0.1</v>
      </c>
      <c r="H121" s="260">
        <v>-0.1</v>
      </c>
      <c r="I121" s="225"/>
      <c r="J121"/>
      <c r="K121"/>
      <c r="L121"/>
      <c r="M121"/>
      <c r="N121"/>
      <c r="O121"/>
      <c r="P121"/>
    </row>
    <row r="122" spans="1:16" x14ac:dyDescent="0.2">
      <c r="E122" s="230"/>
      <c r="H122"/>
      <c r="I122"/>
      <c r="J122"/>
      <c r="K122"/>
      <c r="L122"/>
      <c r="M122"/>
      <c r="N122"/>
      <c r="O122"/>
      <c r="P122"/>
    </row>
    <row r="123" spans="1:16" x14ac:dyDescent="0.2">
      <c r="E123" s="224"/>
      <c r="H123"/>
      <c r="I123"/>
      <c r="J123"/>
      <c r="K123"/>
      <c r="L123"/>
      <c r="M123"/>
      <c r="N123"/>
      <c r="O123"/>
      <c r="P123"/>
    </row>
    <row r="124" spans="1:16" x14ac:dyDescent="0.2">
      <c r="H124"/>
      <c r="I124"/>
      <c r="J124"/>
      <c r="K124"/>
      <c r="L124"/>
      <c r="M124"/>
      <c r="N124"/>
      <c r="O124"/>
      <c r="P124"/>
    </row>
    <row r="125" spans="1:16" x14ac:dyDescent="0.2">
      <c r="H125"/>
      <c r="I125"/>
      <c r="J125"/>
      <c r="K125"/>
      <c r="L125"/>
      <c r="M125"/>
      <c r="N125"/>
      <c r="O125"/>
      <c r="P125"/>
    </row>
    <row r="126" spans="1:16" x14ac:dyDescent="0.2">
      <c r="H126"/>
      <c r="I126"/>
      <c r="J126"/>
      <c r="K126"/>
      <c r="L126"/>
      <c r="M126"/>
      <c r="N126"/>
      <c r="O126"/>
      <c r="P126"/>
    </row>
    <row r="127" spans="1:16" x14ac:dyDescent="0.2">
      <c r="H127"/>
      <c r="I127"/>
      <c r="J127"/>
      <c r="K127"/>
      <c r="L127"/>
      <c r="M127"/>
      <c r="N127"/>
      <c r="O127"/>
      <c r="P127"/>
    </row>
    <row r="128" spans="1:16" x14ac:dyDescent="0.2">
      <c r="H128"/>
      <c r="I128"/>
      <c r="J128"/>
      <c r="K128"/>
      <c r="L128"/>
      <c r="M128"/>
      <c r="N128"/>
      <c r="O128"/>
      <c r="P128"/>
    </row>
  </sheetData>
  <mergeCells count="8">
    <mergeCell ref="J78:M78"/>
    <mergeCell ref="J79:M79"/>
    <mergeCell ref="E8:H8"/>
    <mergeCell ref="E14:K14"/>
    <mergeCell ref="E15:K15"/>
    <mergeCell ref="E16:K16"/>
    <mergeCell ref="E17:K17"/>
    <mergeCell ref="E18:K18"/>
  </mergeCells>
  <phoneticPr fontId="79" type="noConversion"/>
  <conditionalFormatting sqref="C43:C44">
    <cfRule type="expression" dxfId="16" priority="164">
      <formula>E43=#REF!</formula>
    </cfRule>
  </conditionalFormatting>
  <conditionalFormatting sqref="E46:I46 C46:C50">
    <cfRule type="expression" dxfId="14" priority="1">
      <formula>#REF!=#REF!</formula>
    </cfRule>
  </conditionalFormatting>
  <pageMargins left="0.25" right="0.25" top="0.75" bottom="0.75" header="0.3" footer="0.3"/>
  <pageSetup paperSize="9" scale="59" fitToHeight="0" orientation="portrait" horizontalDpi="90" verticalDpi="9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F3F10DC4-43C8-4325-9D02-19BA52A23CAF}">
            <xm:f>E6=Data!#REF!</xm:f>
            <x14:dxf>
              <font>
                <color rgb="FFFF0000"/>
              </font>
            </x14:dxf>
          </x14:cfRule>
          <xm:sqref>D6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93A524C-E45A-4CD6-9037-0C9A8CB9BEDE}">
          <x14:formula1>
            <xm:f>Data!$J$107:$J$108</xm:f>
          </x14:formula1>
          <xm:sqref>E10</xm:sqref>
        </x14:dataValidation>
        <x14:dataValidation type="list" allowBlank="1" showInputMessage="1" showErrorMessage="1" xr:uid="{8AD3462E-BCDF-4C70-9696-A5196E905744}">
          <x14:formula1>
            <xm:f>Data!$T$107:$T$109</xm:f>
          </x14:formula1>
          <xm:sqref>E20</xm:sqref>
        </x14:dataValidation>
        <x14:dataValidation type="list" allowBlank="1" showInputMessage="1" showErrorMessage="1" xr:uid="{4146EE4B-BCAC-4E68-A5B1-65A7A34C1F3E}">
          <x14:formula1>
            <xm:f>Data!$R$107:$R$113</xm:f>
          </x14:formula1>
          <xm:sqref>G10</xm:sqref>
        </x14:dataValidation>
        <x14:dataValidation type="list" allowBlank="1" showInputMessage="1" showErrorMessage="1" xr:uid="{76E6FA8E-A026-4C8F-84A6-848CF895714B}">
          <x14:formula1>
            <xm:f>Data!$V$107:$V$110</xm:f>
          </x14:formula1>
          <xm:sqref>E22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4853D-D3A3-4079-BDBE-13E29B41B5A0}">
  <sheetPr codeName="Sheet3">
    <tabColor rgb="FFFF6600"/>
  </sheetPr>
  <dimension ref="A1:XER115"/>
  <sheetViews>
    <sheetView showGridLines="0" zoomScale="90" zoomScaleNormal="90" workbookViewId="0">
      <pane xSplit="7" ySplit="10" topLeftCell="H11" activePane="bottomRight" state="frozen"/>
      <selection activeCell="C4" sqref="C4"/>
      <selection pane="topRight" activeCell="C4" sqref="C4"/>
      <selection pane="bottomLeft" activeCell="C4" sqref="C4"/>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6.8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TRG024-WBL012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97</v>
      </c>
      <c r="B3" s="5"/>
      <c r="C3" s="375"/>
      <c r="D3" s="82"/>
    </row>
    <row r="4" spans="1:43" x14ac:dyDescent="0.2">
      <c r="A4" s="143"/>
      <c r="B4" s="162"/>
      <c r="C4" s="210"/>
    </row>
    <row r="5" spans="1:43" hidden="1" outlineLevel="1" x14ac:dyDescent="0.2">
      <c r="C5" s="87"/>
      <c r="D5" s="86"/>
      <c r="E5" s="88"/>
      <c r="F5" s="88"/>
      <c r="G5" s="88"/>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
        <v>98</v>
      </c>
      <c r="B6" s="86"/>
      <c r="C6" s="87"/>
      <c r="D6" s="86"/>
      <c r="E6" s="88"/>
      <c r="F6" s="88"/>
      <c r="G6" s="88"/>
      <c r="H6" s="129">
        <v>0</v>
      </c>
      <c r="I6" s="89">
        <f t="shared" ref="I6:AG6" si="0">H6+1</f>
        <v>1</v>
      </c>
      <c r="J6" s="89">
        <f t="shared" si="0"/>
        <v>2</v>
      </c>
      <c r="K6" s="89">
        <f t="shared" si="0"/>
        <v>3</v>
      </c>
      <c r="L6" s="89">
        <f t="shared" si="0"/>
        <v>4</v>
      </c>
      <c r="M6" s="89">
        <f t="shared" si="0"/>
        <v>5</v>
      </c>
      <c r="N6" s="89">
        <f t="shared" si="0"/>
        <v>6</v>
      </c>
      <c r="O6" s="89">
        <f t="shared" si="0"/>
        <v>7</v>
      </c>
      <c r="P6" s="89">
        <f t="shared" si="0"/>
        <v>8</v>
      </c>
      <c r="Q6" s="89">
        <f t="shared" si="0"/>
        <v>9</v>
      </c>
      <c r="R6" s="89">
        <f t="shared" si="0"/>
        <v>10</v>
      </c>
      <c r="S6" s="89">
        <f t="shared" si="0"/>
        <v>11</v>
      </c>
      <c r="T6" s="89">
        <f t="shared" si="0"/>
        <v>12</v>
      </c>
      <c r="U6" s="89">
        <f t="shared" si="0"/>
        <v>13</v>
      </c>
      <c r="V6" s="89">
        <f t="shared" si="0"/>
        <v>14</v>
      </c>
      <c r="W6" s="89">
        <f t="shared" si="0"/>
        <v>15</v>
      </c>
      <c r="X6" s="89">
        <f t="shared" si="0"/>
        <v>16</v>
      </c>
      <c r="Y6" s="89">
        <f t="shared" si="0"/>
        <v>17</v>
      </c>
      <c r="Z6" s="89">
        <f t="shared" si="0"/>
        <v>18</v>
      </c>
      <c r="AA6" s="89">
        <f t="shared" si="0"/>
        <v>19</v>
      </c>
      <c r="AB6" s="89">
        <f t="shared" si="0"/>
        <v>20</v>
      </c>
      <c r="AC6" s="89">
        <f t="shared" si="0"/>
        <v>21</v>
      </c>
      <c r="AD6" s="89">
        <f t="shared" si="0"/>
        <v>22</v>
      </c>
      <c r="AE6" s="89">
        <f t="shared" si="0"/>
        <v>23</v>
      </c>
      <c r="AF6" s="89">
        <f t="shared" si="0"/>
        <v>24</v>
      </c>
      <c r="AG6" s="89">
        <f t="shared" si="0"/>
        <v>25</v>
      </c>
    </row>
    <row r="7" spans="1:43" hidden="1" outlineLevel="1" x14ac:dyDescent="0.2">
      <c r="A7" s="86" t="s">
        <v>99</v>
      </c>
      <c r="B7" s="86"/>
      <c r="G7" s="137" t="s">
        <v>100</v>
      </c>
      <c r="I7" s="87">
        <f>IF(ISBLANK(Assumptions!K97), H7,Assumptions!K97*thous_conv)</f>
        <v>24.730486797759085</v>
      </c>
      <c r="J7" s="87">
        <f>IF(ISBLANK(Assumptions!L97), I7,Assumptions!L97*thous_conv)</f>
        <v>22.340740091772258</v>
      </c>
      <c r="K7" s="87">
        <f>IF(ISBLANK(Assumptions!M97), J7,Assumptions!M97*thous_conv)</f>
        <v>20.196329122153124</v>
      </c>
      <c r="L7" s="87">
        <f>IF(ISBLANK(Assumptions!N97), K7,Assumptions!N97*thous_conv)</f>
        <v>18.06294207659629</v>
      </c>
      <c r="M7" s="87">
        <f>IF(ISBLANK(Assumptions!O97), L7,Assumptions!O97*thous_conv)</f>
        <v>15.913397615084225</v>
      </c>
      <c r="N7" s="87">
        <f>IF(ISBLANK(Assumptions!P97), M7,Assumptions!P97*thous_conv)</f>
        <v>13.715069432539002</v>
      </c>
      <c r="O7" s="87">
        <f>IF(ISBLANK(Assumptions!Q97), N7,Assumptions!Q97*thous_conv)</f>
        <v>13.715069432539002</v>
      </c>
      <c r="P7" s="87">
        <f>IF(ISBLANK(Assumptions!R97), O7,Assumptions!R97*thous_conv)</f>
        <v>13.715069432539002</v>
      </c>
      <c r="Q7" s="87">
        <f>IF(ISBLANK(Assumptions!S97), P7,Assumptions!S97*thous_conv)</f>
        <v>13.715069432539002</v>
      </c>
      <c r="R7" s="87">
        <f>IF(ISBLANK(Assumptions!T97), Q7,Assumptions!T97*thous_conv)</f>
        <v>13.715069432539002</v>
      </c>
      <c r="S7" s="87">
        <f>IF(ISBLANK(Assumptions!U97), R7,Assumptions!U97*thous_conv)</f>
        <v>13.715069432539002</v>
      </c>
      <c r="T7" s="87">
        <f>IF(ISBLANK(Assumptions!V97), S7,Assumptions!V97*thous_conv)</f>
        <v>13.715069432539002</v>
      </c>
      <c r="U7" s="87">
        <f>IF(ISBLANK(Assumptions!W97), T7,Assumptions!W97*thous_conv)</f>
        <v>13.715069432539002</v>
      </c>
      <c r="V7" s="87">
        <f>IF(ISBLANK(Assumptions!X97), U7,Assumptions!X97*thous_conv)</f>
        <v>13.715069432539002</v>
      </c>
      <c r="W7" s="87">
        <f>IF(ISBLANK(Assumptions!Y97), V7,Assumptions!Y97*thous_conv)</f>
        <v>13.715069432539002</v>
      </c>
      <c r="X7" s="87">
        <f>IF(ISBLANK(Assumptions!Z97), W7,Assumptions!Z97*thous_conv)</f>
        <v>13.715069432539002</v>
      </c>
      <c r="Y7" s="87">
        <f>IF(ISBLANK(Assumptions!AA97), X7,Assumptions!AA97*thous_conv)</f>
        <v>13.715069432539002</v>
      </c>
      <c r="Z7" s="87">
        <f>IF(ISBLANK(Assumptions!AB97), Y7,Assumptions!AB97*thous_conv)</f>
        <v>13.715069432539002</v>
      </c>
      <c r="AA7" s="87">
        <f>IF(ISBLANK(Assumptions!AC97), Z7,Assumptions!AC97*thous_conv)</f>
        <v>13.715069432539002</v>
      </c>
      <c r="AB7" s="87">
        <f>IF(ISBLANK(Assumptions!AD97), AA7,Assumptions!AD97*thous_conv)</f>
        <v>13.715069432539002</v>
      </c>
      <c r="AC7" s="87">
        <f>IF(ISBLANK(Assumptions!AE97), AB7,Assumptions!AE97*thous_conv)</f>
        <v>13.715069432539002</v>
      </c>
      <c r="AD7" s="87">
        <f>IF(ISBLANK(Assumptions!AF97), AC7,Assumptions!AF97*thous_conv)</f>
        <v>13.715069432539002</v>
      </c>
      <c r="AE7" s="87">
        <f>IF(ISBLANK(Assumptions!AG97), AD7,Assumptions!AG97*thous_conv)</f>
        <v>13.715069432539002</v>
      </c>
      <c r="AF7" s="87">
        <f>IF(ISBLANK(Assumptions!AH97), AE7,Assumptions!AH97*thous_conv)</f>
        <v>13.715069432539002</v>
      </c>
      <c r="AG7" s="87">
        <f>IF(ISBLANK(Assumptions!AI97), AF7,Assumptions!AI97*thous_conv)</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56"/>
      <c r="B9" s="156"/>
      <c r="C9" s="156"/>
      <c r="D9" s="156"/>
      <c r="E9" s="156"/>
      <c r="F9" s="157"/>
      <c r="G9" s="156" t="s">
        <v>101</v>
      </c>
      <c r="H9" s="271">
        <f>DATE(LEFT(I9,4), 6,30)</f>
        <v>46203</v>
      </c>
      <c r="I9" s="158" t="str">
        <f>start</f>
        <v>2026-27</v>
      </c>
      <c r="J9" s="158" t="str">
        <f t="shared" ref="J9:AG9" si="1">LEFT(I9,4)+1&amp;"-"&amp;RIGHT(I9,2)+1</f>
        <v>2027-28</v>
      </c>
      <c r="K9" s="158" t="str">
        <f t="shared" si="1"/>
        <v>2028-29</v>
      </c>
      <c r="L9" s="158" t="str">
        <f t="shared" si="1"/>
        <v>2029-30</v>
      </c>
      <c r="M9" s="158" t="str">
        <f t="shared" si="1"/>
        <v>2030-31</v>
      </c>
      <c r="N9" s="158" t="str">
        <f t="shared" si="1"/>
        <v>2031-32</v>
      </c>
      <c r="O9" s="158" t="str">
        <f t="shared" si="1"/>
        <v>2032-33</v>
      </c>
      <c r="P9" s="158" t="str">
        <f t="shared" si="1"/>
        <v>2033-34</v>
      </c>
      <c r="Q9" s="158" t="str">
        <f t="shared" si="1"/>
        <v>2034-35</v>
      </c>
      <c r="R9" s="158" t="str">
        <f t="shared" si="1"/>
        <v>2035-36</v>
      </c>
      <c r="S9" s="158" t="str">
        <f t="shared" si="1"/>
        <v>2036-37</v>
      </c>
      <c r="T9" s="158" t="str">
        <f t="shared" si="1"/>
        <v>2037-38</v>
      </c>
      <c r="U9" s="158" t="str">
        <f t="shared" si="1"/>
        <v>2038-39</v>
      </c>
      <c r="V9" s="158" t="str">
        <f t="shared" si="1"/>
        <v>2039-40</v>
      </c>
      <c r="W9" s="158" t="str">
        <f t="shared" si="1"/>
        <v>2040-41</v>
      </c>
      <c r="X9" s="158" t="str">
        <f t="shared" si="1"/>
        <v>2041-42</v>
      </c>
      <c r="Y9" s="158" t="str">
        <f t="shared" si="1"/>
        <v>2042-43</v>
      </c>
      <c r="Z9" s="158" t="str">
        <f t="shared" si="1"/>
        <v>2043-44</v>
      </c>
      <c r="AA9" s="158" t="str">
        <f t="shared" si="1"/>
        <v>2044-45</v>
      </c>
      <c r="AB9" s="158" t="str">
        <f t="shared" si="1"/>
        <v>2045-46</v>
      </c>
      <c r="AC9" s="158" t="str">
        <f t="shared" si="1"/>
        <v>2046-47</v>
      </c>
      <c r="AD9" s="158" t="str">
        <f t="shared" si="1"/>
        <v>2047-48</v>
      </c>
      <c r="AE9" s="158" t="str">
        <f t="shared" si="1"/>
        <v>2048-49</v>
      </c>
      <c r="AF9" s="158" t="str">
        <f t="shared" si="1"/>
        <v>2049-50</v>
      </c>
      <c r="AG9" s="158" t="str">
        <f t="shared" si="1"/>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102</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row>
    <row r="13" spans="1:43" x14ac:dyDescent="0.2">
      <c r="C13" s="3" t="s">
        <v>95</v>
      </c>
      <c r="D13"/>
      <c r="E13" s="105" t="s">
        <v>103</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104</v>
      </c>
      <c r="D14"/>
      <c r="E14" s="126">
        <v>0</v>
      </c>
      <c r="G14" s="180">
        <f>input_dollars</f>
        <v>45291</v>
      </c>
      <c r="H14" s="2"/>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104</v>
      </c>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104</v>
      </c>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AB17" si="2">SUM(I14:I16)</f>
        <v>0</v>
      </c>
      <c r="J17" s="94">
        <f t="shared" si="2"/>
        <v>0</v>
      </c>
      <c r="K17" s="94">
        <f t="shared" si="2"/>
        <v>0</v>
      </c>
      <c r="L17" s="94">
        <f t="shared" si="2"/>
        <v>0</v>
      </c>
      <c r="M17" s="94">
        <f t="shared" si="2"/>
        <v>0</v>
      </c>
      <c r="N17" s="94">
        <f t="shared" si="2"/>
        <v>0</v>
      </c>
      <c r="O17" s="94">
        <f t="shared" si="2"/>
        <v>0</v>
      </c>
      <c r="P17" s="94">
        <f t="shared" si="2"/>
        <v>0</v>
      </c>
      <c r="Q17" s="94">
        <f t="shared" si="2"/>
        <v>0</v>
      </c>
      <c r="R17" s="94">
        <f t="shared" si="2"/>
        <v>0</v>
      </c>
      <c r="S17" s="94">
        <f t="shared" si="2"/>
        <v>0</v>
      </c>
      <c r="T17" s="94">
        <f t="shared" si="2"/>
        <v>0</v>
      </c>
      <c r="U17" s="94">
        <f t="shared" si="2"/>
        <v>0</v>
      </c>
      <c r="V17" s="94">
        <f t="shared" si="2"/>
        <v>0</v>
      </c>
      <c r="W17" s="94">
        <f t="shared" si="2"/>
        <v>0</v>
      </c>
      <c r="X17" s="94">
        <f t="shared" si="2"/>
        <v>0</v>
      </c>
      <c r="Y17" s="94">
        <f t="shared" si="2"/>
        <v>0</v>
      </c>
      <c r="Z17" s="94">
        <f t="shared" si="2"/>
        <v>0</v>
      </c>
      <c r="AA17" s="94">
        <f t="shared" si="2"/>
        <v>0</v>
      </c>
      <c r="AB17" s="94">
        <f t="shared" si="2"/>
        <v>0</v>
      </c>
      <c r="AC17" s="94">
        <f>SUM(AC14:AC16)</f>
        <v>0</v>
      </c>
      <c r="AD17" s="94">
        <f>SUM(AD14:AD16)</f>
        <v>0</v>
      </c>
      <c r="AE17" s="94">
        <f>SUM(AE14:AE16)</f>
        <v>0</v>
      </c>
      <c r="AF17" s="94">
        <f>SUM(AF14:AF16)</f>
        <v>0</v>
      </c>
      <c r="AG17" s="94">
        <f>SUM(AG14:AG16)</f>
        <v>0</v>
      </c>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row>
    <row r="20" spans="1:43" x14ac:dyDescent="0.2">
      <c r="G20" s="178"/>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105</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106</v>
      </c>
      <c r="D24" s="99"/>
      <c r="E24" s="99"/>
      <c r="F24" s="99"/>
      <c r="G24" s="181"/>
      <c r="H24" s="99"/>
      <c r="I24" s="115">
        <v>0</v>
      </c>
      <c r="J24" s="115">
        <v>0</v>
      </c>
      <c r="K24" s="115">
        <v>0</v>
      </c>
      <c r="L24" s="115">
        <v>0</v>
      </c>
      <c r="M24" s="115">
        <v>0</v>
      </c>
      <c r="N24" s="115">
        <v>0</v>
      </c>
      <c r="O24" s="115">
        <v>0</v>
      </c>
      <c r="P24" s="115">
        <v>0</v>
      </c>
      <c r="Q24" s="115">
        <v>0</v>
      </c>
      <c r="R24" s="115">
        <v>0</v>
      </c>
      <c r="S24" s="115">
        <v>0</v>
      </c>
      <c r="T24" s="115">
        <v>0</v>
      </c>
      <c r="U24" s="115">
        <v>0</v>
      </c>
      <c r="V24" s="115">
        <v>0</v>
      </c>
      <c r="W24" s="115">
        <v>0</v>
      </c>
      <c r="X24" s="115">
        <v>0</v>
      </c>
      <c r="Y24" s="115">
        <v>0</v>
      </c>
      <c r="Z24" s="115">
        <v>0</v>
      </c>
      <c r="AA24" s="115">
        <v>0</v>
      </c>
      <c r="AB24" s="115">
        <v>0</v>
      </c>
      <c r="AC24" s="115">
        <v>0</v>
      </c>
      <c r="AD24" s="115">
        <v>0</v>
      </c>
      <c r="AE24" s="115">
        <v>0</v>
      </c>
      <c r="AF24" s="115">
        <v>0</v>
      </c>
      <c r="AG24" s="115">
        <v>0</v>
      </c>
      <c r="AH24"/>
      <c r="AI24"/>
      <c r="AJ24"/>
      <c r="AK24"/>
      <c r="AL24"/>
      <c r="AM24"/>
      <c r="AN24"/>
      <c r="AO24"/>
      <c r="AP24"/>
      <c r="AQ24"/>
    </row>
    <row r="25" spans="1:43" ht="12.75" customHeight="1" x14ac:dyDescent="0.2">
      <c r="A25" s="99"/>
      <c r="B25" s="99"/>
      <c r="C25" s="1" t="s">
        <v>107</v>
      </c>
      <c r="D25" s="181"/>
      <c r="E25" s="99"/>
      <c r="F25" s="99"/>
      <c r="G25" s="181"/>
      <c r="H25" s="99"/>
      <c r="I25" s="115">
        <v>0</v>
      </c>
      <c r="J25" s="115">
        <v>0</v>
      </c>
      <c r="K25" s="115">
        <v>0</v>
      </c>
      <c r="L25" s="115">
        <v>0</v>
      </c>
      <c r="M25" s="115">
        <v>0</v>
      </c>
      <c r="N25" s="115">
        <v>0</v>
      </c>
      <c r="O25" s="115">
        <v>0</v>
      </c>
      <c r="P25" s="115">
        <v>0</v>
      </c>
      <c r="Q25" s="115">
        <v>0</v>
      </c>
      <c r="R25" s="115">
        <v>0</v>
      </c>
      <c r="S25" s="115">
        <v>0</v>
      </c>
      <c r="T25" s="115">
        <v>0</v>
      </c>
      <c r="U25" s="115">
        <v>0</v>
      </c>
      <c r="V25" s="115">
        <v>0</v>
      </c>
      <c r="W25" s="115">
        <v>0</v>
      </c>
      <c r="X25" s="115">
        <v>0</v>
      </c>
      <c r="Y25" s="115">
        <v>0</v>
      </c>
      <c r="Z25" s="115">
        <v>0</v>
      </c>
      <c r="AA25" s="115">
        <v>0</v>
      </c>
      <c r="AB25" s="115">
        <v>0</v>
      </c>
      <c r="AC25" s="115">
        <v>0</v>
      </c>
      <c r="AD25" s="115">
        <v>0</v>
      </c>
      <c r="AE25" s="115">
        <v>0</v>
      </c>
      <c r="AF25" s="115">
        <v>0</v>
      </c>
      <c r="AG25" s="11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1"/>
      <c r="E27" s="99"/>
      <c r="F27" s="99"/>
      <c r="G27" s="181"/>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108</v>
      </c>
      <c r="D28" s="178"/>
      <c r="E28"/>
      <c r="G28" s="180" t="s">
        <v>109</v>
      </c>
      <c r="H28"/>
      <c r="I28" s="144">
        <f>Workings_risks!$O$14</f>
        <v>14.556887127774912</v>
      </c>
      <c r="J28" s="144">
        <f>Workings_risks!$O$14</f>
        <v>14.556887127774912</v>
      </c>
      <c r="K28" s="144">
        <f>Workings_risks!$O$14</f>
        <v>14.556887127774912</v>
      </c>
      <c r="L28" s="144">
        <f>Workings_risks!$O$14</f>
        <v>14.556887127774912</v>
      </c>
      <c r="M28" s="144">
        <f>Workings_risks!$O$14</f>
        <v>14.556887127774912</v>
      </c>
      <c r="N28" s="144">
        <f>Workings_risks!$O$14</f>
        <v>14.556887127774912</v>
      </c>
      <c r="O28" s="144">
        <f>Workings_risks!$O$14</f>
        <v>14.556887127774912</v>
      </c>
      <c r="P28" s="144">
        <f>Workings_risks!$O$14</f>
        <v>14.556887127774912</v>
      </c>
      <c r="Q28" s="144">
        <f>Workings_risks!$O$14</f>
        <v>14.556887127774912</v>
      </c>
      <c r="R28" s="144">
        <f>Workings_risks!$O$14</f>
        <v>14.556887127774912</v>
      </c>
      <c r="S28" s="144">
        <f>Workings_risks!$O$14</f>
        <v>14.556887127774912</v>
      </c>
      <c r="T28" s="144">
        <f>Workings_risks!$O$14</f>
        <v>14.556887127774912</v>
      </c>
      <c r="U28" s="144">
        <f>Workings_risks!$O$14</f>
        <v>14.556887127774912</v>
      </c>
      <c r="V28" s="144">
        <f>Workings_risks!$O$14</f>
        <v>14.556887127774912</v>
      </c>
      <c r="W28" s="144">
        <f>Workings_risks!$O$14</f>
        <v>14.556887127774912</v>
      </c>
      <c r="X28" s="144">
        <f>Workings_risks!$O$14</f>
        <v>14.556887127774912</v>
      </c>
      <c r="Y28" s="144">
        <f>Workings_risks!$O$14</f>
        <v>14.556887127774912</v>
      </c>
      <c r="Z28" s="144">
        <f>Workings_risks!$O$14</f>
        <v>14.556887127774912</v>
      </c>
      <c r="AA28" s="144">
        <f>Workings_risks!$O$14</f>
        <v>14.556887127774912</v>
      </c>
      <c r="AB28" s="144">
        <f>Workings_risks!$O$14</f>
        <v>14.556887127774912</v>
      </c>
      <c r="AC28" s="144">
        <f>Workings_risks!$O$14</f>
        <v>14.556887127774912</v>
      </c>
      <c r="AD28" s="144">
        <f>Workings_risks!$O$14</f>
        <v>14.556887127774912</v>
      </c>
      <c r="AE28" s="144">
        <f>Workings_risks!$O$14</f>
        <v>14.556887127774912</v>
      </c>
      <c r="AF28" s="144">
        <f>Workings_risks!$O$14</f>
        <v>14.556887127774912</v>
      </c>
      <c r="AG28" s="144">
        <f>Workings_risks!$O$14</f>
        <v>14.556887127774912</v>
      </c>
      <c r="AH28"/>
      <c r="AI28"/>
      <c r="AJ28"/>
      <c r="AK28"/>
      <c r="AL28"/>
      <c r="AM28"/>
      <c r="AN28"/>
      <c r="AO28"/>
      <c r="AP28"/>
      <c r="AQ28"/>
    </row>
    <row r="29" spans="1:43" x14ac:dyDescent="0.2">
      <c r="C29" s="1" t="s">
        <v>110</v>
      </c>
      <c r="D29" s="178" t="s">
        <v>100</v>
      </c>
      <c r="E29" s="100">
        <f>Assumptions!G43*vcr_esc</f>
        <v>31361.198140479657</v>
      </c>
      <c r="F29" s="210" t="str">
        <f>IF(AND(SUM(I28:AG28)&lt;&gt;0, E29=0), "!", "")</f>
        <v/>
      </c>
      <c r="G29" s="180">
        <f>input_dollars</f>
        <v>45291</v>
      </c>
      <c r="H29"/>
      <c r="I29" s="93">
        <f>I28*$E$29</f>
        <v>456521.42152274685</v>
      </c>
      <c r="J29" s="93">
        <f t="shared" ref="J29:AG29" si="3">J28*$E$29</f>
        <v>456521.42152274685</v>
      </c>
      <c r="K29" s="93">
        <f t="shared" si="3"/>
        <v>456521.42152274685</v>
      </c>
      <c r="L29" s="93">
        <f t="shared" si="3"/>
        <v>456521.42152274685</v>
      </c>
      <c r="M29" s="93">
        <f t="shared" si="3"/>
        <v>456521.42152274685</v>
      </c>
      <c r="N29" s="93">
        <f t="shared" si="3"/>
        <v>456521.42152274685</v>
      </c>
      <c r="O29" s="93">
        <f t="shared" si="3"/>
        <v>456521.42152274685</v>
      </c>
      <c r="P29" s="93">
        <f t="shared" si="3"/>
        <v>456521.42152274685</v>
      </c>
      <c r="Q29" s="93">
        <f t="shared" si="3"/>
        <v>456521.42152274685</v>
      </c>
      <c r="R29" s="93">
        <f t="shared" si="3"/>
        <v>456521.42152274685</v>
      </c>
      <c r="S29" s="93">
        <f t="shared" si="3"/>
        <v>456521.42152274685</v>
      </c>
      <c r="T29" s="93">
        <f t="shared" si="3"/>
        <v>456521.42152274685</v>
      </c>
      <c r="U29" s="93">
        <f t="shared" si="3"/>
        <v>456521.42152274685</v>
      </c>
      <c r="V29" s="93">
        <f t="shared" si="3"/>
        <v>456521.42152274685</v>
      </c>
      <c r="W29" s="93">
        <f t="shared" si="3"/>
        <v>456521.42152274685</v>
      </c>
      <c r="X29" s="93">
        <f t="shared" si="3"/>
        <v>456521.42152274685</v>
      </c>
      <c r="Y29" s="93">
        <f t="shared" si="3"/>
        <v>456521.42152274685</v>
      </c>
      <c r="Z29" s="93">
        <f t="shared" si="3"/>
        <v>456521.42152274685</v>
      </c>
      <c r="AA29" s="93">
        <f t="shared" si="3"/>
        <v>456521.42152274685</v>
      </c>
      <c r="AB29" s="93">
        <f t="shared" si="3"/>
        <v>456521.42152274685</v>
      </c>
      <c r="AC29" s="93">
        <f t="shared" si="3"/>
        <v>456521.42152274685</v>
      </c>
      <c r="AD29" s="93">
        <f t="shared" si="3"/>
        <v>456521.42152274685</v>
      </c>
      <c r="AE29" s="93">
        <f t="shared" si="3"/>
        <v>456521.42152274685</v>
      </c>
      <c r="AF29" s="93">
        <f t="shared" si="3"/>
        <v>456521.42152274685</v>
      </c>
      <c r="AG29" s="93">
        <f t="shared" si="3"/>
        <v>456521.42152274685</v>
      </c>
      <c r="AH29"/>
      <c r="AI29"/>
      <c r="AJ29"/>
      <c r="AK29"/>
      <c r="AL29"/>
      <c r="AM29"/>
      <c r="AN29"/>
      <c r="AO29"/>
      <c r="AP29"/>
      <c r="AQ29"/>
    </row>
    <row r="30" spans="1:43" x14ac:dyDescent="0.2">
      <c r="D30" s="179"/>
      <c r="E30"/>
      <c r="G30" s="180"/>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111</v>
      </c>
      <c r="D31" s="178" t="s">
        <v>112</v>
      </c>
      <c r="G31" s="180">
        <f>input_dollars</f>
        <v>45291</v>
      </c>
      <c r="H31" s="127"/>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146">
        <v>0</v>
      </c>
      <c r="AF31" s="146">
        <v>0</v>
      </c>
      <c r="AG31" s="146">
        <v>0</v>
      </c>
      <c r="AH31"/>
      <c r="AI31"/>
      <c r="AJ31"/>
      <c r="AK31"/>
      <c r="AL31"/>
      <c r="AM31"/>
      <c r="AN31"/>
      <c r="AO31"/>
      <c r="AP31"/>
      <c r="AQ31"/>
    </row>
    <row r="32" spans="1:43" x14ac:dyDescent="0.2">
      <c r="C32" s="1" t="s">
        <v>113</v>
      </c>
      <c r="D32" s="179"/>
      <c r="E32"/>
      <c r="G32" s="180">
        <f>input_dollars</f>
        <v>45291</v>
      </c>
      <c r="H32" s="127"/>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146">
        <v>0</v>
      </c>
      <c r="AF32" s="146">
        <v>0</v>
      </c>
      <c r="AG32" s="146">
        <v>0</v>
      </c>
      <c r="AH32"/>
      <c r="AI32"/>
      <c r="AJ32"/>
      <c r="AK32"/>
      <c r="AL32"/>
      <c r="AM32"/>
      <c r="AN32"/>
      <c r="AO32"/>
      <c r="AP32"/>
      <c r="AQ32"/>
    </row>
    <row r="33" spans="1:16372" x14ac:dyDescent="0.2">
      <c r="C33" s="1" t="s">
        <v>114</v>
      </c>
      <c r="D33" s="178" t="s">
        <v>112</v>
      </c>
      <c r="E33"/>
      <c r="G33" s="180">
        <f>input_dollars</f>
        <v>45291</v>
      </c>
      <c r="H33"/>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c r="AI33"/>
      <c r="AJ33"/>
      <c r="AK33"/>
      <c r="AL33"/>
      <c r="AM33"/>
      <c r="AN33"/>
      <c r="AO33"/>
      <c r="AP33"/>
      <c r="AQ33"/>
    </row>
    <row r="34" spans="1:16372" x14ac:dyDescent="0.2">
      <c r="C34" s="239" t="s">
        <v>115</v>
      </c>
      <c r="D34" s="191"/>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C35" s="239" t="s">
        <v>115</v>
      </c>
      <c r="D35" s="179"/>
      <c r="E35"/>
      <c r="G35" s="180">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79"/>
      <c r="E36"/>
      <c r="G36" s="180"/>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116</v>
      </c>
      <c r="D37" s="190"/>
      <c r="E37" s="95"/>
      <c r="F37" s="3"/>
      <c r="G37" s="182"/>
      <c r="H37" s="95"/>
      <c r="I37" s="94">
        <f>SUM(I29:I35)</f>
        <v>456521.42152274685</v>
      </c>
      <c r="J37" s="94">
        <f t="shared" ref="J37:AB37" si="4">SUM(J29:J35)</f>
        <v>456521.42152274685</v>
      </c>
      <c r="K37" s="94">
        <f t="shared" si="4"/>
        <v>456521.42152274685</v>
      </c>
      <c r="L37" s="94">
        <f t="shared" si="4"/>
        <v>456521.42152274685</v>
      </c>
      <c r="M37" s="94">
        <f t="shared" si="4"/>
        <v>456521.42152274685</v>
      </c>
      <c r="N37" s="94">
        <f t="shared" si="4"/>
        <v>456521.42152274685</v>
      </c>
      <c r="O37" s="94">
        <f t="shared" si="4"/>
        <v>456521.42152274685</v>
      </c>
      <c r="P37" s="94">
        <f t="shared" si="4"/>
        <v>456521.42152274685</v>
      </c>
      <c r="Q37" s="94">
        <f t="shared" si="4"/>
        <v>456521.42152274685</v>
      </c>
      <c r="R37" s="94">
        <f t="shared" si="4"/>
        <v>456521.42152274685</v>
      </c>
      <c r="S37" s="94">
        <f t="shared" si="4"/>
        <v>456521.42152274685</v>
      </c>
      <c r="T37" s="94">
        <f t="shared" si="4"/>
        <v>456521.42152274685</v>
      </c>
      <c r="U37" s="94">
        <f t="shared" si="4"/>
        <v>456521.42152274685</v>
      </c>
      <c r="V37" s="94">
        <f t="shared" si="4"/>
        <v>456521.42152274685</v>
      </c>
      <c r="W37" s="94">
        <f t="shared" si="4"/>
        <v>456521.42152274685</v>
      </c>
      <c r="X37" s="94">
        <f t="shared" si="4"/>
        <v>456521.42152274685</v>
      </c>
      <c r="Y37" s="94">
        <f t="shared" si="4"/>
        <v>456521.42152274685</v>
      </c>
      <c r="Z37" s="94">
        <f t="shared" si="4"/>
        <v>456521.42152274685</v>
      </c>
      <c r="AA37" s="94">
        <f t="shared" si="4"/>
        <v>456521.42152274685</v>
      </c>
      <c r="AB37" s="94">
        <f t="shared" si="4"/>
        <v>456521.42152274685</v>
      </c>
      <c r="AC37" s="94">
        <f>SUM(AC29:AC35)</f>
        <v>456521.42152274685</v>
      </c>
      <c r="AD37" s="94">
        <f>SUM(AD29:AD35)</f>
        <v>456521.42152274685</v>
      </c>
      <c r="AE37" s="94">
        <f>SUM(AE29:AE35)</f>
        <v>456521.42152274685</v>
      </c>
      <c r="AF37" s="94">
        <f>SUM(AF29:AF35)</f>
        <v>456521.42152274685</v>
      </c>
      <c r="AG37" s="94">
        <f>SUM(AG29:AG35)</f>
        <v>456521.42152274685</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0"/>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117</v>
      </c>
      <c r="B39" s="78"/>
      <c r="C39" s="78"/>
      <c r="D39" s="78"/>
      <c r="E39" s="78"/>
      <c r="F39" s="78"/>
      <c r="G39" s="177"/>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0"/>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118</v>
      </c>
      <c r="G42" s="178" t="s">
        <v>109</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row>
    <row r="43" spans="1:16372" ht="13.5" x14ac:dyDescent="0.25">
      <c r="C43" s="1" t="s">
        <v>119</v>
      </c>
      <c r="G43" s="178" t="s">
        <v>120</v>
      </c>
      <c r="I43" s="28">
        <f t="shared" ref="I43:AG43" si="5">I42*I7</f>
        <v>0</v>
      </c>
      <c r="J43" s="28">
        <f t="shared" si="5"/>
        <v>0</v>
      </c>
      <c r="K43" s="28">
        <f t="shared" si="5"/>
        <v>0</v>
      </c>
      <c r="L43" s="28">
        <f t="shared" si="5"/>
        <v>0</v>
      </c>
      <c r="M43" s="28">
        <f t="shared" si="5"/>
        <v>0</v>
      </c>
      <c r="N43" s="28">
        <f t="shared" si="5"/>
        <v>0</v>
      </c>
      <c r="O43" s="28">
        <f t="shared" si="5"/>
        <v>0</v>
      </c>
      <c r="P43" s="28">
        <f t="shared" si="5"/>
        <v>0</v>
      </c>
      <c r="Q43" s="28">
        <f t="shared" si="5"/>
        <v>0</v>
      </c>
      <c r="R43" s="28">
        <f t="shared" si="5"/>
        <v>0</v>
      </c>
      <c r="S43" s="28">
        <f t="shared" si="5"/>
        <v>0</v>
      </c>
      <c r="T43" s="28">
        <f t="shared" si="5"/>
        <v>0</v>
      </c>
      <c r="U43" s="28">
        <f t="shared" si="5"/>
        <v>0</v>
      </c>
      <c r="V43" s="28">
        <f t="shared" si="5"/>
        <v>0</v>
      </c>
      <c r="W43" s="28">
        <f t="shared" si="5"/>
        <v>0</v>
      </c>
      <c r="X43" s="28">
        <f t="shared" si="5"/>
        <v>0</v>
      </c>
      <c r="Y43" s="28">
        <f t="shared" si="5"/>
        <v>0</v>
      </c>
      <c r="Z43" s="28">
        <f t="shared" si="5"/>
        <v>0</v>
      </c>
      <c r="AA43" s="28">
        <f t="shared" si="5"/>
        <v>0</v>
      </c>
      <c r="AB43" s="28">
        <f t="shared" si="5"/>
        <v>0</v>
      </c>
      <c r="AC43" s="28">
        <f t="shared" si="5"/>
        <v>0</v>
      </c>
      <c r="AD43" s="28">
        <f t="shared" si="5"/>
        <v>0</v>
      </c>
      <c r="AE43" s="28">
        <f t="shared" si="5"/>
        <v>0</v>
      </c>
      <c r="AF43" s="28">
        <f t="shared" si="5"/>
        <v>0</v>
      </c>
      <c r="AG43" s="28">
        <f t="shared" si="5"/>
        <v>0</v>
      </c>
    </row>
    <row r="44" spans="1:16372" x14ac:dyDescent="0.2">
      <c r="D44"/>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79"/>
      <c r="E45"/>
      <c r="G45" s="180"/>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121</v>
      </c>
      <c r="D46" s="178" t="s">
        <v>100</v>
      </c>
      <c r="E46" s="100">
        <f>Assumptions!G101-'Option1 (base case)'!E29</f>
        <v>120071.80185952035</v>
      </c>
      <c r="G46" s="180" t="s">
        <v>109</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
        <v>122</v>
      </c>
      <c r="D47" s="178" t="s">
        <v>100</v>
      </c>
      <c r="E47" s="100">
        <f>Assumptions!H47*2</f>
        <v>48978</v>
      </c>
      <c r="G47" s="180" t="s">
        <v>109</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123</v>
      </c>
      <c r="D48" s="178" t="s">
        <v>100</v>
      </c>
      <c r="E48" s="100">
        <f>Assumptions!H48*1.5</f>
        <v>15180.519501258052</v>
      </c>
      <c r="G48" s="180" t="s">
        <v>109</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124</v>
      </c>
      <c r="D49" s="178" t="s">
        <v>100</v>
      </c>
      <c r="E49" s="100">
        <f>Assumptions!H49*1.5</f>
        <v>12444.0089061156</v>
      </c>
      <c r="G49" s="180" t="s">
        <v>109</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125</v>
      </c>
      <c r="D50" s="178" t="s">
        <v>100</v>
      </c>
      <c r="E50" s="100">
        <f>Assumptions!H50*1.5</f>
        <v>12798.901505346781</v>
      </c>
      <c r="G50" s="180" t="s">
        <v>109</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78"/>
      <c r="G51" s="180"/>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row>
    <row r="52" spans="1:43" x14ac:dyDescent="0.2">
      <c r="C52" s="1" t="s">
        <v>126</v>
      </c>
      <c r="D52" s="178"/>
      <c r="G52" s="180">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C53" s="1" t="s">
        <v>127</v>
      </c>
      <c r="D53" s="178"/>
      <c r="G53" s="180">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row>
    <row r="54" spans="1:43" x14ac:dyDescent="0.2">
      <c r="D54" s="178"/>
      <c r="G54" s="178"/>
    </row>
    <row r="55" spans="1:43" x14ac:dyDescent="0.2">
      <c r="C55" s="3" t="s">
        <v>128</v>
      </c>
      <c r="D55" s="190"/>
      <c r="E55" s="95"/>
      <c r="F55" s="3"/>
      <c r="G55" s="183">
        <f>input_dollars</f>
        <v>45291</v>
      </c>
      <c r="H55" s="95"/>
      <c r="I55" s="94" cm="1">
        <f t="array" ref="I55">SUMPRODUCT((I$46:I$50)*($E$46:$E$50))+SUM(I52:I53)+I43</f>
        <v>0</v>
      </c>
      <c r="J55" s="94" cm="1">
        <f t="array" ref="J55">SUMPRODUCT((J$46:J$50)*($E$46:$E$50))+SUM(J52:J53)+J43</f>
        <v>0</v>
      </c>
      <c r="K55" s="94" cm="1">
        <f t="array" ref="K55">SUMPRODUCT((K$46:K$50)*($E$46:$E$50))+SUM(K52:K53)+K43</f>
        <v>0</v>
      </c>
      <c r="L55" s="94" cm="1">
        <f t="array" ref="L55">SUMPRODUCT((L$46:L$50)*($E$46:$E$50))+SUM(L52:L53)+L43</f>
        <v>0</v>
      </c>
      <c r="M55" s="94" cm="1">
        <f t="array" ref="M55">SUMPRODUCT((M$46:M$50)*($E$46:$E$50))+SUM(M52:M53)+M43</f>
        <v>0</v>
      </c>
      <c r="N55" s="94" cm="1">
        <f t="array" ref="N55">SUMPRODUCT((N$46:N$50)*($E$46:$E$50))+SUM(N52:N53)+N43</f>
        <v>0</v>
      </c>
      <c r="O55" s="94" cm="1">
        <f t="array" ref="O55">SUMPRODUCT((O$46:O$50)*($E$46:$E$50))+SUM(O52:O53)+O43</f>
        <v>0</v>
      </c>
      <c r="P55" s="94" cm="1">
        <f t="array" ref="P55">SUMPRODUCT((P$46:P$50)*($E$46:$E$50))+SUM(P52:P53)+P43</f>
        <v>0</v>
      </c>
      <c r="Q55" s="94" cm="1">
        <f t="array" ref="Q55">SUMPRODUCT((Q$46:Q$50)*($E$46:$E$50))+SUM(Q52:Q53)+Q43</f>
        <v>0</v>
      </c>
      <c r="R55" s="94" cm="1">
        <f t="array" ref="R55">SUMPRODUCT((R$46:R$50)*($E$46:$E$50))+SUM(R52:R53)+R43</f>
        <v>0</v>
      </c>
      <c r="S55" s="94" cm="1">
        <f t="array" ref="S55">SUMPRODUCT((S$46:S$50)*($E$46:$E$50))+SUM(S52:S53)+S43</f>
        <v>0</v>
      </c>
      <c r="T55" s="94" cm="1">
        <f t="array" ref="T55">SUMPRODUCT((T$46:T$50)*($E$46:$E$50))+SUM(T52:T53)+T43</f>
        <v>0</v>
      </c>
      <c r="U55" s="94" cm="1">
        <f t="array" ref="U55">SUMPRODUCT((U$46:U$50)*($E$46:$E$50))+SUM(U52:U53)+U43</f>
        <v>0</v>
      </c>
      <c r="V55" s="94" cm="1">
        <f t="array" ref="V55">SUMPRODUCT((V$46:V$50)*($E$46:$E$50))+SUM(V52:V53)+V43</f>
        <v>0</v>
      </c>
      <c r="W55" s="94" cm="1">
        <f t="array" ref="W55">SUMPRODUCT((W$46:W$50)*($E$46:$E$50))+SUM(W52:W53)+W43</f>
        <v>0</v>
      </c>
      <c r="X55" s="94" cm="1">
        <f t="array" ref="X55">SUMPRODUCT((X$46:X$50)*($E$46:$E$50))+SUM(X52:X53)+X43</f>
        <v>0</v>
      </c>
      <c r="Y55" s="94" cm="1">
        <f t="array" ref="Y55">SUMPRODUCT((Y$46:Y$50)*($E$46:$E$50))+SUM(Y52:Y53)+Y43</f>
        <v>0</v>
      </c>
      <c r="Z55" s="94" cm="1">
        <f t="array" ref="Z55">SUMPRODUCT((Z$46:Z$50)*($E$46:$E$50))+SUM(Z52:Z53)+Z43</f>
        <v>0</v>
      </c>
      <c r="AA55" s="94" cm="1">
        <f t="array" ref="AA55">SUMPRODUCT((AA$46:AA$50)*($E$46:$E$50))+SUM(AA52:AA53)+AA43</f>
        <v>0</v>
      </c>
      <c r="AB55" s="94" cm="1">
        <f t="array" ref="AB55">SUMPRODUCT((AB$46:AB$50)*($E$46:$E$50))+SUM(AB52:AB53)+AB43</f>
        <v>0</v>
      </c>
      <c r="AC55" s="94" cm="1">
        <f t="array" ref="AC55">SUMPRODUCT((AC$46:AC$50)*($E$46:$E$50))+SUM(AC52:AC53)+AC43</f>
        <v>0</v>
      </c>
      <c r="AD55" s="94" cm="1">
        <f t="array" ref="AD55">SUMPRODUCT((AD$46:AD$50)*($E$46:$E$50))+SUM(AD52:AD53)+AD43</f>
        <v>0</v>
      </c>
      <c r="AE55" s="94" cm="1">
        <f t="array" ref="AE55">SUMPRODUCT((AE$46:AE$50)*($E$46:$E$50))+SUM(AE52:AE53)+AE43</f>
        <v>0</v>
      </c>
      <c r="AF55" s="94" cm="1">
        <f t="array" ref="AF55">SUMPRODUCT((AF$46:AF$50)*($E$46:$E$50))+SUM(AF52:AF53)+AF43</f>
        <v>0</v>
      </c>
      <c r="AG55" s="94" cm="1">
        <f t="array" ref="AG55">SUMPRODUCT((AG$46:AG$50)*($E$46:$E$50))+SUM(AG52:AG53)+AG43</f>
        <v>0</v>
      </c>
    </row>
    <row r="56" spans="1:43" x14ac:dyDescent="0.2">
      <c r="D56" s="178"/>
      <c r="G56" s="17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row>
    <row r="57" spans="1:43" x14ac:dyDescent="0.2">
      <c r="G57" s="17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row>
    <row r="58" spans="1:43" ht="15" x14ac:dyDescent="0.2">
      <c r="A58" s="78" t="s">
        <v>3</v>
      </c>
      <c r="B58" s="78"/>
      <c r="C58" s="78"/>
      <c r="D58" s="78"/>
      <c r="E58" s="78"/>
      <c r="F58" s="78"/>
      <c r="G58" s="177"/>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1"/>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4"/>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C61" s="4"/>
      <c r="F61" s="2"/>
      <c r="G61" s="185"/>
    </row>
    <row r="62" spans="1:43" x14ac:dyDescent="0.2">
      <c r="C62" s="4" t="s">
        <v>129</v>
      </c>
      <c r="G62" s="183">
        <f>input_dollars</f>
        <v>45291</v>
      </c>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row>
    <row r="63" spans="1:43" x14ac:dyDescent="0.2">
      <c r="G63" s="185"/>
    </row>
    <row r="64" spans="1:43" x14ac:dyDescent="0.2">
      <c r="A64" s="6"/>
      <c r="B64" s="6"/>
      <c r="C64" s="125" t="s">
        <v>14</v>
      </c>
      <c r="D64" s="34"/>
      <c r="F64" s="85"/>
      <c r="G64" s="186"/>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row>
    <row r="65" spans="1:33" x14ac:dyDescent="0.2">
      <c r="A65" s="6"/>
      <c r="B65" s="6"/>
      <c r="C65" s="4" t="str">
        <f>C14</f>
        <v>&lt; Enter description &gt;</v>
      </c>
      <c r="D65" s="34"/>
      <c r="F65" s="85"/>
      <c r="G65" s="183">
        <f>input_dollars</f>
        <v>45291</v>
      </c>
      <c r="H65" s="28"/>
      <c r="I65" s="28">
        <f t="shared" ref="I65:AG65" si="6">-I14</f>
        <v>0</v>
      </c>
      <c r="J65" s="28">
        <f t="shared" si="6"/>
        <v>0</v>
      </c>
      <c r="K65" s="28">
        <f t="shared" si="6"/>
        <v>0</v>
      </c>
      <c r="L65" s="28">
        <f t="shared" si="6"/>
        <v>0</v>
      </c>
      <c r="M65" s="28">
        <f t="shared" si="6"/>
        <v>0</v>
      </c>
      <c r="N65" s="28">
        <f t="shared" si="6"/>
        <v>0</v>
      </c>
      <c r="O65" s="28">
        <f t="shared" si="6"/>
        <v>0</v>
      </c>
      <c r="P65" s="28">
        <f t="shared" si="6"/>
        <v>0</v>
      </c>
      <c r="Q65" s="28">
        <f t="shared" si="6"/>
        <v>0</v>
      </c>
      <c r="R65" s="28">
        <f t="shared" si="6"/>
        <v>0</v>
      </c>
      <c r="S65" s="28">
        <f t="shared" si="6"/>
        <v>0</v>
      </c>
      <c r="T65" s="28">
        <f t="shared" si="6"/>
        <v>0</v>
      </c>
      <c r="U65" s="28">
        <f t="shared" si="6"/>
        <v>0</v>
      </c>
      <c r="V65" s="28">
        <f t="shared" si="6"/>
        <v>0</v>
      </c>
      <c r="W65" s="28">
        <f t="shared" si="6"/>
        <v>0</v>
      </c>
      <c r="X65" s="28">
        <f t="shared" si="6"/>
        <v>0</v>
      </c>
      <c r="Y65" s="28">
        <f t="shared" si="6"/>
        <v>0</v>
      </c>
      <c r="Z65" s="28">
        <f t="shared" si="6"/>
        <v>0</v>
      </c>
      <c r="AA65" s="28">
        <f t="shared" si="6"/>
        <v>0</v>
      </c>
      <c r="AB65" s="28">
        <f t="shared" si="6"/>
        <v>0</v>
      </c>
      <c r="AC65" s="28">
        <f t="shared" si="6"/>
        <v>0</v>
      </c>
      <c r="AD65" s="28">
        <f t="shared" si="6"/>
        <v>0</v>
      </c>
      <c r="AE65" s="28">
        <f t="shared" si="6"/>
        <v>0</v>
      </c>
      <c r="AF65" s="28">
        <f t="shared" si="6"/>
        <v>0</v>
      </c>
      <c r="AG65" s="28">
        <f t="shared" si="6"/>
        <v>0</v>
      </c>
    </row>
    <row r="66" spans="1:33" x14ac:dyDescent="0.2">
      <c r="A66" s="6"/>
      <c r="B66" s="6"/>
      <c r="C66" s="4" t="str">
        <f>C15</f>
        <v>&lt; Enter description &gt;</v>
      </c>
      <c r="D66" s="34"/>
      <c r="F66" s="85"/>
      <c r="G66" s="183">
        <f>input_dollars</f>
        <v>45291</v>
      </c>
      <c r="H66" s="28"/>
      <c r="I66" s="28">
        <f t="shared" ref="I66:AG66" si="7">-I15</f>
        <v>0</v>
      </c>
      <c r="J66" s="28">
        <f t="shared" si="7"/>
        <v>0</v>
      </c>
      <c r="K66" s="28">
        <f t="shared" si="7"/>
        <v>0</v>
      </c>
      <c r="L66" s="28">
        <f t="shared" si="7"/>
        <v>0</v>
      </c>
      <c r="M66" s="28">
        <f t="shared" si="7"/>
        <v>0</v>
      </c>
      <c r="N66" s="28">
        <f t="shared" si="7"/>
        <v>0</v>
      </c>
      <c r="O66" s="28">
        <f t="shared" si="7"/>
        <v>0</v>
      </c>
      <c r="P66" s="28">
        <f t="shared" si="7"/>
        <v>0</v>
      </c>
      <c r="Q66" s="28">
        <f t="shared" si="7"/>
        <v>0</v>
      </c>
      <c r="R66" s="28">
        <f t="shared" si="7"/>
        <v>0</v>
      </c>
      <c r="S66" s="28">
        <f t="shared" si="7"/>
        <v>0</v>
      </c>
      <c r="T66" s="28">
        <f t="shared" si="7"/>
        <v>0</v>
      </c>
      <c r="U66" s="28">
        <f t="shared" si="7"/>
        <v>0</v>
      </c>
      <c r="V66" s="28">
        <f t="shared" si="7"/>
        <v>0</v>
      </c>
      <c r="W66" s="28">
        <f t="shared" si="7"/>
        <v>0</v>
      </c>
      <c r="X66" s="28">
        <f t="shared" si="7"/>
        <v>0</v>
      </c>
      <c r="Y66" s="28">
        <f t="shared" si="7"/>
        <v>0</v>
      </c>
      <c r="Z66" s="28">
        <f t="shared" si="7"/>
        <v>0</v>
      </c>
      <c r="AA66" s="28">
        <f t="shared" si="7"/>
        <v>0</v>
      </c>
      <c r="AB66" s="28">
        <f t="shared" si="7"/>
        <v>0</v>
      </c>
      <c r="AC66" s="28">
        <f t="shared" si="7"/>
        <v>0</v>
      </c>
      <c r="AD66" s="28">
        <f t="shared" si="7"/>
        <v>0</v>
      </c>
      <c r="AE66" s="28">
        <f t="shared" si="7"/>
        <v>0</v>
      </c>
      <c r="AF66" s="28">
        <f t="shared" si="7"/>
        <v>0</v>
      </c>
      <c r="AG66" s="28">
        <f t="shared" si="7"/>
        <v>0</v>
      </c>
    </row>
    <row r="67" spans="1:33" x14ac:dyDescent="0.2">
      <c r="A67" s="6"/>
      <c r="B67" s="6"/>
      <c r="C67" s="4" t="str">
        <f>C16</f>
        <v>&lt; Enter description &gt;</v>
      </c>
      <c r="D67" s="34"/>
      <c r="F67" s="85"/>
      <c r="G67" s="183">
        <f>input_dollars</f>
        <v>45291</v>
      </c>
      <c r="H67" s="28"/>
      <c r="I67" s="28">
        <f t="shared" ref="I67:AG67" si="8">-I16</f>
        <v>0</v>
      </c>
      <c r="J67" s="28">
        <f t="shared" si="8"/>
        <v>0</v>
      </c>
      <c r="K67" s="28">
        <f t="shared" si="8"/>
        <v>0</v>
      </c>
      <c r="L67" s="28">
        <f t="shared" si="8"/>
        <v>0</v>
      </c>
      <c r="M67" s="28">
        <f t="shared" si="8"/>
        <v>0</v>
      </c>
      <c r="N67" s="28">
        <f t="shared" si="8"/>
        <v>0</v>
      </c>
      <c r="O67" s="28">
        <f t="shared" si="8"/>
        <v>0</v>
      </c>
      <c r="P67" s="28">
        <f t="shared" si="8"/>
        <v>0</v>
      </c>
      <c r="Q67" s="28">
        <f t="shared" si="8"/>
        <v>0</v>
      </c>
      <c r="R67" s="28">
        <f t="shared" si="8"/>
        <v>0</v>
      </c>
      <c r="S67" s="28">
        <f t="shared" si="8"/>
        <v>0</v>
      </c>
      <c r="T67" s="28">
        <f t="shared" si="8"/>
        <v>0</v>
      </c>
      <c r="U67" s="28">
        <f t="shared" si="8"/>
        <v>0</v>
      </c>
      <c r="V67" s="28">
        <f t="shared" si="8"/>
        <v>0</v>
      </c>
      <c r="W67" s="28">
        <f t="shared" si="8"/>
        <v>0</v>
      </c>
      <c r="X67" s="28">
        <f t="shared" si="8"/>
        <v>0</v>
      </c>
      <c r="Y67" s="28">
        <f t="shared" si="8"/>
        <v>0</v>
      </c>
      <c r="Z67" s="28">
        <f t="shared" si="8"/>
        <v>0</v>
      </c>
      <c r="AA67" s="28">
        <f t="shared" si="8"/>
        <v>0</v>
      </c>
      <c r="AB67" s="28">
        <f t="shared" si="8"/>
        <v>0</v>
      </c>
      <c r="AC67" s="28">
        <f t="shared" si="8"/>
        <v>0</v>
      </c>
      <c r="AD67" s="28">
        <f t="shared" si="8"/>
        <v>0</v>
      </c>
      <c r="AE67" s="28">
        <f t="shared" si="8"/>
        <v>0</v>
      </c>
      <c r="AF67" s="28">
        <f t="shared" si="8"/>
        <v>0</v>
      </c>
      <c r="AG67" s="28">
        <f t="shared" si="8"/>
        <v>0</v>
      </c>
    </row>
    <row r="68" spans="1:33" x14ac:dyDescent="0.2">
      <c r="A68" s="6"/>
      <c r="B68" s="6"/>
      <c r="C68" s="4"/>
      <c r="D68" s="34"/>
      <c r="F68" s="85"/>
      <c r="G68" s="187"/>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row>
    <row r="69" spans="1:33" x14ac:dyDescent="0.2">
      <c r="A69" s="6"/>
      <c r="B69" s="6"/>
      <c r="C69" s="125" t="s">
        <v>130</v>
      </c>
      <c r="D69" s="34"/>
      <c r="F69" s="85"/>
      <c r="G69" s="186"/>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x14ac:dyDescent="0.2">
      <c r="A70" s="6"/>
      <c r="B70" s="6"/>
      <c r="C70" s="4" t="str">
        <f>C14</f>
        <v>&lt; Enter description &gt;</v>
      </c>
      <c r="D70" s="34"/>
      <c r="F70" s="85"/>
      <c r="G70" s="183">
        <f>input_dollars</f>
        <v>45291</v>
      </c>
      <c r="H70" s="28"/>
      <c r="I70" s="28" cm="1">
        <f t="array" ref="I70">SUMPRODUCT(($I65:I65))-SUMPRODUCT(($I65:I65)*($I$6:I$6&lt;=(I$6-$E14)))</f>
        <v>0</v>
      </c>
      <c r="J70" s="28" cm="1">
        <f t="array" ref="J70">SUMPRODUCT(($I65:J65))-SUMPRODUCT(($I65:J65)*($I$6:J$6&lt;=(J$6-$E14)))</f>
        <v>0</v>
      </c>
      <c r="K70" s="28" cm="1">
        <f t="array" ref="K70">SUMPRODUCT(($I65:K65))-SUMPRODUCT(($I65:K65)*($I$6:K$6&lt;=(K$6-$E14)))</f>
        <v>0</v>
      </c>
      <c r="L70" s="28" cm="1">
        <f t="array" ref="L70">SUMPRODUCT(($I65:L65))-SUMPRODUCT(($I65:L65)*($I$6:L$6&lt;=(L$6-$E14)))</f>
        <v>0</v>
      </c>
      <c r="M70" s="28" cm="1">
        <f t="array" ref="M70">SUMPRODUCT(($I65:M65))-SUMPRODUCT(($I65:M65)*($I$6:M$6&lt;=(M$6-$E14)))</f>
        <v>0</v>
      </c>
      <c r="N70" s="28" cm="1">
        <f t="array" ref="N70">SUMPRODUCT(($I65:N65))-SUMPRODUCT(($I65:N65)*($I$6:N$6&lt;=(N$6-$E14)))</f>
        <v>0</v>
      </c>
      <c r="O70" s="28" cm="1">
        <f t="array" ref="O70">SUMPRODUCT(($I65:O65))-SUMPRODUCT(($I65:O65)*($I$6:O$6&lt;=(O$6-$E14)))</f>
        <v>0</v>
      </c>
      <c r="P70" s="28" cm="1">
        <f t="array" ref="P70">SUMPRODUCT(($I65:P65))-SUMPRODUCT(($I65:P65)*($I$6:P$6&lt;=(P$6-$E14)))</f>
        <v>0</v>
      </c>
      <c r="Q70" s="28" cm="1">
        <f t="array" ref="Q70">SUMPRODUCT(($I65:Q65))-SUMPRODUCT(($I65:Q65)*($I$6:Q$6&lt;=(Q$6-$E14)))</f>
        <v>0</v>
      </c>
      <c r="R70" s="28" cm="1">
        <f t="array" ref="R70">SUMPRODUCT(($I65:R65))-SUMPRODUCT(($I65:R65)*($I$6:R$6&lt;=(R$6-$E14)))</f>
        <v>0</v>
      </c>
      <c r="S70" s="28" cm="1">
        <f t="array" ref="S70">SUMPRODUCT(($I65:S65))-SUMPRODUCT(($I65:S65)*($I$6:S$6&lt;=(S$6-$E14)))</f>
        <v>0</v>
      </c>
      <c r="T70" s="28" cm="1">
        <f t="array" ref="T70">SUMPRODUCT(($I65:T65))-SUMPRODUCT(($I65:T65)*($I$6:T$6&lt;=(T$6-$E14)))</f>
        <v>0</v>
      </c>
      <c r="U70" s="28" cm="1">
        <f t="array" ref="U70">SUMPRODUCT(($I65:U65))-SUMPRODUCT(($I65:U65)*($I$6:U$6&lt;=(U$6-$E14)))</f>
        <v>0</v>
      </c>
      <c r="V70" s="28" cm="1">
        <f t="array" ref="V70">SUMPRODUCT(($I65:V65))-SUMPRODUCT(($I65:V65)*($I$6:V$6&lt;=(V$6-$E14)))</f>
        <v>0</v>
      </c>
      <c r="W70" s="28" cm="1">
        <f t="array" ref="W70">SUMPRODUCT(($I65:W65))-SUMPRODUCT(($I65:W65)*($I$6:W$6&lt;=(W$6-$E14)))</f>
        <v>0</v>
      </c>
      <c r="X70" s="28" cm="1">
        <f t="array" ref="X70">SUMPRODUCT(($I65:X65))-SUMPRODUCT(($I65:X65)*($I$6:X$6&lt;=(X$6-$E14)))</f>
        <v>0</v>
      </c>
      <c r="Y70" s="28" cm="1">
        <f t="array" ref="Y70">SUMPRODUCT(($I65:Y65))-SUMPRODUCT(($I65:Y65)*($I$6:Y$6&lt;=(Y$6-$E14)))</f>
        <v>0</v>
      </c>
      <c r="Z70" s="28" cm="1">
        <f t="array" ref="Z70">SUMPRODUCT(($I65:Z65))-SUMPRODUCT(($I65:Z65)*($I$6:Z$6&lt;=(Z$6-$E14)))</f>
        <v>0</v>
      </c>
      <c r="AA70" s="28" cm="1">
        <f t="array" ref="AA70">SUMPRODUCT(($I65:AA65))-SUMPRODUCT(($I65:AA65)*($I$6:AA$6&lt;=(AA$6-$E14)))</f>
        <v>0</v>
      </c>
      <c r="AB70" s="28" cm="1">
        <f t="array" ref="AB70">SUMPRODUCT(($I65:AB65))-SUMPRODUCT(($I65:AB65)*($I$6:AB$6&lt;=(AB$6-$E14)))</f>
        <v>0</v>
      </c>
      <c r="AC70" s="28" cm="1">
        <f t="array" ref="AC70">SUMPRODUCT(($I65:AC65))-SUMPRODUCT(($I65:AC65)*($I$6:AC$6&lt;=(AC$6-$E14)))</f>
        <v>0</v>
      </c>
      <c r="AD70" s="28" cm="1">
        <f t="array" ref="AD70">SUMPRODUCT(($I65:AD65))-SUMPRODUCT(($I65:AD65)*($I$6:AD$6&lt;=(AD$6-$E14)))</f>
        <v>0</v>
      </c>
      <c r="AE70" s="28" cm="1">
        <f t="array" ref="AE70">SUMPRODUCT(($I65:AE65))-SUMPRODUCT(($I65:AE65)*($I$6:AE$6&lt;=(AE$6-$E14)))</f>
        <v>0</v>
      </c>
      <c r="AF70" s="28" cm="1">
        <f t="array" ref="AF70">SUMPRODUCT(($I65:AF65))-SUMPRODUCT(($I65:AF65)*($I$6:AF$6&lt;=(AF$6-$E14)))</f>
        <v>0</v>
      </c>
      <c r="AG70" s="28" cm="1">
        <f t="array" ref="AG70">SUMPRODUCT(($I65:AG65))-SUMPRODUCT(($I65:AG65)*($I$6:AG$6&lt;=(AG$6-$E14)))</f>
        <v>0</v>
      </c>
    </row>
    <row r="71" spans="1:33" x14ac:dyDescent="0.2">
      <c r="A71" s="6"/>
      <c r="B71" s="6"/>
      <c r="C71" s="4" t="str">
        <f>C15</f>
        <v>&lt; Enter description &gt;</v>
      </c>
      <c r="D71" s="34"/>
      <c r="F71" s="85"/>
      <c r="G71" s="183">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row>
    <row r="72" spans="1:33" x14ac:dyDescent="0.2">
      <c r="A72" s="6"/>
      <c r="B72" s="6"/>
      <c r="C72" s="4" t="str">
        <f>C16</f>
        <v>&lt; Enter description &gt;</v>
      </c>
      <c r="D72" s="34"/>
      <c r="F72" s="85"/>
      <c r="G72" s="183">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row>
    <row r="73" spans="1:33" x14ac:dyDescent="0.2">
      <c r="A73" s="6"/>
      <c r="B73" s="6"/>
      <c r="C73" s="4"/>
      <c r="D73" s="34"/>
      <c r="F73" s="85"/>
      <c r="G73" s="187"/>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row>
    <row r="74" spans="1:33" x14ac:dyDescent="0.2">
      <c r="A74" s="6"/>
      <c r="B74" s="6"/>
      <c r="C74" s="125" t="s">
        <v>131</v>
      </c>
      <c r="D74" s="34"/>
      <c r="F74" s="85"/>
      <c r="G74" s="186"/>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row>
    <row r="75" spans="1:33" x14ac:dyDescent="0.2">
      <c r="A75" s="6"/>
      <c r="B75" s="6"/>
      <c r="C75" s="4" t="str">
        <f>$C$74&amp;" - "&amp;C14</f>
        <v>Annualised capex - &lt; Enter description &gt;</v>
      </c>
      <c r="D75" s="34"/>
      <c r="F75" s="85"/>
      <c r="G75" s="183">
        <f>input_dollars</f>
        <v>45291</v>
      </c>
      <c r="H75" s="28"/>
      <c r="I75" s="28">
        <f t="shared" ref="I75:AG75" si="9">IF($E14=0,0,-PMT(real_disc, $E14,H70,))</f>
        <v>0</v>
      </c>
      <c r="J75" s="28">
        <f t="shared" si="9"/>
        <v>0</v>
      </c>
      <c r="K75" s="28">
        <f t="shared" si="9"/>
        <v>0</v>
      </c>
      <c r="L75" s="28">
        <f t="shared" si="9"/>
        <v>0</v>
      </c>
      <c r="M75" s="28">
        <f t="shared" si="9"/>
        <v>0</v>
      </c>
      <c r="N75" s="28">
        <f t="shared" si="9"/>
        <v>0</v>
      </c>
      <c r="O75" s="28">
        <f t="shared" si="9"/>
        <v>0</v>
      </c>
      <c r="P75" s="28">
        <f t="shared" si="9"/>
        <v>0</v>
      </c>
      <c r="Q75" s="28">
        <f t="shared" si="9"/>
        <v>0</v>
      </c>
      <c r="R75" s="28">
        <f t="shared" si="9"/>
        <v>0</v>
      </c>
      <c r="S75" s="28">
        <f t="shared" si="9"/>
        <v>0</v>
      </c>
      <c r="T75" s="28">
        <f t="shared" si="9"/>
        <v>0</v>
      </c>
      <c r="U75" s="28">
        <f t="shared" si="9"/>
        <v>0</v>
      </c>
      <c r="V75" s="28">
        <f t="shared" si="9"/>
        <v>0</v>
      </c>
      <c r="W75" s="28">
        <f t="shared" si="9"/>
        <v>0</v>
      </c>
      <c r="X75" s="28">
        <f t="shared" si="9"/>
        <v>0</v>
      </c>
      <c r="Y75" s="28">
        <f t="shared" si="9"/>
        <v>0</v>
      </c>
      <c r="Z75" s="28">
        <f t="shared" si="9"/>
        <v>0</v>
      </c>
      <c r="AA75" s="28">
        <f t="shared" si="9"/>
        <v>0</v>
      </c>
      <c r="AB75" s="28">
        <f t="shared" si="9"/>
        <v>0</v>
      </c>
      <c r="AC75" s="28">
        <f t="shared" si="9"/>
        <v>0</v>
      </c>
      <c r="AD75" s="28">
        <f t="shared" si="9"/>
        <v>0</v>
      </c>
      <c r="AE75" s="28">
        <f t="shared" si="9"/>
        <v>0</v>
      </c>
      <c r="AF75" s="28">
        <f t="shared" si="9"/>
        <v>0</v>
      </c>
      <c r="AG75" s="28">
        <f t="shared" si="9"/>
        <v>0</v>
      </c>
    </row>
    <row r="76" spans="1:33" x14ac:dyDescent="0.2">
      <c r="A76" s="6"/>
      <c r="B76" s="6"/>
      <c r="C76" s="4" t="str">
        <f>$C$74&amp;" - "&amp;C15</f>
        <v>Annualised capex - &lt; Enter description &gt;</v>
      </c>
      <c r="D76" s="34"/>
      <c r="F76" s="85"/>
      <c r="G76" s="183">
        <f>input_dollars</f>
        <v>45291</v>
      </c>
      <c r="H76" s="28"/>
      <c r="I76" s="28">
        <f t="shared" ref="I76:AG76" si="10">IF($E15=0,0,-PMT(real_disc, $E15,H71,))</f>
        <v>0</v>
      </c>
      <c r="J76" s="28">
        <f t="shared" si="10"/>
        <v>0</v>
      </c>
      <c r="K76" s="28">
        <f t="shared" si="10"/>
        <v>0</v>
      </c>
      <c r="L76" s="28">
        <f t="shared" si="10"/>
        <v>0</v>
      </c>
      <c r="M76" s="28">
        <f t="shared" si="10"/>
        <v>0</v>
      </c>
      <c r="N76" s="28">
        <f t="shared" si="10"/>
        <v>0</v>
      </c>
      <c r="O76" s="28">
        <f t="shared" si="10"/>
        <v>0</v>
      </c>
      <c r="P76" s="28">
        <f t="shared" si="10"/>
        <v>0</v>
      </c>
      <c r="Q76" s="28">
        <f t="shared" si="10"/>
        <v>0</v>
      </c>
      <c r="R76" s="28">
        <f t="shared" si="10"/>
        <v>0</v>
      </c>
      <c r="S76" s="28">
        <f t="shared" si="10"/>
        <v>0</v>
      </c>
      <c r="T76" s="28">
        <f t="shared" si="10"/>
        <v>0</v>
      </c>
      <c r="U76" s="28">
        <f t="shared" si="10"/>
        <v>0</v>
      </c>
      <c r="V76" s="28">
        <f t="shared" si="10"/>
        <v>0</v>
      </c>
      <c r="W76" s="28">
        <f t="shared" si="10"/>
        <v>0</v>
      </c>
      <c r="X76" s="28">
        <f t="shared" si="10"/>
        <v>0</v>
      </c>
      <c r="Y76" s="28">
        <f t="shared" si="10"/>
        <v>0</v>
      </c>
      <c r="Z76" s="28">
        <f t="shared" si="10"/>
        <v>0</v>
      </c>
      <c r="AA76" s="28">
        <f t="shared" si="10"/>
        <v>0</v>
      </c>
      <c r="AB76" s="28">
        <f t="shared" si="10"/>
        <v>0</v>
      </c>
      <c r="AC76" s="28">
        <f t="shared" si="10"/>
        <v>0</v>
      </c>
      <c r="AD76" s="28">
        <f t="shared" si="10"/>
        <v>0</v>
      </c>
      <c r="AE76" s="28">
        <f t="shared" si="10"/>
        <v>0</v>
      </c>
      <c r="AF76" s="28">
        <f t="shared" si="10"/>
        <v>0</v>
      </c>
      <c r="AG76" s="28">
        <f t="shared" si="10"/>
        <v>0</v>
      </c>
    </row>
    <row r="77" spans="1:33" x14ac:dyDescent="0.2">
      <c r="A77" s="6"/>
      <c r="B77" s="6"/>
      <c r="C77" s="4" t="str">
        <f>$C$74&amp;" - "&amp;C16</f>
        <v>Annualised capex - &lt; Enter description &gt;</v>
      </c>
      <c r="D77" s="34"/>
      <c r="F77" s="85"/>
      <c r="G77" s="183">
        <f>input_dollars</f>
        <v>45291</v>
      </c>
      <c r="H77" s="28"/>
      <c r="I77" s="28">
        <f t="shared" ref="I77:AG77" si="11">IF($E16=0,0,-PMT(real_disc, $E16,H72,))</f>
        <v>0</v>
      </c>
      <c r="J77" s="28">
        <f t="shared" si="11"/>
        <v>0</v>
      </c>
      <c r="K77" s="28">
        <f t="shared" si="11"/>
        <v>0</v>
      </c>
      <c r="L77" s="28">
        <f t="shared" si="11"/>
        <v>0</v>
      </c>
      <c r="M77" s="28">
        <f t="shared" si="11"/>
        <v>0</v>
      </c>
      <c r="N77" s="28">
        <f t="shared" si="11"/>
        <v>0</v>
      </c>
      <c r="O77" s="28">
        <f t="shared" si="11"/>
        <v>0</v>
      </c>
      <c r="P77" s="28">
        <f t="shared" si="11"/>
        <v>0</v>
      </c>
      <c r="Q77" s="28">
        <f t="shared" si="11"/>
        <v>0</v>
      </c>
      <c r="R77" s="28">
        <f t="shared" si="11"/>
        <v>0</v>
      </c>
      <c r="S77" s="28">
        <f t="shared" si="11"/>
        <v>0</v>
      </c>
      <c r="T77" s="28">
        <f t="shared" si="11"/>
        <v>0</v>
      </c>
      <c r="U77" s="28">
        <f t="shared" si="11"/>
        <v>0</v>
      </c>
      <c r="V77" s="28">
        <f t="shared" si="11"/>
        <v>0</v>
      </c>
      <c r="W77" s="28">
        <f t="shared" si="11"/>
        <v>0</v>
      </c>
      <c r="X77" s="28">
        <f t="shared" si="11"/>
        <v>0</v>
      </c>
      <c r="Y77" s="28">
        <f t="shared" si="11"/>
        <v>0</v>
      </c>
      <c r="Z77" s="28">
        <f t="shared" si="11"/>
        <v>0</v>
      </c>
      <c r="AA77" s="28">
        <f t="shared" si="11"/>
        <v>0</v>
      </c>
      <c r="AB77" s="28">
        <f t="shared" si="11"/>
        <v>0</v>
      </c>
      <c r="AC77" s="28">
        <f t="shared" si="11"/>
        <v>0</v>
      </c>
      <c r="AD77" s="28">
        <f t="shared" si="11"/>
        <v>0</v>
      </c>
      <c r="AE77" s="28">
        <f t="shared" si="11"/>
        <v>0</v>
      </c>
      <c r="AF77" s="28">
        <f t="shared" si="11"/>
        <v>0</v>
      </c>
      <c r="AG77" s="28">
        <f t="shared" si="11"/>
        <v>0</v>
      </c>
    </row>
    <row r="78" spans="1:33" x14ac:dyDescent="0.2">
      <c r="A78" s="6"/>
      <c r="B78" s="6"/>
      <c r="C78" s="148" t="s">
        <v>132</v>
      </c>
      <c r="D78" s="148"/>
      <c r="E78" s="149"/>
      <c r="F78" s="150"/>
      <c r="G78" s="188">
        <f>input_dollars</f>
        <v>45291</v>
      </c>
      <c r="H78" s="151"/>
      <c r="I78" s="151">
        <f>SUM(I75:I77)</f>
        <v>0</v>
      </c>
      <c r="J78" s="151">
        <f t="shared" ref="J78:AB78" si="12">SUM(J75:J77)</f>
        <v>0</v>
      </c>
      <c r="K78" s="151">
        <f t="shared" si="12"/>
        <v>0</v>
      </c>
      <c r="L78" s="151">
        <f t="shared" si="12"/>
        <v>0</v>
      </c>
      <c r="M78" s="151">
        <f t="shared" si="12"/>
        <v>0</v>
      </c>
      <c r="N78" s="151">
        <f t="shared" si="12"/>
        <v>0</v>
      </c>
      <c r="O78" s="151">
        <f t="shared" si="12"/>
        <v>0</v>
      </c>
      <c r="P78" s="151">
        <f t="shared" si="12"/>
        <v>0</v>
      </c>
      <c r="Q78" s="151">
        <f t="shared" si="12"/>
        <v>0</v>
      </c>
      <c r="R78" s="151">
        <f t="shared" si="12"/>
        <v>0</v>
      </c>
      <c r="S78" s="151">
        <f t="shared" si="12"/>
        <v>0</v>
      </c>
      <c r="T78" s="151">
        <f t="shared" si="12"/>
        <v>0</v>
      </c>
      <c r="U78" s="151">
        <f t="shared" si="12"/>
        <v>0</v>
      </c>
      <c r="V78" s="151">
        <f t="shared" si="12"/>
        <v>0</v>
      </c>
      <c r="W78" s="151">
        <f t="shared" si="12"/>
        <v>0</v>
      </c>
      <c r="X78" s="151">
        <f t="shared" si="12"/>
        <v>0</v>
      </c>
      <c r="Y78" s="151">
        <f t="shared" si="12"/>
        <v>0</v>
      </c>
      <c r="Z78" s="151">
        <f t="shared" si="12"/>
        <v>0</v>
      </c>
      <c r="AA78" s="151">
        <f t="shared" si="12"/>
        <v>0</v>
      </c>
      <c r="AB78" s="151">
        <f t="shared" si="12"/>
        <v>0</v>
      </c>
      <c r="AC78" s="151">
        <f>SUM(AC75:AC77)</f>
        <v>0</v>
      </c>
      <c r="AD78" s="151">
        <f>SUM(AD75:AD77)</f>
        <v>0</v>
      </c>
      <c r="AE78" s="151">
        <f>SUM(AE75:AE77)</f>
        <v>0</v>
      </c>
      <c r="AF78" s="151">
        <f>SUM(AF75:AF77)</f>
        <v>0</v>
      </c>
      <c r="AG78" s="151">
        <f>SUM(AG75:AG77)</f>
        <v>0</v>
      </c>
    </row>
    <row r="79" spans="1:33" x14ac:dyDescent="0.2">
      <c r="A79" s="6"/>
      <c r="B79" s="6"/>
      <c r="C79" s="12"/>
      <c r="D79" s="34"/>
      <c r="F79"/>
      <c r="G79" s="189"/>
      <c r="H79"/>
      <c r="I79"/>
      <c r="J79"/>
      <c r="K79"/>
      <c r="L79"/>
      <c r="M79"/>
      <c r="N79"/>
      <c r="O79"/>
      <c r="P79"/>
      <c r="Q79"/>
      <c r="R79"/>
      <c r="S79"/>
      <c r="T79"/>
      <c r="U79"/>
      <c r="V79"/>
      <c r="W79"/>
      <c r="X79"/>
      <c r="Y79"/>
      <c r="Z79"/>
      <c r="AA79"/>
      <c r="AB79"/>
      <c r="AC79"/>
      <c r="AD79"/>
      <c r="AE79"/>
      <c r="AF79"/>
      <c r="AG79"/>
    </row>
    <row r="80" spans="1:33" x14ac:dyDescent="0.2">
      <c r="A80" s="6"/>
      <c r="B80" s="6"/>
      <c r="C80" s="4" t="s">
        <v>131</v>
      </c>
      <c r="D80" s="34"/>
      <c r="F80" s="85"/>
      <c r="G80" s="183">
        <f t="shared" ref="G80:G85" si="13">input_dollars</f>
        <v>45291</v>
      </c>
      <c r="H80" s="28"/>
      <c r="I80" s="28">
        <f>I78</f>
        <v>0</v>
      </c>
      <c r="J80" s="28">
        <f t="shared" ref="J80:AB80" si="14">J78</f>
        <v>0</v>
      </c>
      <c r="K80" s="28">
        <f t="shared" si="14"/>
        <v>0</v>
      </c>
      <c r="L80" s="28">
        <f t="shared" si="14"/>
        <v>0</v>
      </c>
      <c r="M80" s="28">
        <f t="shared" si="14"/>
        <v>0</v>
      </c>
      <c r="N80" s="28">
        <f t="shared" si="14"/>
        <v>0</v>
      </c>
      <c r="O80" s="28">
        <f t="shared" si="14"/>
        <v>0</v>
      </c>
      <c r="P80" s="28">
        <f t="shared" si="14"/>
        <v>0</v>
      </c>
      <c r="Q80" s="28">
        <f t="shared" si="14"/>
        <v>0</v>
      </c>
      <c r="R80" s="28">
        <f t="shared" si="14"/>
        <v>0</v>
      </c>
      <c r="S80" s="28">
        <f t="shared" si="14"/>
        <v>0</v>
      </c>
      <c r="T80" s="28">
        <f t="shared" si="14"/>
        <v>0</v>
      </c>
      <c r="U80" s="28">
        <f t="shared" si="14"/>
        <v>0</v>
      </c>
      <c r="V80" s="28">
        <f t="shared" si="14"/>
        <v>0</v>
      </c>
      <c r="W80" s="28">
        <f t="shared" si="14"/>
        <v>0</v>
      </c>
      <c r="X80" s="28">
        <f t="shared" si="14"/>
        <v>0</v>
      </c>
      <c r="Y80" s="28">
        <f t="shared" si="14"/>
        <v>0</v>
      </c>
      <c r="Z80" s="28">
        <f t="shared" si="14"/>
        <v>0</v>
      </c>
      <c r="AA80" s="28">
        <f t="shared" si="14"/>
        <v>0</v>
      </c>
      <c r="AB80" s="28">
        <f t="shared" si="14"/>
        <v>0</v>
      </c>
      <c r="AC80" s="28">
        <f>AC78</f>
        <v>0</v>
      </c>
      <c r="AD80" s="28">
        <f>AD78</f>
        <v>0</v>
      </c>
      <c r="AE80" s="28">
        <f>AE78</f>
        <v>0</v>
      </c>
      <c r="AF80" s="28">
        <f>AF78</f>
        <v>0</v>
      </c>
      <c r="AG80" s="28">
        <f>AG78</f>
        <v>0</v>
      </c>
    </row>
    <row r="81" spans="1:33" x14ac:dyDescent="0.2">
      <c r="A81" s="6"/>
      <c r="B81" s="6"/>
      <c r="C81" s="4" t="s">
        <v>15</v>
      </c>
      <c r="D81" s="34"/>
      <c r="F81" s="85"/>
      <c r="G81" s="183">
        <f t="shared" si="13"/>
        <v>45291</v>
      </c>
      <c r="H81" s="28"/>
      <c r="I81" s="28">
        <f t="shared" ref="I81:AG81" si="15">-I19</f>
        <v>0</v>
      </c>
      <c r="J81" s="28">
        <f t="shared" si="15"/>
        <v>0</v>
      </c>
      <c r="K81" s="28">
        <f t="shared" si="15"/>
        <v>0</v>
      </c>
      <c r="L81" s="28">
        <f t="shared" si="15"/>
        <v>0</v>
      </c>
      <c r="M81" s="28">
        <f t="shared" si="15"/>
        <v>0</v>
      </c>
      <c r="N81" s="28">
        <f t="shared" si="15"/>
        <v>0</v>
      </c>
      <c r="O81" s="28">
        <f t="shared" si="15"/>
        <v>0</v>
      </c>
      <c r="P81" s="28">
        <f t="shared" si="15"/>
        <v>0</v>
      </c>
      <c r="Q81" s="28">
        <f t="shared" si="15"/>
        <v>0</v>
      </c>
      <c r="R81" s="28">
        <f t="shared" si="15"/>
        <v>0</v>
      </c>
      <c r="S81" s="28">
        <f t="shared" si="15"/>
        <v>0</v>
      </c>
      <c r="T81" s="28">
        <f t="shared" si="15"/>
        <v>0</v>
      </c>
      <c r="U81" s="28">
        <f t="shared" si="15"/>
        <v>0</v>
      </c>
      <c r="V81" s="28">
        <f t="shared" si="15"/>
        <v>0</v>
      </c>
      <c r="W81" s="28">
        <f t="shared" si="15"/>
        <v>0</v>
      </c>
      <c r="X81" s="28">
        <f t="shared" si="15"/>
        <v>0</v>
      </c>
      <c r="Y81" s="28">
        <f t="shared" si="15"/>
        <v>0</v>
      </c>
      <c r="Z81" s="28">
        <f t="shared" si="15"/>
        <v>0</v>
      </c>
      <c r="AA81" s="28">
        <f t="shared" si="15"/>
        <v>0</v>
      </c>
      <c r="AB81" s="28">
        <f t="shared" si="15"/>
        <v>0</v>
      </c>
      <c r="AC81" s="28">
        <f t="shared" si="15"/>
        <v>0</v>
      </c>
      <c r="AD81" s="28">
        <f t="shared" si="15"/>
        <v>0</v>
      </c>
      <c r="AE81" s="28">
        <f t="shared" si="15"/>
        <v>0</v>
      </c>
      <c r="AF81" s="28">
        <f t="shared" si="15"/>
        <v>0</v>
      </c>
      <c r="AG81" s="28">
        <f t="shared" si="15"/>
        <v>0</v>
      </c>
    </row>
    <row r="82" spans="1:33" x14ac:dyDescent="0.2">
      <c r="A82" s="6"/>
      <c r="B82" s="6"/>
      <c r="C82" s="4" t="s">
        <v>133</v>
      </c>
      <c r="D82" s="34"/>
      <c r="F82" s="85"/>
      <c r="G82" s="183">
        <f t="shared" si="13"/>
        <v>45291</v>
      </c>
      <c r="H82" s="28"/>
      <c r="I82" s="28">
        <f>I62</f>
        <v>0</v>
      </c>
      <c r="J82" s="28">
        <f t="shared" ref="J82:AB82" si="16">J62</f>
        <v>0</v>
      </c>
      <c r="K82" s="28">
        <f t="shared" si="16"/>
        <v>0</v>
      </c>
      <c r="L82" s="28">
        <f t="shared" si="16"/>
        <v>0</v>
      </c>
      <c r="M82" s="28">
        <f t="shared" si="16"/>
        <v>0</v>
      </c>
      <c r="N82" s="28">
        <f t="shared" si="16"/>
        <v>0</v>
      </c>
      <c r="O82" s="28">
        <f t="shared" si="16"/>
        <v>0</v>
      </c>
      <c r="P82" s="28">
        <f t="shared" si="16"/>
        <v>0</v>
      </c>
      <c r="Q82" s="28">
        <f t="shared" si="16"/>
        <v>0</v>
      </c>
      <c r="R82" s="28">
        <f t="shared" si="16"/>
        <v>0</v>
      </c>
      <c r="S82" s="28">
        <f t="shared" si="16"/>
        <v>0</v>
      </c>
      <c r="T82" s="28">
        <f t="shared" si="16"/>
        <v>0</v>
      </c>
      <c r="U82" s="28">
        <f t="shared" si="16"/>
        <v>0</v>
      </c>
      <c r="V82" s="28">
        <f t="shared" si="16"/>
        <v>0</v>
      </c>
      <c r="W82" s="28">
        <f t="shared" si="16"/>
        <v>0</v>
      </c>
      <c r="X82" s="28">
        <f t="shared" si="16"/>
        <v>0</v>
      </c>
      <c r="Y82" s="28">
        <f t="shared" si="16"/>
        <v>0</v>
      </c>
      <c r="Z82" s="28">
        <f t="shared" si="16"/>
        <v>0</v>
      </c>
      <c r="AA82" s="28">
        <f t="shared" si="16"/>
        <v>0</v>
      </c>
      <c r="AB82" s="28">
        <f t="shared" si="16"/>
        <v>0</v>
      </c>
      <c r="AC82" s="28">
        <f>AC62</f>
        <v>0</v>
      </c>
      <c r="AD82" s="28">
        <f>AD62</f>
        <v>0</v>
      </c>
      <c r="AE82" s="28">
        <f>AE62</f>
        <v>0</v>
      </c>
      <c r="AF82" s="28">
        <f>AF62</f>
        <v>0</v>
      </c>
      <c r="AG82" s="28">
        <f>AG62</f>
        <v>0</v>
      </c>
    </row>
    <row r="83" spans="1:33" x14ac:dyDescent="0.2">
      <c r="A83" s="6"/>
      <c r="B83" s="6"/>
      <c r="C83" s="4" t="s">
        <v>134</v>
      </c>
      <c r="D83" s="34"/>
      <c r="F83" s="85"/>
      <c r="G83" s="183">
        <f t="shared" si="13"/>
        <v>45291</v>
      </c>
      <c r="H83" s="28"/>
      <c r="I83" s="28">
        <f t="shared" ref="I83:AG83" si="17">I55</f>
        <v>0</v>
      </c>
      <c r="J83" s="28">
        <f t="shared" si="17"/>
        <v>0</v>
      </c>
      <c r="K83" s="28">
        <f t="shared" si="17"/>
        <v>0</v>
      </c>
      <c r="L83" s="28">
        <f t="shared" si="17"/>
        <v>0</v>
      </c>
      <c r="M83" s="28">
        <f t="shared" si="17"/>
        <v>0</v>
      </c>
      <c r="N83" s="28">
        <f t="shared" si="17"/>
        <v>0</v>
      </c>
      <c r="O83" s="28">
        <f t="shared" si="17"/>
        <v>0</v>
      </c>
      <c r="P83" s="28">
        <f t="shared" si="17"/>
        <v>0</v>
      </c>
      <c r="Q83" s="28">
        <f t="shared" si="17"/>
        <v>0</v>
      </c>
      <c r="R83" s="28">
        <f t="shared" si="17"/>
        <v>0</v>
      </c>
      <c r="S83" s="28">
        <f t="shared" si="17"/>
        <v>0</v>
      </c>
      <c r="T83" s="28">
        <f t="shared" si="17"/>
        <v>0</v>
      </c>
      <c r="U83" s="28">
        <f t="shared" si="17"/>
        <v>0</v>
      </c>
      <c r="V83" s="28">
        <f t="shared" si="17"/>
        <v>0</v>
      </c>
      <c r="W83" s="28">
        <f t="shared" si="17"/>
        <v>0</v>
      </c>
      <c r="X83" s="28">
        <f t="shared" si="17"/>
        <v>0</v>
      </c>
      <c r="Y83" s="28">
        <f t="shared" si="17"/>
        <v>0</v>
      </c>
      <c r="Z83" s="28">
        <f t="shared" si="17"/>
        <v>0</v>
      </c>
      <c r="AA83" s="28">
        <f t="shared" si="17"/>
        <v>0</v>
      </c>
      <c r="AB83" s="28">
        <f t="shared" si="17"/>
        <v>0</v>
      </c>
      <c r="AC83" s="28">
        <f t="shared" si="17"/>
        <v>0</v>
      </c>
      <c r="AD83" s="28">
        <f t="shared" si="17"/>
        <v>0</v>
      </c>
      <c r="AE83" s="28">
        <f t="shared" si="17"/>
        <v>0</v>
      </c>
      <c r="AF83" s="28">
        <f t="shared" si="17"/>
        <v>0</v>
      </c>
      <c r="AG83" s="28">
        <f t="shared" si="17"/>
        <v>0</v>
      </c>
    </row>
    <row r="84" spans="1:33" x14ac:dyDescent="0.2">
      <c r="A84" s="6"/>
      <c r="B84" s="6"/>
      <c r="C84" s="4"/>
      <c r="D84" s="34"/>
      <c r="F84" s="28"/>
      <c r="G84" s="183"/>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row>
    <row r="85" spans="1:33" x14ac:dyDescent="0.2">
      <c r="A85" s="6"/>
      <c r="B85" s="6"/>
      <c r="C85" s="155" t="s">
        <v>135</v>
      </c>
      <c r="D85" s="153"/>
      <c r="E85" s="149"/>
      <c r="F85" s="154"/>
      <c r="G85" s="188">
        <f t="shared" si="13"/>
        <v>45291</v>
      </c>
      <c r="H85" s="154"/>
      <c r="I85" s="154">
        <f t="shared" ref="I85:AB85" si="18">SUM(I80:I84)</f>
        <v>0</v>
      </c>
      <c r="J85" s="154">
        <f t="shared" si="18"/>
        <v>0</v>
      </c>
      <c r="K85" s="154">
        <f t="shared" si="18"/>
        <v>0</v>
      </c>
      <c r="L85" s="154">
        <f t="shared" si="18"/>
        <v>0</v>
      </c>
      <c r="M85" s="154">
        <f t="shared" si="18"/>
        <v>0</v>
      </c>
      <c r="N85" s="154">
        <f t="shared" si="18"/>
        <v>0</v>
      </c>
      <c r="O85" s="154">
        <f t="shared" si="18"/>
        <v>0</v>
      </c>
      <c r="P85" s="154">
        <f t="shared" si="18"/>
        <v>0</v>
      </c>
      <c r="Q85" s="154">
        <f t="shared" si="18"/>
        <v>0</v>
      </c>
      <c r="R85" s="154">
        <f t="shared" si="18"/>
        <v>0</v>
      </c>
      <c r="S85" s="154">
        <f t="shared" si="18"/>
        <v>0</v>
      </c>
      <c r="T85" s="154">
        <f t="shared" si="18"/>
        <v>0</v>
      </c>
      <c r="U85" s="154">
        <f t="shared" si="18"/>
        <v>0</v>
      </c>
      <c r="V85" s="154">
        <f t="shared" si="18"/>
        <v>0</v>
      </c>
      <c r="W85" s="154">
        <f t="shared" si="18"/>
        <v>0</v>
      </c>
      <c r="X85" s="154">
        <f t="shared" si="18"/>
        <v>0</v>
      </c>
      <c r="Y85" s="154">
        <f t="shared" si="18"/>
        <v>0</v>
      </c>
      <c r="Z85" s="154">
        <f t="shared" si="18"/>
        <v>0</v>
      </c>
      <c r="AA85" s="154">
        <f t="shared" si="18"/>
        <v>0</v>
      </c>
      <c r="AB85" s="154">
        <f t="shared" si="18"/>
        <v>0</v>
      </c>
      <c r="AC85" s="154">
        <f>SUM(AC80:AC84)</f>
        <v>0</v>
      </c>
      <c r="AD85" s="154">
        <f>SUM(AD80:AD84)</f>
        <v>0</v>
      </c>
      <c r="AE85" s="154">
        <f>SUM(AE80:AE84)</f>
        <v>0</v>
      </c>
      <c r="AF85" s="154">
        <f>SUM(AF80:AF84)</f>
        <v>0</v>
      </c>
      <c r="AG85" s="154">
        <f>SUM(AG80:AG84)</f>
        <v>0</v>
      </c>
    </row>
    <row r="86" spans="1:33" x14ac:dyDescent="0.2">
      <c r="A86" s="6"/>
      <c r="B86" s="6"/>
      <c r="C86" s="12"/>
      <c r="D86" s="34"/>
      <c r="F86" s="118"/>
      <c r="G86" s="183"/>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row>
    <row r="87" spans="1:33" x14ac:dyDescent="0.2">
      <c r="A87" s="6"/>
      <c r="B87" s="6"/>
      <c r="C87" s="12"/>
      <c r="D87" s="34"/>
      <c r="F87" s="118"/>
      <c r="G87" s="183"/>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row>
    <row r="88" spans="1:33" x14ac:dyDescent="0.2">
      <c r="A88" s="6"/>
      <c r="B88" s="6"/>
      <c r="C88" s="202"/>
      <c r="D88" s="72"/>
      <c r="E88" s="203"/>
      <c r="F88" s="204"/>
      <c r="G88" s="203"/>
      <c r="H88" s="6"/>
      <c r="I88" s="6"/>
      <c r="J88" s="6"/>
      <c r="K88" s="6"/>
      <c r="L88" s="6"/>
      <c r="M88" s="6"/>
      <c r="N88" s="6"/>
      <c r="O88" s="6"/>
      <c r="P88" s="6"/>
      <c r="Q88" s="6"/>
      <c r="R88" s="6"/>
      <c r="S88" s="6"/>
      <c r="T88" s="6"/>
      <c r="U88" s="6"/>
      <c r="V88" s="6"/>
      <c r="W88" s="6"/>
      <c r="X88" s="6"/>
      <c r="Y88" s="6"/>
      <c r="Z88" s="6"/>
      <c r="AA88" s="6"/>
      <c r="AB88" s="6"/>
      <c r="AC88" s="6"/>
      <c r="AD88" s="6"/>
      <c r="AE88" s="6"/>
      <c r="AF88" s="6"/>
      <c r="AG88" s="6"/>
    </row>
    <row r="89" spans="1:33" x14ac:dyDescent="0.2">
      <c r="C89" s="203"/>
      <c r="D89" s="203"/>
      <c r="E89" s="203"/>
      <c r="F89" s="203"/>
      <c r="G89" s="203"/>
    </row>
    <row r="90" spans="1:33" x14ac:dyDescent="0.2">
      <c r="C90" s="203"/>
      <c r="D90" s="203"/>
      <c r="E90" s="203"/>
      <c r="F90" s="203"/>
      <c r="G90" s="203"/>
    </row>
    <row r="92" spans="1:33" x14ac:dyDescent="0.2">
      <c r="G92" s="10"/>
    </row>
    <row r="100" spans="1:43" ht="15" x14ac:dyDescent="0.2">
      <c r="A100" s="78" t="s">
        <v>16</v>
      </c>
      <c r="B100" s="78"/>
      <c r="C100" s="78"/>
      <c r="D100" s="78"/>
      <c r="E100" s="78"/>
      <c r="F100" s="78"/>
      <c r="G100" s="177"/>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3"/>
      <c r="J102" s="213"/>
      <c r="K102" s="213"/>
      <c r="L102" s="213"/>
      <c r="M102" s="213"/>
      <c r="N102" s="213"/>
      <c r="O102" s="213"/>
      <c r="P102" s="213"/>
      <c r="Q102" s="213"/>
      <c r="R102" s="213"/>
      <c r="S102" s="213"/>
      <c r="T102" s="213"/>
      <c r="U102" s="213"/>
      <c r="V102" s="213"/>
      <c r="W102" s="213"/>
      <c r="X102" s="213"/>
      <c r="Y102" s="213"/>
      <c r="Z102" s="213"/>
    </row>
    <row r="103" spans="1:43" x14ac:dyDescent="0.2">
      <c r="E103"/>
      <c r="F103"/>
      <c r="G103"/>
      <c r="I103" s="213"/>
      <c r="J103" s="213"/>
      <c r="K103" s="213"/>
      <c r="L103" s="213"/>
      <c r="M103" s="213"/>
      <c r="N103" s="213"/>
      <c r="O103" s="213"/>
      <c r="P103" s="213"/>
      <c r="Q103" s="213"/>
      <c r="R103" s="213"/>
      <c r="S103" s="213"/>
      <c r="T103" s="213"/>
      <c r="U103" s="213"/>
      <c r="V103" s="213"/>
      <c r="W103" s="213"/>
      <c r="X103" s="213"/>
      <c r="Y103" s="213"/>
      <c r="Z103" s="213"/>
    </row>
    <row r="104" spans="1:43" x14ac:dyDescent="0.2">
      <c r="A104" s="1" t="s">
        <v>7</v>
      </c>
      <c r="C104" s="1" t="s">
        <v>135</v>
      </c>
      <c r="D104"/>
      <c r="E104"/>
      <c r="F104"/>
      <c r="G104" s="34" t="str">
        <f>PROPER($A$3)&amp;A104</f>
        <v>Option 1 (Base Case)NPV</v>
      </c>
      <c r="I104" s="28">
        <f>I85</f>
        <v>0</v>
      </c>
      <c r="J104" s="28">
        <f t="shared" ref="J104:AG104" si="19">J85</f>
        <v>0</v>
      </c>
      <c r="K104" s="28">
        <f t="shared" si="19"/>
        <v>0</v>
      </c>
      <c r="L104" s="28">
        <f t="shared" si="19"/>
        <v>0</v>
      </c>
      <c r="M104" s="28">
        <f t="shared" si="19"/>
        <v>0</v>
      </c>
      <c r="N104" s="28">
        <f t="shared" si="19"/>
        <v>0</v>
      </c>
      <c r="O104" s="28">
        <f t="shared" si="19"/>
        <v>0</v>
      </c>
      <c r="P104" s="28">
        <f t="shared" si="19"/>
        <v>0</v>
      </c>
      <c r="Q104" s="28">
        <f t="shared" si="19"/>
        <v>0</v>
      </c>
      <c r="R104" s="28">
        <f t="shared" si="19"/>
        <v>0</v>
      </c>
      <c r="S104" s="28">
        <f t="shared" si="19"/>
        <v>0</v>
      </c>
      <c r="T104" s="28">
        <f t="shared" si="19"/>
        <v>0</v>
      </c>
      <c r="U104" s="28">
        <f t="shared" si="19"/>
        <v>0</v>
      </c>
      <c r="V104" s="28">
        <f t="shared" si="19"/>
        <v>0</v>
      </c>
      <c r="W104" s="28">
        <f t="shared" si="19"/>
        <v>0</v>
      </c>
      <c r="X104" s="28">
        <f t="shared" si="19"/>
        <v>0</v>
      </c>
      <c r="Y104" s="28">
        <f t="shared" si="19"/>
        <v>0</v>
      </c>
      <c r="Z104" s="28">
        <f t="shared" si="19"/>
        <v>0</v>
      </c>
      <c r="AA104" s="28">
        <f t="shared" si="19"/>
        <v>0</v>
      </c>
      <c r="AB104" s="28">
        <f t="shared" si="19"/>
        <v>0</v>
      </c>
      <c r="AC104" s="28">
        <f t="shared" si="19"/>
        <v>0</v>
      </c>
      <c r="AD104" s="28">
        <f t="shared" si="19"/>
        <v>0</v>
      </c>
      <c r="AE104" s="28">
        <f t="shared" si="19"/>
        <v>0</v>
      </c>
      <c r="AF104" s="28">
        <f t="shared" si="19"/>
        <v>0</v>
      </c>
      <c r="AG104" s="28">
        <f t="shared" si="19"/>
        <v>0</v>
      </c>
    </row>
    <row r="105" spans="1:43" x14ac:dyDescent="0.2">
      <c r="C105" s="1" t="s">
        <v>132</v>
      </c>
      <c r="D105"/>
      <c r="E105"/>
      <c r="F105"/>
      <c r="G105"/>
      <c r="I105" s="28">
        <f>I80</f>
        <v>0</v>
      </c>
      <c r="J105" s="28">
        <f t="shared" ref="J105:AG105" si="20">J80</f>
        <v>0</v>
      </c>
      <c r="K105" s="28">
        <f t="shared" si="20"/>
        <v>0</v>
      </c>
      <c r="L105" s="28">
        <f t="shared" si="20"/>
        <v>0</v>
      </c>
      <c r="M105" s="28">
        <f t="shared" si="20"/>
        <v>0</v>
      </c>
      <c r="N105" s="28">
        <f t="shared" si="20"/>
        <v>0</v>
      </c>
      <c r="O105" s="28">
        <f t="shared" si="20"/>
        <v>0</v>
      </c>
      <c r="P105" s="28">
        <f t="shared" si="20"/>
        <v>0</v>
      </c>
      <c r="Q105" s="28">
        <f t="shared" si="20"/>
        <v>0</v>
      </c>
      <c r="R105" s="28">
        <f t="shared" si="20"/>
        <v>0</v>
      </c>
      <c r="S105" s="28">
        <f t="shared" si="20"/>
        <v>0</v>
      </c>
      <c r="T105" s="28">
        <f t="shared" si="20"/>
        <v>0</v>
      </c>
      <c r="U105" s="28">
        <f t="shared" si="20"/>
        <v>0</v>
      </c>
      <c r="V105" s="28">
        <f t="shared" si="20"/>
        <v>0</v>
      </c>
      <c r="W105" s="28">
        <f t="shared" si="20"/>
        <v>0</v>
      </c>
      <c r="X105" s="28">
        <f t="shared" si="20"/>
        <v>0</v>
      </c>
      <c r="Y105" s="28">
        <f t="shared" si="20"/>
        <v>0</v>
      </c>
      <c r="Z105" s="28">
        <f t="shared" si="20"/>
        <v>0</v>
      </c>
      <c r="AA105" s="28">
        <f t="shared" si="20"/>
        <v>0</v>
      </c>
      <c r="AB105" s="28">
        <f t="shared" si="20"/>
        <v>0</v>
      </c>
      <c r="AC105" s="28">
        <f t="shared" si="20"/>
        <v>0</v>
      </c>
      <c r="AD105" s="28">
        <f t="shared" si="20"/>
        <v>0</v>
      </c>
      <c r="AE105" s="28">
        <f t="shared" si="20"/>
        <v>0</v>
      </c>
      <c r="AF105" s="28">
        <f t="shared" si="20"/>
        <v>0</v>
      </c>
      <c r="AG105" s="28">
        <f t="shared" si="20"/>
        <v>0</v>
      </c>
    </row>
    <row r="106" spans="1:43" x14ac:dyDescent="0.2">
      <c r="C106" s="1" t="s">
        <v>96</v>
      </c>
      <c r="D106" s="221"/>
      <c r="E106" s="34"/>
      <c r="I106" s="28">
        <f>SUM(I82:I83)</f>
        <v>0</v>
      </c>
      <c r="J106" s="28">
        <f t="shared" ref="J106:AG106" si="21">SUM(J82:J83)</f>
        <v>0</v>
      </c>
      <c r="K106" s="28">
        <f t="shared" si="21"/>
        <v>0</v>
      </c>
      <c r="L106" s="28">
        <f t="shared" si="21"/>
        <v>0</v>
      </c>
      <c r="M106" s="28">
        <f t="shared" si="21"/>
        <v>0</v>
      </c>
      <c r="N106" s="28">
        <f t="shared" si="21"/>
        <v>0</v>
      </c>
      <c r="O106" s="28">
        <f t="shared" si="21"/>
        <v>0</v>
      </c>
      <c r="P106" s="28">
        <f t="shared" si="21"/>
        <v>0</v>
      </c>
      <c r="Q106" s="28">
        <f t="shared" si="21"/>
        <v>0</v>
      </c>
      <c r="R106" s="28">
        <f t="shared" si="21"/>
        <v>0</v>
      </c>
      <c r="S106" s="28">
        <f t="shared" si="21"/>
        <v>0</v>
      </c>
      <c r="T106" s="28">
        <f t="shared" si="21"/>
        <v>0</v>
      </c>
      <c r="U106" s="28">
        <f t="shared" si="21"/>
        <v>0</v>
      </c>
      <c r="V106" s="28">
        <f t="shared" si="21"/>
        <v>0</v>
      </c>
      <c r="W106" s="28">
        <f t="shared" si="21"/>
        <v>0</v>
      </c>
      <c r="X106" s="28">
        <f t="shared" si="21"/>
        <v>0</v>
      </c>
      <c r="Y106" s="28">
        <f t="shared" si="21"/>
        <v>0</v>
      </c>
      <c r="Z106" s="28">
        <f t="shared" si="21"/>
        <v>0</v>
      </c>
      <c r="AA106" s="28">
        <f t="shared" si="21"/>
        <v>0</v>
      </c>
      <c r="AB106" s="28">
        <f t="shared" si="21"/>
        <v>0</v>
      </c>
      <c r="AC106" s="28">
        <f t="shared" si="21"/>
        <v>0</v>
      </c>
      <c r="AD106" s="28">
        <f t="shared" si="21"/>
        <v>0</v>
      </c>
      <c r="AE106" s="28">
        <f t="shared" si="21"/>
        <v>0</v>
      </c>
      <c r="AF106" s="28">
        <f t="shared" si="21"/>
        <v>0</v>
      </c>
      <c r="AG106" s="28">
        <f t="shared" si="21"/>
        <v>0</v>
      </c>
    </row>
    <row r="107" spans="1:43" x14ac:dyDescent="0.2">
      <c r="D107" s="253" t="str">
        <f>Assumptions!G116</f>
        <v>Capex</v>
      </c>
      <c r="E107" s="253" t="str">
        <f>Assumptions!H116</f>
        <v>Total benefits</v>
      </c>
      <c r="I107" s="213"/>
      <c r="J107" s="213"/>
      <c r="K107" s="213"/>
      <c r="L107" s="213"/>
      <c r="M107" s="213"/>
      <c r="N107" s="213"/>
      <c r="O107" s="213"/>
      <c r="P107" s="213"/>
      <c r="Q107" s="213"/>
      <c r="R107" s="213"/>
      <c r="S107" s="213"/>
      <c r="T107" s="213"/>
      <c r="U107" s="213"/>
      <c r="V107" s="213"/>
      <c r="W107" s="213"/>
      <c r="X107" s="213"/>
      <c r="Y107" s="213"/>
      <c r="Z107" s="213"/>
    </row>
    <row r="108" spans="1:43" x14ac:dyDescent="0.2">
      <c r="A108" s="1" t="str">
        <f>"sens"&amp;Assumptions!B117</f>
        <v>sens1</v>
      </c>
      <c r="C108" s="252" t="str">
        <f>Assumptions!C117</f>
        <v>Capex 10% higher</v>
      </c>
      <c r="D108" s="253">
        <f>Assumptions!G117</f>
        <v>0.1</v>
      </c>
      <c r="E108" s="253">
        <f>Assumptions!H117</f>
        <v>0</v>
      </c>
      <c r="G108" s="34" t="str">
        <f>PROPER($A$3)&amp;A108</f>
        <v>Option 1 (Base Case)sens1</v>
      </c>
      <c r="I108" s="28" cm="1">
        <f t="array" ref="I108">I$104+IF($C108&lt;&gt;0,SUMPRODUCT((I$105:I$106)*TRANSPOSE(($D108:$E108))),0)</f>
        <v>0</v>
      </c>
      <c r="J108" s="28" cm="1">
        <f t="array" ref="J108">J$104+IF($C108&lt;&gt;0,SUMPRODUCT((J$105:J$106)*TRANSPOSE(($D108:$E108))),0)</f>
        <v>0</v>
      </c>
      <c r="K108" s="28" cm="1">
        <f t="array" ref="K108">K$104+IF($C108&lt;&gt;0,SUMPRODUCT((K$105:K$106)*TRANSPOSE(($D108:$E108))),0)</f>
        <v>0</v>
      </c>
      <c r="L108" s="28" cm="1">
        <f t="array" ref="L108">L$104+IF($C108&lt;&gt;0,SUMPRODUCT((L$105:L$106)*TRANSPOSE(($D108:$E108))),0)</f>
        <v>0</v>
      </c>
      <c r="M108" s="28" cm="1">
        <f t="array" ref="M108">M$104+IF($C108&lt;&gt;0,SUMPRODUCT((M$105:M$106)*TRANSPOSE(($D108:$E108))),0)</f>
        <v>0</v>
      </c>
      <c r="N108" s="28" cm="1">
        <f t="array" ref="N108">N$104+IF($C108&lt;&gt;0,SUMPRODUCT((N$105:N$106)*TRANSPOSE(($D108:$E108))),0)</f>
        <v>0</v>
      </c>
      <c r="O108" s="28" cm="1">
        <f t="array" ref="O108">O$104+IF($C108&lt;&gt;0,SUMPRODUCT((O$105:O$106)*TRANSPOSE(($D108:$E108))),0)</f>
        <v>0</v>
      </c>
      <c r="P108" s="28" cm="1">
        <f t="array" ref="P108">P$104+IF($C108&lt;&gt;0,SUMPRODUCT((P$105:P$106)*TRANSPOSE(($D108:$E108))),0)</f>
        <v>0</v>
      </c>
      <c r="Q108" s="28" cm="1">
        <f t="array" ref="Q108">Q$104+IF($C108&lt;&gt;0,SUMPRODUCT((Q$105:Q$106)*TRANSPOSE(($D108:$E108))),0)</f>
        <v>0</v>
      </c>
      <c r="R108" s="28" cm="1">
        <f t="array" ref="R108">R$104+IF($C108&lt;&gt;0,SUMPRODUCT((R$105:R$106)*TRANSPOSE(($D108:$E108))),0)</f>
        <v>0</v>
      </c>
      <c r="S108" s="28" cm="1">
        <f t="array" ref="S108">S$104+IF($C108&lt;&gt;0,SUMPRODUCT((S$105:S$106)*TRANSPOSE(($D108:$E108))),0)</f>
        <v>0</v>
      </c>
      <c r="T108" s="28" cm="1">
        <f t="array" ref="T108">T$104+IF($C108&lt;&gt;0,SUMPRODUCT((T$105:T$106)*TRANSPOSE(($D108:$E108))),0)</f>
        <v>0</v>
      </c>
      <c r="U108" s="28" cm="1">
        <f t="array" ref="U108">U$104+IF($C108&lt;&gt;0,SUMPRODUCT((U$105:U$106)*TRANSPOSE(($D108:$E108))),0)</f>
        <v>0</v>
      </c>
      <c r="V108" s="28" cm="1">
        <f t="array" ref="V108">V$104+IF($C108&lt;&gt;0,SUMPRODUCT((V$105:V$106)*TRANSPOSE(($D108:$E108))),0)</f>
        <v>0</v>
      </c>
      <c r="W108" s="28" cm="1">
        <f t="array" ref="W108">W$104+IF($C108&lt;&gt;0,SUMPRODUCT((W$105:W$106)*TRANSPOSE(($D108:$E108))),0)</f>
        <v>0</v>
      </c>
      <c r="X108" s="28" cm="1">
        <f t="array" ref="X108">X$104+IF($C108&lt;&gt;0,SUMPRODUCT((X$105:X$106)*TRANSPOSE(($D108:$E108))),0)</f>
        <v>0</v>
      </c>
      <c r="Y108" s="28" cm="1">
        <f t="array" ref="Y108">Y$104+IF($C108&lt;&gt;0,SUMPRODUCT((Y$105:Y$106)*TRANSPOSE(($D108:$E108))),0)</f>
        <v>0</v>
      </c>
      <c r="Z108" s="28" cm="1">
        <f t="array" ref="Z108">Z$104+IF($C108&lt;&gt;0,SUMPRODUCT((Z$105:Z$106)*TRANSPOSE(($D108:$E108))),0)</f>
        <v>0</v>
      </c>
      <c r="AA108" s="28" cm="1">
        <f t="array" ref="AA108">AA$104+IF($C108&lt;&gt;0,SUMPRODUCT((AA$105:AA$106)*TRANSPOSE(($D108:$E108))),0)</f>
        <v>0</v>
      </c>
      <c r="AB108" s="28" cm="1">
        <f t="array" ref="AB108">AB$104+IF($C108&lt;&gt;0,SUMPRODUCT((AB$105:AB$106)*TRANSPOSE(($D108:$E108))),0)</f>
        <v>0</v>
      </c>
      <c r="AC108" s="28" cm="1">
        <f t="array" ref="AC108">AC$104+IF($C108&lt;&gt;0,SUMPRODUCT((AC$105:AC$106)*TRANSPOSE(($D108:$E108))),0)</f>
        <v>0</v>
      </c>
      <c r="AD108" s="28" cm="1">
        <f t="array" ref="AD108">AD$104+IF($C108&lt;&gt;0,SUMPRODUCT((AD$105:AD$106)*TRANSPOSE(($D108:$E108))),0)</f>
        <v>0</v>
      </c>
      <c r="AE108" s="28" cm="1">
        <f t="array" ref="AE108">AE$104+IF($C108&lt;&gt;0,SUMPRODUCT((AE$105:AE$106)*TRANSPOSE(($D108:$E108))),0)</f>
        <v>0</v>
      </c>
      <c r="AF108" s="28" cm="1">
        <f t="array" ref="AF108">AF$104+IF($C108&lt;&gt;0,SUMPRODUCT((AF$105:AF$106)*TRANSPOSE(($D108:$E108))),0)</f>
        <v>0</v>
      </c>
      <c r="AG108" s="28" cm="1">
        <f t="array" ref="AG108">AG$104+IF($C108&lt;&gt;0,SUMPRODUCT((AG$105:AG$106)*TRANSPOSE(($D108:$E108))),0)</f>
        <v>0</v>
      </c>
    </row>
    <row r="109" spans="1:43" x14ac:dyDescent="0.2">
      <c r="A109" s="1" t="str">
        <f>"sens"&amp;Assumptions!B118</f>
        <v>sens2</v>
      </c>
      <c r="C109" s="252" t="str">
        <f>Assumptions!C118</f>
        <v>Capex 10% lower</v>
      </c>
      <c r="D109" s="253">
        <f>Assumptions!G118</f>
        <v>-0.1</v>
      </c>
      <c r="E109" s="253">
        <f>Assumptions!H118</f>
        <v>0</v>
      </c>
      <c r="G109" s="34" t="str">
        <f t="shared" ref="G109:G115" si="22">PROPER($A$3)&amp;A109</f>
        <v>Option 1 (Base Case)sens2</v>
      </c>
      <c r="I109" s="28" cm="1">
        <f t="array" ref="I109">I$104+IF($C109&lt;&gt;0,SUMPRODUCT((I$105:I$106)*TRANSPOSE(($D109:$E109))),0)</f>
        <v>0</v>
      </c>
      <c r="J109" s="28" cm="1">
        <f t="array" ref="J109">J$104+IF($C109&lt;&gt;0,SUMPRODUCT((J$105:J$106)*TRANSPOSE(($D109:$E109))),0)</f>
        <v>0</v>
      </c>
      <c r="K109" s="28" cm="1">
        <f t="array" ref="K109">K$104+IF($C109&lt;&gt;0,SUMPRODUCT((K$105:K$106)*TRANSPOSE(($D109:$E109))),0)</f>
        <v>0</v>
      </c>
      <c r="L109" s="28" cm="1">
        <f t="array" ref="L109">L$104+IF($C109&lt;&gt;0,SUMPRODUCT((L$105:L$106)*TRANSPOSE(($D109:$E109))),0)</f>
        <v>0</v>
      </c>
      <c r="M109" s="28" cm="1">
        <f t="array" ref="M109">M$104+IF($C109&lt;&gt;0,SUMPRODUCT((M$105:M$106)*TRANSPOSE(($D109:$E109))),0)</f>
        <v>0</v>
      </c>
      <c r="N109" s="28" cm="1">
        <f t="array" ref="N109">N$104+IF($C109&lt;&gt;0,SUMPRODUCT((N$105:N$106)*TRANSPOSE(($D109:$E109))),0)</f>
        <v>0</v>
      </c>
      <c r="O109" s="28" cm="1">
        <f t="array" ref="O109">O$104+IF($C109&lt;&gt;0,SUMPRODUCT((O$105:O$106)*TRANSPOSE(($D109:$E109))),0)</f>
        <v>0</v>
      </c>
      <c r="P109" s="28" cm="1">
        <f t="array" ref="P109">P$104+IF($C109&lt;&gt;0,SUMPRODUCT((P$105:P$106)*TRANSPOSE(($D109:$E109))),0)</f>
        <v>0</v>
      </c>
      <c r="Q109" s="28" cm="1">
        <f t="array" ref="Q109">Q$104+IF($C109&lt;&gt;0,SUMPRODUCT((Q$105:Q$106)*TRANSPOSE(($D109:$E109))),0)</f>
        <v>0</v>
      </c>
      <c r="R109" s="28" cm="1">
        <f t="array" ref="R109">R$104+IF($C109&lt;&gt;0,SUMPRODUCT((R$105:R$106)*TRANSPOSE(($D109:$E109))),0)</f>
        <v>0</v>
      </c>
      <c r="S109" s="28" cm="1">
        <f t="array" ref="S109">S$104+IF($C109&lt;&gt;0,SUMPRODUCT((S$105:S$106)*TRANSPOSE(($D109:$E109))),0)</f>
        <v>0</v>
      </c>
      <c r="T109" s="28" cm="1">
        <f t="array" ref="T109">T$104+IF($C109&lt;&gt;0,SUMPRODUCT((T$105:T$106)*TRANSPOSE(($D109:$E109))),0)</f>
        <v>0</v>
      </c>
      <c r="U109" s="28" cm="1">
        <f t="array" ref="U109">U$104+IF($C109&lt;&gt;0,SUMPRODUCT((U$105:U$106)*TRANSPOSE(($D109:$E109))),0)</f>
        <v>0</v>
      </c>
      <c r="V109" s="28" cm="1">
        <f t="array" ref="V109">V$104+IF($C109&lt;&gt;0,SUMPRODUCT((V$105:V$106)*TRANSPOSE(($D109:$E109))),0)</f>
        <v>0</v>
      </c>
      <c r="W109" s="28" cm="1">
        <f t="array" ref="W109">W$104+IF($C109&lt;&gt;0,SUMPRODUCT((W$105:W$106)*TRANSPOSE(($D109:$E109))),0)</f>
        <v>0</v>
      </c>
      <c r="X109" s="28" cm="1">
        <f t="array" ref="X109">X$104+IF($C109&lt;&gt;0,SUMPRODUCT((X$105:X$106)*TRANSPOSE(($D109:$E109))),0)</f>
        <v>0</v>
      </c>
      <c r="Y109" s="28" cm="1">
        <f t="array" ref="Y109">Y$104+IF($C109&lt;&gt;0,SUMPRODUCT((Y$105:Y$106)*TRANSPOSE(($D109:$E109))),0)</f>
        <v>0</v>
      </c>
      <c r="Z109" s="28" cm="1">
        <f t="array" ref="Z109">Z$104+IF($C109&lt;&gt;0,SUMPRODUCT((Z$105:Z$106)*TRANSPOSE(($D109:$E109))),0)</f>
        <v>0</v>
      </c>
      <c r="AA109" s="28" cm="1">
        <f t="array" ref="AA109">AA$104+IF($C109&lt;&gt;0,SUMPRODUCT((AA$105:AA$106)*TRANSPOSE(($D109:$E109))),0)</f>
        <v>0</v>
      </c>
      <c r="AB109" s="28" cm="1">
        <f t="array" ref="AB109">AB$104+IF($C109&lt;&gt;0,SUMPRODUCT((AB$105:AB$106)*TRANSPOSE(($D109:$E109))),0)</f>
        <v>0</v>
      </c>
      <c r="AC109" s="28" cm="1">
        <f t="array" ref="AC109">AC$104+IF($C109&lt;&gt;0,SUMPRODUCT((AC$105:AC$106)*TRANSPOSE(($D109:$E109))),0)</f>
        <v>0</v>
      </c>
      <c r="AD109" s="28" cm="1">
        <f t="array" ref="AD109">AD$104+IF($C109&lt;&gt;0,SUMPRODUCT((AD$105:AD$106)*TRANSPOSE(($D109:$E109))),0)</f>
        <v>0</v>
      </c>
      <c r="AE109" s="28" cm="1">
        <f t="array" ref="AE109">AE$104+IF($C109&lt;&gt;0,SUMPRODUCT((AE$105:AE$106)*TRANSPOSE(($D109:$E109))),0)</f>
        <v>0</v>
      </c>
      <c r="AF109" s="28" cm="1">
        <f t="array" ref="AF109">AF$104+IF($C109&lt;&gt;0,SUMPRODUCT((AF$105:AF$106)*TRANSPOSE(($D109:$E109))),0)</f>
        <v>0</v>
      </c>
      <c r="AG109" s="28" cm="1">
        <f t="array" ref="AG109">AG$104+IF($C109&lt;&gt;0,SUMPRODUCT((AG$105:AG$106)*TRANSPOSE(($D109:$E109))),0)</f>
        <v>0</v>
      </c>
    </row>
    <row r="110" spans="1:43" x14ac:dyDescent="0.2">
      <c r="A110" s="1" t="str">
        <f>"sens"&amp;Assumptions!B119</f>
        <v>sens3</v>
      </c>
      <c r="C110" s="252" t="str">
        <f>Assumptions!C119</f>
        <v>Total benefits 10% higher</v>
      </c>
      <c r="D110" s="253">
        <f>Assumptions!G119</f>
        <v>0</v>
      </c>
      <c r="E110" s="253">
        <f>Assumptions!H119</f>
        <v>0.1</v>
      </c>
      <c r="G110" s="34" t="str">
        <f t="shared" si="22"/>
        <v>Option 1 (Base Case)sens3</v>
      </c>
      <c r="I110" s="28" cm="1">
        <f t="array" ref="I110">I$104+IF($C110&lt;&gt;0,SUMPRODUCT((I$105:I$106)*TRANSPOSE(($D110:$E110))),0)</f>
        <v>0</v>
      </c>
      <c r="J110" s="28" cm="1">
        <f t="array" ref="J110">J$104+IF($C110&lt;&gt;0,SUMPRODUCT((J$105:J$106)*TRANSPOSE(($D110:$E110))),0)</f>
        <v>0</v>
      </c>
      <c r="K110" s="28" cm="1">
        <f t="array" ref="K110">K$104+IF($C110&lt;&gt;0,SUMPRODUCT((K$105:K$106)*TRANSPOSE(($D110:$E110))),0)</f>
        <v>0</v>
      </c>
      <c r="L110" s="28" cm="1">
        <f t="array" ref="L110">L$104+IF($C110&lt;&gt;0,SUMPRODUCT((L$105:L$106)*TRANSPOSE(($D110:$E110))),0)</f>
        <v>0</v>
      </c>
      <c r="M110" s="28" cm="1">
        <f t="array" ref="M110">M$104+IF($C110&lt;&gt;0,SUMPRODUCT((M$105:M$106)*TRANSPOSE(($D110:$E110))),0)</f>
        <v>0</v>
      </c>
      <c r="N110" s="28" cm="1">
        <f t="array" ref="N110">N$104+IF($C110&lt;&gt;0,SUMPRODUCT((N$105:N$106)*TRANSPOSE(($D110:$E110))),0)</f>
        <v>0</v>
      </c>
      <c r="O110" s="28" cm="1">
        <f t="array" ref="O110">O$104+IF($C110&lt;&gt;0,SUMPRODUCT((O$105:O$106)*TRANSPOSE(($D110:$E110))),0)</f>
        <v>0</v>
      </c>
      <c r="P110" s="28" cm="1">
        <f t="array" ref="P110">P$104+IF($C110&lt;&gt;0,SUMPRODUCT((P$105:P$106)*TRANSPOSE(($D110:$E110))),0)</f>
        <v>0</v>
      </c>
      <c r="Q110" s="28" cm="1">
        <f t="array" ref="Q110">Q$104+IF($C110&lt;&gt;0,SUMPRODUCT((Q$105:Q$106)*TRANSPOSE(($D110:$E110))),0)</f>
        <v>0</v>
      </c>
      <c r="R110" s="28" cm="1">
        <f t="array" ref="R110">R$104+IF($C110&lt;&gt;0,SUMPRODUCT((R$105:R$106)*TRANSPOSE(($D110:$E110))),0)</f>
        <v>0</v>
      </c>
      <c r="S110" s="28" cm="1">
        <f t="array" ref="S110">S$104+IF($C110&lt;&gt;0,SUMPRODUCT((S$105:S$106)*TRANSPOSE(($D110:$E110))),0)</f>
        <v>0</v>
      </c>
      <c r="T110" s="28" cm="1">
        <f t="array" ref="T110">T$104+IF($C110&lt;&gt;0,SUMPRODUCT((T$105:T$106)*TRANSPOSE(($D110:$E110))),0)</f>
        <v>0</v>
      </c>
      <c r="U110" s="28" cm="1">
        <f t="array" ref="U110">U$104+IF($C110&lt;&gt;0,SUMPRODUCT((U$105:U$106)*TRANSPOSE(($D110:$E110))),0)</f>
        <v>0</v>
      </c>
      <c r="V110" s="28" cm="1">
        <f t="array" ref="V110">V$104+IF($C110&lt;&gt;0,SUMPRODUCT((V$105:V$106)*TRANSPOSE(($D110:$E110))),0)</f>
        <v>0</v>
      </c>
      <c r="W110" s="28" cm="1">
        <f t="array" ref="W110">W$104+IF($C110&lt;&gt;0,SUMPRODUCT((W$105:W$106)*TRANSPOSE(($D110:$E110))),0)</f>
        <v>0</v>
      </c>
      <c r="X110" s="28" cm="1">
        <f t="array" ref="X110">X$104+IF($C110&lt;&gt;0,SUMPRODUCT((X$105:X$106)*TRANSPOSE(($D110:$E110))),0)</f>
        <v>0</v>
      </c>
      <c r="Y110" s="28" cm="1">
        <f t="array" ref="Y110">Y$104+IF($C110&lt;&gt;0,SUMPRODUCT((Y$105:Y$106)*TRANSPOSE(($D110:$E110))),0)</f>
        <v>0</v>
      </c>
      <c r="Z110" s="28" cm="1">
        <f t="array" ref="Z110">Z$104+IF($C110&lt;&gt;0,SUMPRODUCT((Z$105:Z$106)*TRANSPOSE(($D110:$E110))),0)</f>
        <v>0</v>
      </c>
      <c r="AA110" s="28" cm="1">
        <f t="array" ref="AA110">AA$104+IF($C110&lt;&gt;0,SUMPRODUCT((AA$105:AA$106)*TRANSPOSE(($D110:$E110))),0)</f>
        <v>0</v>
      </c>
      <c r="AB110" s="28" cm="1">
        <f t="array" ref="AB110">AB$104+IF($C110&lt;&gt;0,SUMPRODUCT((AB$105:AB$106)*TRANSPOSE(($D110:$E110))),0)</f>
        <v>0</v>
      </c>
      <c r="AC110" s="28" cm="1">
        <f t="array" ref="AC110">AC$104+IF($C110&lt;&gt;0,SUMPRODUCT((AC$105:AC$106)*TRANSPOSE(($D110:$E110))),0)</f>
        <v>0</v>
      </c>
      <c r="AD110" s="28" cm="1">
        <f t="array" ref="AD110">AD$104+IF($C110&lt;&gt;0,SUMPRODUCT((AD$105:AD$106)*TRANSPOSE(($D110:$E110))),0)</f>
        <v>0</v>
      </c>
      <c r="AE110" s="28" cm="1">
        <f t="array" ref="AE110">AE$104+IF($C110&lt;&gt;0,SUMPRODUCT((AE$105:AE$106)*TRANSPOSE(($D110:$E110))),0)</f>
        <v>0</v>
      </c>
      <c r="AF110" s="28" cm="1">
        <f t="array" ref="AF110">AF$104+IF($C110&lt;&gt;0,SUMPRODUCT((AF$105:AF$106)*TRANSPOSE(($D110:$E110))),0)</f>
        <v>0</v>
      </c>
      <c r="AG110" s="28" cm="1">
        <f t="array" ref="AG110">AG$104+IF($C110&lt;&gt;0,SUMPRODUCT((AG$105:AG$106)*TRANSPOSE(($D110:$E110))),0)</f>
        <v>0</v>
      </c>
    </row>
    <row r="111" spans="1:43" x14ac:dyDescent="0.2">
      <c r="A111" s="1" t="str">
        <f>"sens"&amp;Assumptions!B120</f>
        <v>sens4</v>
      </c>
      <c r="C111" s="252" t="str">
        <f>Assumptions!C120</f>
        <v>Total benefits 10% lower</v>
      </c>
      <c r="D111" s="253">
        <f>Assumptions!G120</f>
        <v>0</v>
      </c>
      <c r="E111" s="253">
        <f>Assumptions!H120</f>
        <v>-0.1</v>
      </c>
      <c r="G111" s="34" t="str">
        <f t="shared" si="22"/>
        <v>Option 1 (Base Case)sens4</v>
      </c>
      <c r="I111" s="28" cm="1">
        <f t="array" ref="I111">I$104+IF($C111&lt;&gt;0,SUMPRODUCT((I$105:I$106)*TRANSPOSE(($D111:$E111))),0)</f>
        <v>0</v>
      </c>
      <c r="J111" s="28" cm="1">
        <f t="array" ref="J111">J$104+IF($C111&lt;&gt;0,SUMPRODUCT((J$105:J$106)*TRANSPOSE(($D111:$E111))),0)</f>
        <v>0</v>
      </c>
      <c r="K111" s="28" cm="1">
        <f t="array" ref="K111">K$104+IF($C111&lt;&gt;0,SUMPRODUCT((K$105:K$106)*TRANSPOSE(($D111:$E111))),0)</f>
        <v>0</v>
      </c>
      <c r="L111" s="28" cm="1">
        <f t="array" ref="L111">L$104+IF($C111&lt;&gt;0,SUMPRODUCT((L$105:L$106)*TRANSPOSE(($D111:$E111))),0)</f>
        <v>0</v>
      </c>
      <c r="M111" s="28" cm="1">
        <f t="array" ref="M111">M$104+IF($C111&lt;&gt;0,SUMPRODUCT((M$105:M$106)*TRANSPOSE(($D111:$E111))),0)</f>
        <v>0</v>
      </c>
      <c r="N111" s="28" cm="1">
        <f t="array" ref="N111">N$104+IF($C111&lt;&gt;0,SUMPRODUCT((N$105:N$106)*TRANSPOSE(($D111:$E111))),0)</f>
        <v>0</v>
      </c>
      <c r="O111" s="28" cm="1">
        <f t="array" ref="O111">O$104+IF($C111&lt;&gt;0,SUMPRODUCT((O$105:O$106)*TRANSPOSE(($D111:$E111))),0)</f>
        <v>0</v>
      </c>
      <c r="P111" s="28" cm="1">
        <f t="array" ref="P111">P$104+IF($C111&lt;&gt;0,SUMPRODUCT((P$105:P$106)*TRANSPOSE(($D111:$E111))),0)</f>
        <v>0</v>
      </c>
      <c r="Q111" s="28" cm="1">
        <f t="array" ref="Q111">Q$104+IF($C111&lt;&gt;0,SUMPRODUCT((Q$105:Q$106)*TRANSPOSE(($D111:$E111))),0)</f>
        <v>0</v>
      </c>
      <c r="R111" s="28" cm="1">
        <f t="array" ref="R111">R$104+IF($C111&lt;&gt;0,SUMPRODUCT((R$105:R$106)*TRANSPOSE(($D111:$E111))),0)</f>
        <v>0</v>
      </c>
      <c r="S111" s="28" cm="1">
        <f t="array" ref="S111">S$104+IF($C111&lt;&gt;0,SUMPRODUCT((S$105:S$106)*TRANSPOSE(($D111:$E111))),0)</f>
        <v>0</v>
      </c>
      <c r="T111" s="28" cm="1">
        <f t="array" ref="T111">T$104+IF($C111&lt;&gt;0,SUMPRODUCT((T$105:T$106)*TRANSPOSE(($D111:$E111))),0)</f>
        <v>0</v>
      </c>
      <c r="U111" s="28" cm="1">
        <f t="array" ref="U111">U$104+IF($C111&lt;&gt;0,SUMPRODUCT((U$105:U$106)*TRANSPOSE(($D111:$E111))),0)</f>
        <v>0</v>
      </c>
      <c r="V111" s="28" cm="1">
        <f t="array" ref="V111">V$104+IF($C111&lt;&gt;0,SUMPRODUCT((V$105:V$106)*TRANSPOSE(($D111:$E111))),0)</f>
        <v>0</v>
      </c>
      <c r="W111" s="28" cm="1">
        <f t="array" ref="W111">W$104+IF($C111&lt;&gt;0,SUMPRODUCT((W$105:W$106)*TRANSPOSE(($D111:$E111))),0)</f>
        <v>0</v>
      </c>
      <c r="X111" s="28" cm="1">
        <f t="array" ref="X111">X$104+IF($C111&lt;&gt;0,SUMPRODUCT((X$105:X$106)*TRANSPOSE(($D111:$E111))),0)</f>
        <v>0</v>
      </c>
      <c r="Y111" s="28" cm="1">
        <f t="array" ref="Y111">Y$104+IF($C111&lt;&gt;0,SUMPRODUCT((Y$105:Y$106)*TRANSPOSE(($D111:$E111))),0)</f>
        <v>0</v>
      </c>
      <c r="Z111" s="28" cm="1">
        <f t="array" ref="Z111">Z$104+IF($C111&lt;&gt;0,SUMPRODUCT((Z$105:Z$106)*TRANSPOSE(($D111:$E111))),0)</f>
        <v>0</v>
      </c>
      <c r="AA111" s="28" cm="1">
        <f t="array" ref="AA111">AA$104+IF($C111&lt;&gt;0,SUMPRODUCT((AA$105:AA$106)*TRANSPOSE(($D111:$E111))),0)</f>
        <v>0</v>
      </c>
      <c r="AB111" s="28" cm="1">
        <f t="array" ref="AB111">AB$104+IF($C111&lt;&gt;0,SUMPRODUCT((AB$105:AB$106)*TRANSPOSE(($D111:$E111))),0)</f>
        <v>0</v>
      </c>
      <c r="AC111" s="28" cm="1">
        <f t="array" ref="AC111">AC$104+IF($C111&lt;&gt;0,SUMPRODUCT((AC$105:AC$106)*TRANSPOSE(($D111:$E111))),0)</f>
        <v>0</v>
      </c>
      <c r="AD111" s="28" cm="1">
        <f t="array" ref="AD111">AD$104+IF($C111&lt;&gt;0,SUMPRODUCT((AD$105:AD$106)*TRANSPOSE(($D111:$E111))),0)</f>
        <v>0</v>
      </c>
      <c r="AE111" s="28" cm="1">
        <f t="array" ref="AE111">AE$104+IF($C111&lt;&gt;0,SUMPRODUCT((AE$105:AE$106)*TRANSPOSE(($D111:$E111))),0)</f>
        <v>0</v>
      </c>
      <c r="AF111" s="28" cm="1">
        <f t="array" ref="AF111">AF$104+IF($C111&lt;&gt;0,SUMPRODUCT((AF$105:AF$106)*TRANSPOSE(($D111:$E111))),0)</f>
        <v>0</v>
      </c>
      <c r="AG111" s="28" cm="1">
        <f t="array" ref="AG111">AG$104+IF($C111&lt;&gt;0,SUMPRODUCT((AG$105:AG$106)*TRANSPOSE(($D111:$E111))),0)</f>
        <v>0</v>
      </c>
    </row>
    <row r="112" spans="1:43" x14ac:dyDescent="0.2">
      <c r="A112" s="1" t="str">
        <f>"sens"&amp;Assumptions!B121</f>
        <v>sens5</v>
      </c>
      <c r="C112" s="252" t="str">
        <f>Assumptions!C121</f>
        <v>Capex 10% higher &amp; Total benefits 10% lower</v>
      </c>
      <c r="D112" s="253">
        <f>Assumptions!G121</f>
        <v>0.1</v>
      </c>
      <c r="E112" s="253">
        <f>Assumptions!H121</f>
        <v>-0.1</v>
      </c>
      <c r="G112" s="34" t="str">
        <f t="shared" si="22"/>
        <v>Option 1 (Base Case)sens5</v>
      </c>
      <c r="I112" s="28" cm="1">
        <f t="array" ref="I112">I$104+IF($C112&lt;&gt;0,SUMPRODUCT((I$105:I$106)*TRANSPOSE(($D112:$E112))),0)</f>
        <v>0</v>
      </c>
      <c r="J112" s="28" cm="1">
        <f t="array" ref="J112">J$104+IF($C112&lt;&gt;0,SUMPRODUCT((J$105:J$106)*TRANSPOSE(($D112:$E112))),0)</f>
        <v>0</v>
      </c>
      <c r="K112" s="28" cm="1">
        <f t="array" ref="K112">K$104+IF($C112&lt;&gt;0,SUMPRODUCT((K$105:K$106)*TRANSPOSE(($D112:$E112))),0)</f>
        <v>0</v>
      </c>
      <c r="L112" s="28" cm="1">
        <f t="array" ref="L112">L$104+IF($C112&lt;&gt;0,SUMPRODUCT((L$105:L$106)*TRANSPOSE(($D112:$E112))),0)</f>
        <v>0</v>
      </c>
      <c r="M112" s="28" cm="1">
        <f t="array" ref="M112">M$104+IF($C112&lt;&gt;0,SUMPRODUCT((M$105:M$106)*TRANSPOSE(($D112:$E112))),0)</f>
        <v>0</v>
      </c>
      <c r="N112" s="28" cm="1">
        <f t="array" ref="N112">N$104+IF($C112&lt;&gt;0,SUMPRODUCT((N$105:N$106)*TRANSPOSE(($D112:$E112))),0)</f>
        <v>0</v>
      </c>
      <c r="O112" s="28" cm="1">
        <f t="array" ref="O112">O$104+IF($C112&lt;&gt;0,SUMPRODUCT((O$105:O$106)*TRANSPOSE(($D112:$E112))),0)</f>
        <v>0</v>
      </c>
      <c r="P112" s="28" cm="1">
        <f t="array" ref="P112">P$104+IF($C112&lt;&gt;0,SUMPRODUCT((P$105:P$106)*TRANSPOSE(($D112:$E112))),0)</f>
        <v>0</v>
      </c>
      <c r="Q112" s="28" cm="1">
        <f t="array" ref="Q112">Q$104+IF($C112&lt;&gt;0,SUMPRODUCT((Q$105:Q$106)*TRANSPOSE(($D112:$E112))),0)</f>
        <v>0</v>
      </c>
      <c r="R112" s="28" cm="1">
        <f t="array" ref="R112">R$104+IF($C112&lt;&gt;0,SUMPRODUCT((R$105:R$106)*TRANSPOSE(($D112:$E112))),0)</f>
        <v>0</v>
      </c>
      <c r="S112" s="28" cm="1">
        <f t="array" ref="S112">S$104+IF($C112&lt;&gt;0,SUMPRODUCT((S$105:S$106)*TRANSPOSE(($D112:$E112))),0)</f>
        <v>0</v>
      </c>
      <c r="T112" s="28" cm="1">
        <f t="array" ref="T112">T$104+IF($C112&lt;&gt;0,SUMPRODUCT((T$105:T$106)*TRANSPOSE(($D112:$E112))),0)</f>
        <v>0</v>
      </c>
      <c r="U112" s="28" cm="1">
        <f t="array" ref="U112">U$104+IF($C112&lt;&gt;0,SUMPRODUCT((U$105:U$106)*TRANSPOSE(($D112:$E112))),0)</f>
        <v>0</v>
      </c>
      <c r="V112" s="28" cm="1">
        <f t="array" ref="V112">V$104+IF($C112&lt;&gt;0,SUMPRODUCT((V$105:V$106)*TRANSPOSE(($D112:$E112))),0)</f>
        <v>0</v>
      </c>
      <c r="W112" s="28" cm="1">
        <f t="array" ref="W112">W$104+IF($C112&lt;&gt;0,SUMPRODUCT((W$105:W$106)*TRANSPOSE(($D112:$E112))),0)</f>
        <v>0</v>
      </c>
      <c r="X112" s="28" cm="1">
        <f t="array" ref="X112">X$104+IF($C112&lt;&gt;0,SUMPRODUCT((X$105:X$106)*TRANSPOSE(($D112:$E112))),0)</f>
        <v>0</v>
      </c>
      <c r="Y112" s="28" cm="1">
        <f t="array" ref="Y112">Y$104+IF($C112&lt;&gt;0,SUMPRODUCT((Y$105:Y$106)*TRANSPOSE(($D112:$E112))),0)</f>
        <v>0</v>
      </c>
      <c r="Z112" s="28" cm="1">
        <f t="array" ref="Z112">Z$104+IF($C112&lt;&gt;0,SUMPRODUCT((Z$105:Z$106)*TRANSPOSE(($D112:$E112))),0)</f>
        <v>0</v>
      </c>
      <c r="AA112" s="28" cm="1">
        <f t="array" ref="AA112">AA$104+IF($C112&lt;&gt;0,SUMPRODUCT((AA$105:AA$106)*TRANSPOSE(($D112:$E112))),0)</f>
        <v>0</v>
      </c>
      <c r="AB112" s="28" cm="1">
        <f t="array" ref="AB112">AB$104+IF($C112&lt;&gt;0,SUMPRODUCT((AB$105:AB$106)*TRANSPOSE(($D112:$E112))),0)</f>
        <v>0</v>
      </c>
      <c r="AC112" s="28" cm="1">
        <f t="array" ref="AC112">AC$104+IF($C112&lt;&gt;0,SUMPRODUCT((AC$105:AC$106)*TRANSPOSE(($D112:$E112))),0)</f>
        <v>0</v>
      </c>
      <c r="AD112" s="28" cm="1">
        <f t="array" ref="AD112">AD$104+IF($C112&lt;&gt;0,SUMPRODUCT((AD$105:AD$106)*TRANSPOSE(($D112:$E112))),0)</f>
        <v>0</v>
      </c>
      <c r="AE112" s="28" cm="1">
        <f t="array" ref="AE112">AE$104+IF($C112&lt;&gt;0,SUMPRODUCT((AE$105:AE$106)*TRANSPOSE(($D112:$E112))),0)</f>
        <v>0</v>
      </c>
      <c r="AF112" s="28" cm="1">
        <f t="array" ref="AF112">AF$104+IF($C112&lt;&gt;0,SUMPRODUCT((AF$105:AF$106)*TRANSPOSE(($D112:$E112))),0)</f>
        <v>0</v>
      </c>
      <c r="AG112" s="28" cm="1">
        <f t="array" ref="AG112">AG$104+IF($C112&lt;&gt;0,SUMPRODUCT((AG$105:AG$106)*TRANSPOSE(($D112:$E112))),0)</f>
        <v>0</v>
      </c>
    </row>
    <row r="113" spans="1:33" x14ac:dyDescent="0.2">
      <c r="A113" s="1" t="str">
        <f>"sens"&amp;Assumptions!B122</f>
        <v>sens</v>
      </c>
      <c r="C113" s="252">
        <f>Assumptions!C122</f>
        <v>0</v>
      </c>
      <c r="D113" s="253">
        <f>Assumptions!G122</f>
        <v>0</v>
      </c>
      <c r="E113" s="253">
        <f>Assumptions!H122</f>
        <v>0</v>
      </c>
      <c r="G113" s="34" t="str">
        <f t="shared" si="22"/>
        <v>Option 1 (Base Case)sens</v>
      </c>
      <c r="I113" s="28" cm="1">
        <f t="array" ref="I113">I$104+IF($C113&lt;&gt;0,SUMPRODUCT((I$105:I$106)*TRANSPOSE(($D113:$E113))),0)</f>
        <v>0</v>
      </c>
      <c r="J113" s="28" cm="1">
        <f t="array" ref="J113">J$104+IF($C113&lt;&gt;0,SUMPRODUCT((J$105:J$106)*TRANSPOSE(($D113:$E113))),0)</f>
        <v>0</v>
      </c>
      <c r="K113" s="28" cm="1">
        <f t="array" ref="K113">K$104+IF($C113&lt;&gt;0,SUMPRODUCT((K$105:K$106)*TRANSPOSE(($D113:$E113))),0)</f>
        <v>0</v>
      </c>
      <c r="L113" s="28" cm="1">
        <f t="array" ref="L113">L$104+IF($C113&lt;&gt;0,SUMPRODUCT((L$105:L$106)*TRANSPOSE(($D113:$E113))),0)</f>
        <v>0</v>
      </c>
      <c r="M113" s="28" cm="1">
        <f t="array" ref="M113">M$104+IF($C113&lt;&gt;0,SUMPRODUCT((M$105:M$106)*TRANSPOSE(($D113:$E113))),0)</f>
        <v>0</v>
      </c>
      <c r="N113" s="28" cm="1">
        <f t="array" ref="N113">N$104+IF($C113&lt;&gt;0,SUMPRODUCT((N$105:N$106)*TRANSPOSE(($D113:$E113))),0)</f>
        <v>0</v>
      </c>
      <c r="O113" s="28" cm="1">
        <f t="array" ref="O113">O$104+IF($C113&lt;&gt;0,SUMPRODUCT((O$105:O$106)*TRANSPOSE(($D113:$E113))),0)</f>
        <v>0</v>
      </c>
      <c r="P113" s="28" cm="1">
        <f t="array" ref="P113">P$104+IF($C113&lt;&gt;0,SUMPRODUCT((P$105:P$106)*TRANSPOSE(($D113:$E113))),0)</f>
        <v>0</v>
      </c>
      <c r="Q113" s="28" cm="1">
        <f t="array" ref="Q113">Q$104+IF($C113&lt;&gt;0,SUMPRODUCT((Q$105:Q$106)*TRANSPOSE(($D113:$E113))),0)</f>
        <v>0</v>
      </c>
      <c r="R113" s="28" cm="1">
        <f t="array" ref="R113">R$104+IF($C113&lt;&gt;0,SUMPRODUCT((R$105:R$106)*TRANSPOSE(($D113:$E113))),0)</f>
        <v>0</v>
      </c>
      <c r="S113" s="28" cm="1">
        <f t="array" ref="S113">S$104+IF($C113&lt;&gt;0,SUMPRODUCT((S$105:S$106)*TRANSPOSE(($D113:$E113))),0)</f>
        <v>0</v>
      </c>
      <c r="T113" s="28" cm="1">
        <f t="array" ref="T113">T$104+IF($C113&lt;&gt;0,SUMPRODUCT((T$105:T$106)*TRANSPOSE(($D113:$E113))),0)</f>
        <v>0</v>
      </c>
      <c r="U113" s="28" cm="1">
        <f t="array" ref="U113">U$104+IF($C113&lt;&gt;0,SUMPRODUCT((U$105:U$106)*TRANSPOSE(($D113:$E113))),0)</f>
        <v>0</v>
      </c>
      <c r="V113" s="28" cm="1">
        <f t="array" ref="V113">V$104+IF($C113&lt;&gt;0,SUMPRODUCT((V$105:V$106)*TRANSPOSE(($D113:$E113))),0)</f>
        <v>0</v>
      </c>
      <c r="W113" s="28" cm="1">
        <f t="array" ref="W113">W$104+IF($C113&lt;&gt;0,SUMPRODUCT((W$105:W$106)*TRANSPOSE(($D113:$E113))),0)</f>
        <v>0</v>
      </c>
      <c r="X113" s="28" cm="1">
        <f t="array" ref="X113">X$104+IF($C113&lt;&gt;0,SUMPRODUCT((X$105:X$106)*TRANSPOSE(($D113:$E113))),0)</f>
        <v>0</v>
      </c>
      <c r="Y113" s="28" cm="1">
        <f t="array" ref="Y113">Y$104+IF($C113&lt;&gt;0,SUMPRODUCT((Y$105:Y$106)*TRANSPOSE(($D113:$E113))),0)</f>
        <v>0</v>
      </c>
      <c r="Z113" s="28" cm="1">
        <f t="array" ref="Z113">Z$104+IF($C113&lt;&gt;0,SUMPRODUCT((Z$105:Z$106)*TRANSPOSE(($D113:$E113))),0)</f>
        <v>0</v>
      </c>
      <c r="AA113" s="28" cm="1">
        <f t="array" ref="AA113">AA$104+IF($C113&lt;&gt;0,SUMPRODUCT((AA$105:AA$106)*TRANSPOSE(($D113:$E113))),0)</f>
        <v>0</v>
      </c>
      <c r="AB113" s="28" cm="1">
        <f t="array" ref="AB113">AB$104+IF($C113&lt;&gt;0,SUMPRODUCT((AB$105:AB$106)*TRANSPOSE(($D113:$E113))),0)</f>
        <v>0</v>
      </c>
      <c r="AC113" s="28" cm="1">
        <f t="array" ref="AC113">AC$104+IF($C113&lt;&gt;0,SUMPRODUCT((AC$105:AC$106)*TRANSPOSE(($D113:$E113))),0)</f>
        <v>0</v>
      </c>
      <c r="AD113" s="28" cm="1">
        <f t="array" ref="AD113">AD$104+IF($C113&lt;&gt;0,SUMPRODUCT((AD$105:AD$106)*TRANSPOSE(($D113:$E113))),0)</f>
        <v>0</v>
      </c>
      <c r="AE113" s="28" cm="1">
        <f t="array" ref="AE113">AE$104+IF($C113&lt;&gt;0,SUMPRODUCT((AE$105:AE$106)*TRANSPOSE(($D113:$E113))),0)</f>
        <v>0</v>
      </c>
      <c r="AF113" s="28" cm="1">
        <f t="array" ref="AF113">AF$104+IF($C113&lt;&gt;0,SUMPRODUCT((AF$105:AF$106)*TRANSPOSE(($D113:$E113))),0)</f>
        <v>0</v>
      </c>
      <c r="AG113" s="28" cm="1">
        <f t="array" ref="AG113">AG$104+IF($C113&lt;&gt;0,SUMPRODUCT((AG$105:AG$106)*TRANSPOSE(($D113:$E113))),0)</f>
        <v>0</v>
      </c>
    </row>
    <row r="114" spans="1:33" x14ac:dyDescent="0.2">
      <c r="A114" s="1" t="str">
        <f>"sens"&amp;Assumptions!B123</f>
        <v>sens</v>
      </c>
      <c r="C114" s="252">
        <f>Assumptions!C123</f>
        <v>0</v>
      </c>
      <c r="D114" s="253">
        <f>Assumptions!G123</f>
        <v>0</v>
      </c>
      <c r="E114" s="253">
        <f>Assumptions!H123</f>
        <v>0</v>
      </c>
      <c r="G114" s="34" t="str">
        <f t="shared" si="22"/>
        <v>Option 1 (Base Case)sens</v>
      </c>
      <c r="I114" s="28" cm="1">
        <f t="array" ref="I114">I$104+IF($C114&lt;&gt;0,SUMPRODUCT((I$105:I$106)*TRANSPOSE(($D114:$E114))),0)</f>
        <v>0</v>
      </c>
      <c r="J114" s="28" cm="1">
        <f t="array" ref="J114">J$104+IF($C114&lt;&gt;0,SUMPRODUCT((J$105:J$106)*TRANSPOSE(($D114:$E114))),0)</f>
        <v>0</v>
      </c>
      <c r="K114" s="28" cm="1">
        <f t="array" ref="K114">K$104+IF($C114&lt;&gt;0,SUMPRODUCT((K$105:K$106)*TRANSPOSE(($D114:$E114))),0)</f>
        <v>0</v>
      </c>
      <c r="L114" s="28" cm="1">
        <f t="array" ref="L114">L$104+IF($C114&lt;&gt;0,SUMPRODUCT((L$105:L$106)*TRANSPOSE(($D114:$E114))),0)</f>
        <v>0</v>
      </c>
      <c r="M114" s="28" cm="1">
        <f t="array" ref="M114">M$104+IF($C114&lt;&gt;0,SUMPRODUCT((M$105:M$106)*TRANSPOSE(($D114:$E114))),0)</f>
        <v>0</v>
      </c>
      <c r="N114" s="28" cm="1">
        <f t="array" ref="N114">N$104+IF($C114&lt;&gt;0,SUMPRODUCT((N$105:N$106)*TRANSPOSE(($D114:$E114))),0)</f>
        <v>0</v>
      </c>
      <c r="O114" s="28" cm="1">
        <f t="array" ref="O114">O$104+IF($C114&lt;&gt;0,SUMPRODUCT((O$105:O$106)*TRANSPOSE(($D114:$E114))),0)</f>
        <v>0</v>
      </c>
      <c r="P114" s="28" cm="1">
        <f t="array" ref="P114">P$104+IF($C114&lt;&gt;0,SUMPRODUCT((P$105:P$106)*TRANSPOSE(($D114:$E114))),0)</f>
        <v>0</v>
      </c>
      <c r="Q114" s="28" cm="1">
        <f t="array" ref="Q114">Q$104+IF($C114&lt;&gt;0,SUMPRODUCT((Q$105:Q$106)*TRANSPOSE(($D114:$E114))),0)</f>
        <v>0</v>
      </c>
      <c r="R114" s="28" cm="1">
        <f t="array" ref="R114">R$104+IF($C114&lt;&gt;0,SUMPRODUCT((R$105:R$106)*TRANSPOSE(($D114:$E114))),0)</f>
        <v>0</v>
      </c>
      <c r="S114" s="28" cm="1">
        <f t="array" ref="S114">S$104+IF($C114&lt;&gt;0,SUMPRODUCT((S$105:S$106)*TRANSPOSE(($D114:$E114))),0)</f>
        <v>0</v>
      </c>
      <c r="T114" s="28" cm="1">
        <f t="array" ref="T114">T$104+IF($C114&lt;&gt;0,SUMPRODUCT((T$105:T$106)*TRANSPOSE(($D114:$E114))),0)</f>
        <v>0</v>
      </c>
      <c r="U114" s="28" cm="1">
        <f t="array" ref="U114">U$104+IF($C114&lt;&gt;0,SUMPRODUCT((U$105:U$106)*TRANSPOSE(($D114:$E114))),0)</f>
        <v>0</v>
      </c>
      <c r="V114" s="28" cm="1">
        <f t="array" ref="V114">V$104+IF($C114&lt;&gt;0,SUMPRODUCT((V$105:V$106)*TRANSPOSE(($D114:$E114))),0)</f>
        <v>0</v>
      </c>
      <c r="W114" s="28" cm="1">
        <f t="array" ref="W114">W$104+IF($C114&lt;&gt;0,SUMPRODUCT((W$105:W$106)*TRANSPOSE(($D114:$E114))),0)</f>
        <v>0</v>
      </c>
      <c r="X114" s="28" cm="1">
        <f t="array" ref="X114">X$104+IF($C114&lt;&gt;0,SUMPRODUCT((X$105:X$106)*TRANSPOSE(($D114:$E114))),0)</f>
        <v>0</v>
      </c>
      <c r="Y114" s="28" cm="1">
        <f t="array" ref="Y114">Y$104+IF($C114&lt;&gt;0,SUMPRODUCT((Y$105:Y$106)*TRANSPOSE(($D114:$E114))),0)</f>
        <v>0</v>
      </c>
      <c r="Z114" s="28" cm="1">
        <f t="array" ref="Z114">Z$104+IF($C114&lt;&gt;0,SUMPRODUCT((Z$105:Z$106)*TRANSPOSE(($D114:$E114))),0)</f>
        <v>0</v>
      </c>
      <c r="AA114" s="28" cm="1">
        <f t="array" ref="AA114">AA$104+IF($C114&lt;&gt;0,SUMPRODUCT((AA$105:AA$106)*TRANSPOSE(($D114:$E114))),0)</f>
        <v>0</v>
      </c>
      <c r="AB114" s="28" cm="1">
        <f t="array" ref="AB114">AB$104+IF($C114&lt;&gt;0,SUMPRODUCT((AB$105:AB$106)*TRANSPOSE(($D114:$E114))),0)</f>
        <v>0</v>
      </c>
      <c r="AC114" s="28" cm="1">
        <f t="array" ref="AC114">AC$104+IF($C114&lt;&gt;0,SUMPRODUCT((AC$105:AC$106)*TRANSPOSE(($D114:$E114))),0)</f>
        <v>0</v>
      </c>
      <c r="AD114" s="28" cm="1">
        <f t="array" ref="AD114">AD$104+IF($C114&lt;&gt;0,SUMPRODUCT((AD$105:AD$106)*TRANSPOSE(($D114:$E114))),0)</f>
        <v>0</v>
      </c>
      <c r="AE114" s="28" cm="1">
        <f t="array" ref="AE114">AE$104+IF($C114&lt;&gt;0,SUMPRODUCT((AE$105:AE$106)*TRANSPOSE(($D114:$E114))),0)</f>
        <v>0</v>
      </c>
      <c r="AF114" s="28" cm="1">
        <f t="array" ref="AF114">AF$104+IF($C114&lt;&gt;0,SUMPRODUCT((AF$105:AF$106)*TRANSPOSE(($D114:$E114))),0)</f>
        <v>0</v>
      </c>
      <c r="AG114" s="28" cm="1">
        <f t="array" ref="AG114">AG$104+IF($C114&lt;&gt;0,SUMPRODUCT((AG$105:AG$106)*TRANSPOSE(($D114:$E114))),0)</f>
        <v>0</v>
      </c>
    </row>
    <row r="115" spans="1:33" x14ac:dyDescent="0.2">
      <c r="A115" s="1" t="str">
        <f>"sens"&amp;Assumptions!B124</f>
        <v>sens</v>
      </c>
      <c r="C115" s="252">
        <f>Assumptions!C124</f>
        <v>0</v>
      </c>
      <c r="D115" s="253">
        <f>Assumptions!G124</f>
        <v>0</v>
      </c>
      <c r="E115" s="253">
        <f>Assumptions!H124</f>
        <v>0</v>
      </c>
      <c r="G115" s="34" t="str">
        <f t="shared" si="22"/>
        <v>Option 1 (Base Case)sens</v>
      </c>
      <c r="I115" s="28" cm="1">
        <f t="array" ref="I115">I$104+IF($C115&lt;&gt;0,SUMPRODUCT((I$105:I$106)*TRANSPOSE(($D115:$E115))),0)</f>
        <v>0</v>
      </c>
      <c r="J115" s="28" cm="1">
        <f t="array" ref="J115">J$104+IF($C115&lt;&gt;0,SUMPRODUCT((J$105:J$106)*TRANSPOSE(($D115:$E115))),0)</f>
        <v>0</v>
      </c>
      <c r="K115" s="28" cm="1">
        <f t="array" ref="K115">K$104+IF($C115&lt;&gt;0,SUMPRODUCT((K$105:K$106)*TRANSPOSE(($D115:$E115))),0)</f>
        <v>0</v>
      </c>
      <c r="L115" s="28" cm="1">
        <f t="array" ref="L115">L$104+IF($C115&lt;&gt;0,SUMPRODUCT((L$105:L$106)*TRANSPOSE(($D115:$E115))),0)</f>
        <v>0</v>
      </c>
      <c r="M115" s="28" cm="1">
        <f t="array" ref="M115">M$104+IF($C115&lt;&gt;0,SUMPRODUCT((M$105:M$106)*TRANSPOSE(($D115:$E115))),0)</f>
        <v>0</v>
      </c>
      <c r="N115" s="28" cm="1">
        <f t="array" ref="N115">N$104+IF($C115&lt;&gt;0,SUMPRODUCT((N$105:N$106)*TRANSPOSE(($D115:$E115))),0)</f>
        <v>0</v>
      </c>
      <c r="O115" s="28" cm="1">
        <f t="array" ref="O115">O$104+IF($C115&lt;&gt;0,SUMPRODUCT((O$105:O$106)*TRANSPOSE(($D115:$E115))),0)</f>
        <v>0</v>
      </c>
      <c r="P115" s="28" cm="1">
        <f t="array" ref="P115">P$104+IF($C115&lt;&gt;0,SUMPRODUCT((P$105:P$106)*TRANSPOSE(($D115:$E115))),0)</f>
        <v>0</v>
      </c>
      <c r="Q115" s="28" cm="1">
        <f t="array" ref="Q115">Q$104+IF($C115&lt;&gt;0,SUMPRODUCT((Q$105:Q$106)*TRANSPOSE(($D115:$E115))),0)</f>
        <v>0</v>
      </c>
      <c r="R115" s="28" cm="1">
        <f t="array" ref="R115">R$104+IF($C115&lt;&gt;0,SUMPRODUCT((R$105:R$106)*TRANSPOSE(($D115:$E115))),0)</f>
        <v>0</v>
      </c>
      <c r="S115" s="28" cm="1">
        <f t="array" ref="S115">S$104+IF($C115&lt;&gt;0,SUMPRODUCT((S$105:S$106)*TRANSPOSE(($D115:$E115))),0)</f>
        <v>0</v>
      </c>
      <c r="T115" s="28" cm="1">
        <f t="array" ref="T115">T$104+IF($C115&lt;&gt;0,SUMPRODUCT((T$105:T$106)*TRANSPOSE(($D115:$E115))),0)</f>
        <v>0</v>
      </c>
      <c r="U115" s="28" cm="1">
        <f t="array" ref="U115">U$104+IF($C115&lt;&gt;0,SUMPRODUCT((U$105:U$106)*TRANSPOSE(($D115:$E115))),0)</f>
        <v>0</v>
      </c>
      <c r="V115" s="28" cm="1">
        <f t="array" ref="V115">V$104+IF($C115&lt;&gt;0,SUMPRODUCT((V$105:V$106)*TRANSPOSE(($D115:$E115))),0)</f>
        <v>0</v>
      </c>
      <c r="W115" s="28" cm="1">
        <f t="array" ref="W115">W$104+IF($C115&lt;&gt;0,SUMPRODUCT((W$105:W$106)*TRANSPOSE(($D115:$E115))),0)</f>
        <v>0</v>
      </c>
      <c r="X115" s="28" cm="1">
        <f t="array" ref="X115">X$104+IF($C115&lt;&gt;0,SUMPRODUCT((X$105:X$106)*TRANSPOSE(($D115:$E115))),0)</f>
        <v>0</v>
      </c>
      <c r="Y115" s="28" cm="1">
        <f t="array" ref="Y115">Y$104+IF($C115&lt;&gt;0,SUMPRODUCT((Y$105:Y$106)*TRANSPOSE(($D115:$E115))),0)</f>
        <v>0</v>
      </c>
      <c r="Z115" s="28" cm="1">
        <f t="array" ref="Z115">Z$104+IF($C115&lt;&gt;0,SUMPRODUCT((Z$105:Z$106)*TRANSPOSE(($D115:$E115))),0)</f>
        <v>0</v>
      </c>
      <c r="AA115" s="28" cm="1">
        <f t="array" ref="AA115">AA$104+IF($C115&lt;&gt;0,SUMPRODUCT((AA$105:AA$106)*TRANSPOSE(($D115:$E115))),0)</f>
        <v>0</v>
      </c>
      <c r="AB115" s="28" cm="1">
        <f t="array" ref="AB115">AB$104+IF($C115&lt;&gt;0,SUMPRODUCT((AB$105:AB$106)*TRANSPOSE(($D115:$E115))),0)</f>
        <v>0</v>
      </c>
      <c r="AC115" s="28" cm="1">
        <f t="array" ref="AC115">AC$104+IF($C115&lt;&gt;0,SUMPRODUCT((AC$105:AC$106)*TRANSPOSE(($D115:$E115))),0)</f>
        <v>0</v>
      </c>
      <c r="AD115" s="28" cm="1">
        <f t="array" ref="AD115">AD$104+IF($C115&lt;&gt;0,SUMPRODUCT((AD$105:AD$106)*TRANSPOSE(($D115:$E115))),0)</f>
        <v>0</v>
      </c>
      <c r="AE115" s="28" cm="1">
        <f t="array" ref="AE115">AE$104+IF($C115&lt;&gt;0,SUMPRODUCT((AE$105:AE$106)*TRANSPOSE(($D115:$E115))),0)</f>
        <v>0</v>
      </c>
      <c r="AF115" s="28" cm="1">
        <f t="array" ref="AF115">AF$104+IF($C115&lt;&gt;0,SUMPRODUCT((AF$105:AF$106)*TRANSPOSE(($D115:$E115))),0)</f>
        <v>0</v>
      </c>
      <c r="AG115" s="28" cm="1">
        <f t="array" ref="AG115">AG$104+IF($C115&lt;&gt;0,SUMPRODUCT((AG$105:AG$106)*TRANSPOSE(($D115:$E115))),0)</f>
        <v>0</v>
      </c>
    </row>
  </sheetData>
  <conditionalFormatting sqref="E14:E16">
    <cfRule type="expression" dxfId="13" priority="12">
      <formula>AND(SUM($I14:$AB14)&lt;&gt;0, E14=0)</formula>
    </cfRule>
  </conditionalFormatting>
  <conditionalFormatting sqref="E29">
    <cfRule type="expression" dxfId="12" priority="239">
      <formula>AND(SUM($I$28:$AG$28)&gt;0, $E$29=0)</formula>
    </cfRule>
  </conditionalFormatting>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AA9D-F89B-4B5B-91A1-7D8DFA0D370D}">
  <sheetPr codeName="Sheet7">
    <tabColor rgb="FF0099FF"/>
  </sheetPr>
  <dimension ref="A1:XER134"/>
  <sheetViews>
    <sheetView showGridLines="0" zoomScale="90" zoomScaleNormal="90" workbookViewId="0">
      <pane xSplit="7" ySplit="10" topLeftCell="H11" activePane="bottomRight" state="frozen"/>
      <selection activeCell="C4" sqref="C4"/>
      <selection pane="topRight" activeCell="C4" sqref="C4"/>
      <selection pane="bottomLeft" activeCell="C4" sqref="C4"/>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TRG024-WBL012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136</v>
      </c>
      <c r="B3" s="5"/>
      <c r="C3" s="374" t="str">
        <f>INDEX(Assumptions!$E$14:$E$18, MATCH(A3,_xlfn.ANCHORARRAY( Assumptions!$C$14),0))</f>
        <v>TRG024-WBL012 Tie upgrade</v>
      </c>
    </row>
    <row r="4" spans="1:43" x14ac:dyDescent="0.2">
      <c r="A4" s="1" t="str">
        <f>(INDEX(Data!$D$9:$D$13, MATCH(A3, options,0)))</f>
        <v/>
      </c>
      <c r="B4" s="162"/>
      <c r="C4" s="210"/>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7" t="s">
        <v>100</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0"/>
      <c r="G9" s="16" t="s">
        <v>101</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102</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row>
    <row r="13" spans="1:43" x14ac:dyDescent="0.2">
      <c r="C13" s="3" t="s">
        <v>95</v>
      </c>
      <c r="D13"/>
      <c r="E13" s="105" t="s">
        <v>103</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22</v>
      </c>
      <c r="D14"/>
      <c r="E14" s="126">
        <v>50</v>
      </c>
      <c r="G14" s="180">
        <f>input_dollars</f>
        <v>45291</v>
      </c>
      <c r="H14" s="127"/>
      <c r="I14" s="29">
        <f>Workings_costs!C$40</f>
        <v>0</v>
      </c>
      <c r="J14" s="29">
        <f>Workings_costs!D$40</f>
        <v>335000</v>
      </c>
      <c r="K14" s="29">
        <f>Workings_costs!E$40</f>
        <v>780500</v>
      </c>
      <c r="L14" s="29">
        <f>Workings_costs!F$40</f>
        <v>1219500</v>
      </c>
      <c r="M14" s="29">
        <f>Workings_costs!G$40</f>
        <v>0</v>
      </c>
      <c r="N14" s="29">
        <f>Workings_costs!H$40</f>
        <v>0</v>
      </c>
      <c r="O14" s="29">
        <f>Workings_costs!I$40</f>
        <v>0</v>
      </c>
      <c r="P14" s="29">
        <f>Workings_costs!J$40</f>
        <v>0</v>
      </c>
      <c r="Q14" s="29">
        <f>Workings_costs!K$40</f>
        <v>0</v>
      </c>
      <c r="R14" s="29">
        <f>Workings_costs!L$40</f>
        <v>0</v>
      </c>
      <c r="S14" s="29">
        <f>Workings_costs!M$40</f>
        <v>0</v>
      </c>
      <c r="T14" s="29">
        <f>Workings_costs!N$40</f>
        <v>0</v>
      </c>
      <c r="U14" s="29">
        <f>Workings_costs!O$40</f>
        <v>0</v>
      </c>
      <c r="V14" s="29">
        <f>Workings_costs!P$40</f>
        <v>0</v>
      </c>
      <c r="W14" s="29">
        <f>Workings_costs!Q$40</f>
        <v>0</v>
      </c>
      <c r="X14" s="29">
        <f>Workings_costs!R$40</f>
        <v>0</v>
      </c>
      <c r="Y14" s="29">
        <f>Workings_costs!S$40</f>
        <v>0</v>
      </c>
      <c r="Z14" s="29">
        <f>Workings_costs!T$40</f>
        <v>0</v>
      </c>
      <c r="AA14" s="29">
        <f>Workings_costs!U$40</f>
        <v>0</v>
      </c>
      <c r="AB14" s="29">
        <f>Workings_costs!V$40</f>
        <v>0</v>
      </c>
      <c r="AC14" s="29">
        <f>Workings_costs!W$40</f>
        <v>0</v>
      </c>
      <c r="AD14" s="29">
        <f>Workings_costs!X$40</f>
        <v>0</v>
      </c>
      <c r="AE14" s="29">
        <f>Workings_costs!Y$40</f>
        <v>0</v>
      </c>
      <c r="AF14" s="29">
        <f>Workings_costs!Z$40</f>
        <v>0</v>
      </c>
      <c r="AG14" s="29">
        <f>Workings_costs!AA$40</f>
        <v>0</v>
      </c>
      <c r="AH14"/>
      <c r="AI14"/>
      <c r="AJ14"/>
      <c r="AK14"/>
      <c r="AL14"/>
      <c r="AM14"/>
      <c r="AN14"/>
      <c r="AO14"/>
      <c r="AP14"/>
      <c r="AQ14"/>
    </row>
    <row r="15" spans="1:43" x14ac:dyDescent="0.2">
      <c r="C15" s="51"/>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Q17" si="0">SUM(I14:I16)</f>
        <v>0</v>
      </c>
      <c r="J17" s="94">
        <f t="shared" si="0"/>
        <v>335000</v>
      </c>
      <c r="K17" s="94">
        <f t="shared" si="0"/>
        <v>780500</v>
      </c>
      <c r="L17" s="94">
        <f t="shared" si="0"/>
        <v>1219500</v>
      </c>
      <c r="M17" s="94">
        <f t="shared" si="0"/>
        <v>0</v>
      </c>
      <c r="N17" s="94">
        <f t="shared" si="0"/>
        <v>0</v>
      </c>
      <c r="O17" s="94">
        <f t="shared" si="0"/>
        <v>0</v>
      </c>
      <c r="P17" s="94">
        <f t="shared" si="0"/>
        <v>0</v>
      </c>
      <c r="Q17" s="94">
        <f t="shared" si="0"/>
        <v>0</v>
      </c>
      <c r="R17" s="94">
        <f t="shared" ref="R17:AG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 t="shared" si="1"/>
        <v>0</v>
      </c>
      <c r="AD17" s="94">
        <f t="shared" si="1"/>
        <v>0</v>
      </c>
      <c r="AE17" s="94">
        <f t="shared" si="1"/>
        <v>0</v>
      </c>
      <c r="AF17" s="94">
        <f t="shared" si="1"/>
        <v>0</v>
      </c>
      <c r="AG17" s="94">
        <f t="shared" si="1"/>
        <v>0</v>
      </c>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row>
    <row r="20" spans="1:43" x14ac:dyDescent="0.2">
      <c r="G20" s="178"/>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105</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106</v>
      </c>
      <c r="D24" s="99"/>
      <c r="E24" s="99"/>
      <c r="F24" s="99"/>
      <c r="G24" s="181"/>
      <c r="H24" s="99"/>
      <c r="I24" s="145">
        <v>0</v>
      </c>
      <c r="J24" s="145">
        <v>0</v>
      </c>
      <c r="K24" s="145">
        <v>0</v>
      </c>
      <c r="L24" s="145">
        <v>0</v>
      </c>
      <c r="M24" s="145">
        <v>0</v>
      </c>
      <c r="N24" s="145">
        <v>0</v>
      </c>
      <c r="O24" s="145">
        <v>0</v>
      </c>
      <c r="P24" s="145">
        <v>0</v>
      </c>
      <c r="Q24" s="145">
        <v>0</v>
      </c>
      <c r="R24" s="145">
        <v>0</v>
      </c>
      <c r="S24" s="145">
        <v>0</v>
      </c>
      <c r="T24" s="145">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9"/>
      <c r="B25" s="99"/>
      <c r="C25" s="1" t="s">
        <v>107</v>
      </c>
      <c r="D25" s="181"/>
      <c r="E25" s="99"/>
      <c r="F25" s="99"/>
      <c r="G25" s="181"/>
      <c r="H25" s="99"/>
      <c r="I25" s="145">
        <v>0</v>
      </c>
      <c r="J25" s="145">
        <v>0</v>
      </c>
      <c r="K25" s="145">
        <v>0</v>
      </c>
      <c r="L25" s="145">
        <v>0</v>
      </c>
      <c r="M25" s="145">
        <v>0</v>
      </c>
      <c r="N25" s="145">
        <v>0</v>
      </c>
      <c r="O25" s="145">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1"/>
      <c r="E27" s="99"/>
      <c r="F27" s="99"/>
      <c r="G27" s="181"/>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108</v>
      </c>
      <c r="D28" s="178"/>
      <c r="E28"/>
      <c r="G28" s="180" t="s">
        <v>109</v>
      </c>
      <c r="H28"/>
      <c r="I28" s="144">
        <f>'Option1 (base case)'!I28</f>
        <v>14.556887127774912</v>
      </c>
      <c r="J28" s="144">
        <f>'Option1 (base case)'!J28</f>
        <v>14.556887127774912</v>
      </c>
      <c r="K28" s="144">
        <f>'Option1 (base case)'!K28</f>
        <v>14.556887127774912</v>
      </c>
      <c r="L28" s="144">
        <f>'Option1 (base case)'!L28</f>
        <v>14.556887127774912</v>
      </c>
      <c r="M28" s="144">
        <f>'Option1 (base case)'!M28-Workings_benefits!$F$84</f>
        <v>11.088932287020889</v>
      </c>
      <c r="N28" s="144">
        <f>'Option1 (base case)'!N28-Workings_benefits!$F$84</f>
        <v>11.088932287020889</v>
      </c>
      <c r="O28" s="144">
        <f>'Option1 (base case)'!O28-Workings_benefits!$F$84</f>
        <v>11.088932287020889</v>
      </c>
      <c r="P28" s="144">
        <f>'Option1 (base case)'!P28-Workings_benefits!$F$84</f>
        <v>11.088932287020889</v>
      </c>
      <c r="Q28" s="144">
        <f>'Option1 (base case)'!Q28-Workings_benefits!$F$84</f>
        <v>11.088932287020889</v>
      </c>
      <c r="R28" s="144">
        <f>'Option1 (base case)'!R28-Workings_benefits!$F$84</f>
        <v>11.088932287020889</v>
      </c>
      <c r="S28" s="144">
        <f>'Option1 (base case)'!S28-Workings_benefits!$F$84</f>
        <v>11.088932287020889</v>
      </c>
      <c r="T28" s="144">
        <f>'Option1 (base case)'!T28-Workings_benefits!$F$84</f>
        <v>11.088932287020889</v>
      </c>
      <c r="U28" s="144">
        <f>'Option1 (base case)'!U28-Workings_benefits!$F$84</f>
        <v>11.088932287020889</v>
      </c>
      <c r="V28" s="144">
        <f>'Option1 (base case)'!V28-Workings_benefits!$F$84</f>
        <v>11.088932287020889</v>
      </c>
      <c r="W28" s="144">
        <f>'Option1 (base case)'!W28-Workings_benefits!$F$84</f>
        <v>11.088932287020889</v>
      </c>
      <c r="X28" s="144">
        <f>'Option1 (base case)'!X28-Workings_benefits!$F$84</f>
        <v>11.088932287020889</v>
      </c>
      <c r="Y28" s="144">
        <f>'Option1 (base case)'!Y28-Workings_benefits!$F$84</f>
        <v>11.088932287020889</v>
      </c>
      <c r="Z28" s="144">
        <f>'Option1 (base case)'!Z28-Workings_benefits!$F$84</f>
        <v>11.088932287020889</v>
      </c>
      <c r="AA28" s="144">
        <f>'Option1 (base case)'!AA28-Workings_benefits!$F$84</f>
        <v>11.088932287020889</v>
      </c>
      <c r="AB28" s="144">
        <f>'Option1 (base case)'!AB28-Workings_benefits!$F$84</f>
        <v>11.088932287020889</v>
      </c>
      <c r="AC28" s="144">
        <f>'Option1 (base case)'!AC28-Workings_benefits!$F$84</f>
        <v>11.088932287020889</v>
      </c>
      <c r="AD28" s="144">
        <f>'Option1 (base case)'!AD28-Workings_benefits!$F$84</f>
        <v>11.088932287020889</v>
      </c>
      <c r="AE28" s="144">
        <f>'Option1 (base case)'!AE28-Workings_benefits!$F$84</f>
        <v>11.088932287020889</v>
      </c>
      <c r="AF28" s="144">
        <f>'Option1 (base case)'!AF28-Workings_benefits!$F$84</f>
        <v>11.088932287020889</v>
      </c>
      <c r="AG28" s="144">
        <f>'Option1 (base case)'!AG28-Workings_benefits!$F$84</f>
        <v>11.088932287020889</v>
      </c>
      <c r="AH28"/>
      <c r="AI28"/>
      <c r="AJ28"/>
      <c r="AK28"/>
      <c r="AL28"/>
      <c r="AM28"/>
      <c r="AN28"/>
      <c r="AO28"/>
      <c r="AP28"/>
      <c r="AQ28"/>
    </row>
    <row r="29" spans="1:43" x14ac:dyDescent="0.2">
      <c r="C29" s="1" t="s">
        <v>110</v>
      </c>
      <c r="D29" s="178" t="s">
        <v>100</v>
      </c>
      <c r="E29" s="100">
        <f>Assumptions!G43*vcr_esc</f>
        <v>31361.198140479657</v>
      </c>
      <c r="F29" s="210" t="str">
        <f>IF(AND(SUM(I28:AG28)&lt;&gt;0, E29=0), "!", "")</f>
        <v/>
      </c>
      <c r="G29" s="180">
        <f>input_dollars</f>
        <v>45291</v>
      </c>
      <c r="H29"/>
      <c r="I29" s="93">
        <f>I28*$E$29</f>
        <v>456521.42152274685</v>
      </c>
      <c r="J29" s="93">
        <f t="shared" ref="J29:AG29" si="2">J28*$E$29</f>
        <v>456521.42152274685</v>
      </c>
      <c r="K29" s="93">
        <f t="shared" si="2"/>
        <v>456521.42152274685</v>
      </c>
      <c r="L29" s="93">
        <f t="shared" si="2"/>
        <v>456521.42152274685</v>
      </c>
      <c r="M29" s="93">
        <f t="shared" si="2"/>
        <v>347762.20261962432</v>
      </c>
      <c r="N29" s="93">
        <f t="shared" si="2"/>
        <v>347762.20261962432</v>
      </c>
      <c r="O29" s="93">
        <f t="shared" si="2"/>
        <v>347762.20261962432</v>
      </c>
      <c r="P29" s="93">
        <f t="shared" si="2"/>
        <v>347762.20261962432</v>
      </c>
      <c r="Q29" s="93">
        <f t="shared" si="2"/>
        <v>347762.20261962432</v>
      </c>
      <c r="R29" s="93">
        <f t="shared" si="2"/>
        <v>347762.20261962432</v>
      </c>
      <c r="S29" s="93">
        <f t="shared" si="2"/>
        <v>347762.20261962432</v>
      </c>
      <c r="T29" s="93">
        <f t="shared" si="2"/>
        <v>347762.20261962432</v>
      </c>
      <c r="U29" s="93">
        <f t="shared" si="2"/>
        <v>347762.20261962432</v>
      </c>
      <c r="V29" s="93">
        <f t="shared" si="2"/>
        <v>347762.20261962432</v>
      </c>
      <c r="W29" s="93">
        <f t="shared" si="2"/>
        <v>347762.20261962432</v>
      </c>
      <c r="X29" s="93">
        <f t="shared" si="2"/>
        <v>347762.20261962432</v>
      </c>
      <c r="Y29" s="93">
        <f t="shared" si="2"/>
        <v>347762.20261962432</v>
      </c>
      <c r="Z29" s="93">
        <f t="shared" si="2"/>
        <v>347762.20261962432</v>
      </c>
      <c r="AA29" s="93">
        <f t="shared" si="2"/>
        <v>347762.20261962432</v>
      </c>
      <c r="AB29" s="93">
        <f t="shared" si="2"/>
        <v>347762.20261962432</v>
      </c>
      <c r="AC29" s="93">
        <f t="shared" si="2"/>
        <v>347762.20261962432</v>
      </c>
      <c r="AD29" s="93">
        <f t="shared" si="2"/>
        <v>347762.20261962432</v>
      </c>
      <c r="AE29" s="93">
        <f t="shared" si="2"/>
        <v>347762.20261962432</v>
      </c>
      <c r="AF29" s="93">
        <f t="shared" si="2"/>
        <v>347762.20261962432</v>
      </c>
      <c r="AG29" s="93">
        <f t="shared" si="2"/>
        <v>347762.20261962432</v>
      </c>
      <c r="AH29"/>
      <c r="AI29"/>
      <c r="AJ29"/>
      <c r="AK29"/>
      <c r="AL29"/>
      <c r="AM29"/>
      <c r="AN29"/>
      <c r="AO29"/>
      <c r="AP29"/>
      <c r="AQ29"/>
    </row>
    <row r="30" spans="1:43" x14ac:dyDescent="0.2">
      <c r="D30" s="179"/>
      <c r="E30"/>
      <c r="G30" s="180"/>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111</v>
      </c>
      <c r="D31" s="178" t="s">
        <v>112</v>
      </c>
      <c r="G31" s="180">
        <f>input_dollars</f>
        <v>45291</v>
      </c>
      <c r="H31" s="127"/>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113</v>
      </c>
      <c r="D32" s="179"/>
      <c r="E32"/>
      <c r="G32" s="180">
        <f>input_dollars</f>
        <v>45291</v>
      </c>
      <c r="H32" s="127"/>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1" t="s">
        <v>114</v>
      </c>
      <c r="D33" s="178" t="s">
        <v>112</v>
      </c>
      <c r="E33"/>
      <c r="G33" s="180">
        <f>input_dollars</f>
        <v>45291</v>
      </c>
      <c r="H33"/>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c r="AI33"/>
      <c r="AJ33"/>
      <c r="AK33"/>
      <c r="AL33"/>
      <c r="AM33"/>
      <c r="AN33"/>
      <c r="AO33"/>
      <c r="AP33"/>
      <c r="AQ33"/>
    </row>
    <row r="34" spans="1:16372" x14ac:dyDescent="0.2">
      <c r="C34" s="51" t="s">
        <v>115</v>
      </c>
      <c r="D34" s="191"/>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C35" s="51" t="s">
        <v>115</v>
      </c>
      <c r="D35" s="179"/>
      <c r="E35"/>
      <c r="G35" s="180">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79"/>
      <c r="E36"/>
      <c r="G36" s="180"/>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116</v>
      </c>
      <c r="D37" s="190"/>
      <c r="E37" s="95"/>
      <c r="F37" s="3"/>
      <c r="G37" s="182"/>
      <c r="H37" s="95"/>
      <c r="I37" s="96">
        <f>SUM(I29:I35)</f>
        <v>456521.42152274685</v>
      </c>
      <c r="J37" s="96">
        <f t="shared" ref="J37:AG37" si="3">SUM(J29:J35)</f>
        <v>456521.42152274685</v>
      </c>
      <c r="K37" s="96">
        <f t="shared" si="3"/>
        <v>456521.42152274685</v>
      </c>
      <c r="L37" s="96">
        <f t="shared" si="3"/>
        <v>456521.42152274685</v>
      </c>
      <c r="M37" s="96">
        <f t="shared" si="3"/>
        <v>347762.20261962432</v>
      </c>
      <c r="N37" s="96">
        <f t="shared" si="3"/>
        <v>347762.20261962432</v>
      </c>
      <c r="O37" s="96">
        <f t="shared" si="3"/>
        <v>347762.20261962432</v>
      </c>
      <c r="P37" s="96">
        <f t="shared" si="3"/>
        <v>347762.20261962432</v>
      </c>
      <c r="Q37" s="96">
        <f t="shared" si="3"/>
        <v>347762.20261962432</v>
      </c>
      <c r="R37" s="96">
        <f t="shared" si="3"/>
        <v>347762.20261962432</v>
      </c>
      <c r="S37" s="96">
        <f t="shared" si="3"/>
        <v>347762.20261962432</v>
      </c>
      <c r="T37" s="96">
        <f t="shared" si="3"/>
        <v>347762.20261962432</v>
      </c>
      <c r="U37" s="96">
        <f t="shared" si="3"/>
        <v>347762.20261962432</v>
      </c>
      <c r="V37" s="96">
        <f t="shared" si="3"/>
        <v>347762.20261962432</v>
      </c>
      <c r="W37" s="96">
        <f t="shared" si="3"/>
        <v>347762.20261962432</v>
      </c>
      <c r="X37" s="96">
        <f t="shared" si="3"/>
        <v>347762.20261962432</v>
      </c>
      <c r="Y37" s="96">
        <f t="shared" si="3"/>
        <v>347762.20261962432</v>
      </c>
      <c r="Z37" s="96">
        <f t="shared" si="3"/>
        <v>347762.20261962432</v>
      </c>
      <c r="AA37" s="96">
        <f t="shared" si="3"/>
        <v>347762.20261962432</v>
      </c>
      <c r="AB37" s="96">
        <f t="shared" si="3"/>
        <v>347762.20261962432</v>
      </c>
      <c r="AC37" s="96">
        <f t="shared" si="3"/>
        <v>347762.20261962432</v>
      </c>
      <c r="AD37" s="96">
        <f t="shared" si="3"/>
        <v>347762.20261962432</v>
      </c>
      <c r="AE37" s="96">
        <f t="shared" si="3"/>
        <v>347762.20261962432</v>
      </c>
      <c r="AF37" s="96">
        <f t="shared" si="3"/>
        <v>347762.20261962432</v>
      </c>
      <c r="AG37" s="96">
        <f t="shared" si="3"/>
        <v>347762.20261962432</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0"/>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117</v>
      </c>
      <c r="B39" s="78"/>
      <c r="C39" s="78"/>
      <c r="D39" s="78"/>
      <c r="E39" s="78"/>
      <c r="F39" s="78"/>
      <c r="G39" s="177"/>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0"/>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118</v>
      </c>
      <c r="G42" s="178" t="s">
        <v>109</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row>
    <row r="43" spans="1:16372" ht="13.5" x14ac:dyDescent="0.25">
      <c r="C43" s="1" t="s">
        <v>119</v>
      </c>
      <c r="G43" s="178" t="s">
        <v>120</v>
      </c>
      <c r="I43" s="75">
        <f t="shared" ref="I43:AG43" si="4">I42*I7</f>
        <v>0</v>
      </c>
      <c r="J43" s="75">
        <f t="shared" si="4"/>
        <v>0</v>
      </c>
      <c r="K43" s="75">
        <f t="shared" si="4"/>
        <v>0</v>
      </c>
      <c r="L43" s="75">
        <f t="shared" si="4"/>
        <v>0</v>
      </c>
      <c r="M43" s="75">
        <f t="shared" si="4"/>
        <v>0</v>
      </c>
      <c r="N43" s="75">
        <f t="shared" si="4"/>
        <v>0</v>
      </c>
      <c r="O43" s="75">
        <f t="shared" si="4"/>
        <v>0</v>
      </c>
      <c r="P43" s="75">
        <f t="shared" si="4"/>
        <v>0</v>
      </c>
      <c r="Q43" s="75">
        <f t="shared" si="4"/>
        <v>0</v>
      </c>
      <c r="R43" s="75">
        <f t="shared" si="4"/>
        <v>0</v>
      </c>
      <c r="S43" s="75">
        <f t="shared" si="4"/>
        <v>0</v>
      </c>
      <c r="T43" s="75">
        <f t="shared" si="4"/>
        <v>0</v>
      </c>
      <c r="U43" s="75">
        <f t="shared" si="4"/>
        <v>0</v>
      </c>
      <c r="V43" s="75">
        <f t="shared" si="4"/>
        <v>0</v>
      </c>
      <c r="W43" s="75">
        <f t="shared" si="4"/>
        <v>0</v>
      </c>
      <c r="X43" s="75">
        <f t="shared" si="4"/>
        <v>0</v>
      </c>
      <c r="Y43" s="75">
        <f t="shared" si="4"/>
        <v>0</v>
      </c>
      <c r="Z43" s="75">
        <f t="shared" si="4"/>
        <v>0</v>
      </c>
      <c r="AA43" s="75">
        <f t="shared" si="4"/>
        <v>0</v>
      </c>
      <c r="AB43" s="75">
        <f t="shared" si="4"/>
        <v>0</v>
      </c>
      <c r="AC43" s="75">
        <f t="shared" si="4"/>
        <v>0</v>
      </c>
      <c r="AD43" s="75">
        <f t="shared" si="4"/>
        <v>0</v>
      </c>
      <c r="AE43" s="75">
        <f t="shared" si="4"/>
        <v>0</v>
      </c>
      <c r="AF43" s="75">
        <f t="shared" si="4"/>
        <v>0</v>
      </c>
      <c r="AG43" s="75">
        <f t="shared" si="4"/>
        <v>0</v>
      </c>
    </row>
    <row r="44" spans="1:16372" x14ac:dyDescent="0.2">
      <c r="D44"/>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79"/>
      <c r="E45"/>
      <c r="G45" s="180"/>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121</v>
      </c>
      <c r="D46" s="178" t="s">
        <v>100</v>
      </c>
      <c r="E46" s="100">
        <f>Assumptions!G101-'Option1 (base case)'!E29</f>
        <v>120071.80185952035</v>
      </c>
      <c r="G46" s="180" t="s">
        <v>109</v>
      </c>
      <c r="I46" s="364">
        <f>IF(Option2!I20&gt;0,IF(SUM('Option1 (base case)'!$E$31,'Option1 (base case)'!I32*'Option1 (base case)'!$E$29)&gt;500/60,(SUM('Option1 (base case)'!$E$31,'Option1 (base case)'!I32*'Option1 (base case)'!$E$29)-500/60)*'Option1 (base case)'!I8*Assumptions!$E$12,0),0)</f>
        <v>0</v>
      </c>
      <c r="J46" s="364">
        <f>IF(Option2!J20&gt;0,IF(SUM('Option1 (base case)'!$E$31,'Option1 (base case)'!J32*'Option1 (base case)'!$E$29)&gt;500/60,(SUM('Option1 (base case)'!$E$31,'Option1 (base case)'!J32*'Option1 (base case)'!$E$29)-500/60)*'Option1 (base case)'!J8*Assumptions!$E$12,0),0)</f>
        <v>0</v>
      </c>
      <c r="K46" s="364">
        <f>IF(Option2!K20&gt;0,IF(SUM('Option1 (base case)'!$E$31,'Option1 (base case)'!K32*'Option1 (base case)'!$E$29)&gt;500/60,(SUM('Option1 (base case)'!$E$31,'Option1 (base case)'!K32*'Option1 (base case)'!$E$29)-500/60)*'Option1 (base case)'!K8*Assumptions!$E$12,0),0)</f>
        <v>0</v>
      </c>
      <c r="L46" s="364">
        <f>IF(Option2!L20&gt;0,IF(SUM('Option1 (base case)'!$E$31,'Option1 (base case)'!L32*'Option1 (base case)'!$E$29)&gt;500/60,(SUM('Option1 (base case)'!$E$31,'Option1 (base case)'!L32*'Option1 (base case)'!$E$29)-500/60)*'Option1 (base case)'!L8*Assumptions!$E$12,0),0)</f>
        <v>0</v>
      </c>
      <c r="M46" s="365">
        <f>Workings_benefits!$E$84</f>
        <v>1.9683020199066261</v>
      </c>
      <c r="N46" s="365">
        <f>Workings_benefits!$E$84</f>
        <v>1.9683020199066261</v>
      </c>
      <c r="O46" s="365">
        <f>Workings_benefits!$E$84</f>
        <v>1.9683020199066261</v>
      </c>
      <c r="P46" s="365">
        <f>Workings_benefits!$E$84</f>
        <v>1.9683020199066261</v>
      </c>
      <c r="Q46" s="365">
        <f>Workings_benefits!$E$84</f>
        <v>1.9683020199066261</v>
      </c>
      <c r="R46" s="365">
        <f>Workings_benefits!$E$84</f>
        <v>1.9683020199066261</v>
      </c>
      <c r="S46" s="365">
        <f>Workings_benefits!$E$84</f>
        <v>1.9683020199066261</v>
      </c>
      <c r="T46" s="365">
        <f>Workings_benefits!$E$84</f>
        <v>1.9683020199066261</v>
      </c>
      <c r="U46" s="365">
        <f>Workings_benefits!$E$84</f>
        <v>1.9683020199066261</v>
      </c>
      <c r="V46" s="365">
        <f>Workings_benefits!$E$84</f>
        <v>1.9683020199066261</v>
      </c>
      <c r="W46" s="365">
        <f>Workings_benefits!$E$84</f>
        <v>1.9683020199066261</v>
      </c>
      <c r="X46" s="365">
        <f>Workings_benefits!$E$84</f>
        <v>1.9683020199066261</v>
      </c>
      <c r="Y46" s="365">
        <f>Workings_benefits!$E$84</f>
        <v>1.9683020199066261</v>
      </c>
      <c r="Z46" s="365">
        <f>Workings_benefits!$E$84</f>
        <v>1.9683020199066261</v>
      </c>
      <c r="AA46" s="365">
        <f>Workings_benefits!$E$84</f>
        <v>1.9683020199066261</v>
      </c>
      <c r="AB46" s="365">
        <f>Workings_benefits!$E$84</f>
        <v>1.9683020199066261</v>
      </c>
      <c r="AC46" s="365">
        <f>Workings_benefits!$E$84</f>
        <v>1.9683020199066261</v>
      </c>
      <c r="AD46" s="365">
        <f>Workings_benefits!$E$84</f>
        <v>1.9683020199066261</v>
      </c>
      <c r="AE46" s="365">
        <f>Workings_benefits!$E$84</f>
        <v>1.9683020199066261</v>
      </c>
      <c r="AF46" s="365">
        <f>Workings_benefits!$E$84</f>
        <v>1.9683020199066261</v>
      </c>
      <c r="AG46" s="365">
        <f>Workings_benefits!$E$84</f>
        <v>1.9683020199066261</v>
      </c>
    </row>
    <row r="47" spans="1:16372" x14ac:dyDescent="0.2">
      <c r="C47" s="1" t="s">
        <v>122</v>
      </c>
      <c r="D47" s="178" t="s">
        <v>100</v>
      </c>
      <c r="E47" s="100">
        <f>Assumptions!H47*2</f>
        <v>48978</v>
      </c>
      <c r="G47" s="180" t="s">
        <v>109</v>
      </c>
      <c r="I47" s="29">
        <v>0</v>
      </c>
      <c r="J47" s="29">
        <v>0</v>
      </c>
      <c r="K47" s="29"/>
      <c r="L47" s="29"/>
      <c r="M47" s="365"/>
      <c r="N47" s="365"/>
      <c r="O47" s="365"/>
      <c r="P47" s="365"/>
      <c r="Q47" s="365"/>
      <c r="R47" s="365"/>
      <c r="S47" s="365"/>
      <c r="T47" s="365"/>
      <c r="U47" s="365"/>
      <c r="V47" s="365"/>
      <c r="W47" s="365"/>
      <c r="X47" s="365"/>
      <c r="Y47" s="365"/>
      <c r="Z47" s="365"/>
      <c r="AA47" s="365"/>
      <c r="AB47" s="365"/>
      <c r="AC47" s="365"/>
      <c r="AD47" s="365"/>
      <c r="AE47" s="365"/>
      <c r="AF47" s="365"/>
      <c r="AG47" s="365"/>
    </row>
    <row r="48" spans="1:16372" x14ac:dyDescent="0.2">
      <c r="C48" s="1" t="s">
        <v>123</v>
      </c>
      <c r="D48" s="178" t="s">
        <v>100</v>
      </c>
      <c r="E48" s="100">
        <f>Assumptions!H48*1.5</f>
        <v>15180.519501258052</v>
      </c>
      <c r="G48" s="180" t="s">
        <v>109</v>
      </c>
      <c r="I48" s="29">
        <v>0</v>
      </c>
      <c r="J48" s="29">
        <v>0</v>
      </c>
      <c r="K48" s="29"/>
      <c r="L48" s="29"/>
      <c r="M48" s="365"/>
      <c r="N48" s="365"/>
      <c r="O48" s="365"/>
      <c r="P48" s="365"/>
      <c r="Q48" s="365"/>
      <c r="R48" s="365"/>
      <c r="S48" s="365"/>
      <c r="T48" s="365"/>
      <c r="U48" s="365"/>
      <c r="V48" s="365"/>
      <c r="W48" s="365"/>
      <c r="X48" s="365"/>
      <c r="Y48" s="365"/>
      <c r="Z48" s="365"/>
      <c r="AA48" s="365"/>
      <c r="AB48" s="365"/>
      <c r="AC48" s="365"/>
      <c r="AD48" s="365"/>
      <c r="AE48" s="365"/>
      <c r="AF48" s="365"/>
      <c r="AG48" s="365"/>
    </row>
    <row r="49" spans="1:43" x14ac:dyDescent="0.2">
      <c r="C49" s="1" t="s">
        <v>124</v>
      </c>
      <c r="D49" s="178" t="s">
        <v>100</v>
      </c>
      <c r="E49" s="100">
        <f>Assumptions!H49*1.5</f>
        <v>12444.0089061156</v>
      </c>
      <c r="G49" s="180" t="s">
        <v>109</v>
      </c>
      <c r="I49" s="29">
        <v>0</v>
      </c>
      <c r="J49" s="29">
        <v>0</v>
      </c>
      <c r="K49" s="29"/>
      <c r="L49" s="29"/>
      <c r="M49" s="365"/>
      <c r="N49" s="365"/>
      <c r="O49" s="365"/>
      <c r="P49" s="365"/>
      <c r="Q49" s="365"/>
      <c r="R49" s="365"/>
      <c r="S49" s="365"/>
      <c r="T49" s="365"/>
      <c r="U49" s="365"/>
      <c r="V49" s="365"/>
      <c r="W49" s="365"/>
      <c r="X49" s="365"/>
      <c r="Y49" s="365"/>
      <c r="Z49" s="365"/>
      <c r="AA49" s="365"/>
      <c r="AB49" s="365"/>
      <c r="AC49" s="365"/>
      <c r="AD49" s="365"/>
      <c r="AE49" s="365"/>
      <c r="AF49" s="365"/>
      <c r="AG49" s="365"/>
    </row>
    <row r="50" spans="1:43" x14ac:dyDescent="0.2">
      <c r="C50" s="1" t="s">
        <v>125</v>
      </c>
      <c r="D50" s="178" t="s">
        <v>100</v>
      </c>
      <c r="E50" s="100">
        <f>Assumptions!H50*1.5</f>
        <v>12798.901505346781</v>
      </c>
      <c r="G50" s="180" t="s">
        <v>109</v>
      </c>
      <c r="I50" s="29">
        <v>0</v>
      </c>
      <c r="J50" s="29">
        <v>0</v>
      </c>
      <c r="K50" s="29"/>
      <c r="L50" s="29"/>
      <c r="M50" s="365"/>
      <c r="N50" s="365"/>
      <c r="O50" s="365"/>
      <c r="P50" s="365"/>
      <c r="Q50" s="365"/>
      <c r="R50" s="365"/>
      <c r="S50" s="365"/>
      <c r="T50" s="365"/>
      <c r="U50" s="365"/>
      <c r="V50" s="365"/>
      <c r="W50" s="365"/>
      <c r="X50" s="365"/>
      <c r="Y50" s="365"/>
      <c r="Z50" s="365"/>
      <c r="AA50" s="365"/>
      <c r="AB50" s="365"/>
      <c r="AC50" s="365"/>
      <c r="AD50" s="365"/>
      <c r="AE50" s="365"/>
      <c r="AF50" s="365"/>
      <c r="AG50" s="365"/>
    </row>
    <row r="51" spans="1:43" x14ac:dyDescent="0.2">
      <c r="D51" s="178"/>
      <c r="G51" s="180"/>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row>
    <row r="52" spans="1:43" x14ac:dyDescent="0.2">
      <c r="C52" s="1" t="s">
        <v>126</v>
      </c>
      <c r="D52" s="178"/>
      <c r="G52" s="180">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C53" s="1" t="s">
        <v>127</v>
      </c>
      <c r="D53" s="178"/>
      <c r="G53" s="180">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row>
    <row r="54" spans="1:43" x14ac:dyDescent="0.2">
      <c r="D54" s="178"/>
      <c r="G54" s="178"/>
    </row>
    <row r="55" spans="1:43" x14ac:dyDescent="0.2">
      <c r="C55" s="3" t="s">
        <v>128</v>
      </c>
      <c r="D55" s="190"/>
      <c r="E55" s="95"/>
      <c r="F55" s="3"/>
      <c r="G55" s="183">
        <f>input_dollars</f>
        <v>45291</v>
      </c>
      <c r="H55" s="95"/>
      <c r="I55" s="146" cm="1">
        <f t="array" ref="I55">SUMPRODUCT((I$46:I$50)*($E$46:$E$50))+SUM(I52:I53)+I43</f>
        <v>0</v>
      </c>
      <c r="J55" s="146" cm="1">
        <f t="array" ref="J55">SUMPRODUCT((J$46:J$50)*($E$46:$E$50))+SUM(J52:J53)+J43</f>
        <v>0</v>
      </c>
      <c r="K55" s="146" cm="1">
        <f t="array" ref="K55">SUMPRODUCT((K$46:K$50)*($E$46:$E$50))+SUM(K52:K53)+K43</f>
        <v>0</v>
      </c>
      <c r="L55" s="146" cm="1">
        <f t="array" ref="L55">SUMPRODUCT((L$46:L$50)*($E$46:$E$50))+SUM(L52:L53)+L43</f>
        <v>0</v>
      </c>
      <c r="M55" s="146" cm="1">
        <f t="array" ref="M55">SUMPRODUCT((M$46:M$50)*($E$46:$E$50))+SUM(M52:M53)+M43</f>
        <v>236337.5701339221</v>
      </c>
      <c r="N55" s="146" cm="1">
        <f t="array" ref="N55">SUMPRODUCT((N$46:N$50)*($E$46:$E$50))+SUM(N52:N53)+N43</f>
        <v>236337.5701339221</v>
      </c>
      <c r="O55" s="146" cm="1">
        <f t="array" ref="O55">SUMPRODUCT((O$46:O$50)*($E$46:$E$50))+SUM(O52:O53)+O43</f>
        <v>236337.5701339221</v>
      </c>
      <c r="P55" s="146" cm="1">
        <f t="array" ref="P55">SUMPRODUCT((P$46:P$50)*($E$46:$E$50))+SUM(P52:P53)+P43</f>
        <v>236337.5701339221</v>
      </c>
      <c r="Q55" s="146" cm="1">
        <f t="array" ref="Q55">SUMPRODUCT((Q$46:Q$50)*($E$46:$E$50))+SUM(Q52:Q53)+Q43</f>
        <v>236337.5701339221</v>
      </c>
      <c r="R55" s="146" cm="1">
        <f t="array" ref="R55">SUMPRODUCT((R$46:R$50)*($E$46:$E$50))+SUM(R52:R53)+R43</f>
        <v>236337.5701339221</v>
      </c>
      <c r="S55" s="146" cm="1">
        <f t="array" ref="S55">SUMPRODUCT((S$46:S$50)*($E$46:$E$50))+SUM(S52:S53)+S43</f>
        <v>236337.5701339221</v>
      </c>
      <c r="T55" s="146" cm="1">
        <f t="array" ref="T55">SUMPRODUCT((T$46:T$50)*($E$46:$E$50))+SUM(T52:T53)+T43</f>
        <v>236337.5701339221</v>
      </c>
      <c r="U55" s="146" cm="1">
        <f t="array" ref="U55">SUMPRODUCT((U$46:U$50)*($E$46:$E$50))+SUM(U52:U53)+U43</f>
        <v>236337.5701339221</v>
      </c>
      <c r="V55" s="146" cm="1">
        <f t="array" ref="V55">SUMPRODUCT((V$46:V$50)*($E$46:$E$50))+SUM(V52:V53)+V43</f>
        <v>236337.5701339221</v>
      </c>
      <c r="W55" s="146" cm="1">
        <f t="array" ref="W55">SUMPRODUCT((W$46:W$50)*($E$46:$E$50))+SUM(W52:W53)+W43</f>
        <v>236337.5701339221</v>
      </c>
      <c r="X55" s="146" cm="1">
        <f t="array" ref="X55">SUMPRODUCT((X$46:X$50)*($E$46:$E$50))+SUM(X52:X53)+X43</f>
        <v>236337.5701339221</v>
      </c>
      <c r="Y55" s="146" cm="1">
        <f t="array" ref="Y55">SUMPRODUCT((Y$46:Y$50)*($E$46:$E$50))+SUM(Y52:Y53)+Y43</f>
        <v>236337.5701339221</v>
      </c>
      <c r="Z55" s="146" cm="1">
        <f t="array" ref="Z55">SUMPRODUCT((Z$46:Z$50)*($E$46:$E$50))+SUM(Z52:Z53)+Z43</f>
        <v>236337.5701339221</v>
      </c>
      <c r="AA55" s="146" cm="1">
        <f t="array" ref="AA55">SUMPRODUCT((AA$46:AA$50)*($E$46:$E$50))+SUM(AA52:AA53)+AA43</f>
        <v>236337.5701339221</v>
      </c>
      <c r="AB55" s="146" cm="1">
        <f t="array" ref="AB55">SUMPRODUCT((AB$46:AB$50)*($E$46:$E$50))+SUM(AB52:AB53)+AB43</f>
        <v>236337.5701339221</v>
      </c>
      <c r="AC55" s="146" cm="1">
        <f t="array" ref="AC55">SUMPRODUCT((AC$46:AC$50)*($E$46:$E$50))+SUM(AC52:AC53)+AC43</f>
        <v>236337.5701339221</v>
      </c>
      <c r="AD55" s="146" cm="1">
        <f t="array" ref="AD55">SUMPRODUCT((AD$46:AD$50)*($E$46:$E$50))+SUM(AD52:AD53)+AD43</f>
        <v>236337.5701339221</v>
      </c>
      <c r="AE55" s="146" cm="1">
        <f t="array" ref="AE55">SUMPRODUCT((AE$46:AE$50)*($E$46:$E$50))+SUM(AE52:AE53)+AE43</f>
        <v>236337.5701339221</v>
      </c>
      <c r="AF55" s="146" cm="1">
        <f t="array" ref="AF55">SUMPRODUCT((AF$46:AF$50)*($E$46:$E$50))+SUM(AF52:AF53)+AF43</f>
        <v>236337.5701339221</v>
      </c>
      <c r="AG55" s="146" cm="1">
        <f t="array" ref="AG55">SUMPRODUCT((AG$46:AG$50)*($E$46:$E$50))+SUM(AG52:AG53)+AG43</f>
        <v>236337.5701339221</v>
      </c>
    </row>
    <row r="56" spans="1:43" x14ac:dyDescent="0.2">
      <c r="D56" s="178"/>
      <c r="G56" s="17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row>
    <row r="57" spans="1:43" x14ac:dyDescent="0.2">
      <c r="G57" s="17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row>
    <row r="58" spans="1:43" ht="15" x14ac:dyDescent="0.2">
      <c r="A58" s="78" t="s">
        <v>3</v>
      </c>
      <c r="B58" s="78"/>
      <c r="C58" s="78"/>
      <c r="D58" s="78"/>
      <c r="E58" s="78"/>
      <c r="F58" s="78"/>
      <c r="G58" s="177"/>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1"/>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4"/>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C61" s="4"/>
      <c r="F61" s="2"/>
      <c r="G61" s="185"/>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row>
    <row r="62" spans="1:43" x14ac:dyDescent="0.2">
      <c r="C62" s="4" t="str">
        <f>'Option1 (base case)'!C62</f>
        <v>Risks mitigated vs base case</v>
      </c>
      <c r="G62" s="183">
        <f>input_dollars</f>
        <v>45291</v>
      </c>
      <c r="I62" s="112">
        <f>(1-INDEX(Data!$C$9:$C$13, MATCH($A$3, options,0)))*('Option1 (base case)'!I37-I37)</f>
        <v>0</v>
      </c>
      <c r="J62" s="112">
        <f>(1-INDEX(Data!$C$9:$C$13, MATCH($A$3, options,0)))*('Option1 (base case)'!J37-J37)</f>
        <v>0</v>
      </c>
      <c r="K62" s="112">
        <f>(1-INDEX(Data!$C$9:$C$13, MATCH($A$3, options,0)))*('Option1 (base case)'!K37-K37)</f>
        <v>0</v>
      </c>
      <c r="L62" s="112">
        <f>(1-INDEX(Data!$C$9:$C$13, MATCH($A$3, options,0)))*('Option1 (base case)'!L37-L37)</f>
        <v>0</v>
      </c>
      <c r="M62" s="112">
        <f>(1-INDEX(Data!$C$9:$C$13, MATCH($A$3, options,0)))*('Option1 (base case)'!M37-M37)</f>
        <v>108759.21890312253</v>
      </c>
      <c r="N62" s="112">
        <f>(1-INDEX(Data!$C$9:$C$13, MATCH($A$3, options,0)))*('Option1 (base case)'!N37-N37)</f>
        <v>108759.21890312253</v>
      </c>
      <c r="O62" s="112">
        <f>(1-INDEX(Data!$C$9:$C$13, MATCH($A$3, options,0)))*('Option1 (base case)'!O37-O37)</f>
        <v>108759.21890312253</v>
      </c>
      <c r="P62" s="112">
        <f>(1-INDEX(Data!$C$9:$C$13, MATCH($A$3, options,0)))*('Option1 (base case)'!P37-P37)</f>
        <v>108759.21890312253</v>
      </c>
      <c r="Q62" s="112">
        <f>(1-INDEX(Data!$C$9:$C$13, MATCH($A$3, options,0)))*('Option1 (base case)'!Q37-Q37)</f>
        <v>108759.21890312253</v>
      </c>
      <c r="R62" s="112">
        <f>(1-INDEX(Data!$C$9:$C$13, MATCH($A$3, options,0)))*('Option1 (base case)'!R37-R37)</f>
        <v>108759.21890312253</v>
      </c>
      <c r="S62" s="112">
        <f>(1-INDEX(Data!$C$9:$C$13, MATCH($A$3, options,0)))*('Option1 (base case)'!S37-S37)</f>
        <v>108759.21890312253</v>
      </c>
      <c r="T62" s="112">
        <f>(1-INDEX(Data!$C$9:$C$13, MATCH($A$3, options,0)))*('Option1 (base case)'!T37-T37)</f>
        <v>108759.21890312253</v>
      </c>
      <c r="U62" s="112">
        <f>(1-INDEX(Data!$C$9:$C$13, MATCH($A$3, options,0)))*('Option1 (base case)'!U37-U37)</f>
        <v>108759.21890312253</v>
      </c>
      <c r="V62" s="112">
        <f>(1-INDEX(Data!$C$9:$C$13, MATCH($A$3, options,0)))*('Option1 (base case)'!V37-V37)</f>
        <v>108759.21890312253</v>
      </c>
      <c r="W62" s="112">
        <f>(1-INDEX(Data!$C$9:$C$13, MATCH($A$3, options,0)))*('Option1 (base case)'!W37-W37)</f>
        <v>108759.21890312253</v>
      </c>
      <c r="X62" s="112">
        <f>(1-INDEX(Data!$C$9:$C$13, MATCH($A$3, options,0)))*('Option1 (base case)'!X37-X37)</f>
        <v>108759.21890312253</v>
      </c>
      <c r="Y62" s="112">
        <f>(1-INDEX(Data!$C$9:$C$13, MATCH($A$3, options,0)))*('Option1 (base case)'!Y37-Y37)</f>
        <v>108759.21890312253</v>
      </c>
      <c r="Z62" s="112">
        <f>(1-INDEX(Data!$C$9:$C$13, MATCH($A$3, options,0)))*('Option1 (base case)'!Z37-Z37)</f>
        <v>108759.21890312253</v>
      </c>
      <c r="AA62" s="112">
        <f>(1-INDEX(Data!$C$9:$C$13, MATCH($A$3, options,0)))*('Option1 (base case)'!AA37-AA37)</f>
        <v>108759.21890312253</v>
      </c>
      <c r="AB62" s="112">
        <f>(1-INDEX(Data!$C$9:$C$13, MATCH($A$3, options,0)))*('Option1 (base case)'!AB37-AB37)</f>
        <v>108759.21890312253</v>
      </c>
      <c r="AC62" s="112">
        <f>(1-INDEX(Data!$C$9:$C$13, MATCH($A$3, options,0)))*('Option1 (base case)'!AC37-AC37)</f>
        <v>108759.21890312253</v>
      </c>
      <c r="AD62" s="112">
        <f>(1-INDEX(Data!$C$9:$C$13, MATCH($A$3, options,0)))*('Option1 (base case)'!AD37-AD37)</f>
        <v>108759.21890312253</v>
      </c>
      <c r="AE62" s="112">
        <f>(1-INDEX(Data!$C$9:$C$13, MATCH($A$3, options,0)))*('Option1 (base case)'!AE37-AE37)</f>
        <v>108759.21890312253</v>
      </c>
      <c r="AF62" s="112">
        <f>(1-INDEX(Data!$C$9:$C$13, MATCH($A$3, options,0)))*('Option1 (base case)'!AF37-AF37)</f>
        <v>108759.21890312253</v>
      </c>
      <c r="AG62" s="112">
        <f>(1-INDEX(Data!$C$9:$C$13, MATCH($A$3, options,0)))*('Option1 (base case)'!AG37-AG37)</f>
        <v>108759.21890312253</v>
      </c>
    </row>
    <row r="63" spans="1:43" x14ac:dyDescent="0.2">
      <c r="G63" s="185"/>
    </row>
    <row r="64" spans="1:43" x14ac:dyDescent="0.2">
      <c r="A64" s="6"/>
      <c r="B64" s="6"/>
      <c r="C64" s="125" t="s">
        <v>14</v>
      </c>
      <c r="D64" s="34"/>
      <c r="F64" s="85"/>
      <c r="G64" s="186"/>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row>
    <row r="65" spans="1:33" x14ac:dyDescent="0.2">
      <c r="A65" s="6"/>
      <c r="B65" s="6"/>
      <c r="C65" s="4" t="str">
        <f>C14</f>
        <v>TRG024-WBL012 Tie upgrade</v>
      </c>
      <c r="D65" s="34"/>
      <c r="F65" s="85"/>
      <c r="G65" s="183">
        <f>input_dollars</f>
        <v>45291</v>
      </c>
      <c r="H65" s="28"/>
      <c r="I65" s="28">
        <f t="shared" ref="I65:AG65" si="5">-I14</f>
        <v>0</v>
      </c>
      <c r="J65" s="28">
        <f t="shared" si="5"/>
        <v>-335000</v>
      </c>
      <c r="K65" s="28">
        <f t="shared" si="5"/>
        <v>-780500</v>
      </c>
      <c r="L65" s="28">
        <f t="shared" si="5"/>
        <v>-1219500</v>
      </c>
      <c r="M65" s="28">
        <f t="shared" si="5"/>
        <v>0</v>
      </c>
      <c r="N65" s="28">
        <f t="shared" si="5"/>
        <v>0</v>
      </c>
      <c r="O65" s="28">
        <f t="shared" si="5"/>
        <v>0</v>
      </c>
      <c r="P65" s="28">
        <f t="shared" si="5"/>
        <v>0</v>
      </c>
      <c r="Q65" s="28">
        <f t="shared" si="5"/>
        <v>0</v>
      </c>
      <c r="R65" s="28">
        <f t="shared" si="5"/>
        <v>0</v>
      </c>
      <c r="S65" s="28">
        <f t="shared" si="5"/>
        <v>0</v>
      </c>
      <c r="T65" s="28">
        <f t="shared" si="5"/>
        <v>0</v>
      </c>
      <c r="U65" s="28">
        <f t="shared" si="5"/>
        <v>0</v>
      </c>
      <c r="V65" s="28">
        <f t="shared" si="5"/>
        <v>0</v>
      </c>
      <c r="W65" s="28">
        <f t="shared" si="5"/>
        <v>0</v>
      </c>
      <c r="X65" s="28">
        <f t="shared" si="5"/>
        <v>0</v>
      </c>
      <c r="Y65" s="28">
        <f t="shared" si="5"/>
        <v>0</v>
      </c>
      <c r="Z65" s="28">
        <f t="shared" si="5"/>
        <v>0</v>
      </c>
      <c r="AA65" s="28">
        <f t="shared" si="5"/>
        <v>0</v>
      </c>
      <c r="AB65" s="28">
        <f t="shared" si="5"/>
        <v>0</v>
      </c>
      <c r="AC65" s="28">
        <f t="shared" si="5"/>
        <v>0</v>
      </c>
      <c r="AD65" s="28">
        <f t="shared" si="5"/>
        <v>0</v>
      </c>
      <c r="AE65" s="28">
        <f t="shared" si="5"/>
        <v>0</v>
      </c>
      <c r="AF65" s="28">
        <f t="shared" si="5"/>
        <v>0</v>
      </c>
      <c r="AG65" s="28">
        <f t="shared" si="5"/>
        <v>0</v>
      </c>
    </row>
    <row r="66" spans="1:33" x14ac:dyDescent="0.2">
      <c r="A66" s="6"/>
      <c r="B66" s="6"/>
      <c r="C66" s="4">
        <f>C15</f>
        <v>0</v>
      </c>
      <c r="D66" s="34"/>
      <c r="F66" s="85"/>
      <c r="G66" s="183">
        <f>input_dollars</f>
        <v>45291</v>
      </c>
      <c r="H66" s="28"/>
      <c r="I66" s="28">
        <f t="shared" ref="I66:AG66" si="6">-I15</f>
        <v>0</v>
      </c>
      <c r="J66" s="28">
        <f t="shared" si="6"/>
        <v>0</v>
      </c>
      <c r="K66" s="28">
        <f t="shared" si="6"/>
        <v>0</v>
      </c>
      <c r="L66" s="28">
        <f t="shared" si="6"/>
        <v>0</v>
      </c>
      <c r="M66" s="28">
        <f t="shared" si="6"/>
        <v>0</v>
      </c>
      <c r="N66" s="28">
        <f t="shared" si="6"/>
        <v>0</v>
      </c>
      <c r="O66" s="28">
        <f t="shared" si="6"/>
        <v>0</v>
      </c>
      <c r="P66" s="28">
        <f t="shared" si="6"/>
        <v>0</v>
      </c>
      <c r="Q66" s="28">
        <f t="shared" si="6"/>
        <v>0</v>
      </c>
      <c r="R66" s="28">
        <f t="shared" si="6"/>
        <v>0</v>
      </c>
      <c r="S66" s="28">
        <f t="shared" si="6"/>
        <v>0</v>
      </c>
      <c r="T66" s="28">
        <f t="shared" si="6"/>
        <v>0</v>
      </c>
      <c r="U66" s="28">
        <f t="shared" si="6"/>
        <v>0</v>
      </c>
      <c r="V66" s="28">
        <f t="shared" si="6"/>
        <v>0</v>
      </c>
      <c r="W66" s="28">
        <f t="shared" si="6"/>
        <v>0</v>
      </c>
      <c r="X66" s="28">
        <f t="shared" si="6"/>
        <v>0</v>
      </c>
      <c r="Y66" s="28">
        <f t="shared" si="6"/>
        <v>0</v>
      </c>
      <c r="Z66" s="28">
        <f t="shared" si="6"/>
        <v>0</v>
      </c>
      <c r="AA66" s="28">
        <f t="shared" si="6"/>
        <v>0</v>
      </c>
      <c r="AB66" s="28">
        <f t="shared" si="6"/>
        <v>0</v>
      </c>
      <c r="AC66" s="28">
        <f t="shared" si="6"/>
        <v>0</v>
      </c>
      <c r="AD66" s="28">
        <f t="shared" si="6"/>
        <v>0</v>
      </c>
      <c r="AE66" s="28">
        <f t="shared" si="6"/>
        <v>0</v>
      </c>
      <c r="AF66" s="28">
        <f t="shared" si="6"/>
        <v>0</v>
      </c>
      <c r="AG66" s="28">
        <f t="shared" si="6"/>
        <v>0</v>
      </c>
    </row>
    <row r="67" spans="1:33" x14ac:dyDescent="0.2">
      <c r="A67" s="6"/>
      <c r="B67" s="6"/>
      <c r="C67" s="4">
        <f>C16</f>
        <v>0</v>
      </c>
      <c r="D67" s="34"/>
      <c r="F67" s="85"/>
      <c r="G67" s="183">
        <f>input_dollars</f>
        <v>45291</v>
      </c>
      <c r="H67" s="28"/>
      <c r="I67" s="28">
        <f t="shared" ref="I67:AG67" si="7">-I16</f>
        <v>0</v>
      </c>
      <c r="J67" s="28">
        <f t="shared" si="7"/>
        <v>0</v>
      </c>
      <c r="K67" s="28">
        <f t="shared" si="7"/>
        <v>0</v>
      </c>
      <c r="L67" s="28">
        <f t="shared" si="7"/>
        <v>0</v>
      </c>
      <c r="M67" s="28">
        <f t="shared" si="7"/>
        <v>0</v>
      </c>
      <c r="N67" s="28">
        <f t="shared" si="7"/>
        <v>0</v>
      </c>
      <c r="O67" s="28">
        <f t="shared" si="7"/>
        <v>0</v>
      </c>
      <c r="P67" s="28">
        <f t="shared" si="7"/>
        <v>0</v>
      </c>
      <c r="Q67" s="28">
        <f t="shared" si="7"/>
        <v>0</v>
      </c>
      <c r="R67" s="28">
        <f t="shared" si="7"/>
        <v>0</v>
      </c>
      <c r="S67" s="28">
        <f t="shared" si="7"/>
        <v>0</v>
      </c>
      <c r="T67" s="28">
        <f t="shared" si="7"/>
        <v>0</v>
      </c>
      <c r="U67" s="28">
        <f t="shared" si="7"/>
        <v>0</v>
      </c>
      <c r="V67" s="28">
        <f t="shared" si="7"/>
        <v>0</v>
      </c>
      <c r="W67" s="28">
        <f t="shared" si="7"/>
        <v>0</v>
      </c>
      <c r="X67" s="28">
        <f t="shared" si="7"/>
        <v>0</v>
      </c>
      <c r="Y67" s="28">
        <f t="shared" si="7"/>
        <v>0</v>
      </c>
      <c r="Z67" s="28">
        <f t="shared" si="7"/>
        <v>0</v>
      </c>
      <c r="AA67" s="28">
        <f t="shared" si="7"/>
        <v>0</v>
      </c>
      <c r="AB67" s="28">
        <f t="shared" si="7"/>
        <v>0</v>
      </c>
      <c r="AC67" s="28">
        <f t="shared" si="7"/>
        <v>0</v>
      </c>
      <c r="AD67" s="28">
        <f t="shared" si="7"/>
        <v>0</v>
      </c>
      <c r="AE67" s="28">
        <f t="shared" si="7"/>
        <v>0</v>
      </c>
      <c r="AF67" s="28">
        <f t="shared" si="7"/>
        <v>0</v>
      </c>
      <c r="AG67" s="28">
        <f t="shared" si="7"/>
        <v>0</v>
      </c>
    </row>
    <row r="68" spans="1:33" x14ac:dyDescent="0.2">
      <c r="A68" s="6"/>
      <c r="B68" s="6"/>
      <c r="C68" s="4"/>
      <c r="D68" s="34"/>
      <c r="F68" s="85"/>
      <c r="G68" s="187"/>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row>
    <row r="69" spans="1:33" x14ac:dyDescent="0.2">
      <c r="A69" s="6"/>
      <c r="B69" s="6"/>
      <c r="C69" s="125" t="s">
        <v>130</v>
      </c>
      <c r="D69" s="34"/>
      <c r="F69" s="85"/>
      <c r="G69" s="186"/>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x14ac:dyDescent="0.2">
      <c r="A70" s="6"/>
      <c r="B70" s="6"/>
      <c r="C70" s="4" t="str">
        <f>C14</f>
        <v>TRG024-WBL012 Tie upgrade</v>
      </c>
      <c r="D70" s="34"/>
      <c r="F70" s="85"/>
      <c r="G70" s="183">
        <f>input_dollars</f>
        <v>45291</v>
      </c>
      <c r="H70" s="28"/>
      <c r="I70" s="28" cm="1">
        <f t="array" ref="I70">SUMPRODUCT(($I65:I65))-SUMPRODUCT(($I65:I65)*($I$6:I$6&lt;=(I$6-$E14)))</f>
        <v>0</v>
      </c>
      <c r="J70" s="28" cm="1">
        <f t="array" ref="J70">SUMPRODUCT(($I65:J65))-SUMPRODUCT(($I65:J65)*($I$6:J$6&lt;=(J$6-$E14)))</f>
        <v>-335000</v>
      </c>
      <c r="K70" s="28" cm="1">
        <f t="array" ref="K70">SUMPRODUCT(($I65:K65))-SUMPRODUCT(($I65:K65)*($I$6:K$6&lt;=(K$6-$E14)))</f>
        <v>-1115500</v>
      </c>
      <c r="L70" s="28" cm="1">
        <f t="array" ref="L70">SUMPRODUCT(($I65:L65))-SUMPRODUCT(($I65:L65)*($I$6:L$6&lt;=(L$6-$E14)))</f>
        <v>-2335000</v>
      </c>
      <c r="M70" s="28" cm="1">
        <f t="array" ref="M70">SUMPRODUCT(($I65:M65))-SUMPRODUCT(($I65:M65)*($I$6:M$6&lt;=(M$6-$E14)))</f>
        <v>-2335000</v>
      </c>
      <c r="N70" s="28" cm="1">
        <f t="array" ref="N70">SUMPRODUCT(($I65:N65))-SUMPRODUCT(($I65:N65)*($I$6:N$6&lt;=(N$6-$E14)))</f>
        <v>-2335000</v>
      </c>
      <c r="O70" s="28" cm="1">
        <f t="array" ref="O70">SUMPRODUCT(($I65:O65))-SUMPRODUCT(($I65:O65)*($I$6:O$6&lt;=(O$6-$E14)))</f>
        <v>-2335000</v>
      </c>
      <c r="P70" s="28" cm="1">
        <f t="array" ref="P70">SUMPRODUCT(($I65:P65))-SUMPRODUCT(($I65:P65)*($I$6:P$6&lt;=(P$6-$E14)))</f>
        <v>-2335000</v>
      </c>
      <c r="Q70" s="28" cm="1">
        <f t="array" ref="Q70">SUMPRODUCT(($I65:Q65))-SUMPRODUCT(($I65:Q65)*($I$6:Q$6&lt;=(Q$6-$E14)))</f>
        <v>-2335000</v>
      </c>
      <c r="R70" s="28" cm="1">
        <f t="array" ref="R70">SUMPRODUCT(($I65:R65))-SUMPRODUCT(($I65:R65)*($I$6:R$6&lt;=(R$6-$E14)))</f>
        <v>-2335000</v>
      </c>
      <c r="S70" s="28" cm="1">
        <f t="array" ref="S70">SUMPRODUCT(($I65:S65))-SUMPRODUCT(($I65:S65)*($I$6:S$6&lt;=(S$6-$E14)))</f>
        <v>-2335000</v>
      </c>
      <c r="T70" s="28" cm="1">
        <f t="array" ref="T70">SUMPRODUCT(($I65:T65))-SUMPRODUCT(($I65:T65)*($I$6:T$6&lt;=(T$6-$E14)))</f>
        <v>-2335000</v>
      </c>
      <c r="U70" s="28" cm="1">
        <f t="array" ref="U70">SUMPRODUCT(($I65:U65))-SUMPRODUCT(($I65:U65)*($I$6:U$6&lt;=(U$6-$E14)))</f>
        <v>-2335000</v>
      </c>
      <c r="V70" s="28" cm="1">
        <f t="array" ref="V70">SUMPRODUCT(($I65:V65))-SUMPRODUCT(($I65:V65)*($I$6:V$6&lt;=(V$6-$E14)))</f>
        <v>-2335000</v>
      </c>
      <c r="W70" s="28" cm="1">
        <f t="array" ref="W70">SUMPRODUCT(($I65:W65))-SUMPRODUCT(($I65:W65)*($I$6:W$6&lt;=(W$6-$E14)))</f>
        <v>-2335000</v>
      </c>
      <c r="X70" s="28" cm="1">
        <f t="array" ref="X70">SUMPRODUCT(($I65:X65))-SUMPRODUCT(($I65:X65)*($I$6:X$6&lt;=(X$6-$E14)))</f>
        <v>-2335000</v>
      </c>
      <c r="Y70" s="28" cm="1">
        <f t="array" ref="Y70">SUMPRODUCT(($I65:Y65))-SUMPRODUCT(($I65:Y65)*($I$6:Y$6&lt;=(Y$6-$E14)))</f>
        <v>-2335000</v>
      </c>
      <c r="Z70" s="28" cm="1">
        <f t="array" ref="Z70">SUMPRODUCT(($I65:Z65))-SUMPRODUCT(($I65:Z65)*($I$6:Z$6&lt;=(Z$6-$E14)))</f>
        <v>-2335000</v>
      </c>
      <c r="AA70" s="28" cm="1">
        <f t="array" ref="AA70">SUMPRODUCT(($I65:AA65))-SUMPRODUCT(($I65:AA65)*($I$6:AA$6&lt;=(AA$6-$E14)))</f>
        <v>-2335000</v>
      </c>
      <c r="AB70" s="28" cm="1">
        <f t="array" ref="AB70">SUMPRODUCT(($I65:AB65))-SUMPRODUCT(($I65:AB65)*($I$6:AB$6&lt;=(AB$6-$E14)))</f>
        <v>-2335000</v>
      </c>
      <c r="AC70" s="28" cm="1">
        <f t="array" ref="AC70">SUMPRODUCT(($I65:AC65))-SUMPRODUCT(($I65:AC65)*($I$6:AC$6&lt;=(AC$6-$E14)))</f>
        <v>-2335000</v>
      </c>
      <c r="AD70" s="28" cm="1">
        <f t="array" ref="AD70">SUMPRODUCT(($I65:AD65))-SUMPRODUCT(($I65:AD65)*($I$6:AD$6&lt;=(AD$6-$E14)))</f>
        <v>-2335000</v>
      </c>
      <c r="AE70" s="28" cm="1">
        <f t="array" ref="AE70">SUMPRODUCT(($I65:AE65))-SUMPRODUCT(($I65:AE65)*($I$6:AE$6&lt;=(AE$6-$E14)))</f>
        <v>-2335000</v>
      </c>
      <c r="AF70" s="28" cm="1">
        <f t="array" ref="AF70">SUMPRODUCT(($I65:AF65))-SUMPRODUCT(($I65:AF65)*($I$6:AF$6&lt;=(AF$6-$E14)))</f>
        <v>-2335000</v>
      </c>
      <c r="AG70" s="28" cm="1">
        <f t="array" ref="AG70">SUMPRODUCT(($I65:AG65))-SUMPRODUCT(($I65:AG65)*($I$6:AG$6&lt;=(AG$6-$E14)))</f>
        <v>-2335000</v>
      </c>
    </row>
    <row r="71" spans="1:33" x14ac:dyDescent="0.2">
      <c r="A71" s="6"/>
      <c r="B71" s="6"/>
      <c r="C71" s="4">
        <f>C15</f>
        <v>0</v>
      </c>
      <c r="D71" s="34"/>
      <c r="F71" s="85"/>
      <c r="G71" s="183">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row>
    <row r="72" spans="1:33" x14ac:dyDescent="0.2">
      <c r="A72" s="6"/>
      <c r="B72" s="6"/>
      <c r="C72" s="4">
        <f>C16</f>
        <v>0</v>
      </c>
      <c r="D72" s="34"/>
      <c r="F72" s="85"/>
      <c r="G72" s="183">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row>
    <row r="73" spans="1:33" x14ac:dyDescent="0.2">
      <c r="A73" s="6"/>
      <c r="B73" s="6"/>
      <c r="C73" s="4"/>
      <c r="D73" s="34"/>
      <c r="F73" s="85"/>
      <c r="G73" s="187"/>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row>
    <row r="74" spans="1:33" x14ac:dyDescent="0.2">
      <c r="A74" s="6"/>
      <c r="B74" s="6"/>
      <c r="C74" s="125" t="s">
        <v>131</v>
      </c>
      <c r="D74" s="34"/>
      <c r="F74" s="85"/>
      <c r="G74" s="186"/>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row>
    <row r="75" spans="1:33" x14ac:dyDescent="0.2">
      <c r="A75" s="6"/>
      <c r="B75" s="6"/>
      <c r="C75" s="4" t="str">
        <f>$C$74&amp;" - "&amp;C14</f>
        <v>Annualised capex - TRG024-WBL012 Tie upgrade</v>
      </c>
      <c r="D75" s="34"/>
      <c r="F75" s="85"/>
      <c r="G75" s="183">
        <f>input_dollars</f>
        <v>45291</v>
      </c>
      <c r="H75" s="28"/>
      <c r="I75" s="28">
        <f t="shared" ref="I75:AG75" si="8">IF($E14=0,0,-PMT(real_disc, $E14,H70,))</f>
        <v>0</v>
      </c>
      <c r="J75" s="28">
        <f t="shared" si="8"/>
        <v>0</v>
      </c>
      <c r="K75" s="28">
        <f t="shared" si="8"/>
        <v>-14282.292704793574</v>
      </c>
      <c r="L75" s="28">
        <f t="shared" si="8"/>
        <v>-47557.903021484271</v>
      </c>
      <c r="M75" s="28">
        <f t="shared" si="8"/>
        <v>-99549.711837889525</v>
      </c>
      <c r="N75" s="28">
        <f t="shared" si="8"/>
        <v>-99549.711837889525</v>
      </c>
      <c r="O75" s="28">
        <f t="shared" si="8"/>
        <v>-99549.711837889525</v>
      </c>
      <c r="P75" s="28">
        <f t="shared" si="8"/>
        <v>-99549.711837889525</v>
      </c>
      <c r="Q75" s="28">
        <f t="shared" si="8"/>
        <v>-99549.711837889525</v>
      </c>
      <c r="R75" s="28">
        <f t="shared" si="8"/>
        <v>-99549.711837889525</v>
      </c>
      <c r="S75" s="28">
        <f t="shared" si="8"/>
        <v>-99549.711837889525</v>
      </c>
      <c r="T75" s="28">
        <f t="shared" si="8"/>
        <v>-99549.711837889525</v>
      </c>
      <c r="U75" s="28">
        <f t="shared" si="8"/>
        <v>-99549.711837889525</v>
      </c>
      <c r="V75" s="28">
        <f t="shared" si="8"/>
        <v>-99549.711837889525</v>
      </c>
      <c r="W75" s="28">
        <f t="shared" si="8"/>
        <v>-99549.711837889525</v>
      </c>
      <c r="X75" s="28">
        <f t="shared" si="8"/>
        <v>-99549.711837889525</v>
      </c>
      <c r="Y75" s="28">
        <f t="shared" si="8"/>
        <v>-99549.711837889525</v>
      </c>
      <c r="Z75" s="28">
        <f t="shared" si="8"/>
        <v>-99549.711837889525</v>
      </c>
      <c r="AA75" s="28">
        <f t="shared" si="8"/>
        <v>-99549.711837889525</v>
      </c>
      <c r="AB75" s="28">
        <f t="shared" si="8"/>
        <v>-99549.711837889525</v>
      </c>
      <c r="AC75" s="28">
        <f t="shared" si="8"/>
        <v>-99549.711837889525</v>
      </c>
      <c r="AD75" s="28">
        <f t="shared" si="8"/>
        <v>-99549.711837889525</v>
      </c>
      <c r="AE75" s="28">
        <f t="shared" si="8"/>
        <v>-99549.711837889525</v>
      </c>
      <c r="AF75" s="28">
        <f t="shared" si="8"/>
        <v>-99549.711837889525</v>
      </c>
      <c r="AG75" s="28">
        <f t="shared" si="8"/>
        <v>-99549.711837889525</v>
      </c>
    </row>
    <row r="76" spans="1:33" x14ac:dyDescent="0.2">
      <c r="A76" s="6"/>
      <c r="B76" s="6"/>
      <c r="C76" s="4" t="str">
        <f>$C$74&amp;" - "&amp;C15</f>
        <v xml:space="preserve">Annualised capex - </v>
      </c>
      <c r="D76" s="34"/>
      <c r="F76" s="85"/>
      <c r="G76" s="183">
        <f>input_dollars</f>
        <v>45291</v>
      </c>
      <c r="H76" s="28"/>
      <c r="I76" s="28">
        <f t="shared" ref="I76:AG76" si="9">IF($E15=0,0,-PMT(real_disc, $E15,H71,))</f>
        <v>0</v>
      </c>
      <c r="J76" s="28">
        <f t="shared" si="9"/>
        <v>0</v>
      </c>
      <c r="K76" s="28">
        <f t="shared" si="9"/>
        <v>0</v>
      </c>
      <c r="L76" s="28">
        <f t="shared" si="9"/>
        <v>0</v>
      </c>
      <c r="M76" s="28">
        <f t="shared" si="9"/>
        <v>0</v>
      </c>
      <c r="N76" s="28">
        <f t="shared" si="9"/>
        <v>0</v>
      </c>
      <c r="O76" s="28">
        <f t="shared" si="9"/>
        <v>0</v>
      </c>
      <c r="P76" s="28">
        <f t="shared" si="9"/>
        <v>0</v>
      </c>
      <c r="Q76" s="28">
        <f t="shared" si="9"/>
        <v>0</v>
      </c>
      <c r="R76" s="28">
        <f t="shared" si="9"/>
        <v>0</v>
      </c>
      <c r="S76" s="28">
        <f t="shared" si="9"/>
        <v>0</v>
      </c>
      <c r="T76" s="28">
        <f t="shared" si="9"/>
        <v>0</v>
      </c>
      <c r="U76" s="28">
        <f t="shared" si="9"/>
        <v>0</v>
      </c>
      <c r="V76" s="28">
        <f t="shared" si="9"/>
        <v>0</v>
      </c>
      <c r="W76" s="28">
        <f t="shared" si="9"/>
        <v>0</v>
      </c>
      <c r="X76" s="28">
        <f t="shared" si="9"/>
        <v>0</v>
      </c>
      <c r="Y76" s="28">
        <f t="shared" si="9"/>
        <v>0</v>
      </c>
      <c r="Z76" s="28">
        <f t="shared" si="9"/>
        <v>0</v>
      </c>
      <c r="AA76" s="28">
        <f t="shared" si="9"/>
        <v>0</v>
      </c>
      <c r="AB76" s="28">
        <f t="shared" si="9"/>
        <v>0</v>
      </c>
      <c r="AC76" s="28">
        <f t="shared" si="9"/>
        <v>0</v>
      </c>
      <c r="AD76" s="28">
        <f t="shared" si="9"/>
        <v>0</v>
      </c>
      <c r="AE76" s="28">
        <f t="shared" si="9"/>
        <v>0</v>
      </c>
      <c r="AF76" s="28">
        <f t="shared" si="9"/>
        <v>0</v>
      </c>
      <c r="AG76" s="28">
        <f t="shared" si="9"/>
        <v>0</v>
      </c>
    </row>
    <row r="77" spans="1:33" x14ac:dyDescent="0.2">
      <c r="A77" s="6"/>
      <c r="B77" s="6"/>
      <c r="C77" s="4" t="str">
        <f>$C$74&amp;" - "&amp;C16</f>
        <v xml:space="preserve">Annualised capex - </v>
      </c>
      <c r="D77" s="34"/>
      <c r="F77" s="85"/>
      <c r="G77" s="183">
        <f>input_dollars</f>
        <v>45291</v>
      </c>
      <c r="H77" s="28"/>
      <c r="I77" s="28">
        <f t="shared" ref="I77:AG77" si="10">IF($E16=0,0,-PMT(real_disc, $E16,H72,))</f>
        <v>0</v>
      </c>
      <c r="J77" s="28">
        <f t="shared" si="10"/>
        <v>0</v>
      </c>
      <c r="K77" s="28">
        <f t="shared" si="10"/>
        <v>0</v>
      </c>
      <c r="L77" s="28">
        <f t="shared" si="10"/>
        <v>0</v>
      </c>
      <c r="M77" s="28">
        <f t="shared" si="10"/>
        <v>0</v>
      </c>
      <c r="N77" s="28">
        <f t="shared" si="10"/>
        <v>0</v>
      </c>
      <c r="O77" s="28">
        <f t="shared" si="10"/>
        <v>0</v>
      </c>
      <c r="P77" s="28">
        <f t="shared" si="10"/>
        <v>0</v>
      </c>
      <c r="Q77" s="28">
        <f t="shared" si="10"/>
        <v>0</v>
      </c>
      <c r="R77" s="28">
        <f t="shared" si="10"/>
        <v>0</v>
      </c>
      <c r="S77" s="28">
        <f t="shared" si="10"/>
        <v>0</v>
      </c>
      <c r="T77" s="28">
        <f t="shared" si="10"/>
        <v>0</v>
      </c>
      <c r="U77" s="28">
        <f t="shared" si="10"/>
        <v>0</v>
      </c>
      <c r="V77" s="28">
        <f t="shared" si="10"/>
        <v>0</v>
      </c>
      <c r="W77" s="28">
        <f t="shared" si="10"/>
        <v>0</v>
      </c>
      <c r="X77" s="28">
        <f t="shared" si="10"/>
        <v>0</v>
      </c>
      <c r="Y77" s="28">
        <f t="shared" si="10"/>
        <v>0</v>
      </c>
      <c r="Z77" s="28">
        <f t="shared" si="10"/>
        <v>0</v>
      </c>
      <c r="AA77" s="28">
        <f t="shared" si="10"/>
        <v>0</v>
      </c>
      <c r="AB77" s="28">
        <f t="shared" si="10"/>
        <v>0</v>
      </c>
      <c r="AC77" s="28">
        <f t="shared" si="10"/>
        <v>0</v>
      </c>
      <c r="AD77" s="28">
        <f t="shared" si="10"/>
        <v>0</v>
      </c>
      <c r="AE77" s="28">
        <f t="shared" si="10"/>
        <v>0</v>
      </c>
      <c r="AF77" s="28">
        <f t="shared" si="10"/>
        <v>0</v>
      </c>
      <c r="AG77" s="28">
        <f t="shared" si="10"/>
        <v>0</v>
      </c>
    </row>
    <row r="78" spans="1:33" x14ac:dyDescent="0.2">
      <c r="A78" s="6"/>
      <c r="B78" s="6"/>
      <c r="C78" s="148" t="s">
        <v>132</v>
      </c>
      <c r="D78" s="148"/>
      <c r="E78" s="149"/>
      <c r="F78" s="150"/>
      <c r="G78" s="188">
        <f>input_dollars</f>
        <v>45291</v>
      </c>
      <c r="H78" s="151"/>
      <c r="I78" s="151">
        <f>SUM(I75:I77)</f>
        <v>0</v>
      </c>
      <c r="J78" s="151">
        <f t="shared" ref="J78:AB78" si="11">SUM(J75:J77)</f>
        <v>0</v>
      </c>
      <c r="K78" s="151">
        <f t="shared" si="11"/>
        <v>-14282.292704793574</v>
      </c>
      <c r="L78" s="151">
        <f t="shared" si="11"/>
        <v>-47557.903021484271</v>
      </c>
      <c r="M78" s="151">
        <f t="shared" si="11"/>
        <v>-99549.711837889525</v>
      </c>
      <c r="N78" s="151">
        <f t="shared" si="11"/>
        <v>-99549.711837889525</v>
      </c>
      <c r="O78" s="151">
        <f t="shared" si="11"/>
        <v>-99549.711837889525</v>
      </c>
      <c r="P78" s="151">
        <f t="shared" si="11"/>
        <v>-99549.711837889525</v>
      </c>
      <c r="Q78" s="151">
        <f t="shared" si="11"/>
        <v>-99549.711837889525</v>
      </c>
      <c r="R78" s="151">
        <f t="shared" si="11"/>
        <v>-99549.711837889525</v>
      </c>
      <c r="S78" s="151">
        <f t="shared" si="11"/>
        <v>-99549.711837889525</v>
      </c>
      <c r="T78" s="151">
        <f t="shared" si="11"/>
        <v>-99549.711837889525</v>
      </c>
      <c r="U78" s="151">
        <f t="shared" si="11"/>
        <v>-99549.711837889525</v>
      </c>
      <c r="V78" s="151">
        <f t="shared" si="11"/>
        <v>-99549.711837889525</v>
      </c>
      <c r="W78" s="151">
        <f t="shared" si="11"/>
        <v>-99549.711837889525</v>
      </c>
      <c r="X78" s="151">
        <f t="shared" si="11"/>
        <v>-99549.711837889525</v>
      </c>
      <c r="Y78" s="151">
        <f t="shared" si="11"/>
        <v>-99549.711837889525</v>
      </c>
      <c r="Z78" s="151">
        <f t="shared" si="11"/>
        <v>-99549.711837889525</v>
      </c>
      <c r="AA78" s="151">
        <f t="shared" si="11"/>
        <v>-99549.711837889525</v>
      </c>
      <c r="AB78" s="151">
        <f t="shared" si="11"/>
        <v>-99549.711837889525</v>
      </c>
      <c r="AC78" s="151">
        <f>SUM(AC75:AC77)</f>
        <v>-99549.711837889525</v>
      </c>
      <c r="AD78" s="151">
        <f>SUM(AD75:AD77)</f>
        <v>-99549.711837889525</v>
      </c>
      <c r="AE78" s="151">
        <f>SUM(AE75:AE77)</f>
        <v>-99549.711837889525</v>
      </c>
      <c r="AF78" s="151">
        <f>SUM(AF75:AF77)</f>
        <v>-99549.711837889525</v>
      </c>
      <c r="AG78" s="151">
        <f>SUM(AG75:AG77)</f>
        <v>-99549.711837889525</v>
      </c>
    </row>
    <row r="79" spans="1:33" x14ac:dyDescent="0.2">
      <c r="A79" s="6"/>
      <c r="B79" s="6"/>
      <c r="C79" s="12"/>
      <c r="D79" s="34"/>
      <c r="F79"/>
      <c r="G79" s="189"/>
      <c r="H79"/>
      <c r="I79"/>
      <c r="J79"/>
      <c r="K79"/>
      <c r="L79"/>
      <c r="M79"/>
      <c r="N79"/>
      <c r="O79"/>
      <c r="P79"/>
      <c r="Q79"/>
      <c r="R79"/>
      <c r="S79"/>
      <c r="T79"/>
      <c r="U79"/>
      <c r="V79"/>
      <c r="W79"/>
      <c r="X79"/>
      <c r="Y79"/>
      <c r="Z79"/>
      <c r="AA79"/>
      <c r="AB79"/>
      <c r="AC79"/>
      <c r="AD79"/>
      <c r="AE79"/>
      <c r="AF79"/>
      <c r="AG79"/>
    </row>
    <row r="80" spans="1:33" x14ac:dyDescent="0.2">
      <c r="A80" s="6"/>
      <c r="B80" s="6"/>
      <c r="C80" s="4" t="s">
        <v>131</v>
      </c>
      <c r="D80" s="34"/>
      <c r="F80" s="85"/>
      <c r="G80" s="183">
        <f t="shared" ref="G80:G85" si="12">input_dollars</f>
        <v>45291</v>
      </c>
      <c r="H80" s="28"/>
      <c r="I80" s="28">
        <f>I78</f>
        <v>0</v>
      </c>
      <c r="J80" s="28">
        <f t="shared" ref="J80:AB80" si="13">J78</f>
        <v>0</v>
      </c>
      <c r="K80" s="28">
        <f t="shared" si="13"/>
        <v>-14282.292704793574</v>
      </c>
      <c r="L80" s="28">
        <f t="shared" si="13"/>
        <v>-47557.903021484271</v>
      </c>
      <c r="M80" s="28">
        <f t="shared" si="13"/>
        <v>-99549.711837889525</v>
      </c>
      <c r="N80" s="28">
        <f t="shared" si="13"/>
        <v>-99549.711837889525</v>
      </c>
      <c r="O80" s="28">
        <f t="shared" si="13"/>
        <v>-99549.711837889525</v>
      </c>
      <c r="P80" s="28">
        <f t="shared" si="13"/>
        <v>-99549.711837889525</v>
      </c>
      <c r="Q80" s="28">
        <f t="shared" si="13"/>
        <v>-99549.711837889525</v>
      </c>
      <c r="R80" s="28">
        <f t="shared" si="13"/>
        <v>-99549.711837889525</v>
      </c>
      <c r="S80" s="28">
        <f t="shared" si="13"/>
        <v>-99549.711837889525</v>
      </c>
      <c r="T80" s="28">
        <f t="shared" si="13"/>
        <v>-99549.711837889525</v>
      </c>
      <c r="U80" s="28">
        <f t="shared" si="13"/>
        <v>-99549.711837889525</v>
      </c>
      <c r="V80" s="28">
        <f t="shared" si="13"/>
        <v>-99549.711837889525</v>
      </c>
      <c r="W80" s="28">
        <f t="shared" si="13"/>
        <v>-99549.711837889525</v>
      </c>
      <c r="X80" s="28">
        <f t="shared" si="13"/>
        <v>-99549.711837889525</v>
      </c>
      <c r="Y80" s="28">
        <f t="shared" si="13"/>
        <v>-99549.711837889525</v>
      </c>
      <c r="Z80" s="28">
        <f t="shared" si="13"/>
        <v>-99549.711837889525</v>
      </c>
      <c r="AA80" s="28">
        <f t="shared" si="13"/>
        <v>-99549.711837889525</v>
      </c>
      <c r="AB80" s="28">
        <f t="shared" si="13"/>
        <v>-99549.711837889525</v>
      </c>
      <c r="AC80" s="28">
        <f>AC78</f>
        <v>-99549.711837889525</v>
      </c>
      <c r="AD80" s="28">
        <f>AD78</f>
        <v>-99549.711837889525</v>
      </c>
      <c r="AE80" s="28">
        <f>AE78</f>
        <v>-99549.711837889525</v>
      </c>
      <c r="AF80" s="28">
        <f>AF78</f>
        <v>-99549.711837889525</v>
      </c>
      <c r="AG80" s="28">
        <f>AG78</f>
        <v>-99549.711837889525</v>
      </c>
    </row>
    <row r="81" spans="1:33" x14ac:dyDescent="0.2">
      <c r="A81" s="6"/>
      <c r="B81" s="6"/>
      <c r="C81" s="4" t="s">
        <v>15</v>
      </c>
      <c r="D81" s="34"/>
      <c r="F81" s="85"/>
      <c r="G81" s="183">
        <f t="shared" si="12"/>
        <v>45291</v>
      </c>
      <c r="H81" s="28"/>
      <c r="I81" s="28">
        <f t="shared" ref="I81:AG81" si="14">-I19</f>
        <v>0</v>
      </c>
      <c r="J81" s="28">
        <f t="shared" si="14"/>
        <v>0</v>
      </c>
      <c r="K81" s="28">
        <f t="shared" si="14"/>
        <v>0</v>
      </c>
      <c r="L81" s="28">
        <f t="shared" si="14"/>
        <v>0</v>
      </c>
      <c r="M81" s="28">
        <f t="shared" si="14"/>
        <v>0</v>
      </c>
      <c r="N81" s="28">
        <f t="shared" si="14"/>
        <v>0</v>
      </c>
      <c r="O81" s="28">
        <f t="shared" si="14"/>
        <v>0</v>
      </c>
      <c r="P81" s="28">
        <f t="shared" si="14"/>
        <v>0</v>
      </c>
      <c r="Q81" s="28">
        <f t="shared" si="14"/>
        <v>0</v>
      </c>
      <c r="R81" s="28">
        <f t="shared" si="14"/>
        <v>0</v>
      </c>
      <c r="S81" s="28">
        <f t="shared" si="14"/>
        <v>0</v>
      </c>
      <c r="T81" s="28">
        <f t="shared" si="14"/>
        <v>0</v>
      </c>
      <c r="U81" s="28">
        <f t="shared" si="14"/>
        <v>0</v>
      </c>
      <c r="V81" s="28">
        <f t="shared" si="14"/>
        <v>0</v>
      </c>
      <c r="W81" s="28">
        <f t="shared" si="14"/>
        <v>0</v>
      </c>
      <c r="X81" s="28">
        <f t="shared" si="14"/>
        <v>0</v>
      </c>
      <c r="Y81" s="28">
        <f t="shared" si="14"/>
        <v>0</v>
      </c>
      <c r="Z81" s="28">
        <f t="shared" si="14"/>
        <v>0</v>
      </c>
      <c r="AA81" s="28">
        <f t="shared" si="14"/>
        <v>0</v>
      </c>
      <c r="AB81" s="28">
        <f t="shared" si="14"/>
        <v>0</v>
      </c>
      <c r="AC81" s="28">
        <f t="shared" si="14"/>
        <v>0</v>
      </c>
      <c r="AD81" s="28">
        <f t="shared" si="14"/>
        <v>0</v>
      </c>
      <c r="AE81" s="28">
        <f t="shared" si="14"/>
        <v>0</v>
      </c>
      <c r="AF81" s="28">
        <f t="shared" si="14"/>
        <v>0</v>
      </c>
      <c r="AG81" s="28">
        <f t="shared" si="14"/>
        <v>0</v>
      </c>
    </row>
    <row r="82" spans="1:33" x14ac:dyDescent="0.2">
      <c r="A82" s="6"/>
      <c r="B82" s="6"/>
      <c r="C82" s="4" t="s">
        <v>133</v>
      </c>
      <c r="D82" s="34"/>
      <c r="F82" s="85"/>
      <c r="G82" s="183">
        <f t="shared" si="12"/>
        <v>45291</v>
      </c>
      <c r="H82" s="28"/>
      <c r="I82" s="28">
        <f>I62</f>
        <v>0</v>
      </c>
      <c r="J82" s="28">
        <f t="shared" ref="J82:AB82" si="15">J62</f>
        <v>0</v>
      </c>
      <c r="K82" s="28">
        <f t="shared" si="15"/>
        <v>0</v>
      </c>
      <c r="L82" s="28">
        <f t="shared" si="15"/>
        <v>0</v>
      </c>
      <c r="M82" s="28">
        <f t="shared" si="15"/>
        <v>108759.21890312253</v>
      </c>
      <c r="N82" s="28">
        <f t="shared" si="15"/>
        <v>108759.21890312253</v>
      </c>
      <c r="O82" s="28">
        <f t="shared" si="15"/>
        <v>108759.21890312253</v>
      </c>
      <c r="P82" s="28">
        <f t="shared" si="15"/>
        <v>108759.21890312253</v>
      </c>
      <c r="Q82" s="28">
        <f t="shared" si="15"/>
        <v>108759.21890312253</v>
      </c>
      <c r="R82" s="28">
        <f t="shared" si="15"/>
        <v>108759.21890312253</v>
      </c>
      <c r="S82" s="28">
        <f t="shared" si="15"/>
        <v>108759.21890312253</v>
      </c>
      <c r="T82" s="28">
        <f t="shared" si="15"/>
        <v>108759.21890312253</v>
      </c>
      <c r="U82" s="28">
        <f t="shared" si="15"/>
        <v>108759.21890312253</v>
      </c>
      <c r="V82" s="28">
        <f t="shared" si="15"/>
        <v>108759.21890312253</v>
      </c>
      <c r="W82" s="28">
        <f t="shared" si="15"/>
        <v>108759.21890312253</v>
      </c>
      <c r="X82" s="28">
        <f t="shared" si="15"/>
        <v>108759.21890312253</v>
      </c>
      <c r="Y82" s="28">
        <f t="shared" si="15"/>
        <v>108759.21890312253</v>
      </c>
      <c r="Z82" s="28">
        <f t="shared" si="15"/>
        <v>108759.21890312253</v>
      </c>
      <c r="AA82" s="28">
        <f t="shared" si="15"/>
        <v>108759.21890312253</v>
      </c>
      <c r="AB82" s="28">
        <f t="shared" si="15"/>
        <v>108759.21890312253</v>
      </c>
      <c r="AC82" s="28">
        <f>AC62</f>
        <v>108759.21890312253</v>
      </c>
      <c r="AD82" s="28">
        <f>AD62</f>
        <v>108759.21890312253</v>
      </c>
      <c r="AE82" s="28">
        <f>AE62</f>
        <v>108759.21890312253</v>
      </c>
      <c r="AF82" s="28">
        <f>AF62</f>
        <v>108759.21890312253</v>
      </c>
      <c r="AG82" s="28">
        <f>AG62</f>
        <v>108759.21890312253</v>
      </c>
    </row>
    <row r="83" spans="1:33" x14ac:dyDescent="0.2">
      <c r="A83" s="6"/>
      <c r="B83" s="6"/>
      <c r="C83" s="4" t="s">
        <v>134</v>
      </c>
      <c r="D83" s="34"/>
      <c r="F83" s="85"/>
      <c r="G83" s="183">
        <f t="shared" si="12"/>
        <v>45291</v>
      </c>
      <c r="H83" s="28"/>
      <c r="I83" s="28">
        <f t="shared" ref="I83:AG83" si="16">I55</f>
        <v>0</v>
      </c>
      <c r="J83" s="28">
        <f t="shared" si="16"/>
        <v>0</v>
      </c>
      <c r="K83" s="28">
        <f t="shared" si="16"/>
        <v>0</v>
      </c>
      <c r="L83" s="28">
        <f t="shared" si="16"/>
        <v>0</v>
      </c>
      <c r="M83" s="28">
        <f t="shared" si="16"/>
        <v>236337.5701339221</v>
      </c>
      <c r="N83" s="28">
        <f t="shared" si="16"/>
        <v>236337.5701339221</v>
      </c>
      <c r="O83" s="28">
        <f t="shared" si="16"/>
        <v>236337.5701339221</v>
      </c>
      <c r="P83" s="28">
        <f t="shared" si="16"/>
        <v>236337.5701339221</v>
      </c>
      <c r="Q83" s="28">
        <f t="shared" si="16"/>
        <v>236337.5701339221</v>
      </c>
      <c r="R83" s="28">
        <f t="shared" si="16"/>
        <v>236337.5701339221</v>
      </c>
      <c r="S83" s="28">
        <f t="shared" si="16"/>
        <v>236337.5701339221</v>
      </c>
      <c r="T83" s="28">
        <f t="shared" si="16"/>
        <v>236337.5701339221</v>
      </c>
      <c r="U83" s="28">
        <f t="shared" si="16"/>
        <v>236337.5701339221</v>
      </c>
      <c r="V83" s="28">
        <f t="shared" si="16"/>
        <v>236337.5701339221</v>
      </c>
      <c r="W83" s="28">
        <f t="shared" si="16"/>
        <v>236337.5701339221</v>
      </c>
      <c r="X83" s="28">
        <f t="shared" si="16"/>
        <v>236337.5701339221</v>
      </c>
      <c r="Y83" s="28">
        <f t="shared" si="16"/>
        <v>236337.5701339221</v>
      </c>
      <c r="Z83" s="28">
        <f t="shared" si="16"/>
        <v>236337.5701339221</v>
      </c>
      <c r="AA83" s="28">
        <f t="shared" si="16"/>
        <v>236337.5701339221</v>
      </c>
      <c r="AB83" s="28">
        <f t="shared" si="16"/>
        <v>236337.5701339221</v>
      </c>
      <c r="AC83" s="28">
        <f t="shared" si="16"/>
        <v>236337.5701339221</v>
      </c>
      <c r="AD83" s="28">
        <f t="shared" si="16"/>
        <v>236337.5701339221</v>
      </c>
      <c r="AE83" s="28">
        <f t="shared" si="16"/>
        <v>236337.5701339221</v>
      </c>
      <c r="AF83" s="28">
        <f t="shared" si="16"/>
        <v>236337.5701339221</v>
      </c>
      <c r="AG83" s="28">
        <f t="shared" si="16"/>
        <v>236337.5701339221</v>
      </c>
    </row>
    <row r="84" spans="1:33" x14ac:dyDescent="0.2">
      <c r="A84" s="6"/>
      <c r="B84" s="6"/>
      <c r="C84" s="4"/>
      <c r="D84" s="34"/>
      <c r="F84" s="28"/>
      <c r="G84" s="183"/>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row>
    <row r="85" spans="1:33" x14ac:dyDescent="0.2">
      <c r="A85" s="6"/>
      <c r="B85" s="6"/>
      <c r="C85" s="152" t="s">
        <v>135</v>
      </c>
      <c r="D85" s="153"/>
      <c r="E85" s="149"/>
      <c r="F85" s="154"/>
      <c r="G85" s="188">
        <f t="shared" si="12"/>
        <v>45291</v>
      </c>
      <c r="H85" s="154"/>
      <c r="I85" s="154">
        <f t="shared" ref="I85:AB85" si="17">SUM(I80:I84)</f>
        <v>0</v>
      </c>
      <c r="J85" s="154">
        <f t="shared" si="17"/>
        <v>0</v>
      </c>
      <c r="K85" s="154">
        <f t="shared" si="17"/>
        <v>-14282.292704793574</v>
      </c>
      <c r="L85" s="154">
        <f t="shared" si="17"/>
        <v>-47557.903021484271</v>
      </c>
      <c r="M85" s="154">
        <f t="shared" si="17"/>
        <v>245547.07719915512</v>
      </c>
      <c r="N85" s="154">
        <f t="shared" si="17"/>
        <v>245547.07719915512</v>
      </c>
      <c r="O85" s="154">
        <f t="shared" si="17"/>
        <v>245547.07719915512</v>
      </c>
      <c r="P85" s="154">
        <f t="shared" si="17"/>
        <v>245547.07719915512</v>
      </c>
      <c r="Q85" s="154">
        <f t="shared" si="17"/>
        <v>245547.07719915512</v>
      </c>
      <c r="R85" s="154">
        <f t="shared" si="17"/>
        <v>245547.07719915512</v>
      </c>
      <c r="S85" s="154">
        <f t="shared" si="17"/>
        <v>245547.07719915512</v>
      </c>
      <c r="T85" s="154">
        <f t="shared" si="17"/>
        <v>245547.07719915512</v>
      </c>
      <c r="U85" s="154">
        <f t="shared" si="17"/>
        <v>245547.07719915512</v>
      </c>
      <c r="V85" s="154">
        <f t="shared" si="17"/>
        <v>245547.07719915512</v>
      </c>
      <c r="W85" s="154">
        <f t="shared" si="17"/>
        <v>245547.07719915512</v>
      </c>
      <c r="X85" s="154">
        <f t="shared" si="17"/>
        <v>245547.07719915512</v>
      </c>
      <c r="Y85" s="154">
        <f t="shared" si="17"/>
        <v>245547.07719915512</v>
      </c>
      <c r="Z85" s="154">
        <f t="shared" si="17"/>
        <v>245547.07719915512</v>
      </c>
      <c r="AA85" s="154">
        <f t="shared" si="17"/>
        <v>245547.07719915512</v>
      </c>
      <c r="AB85" s="154">
        <f t="shared" si="17"/>
        <v>245547.07719915512</v>
      </c>
      <c r="AC85" s="154">
        <f>SUM(AC80:AC84)</f>
        <v>245547.07719915512</v>
      </c>
      <c r="AD85" s="154">
        <f>SUM(AD80:AD84)</f>
        <v>245547.07719915512</v>
      </c>
      <c r="AE85" s="154">
        <f>SUM(AE80:AE84)</f>
        <v>245547.07719915512</v>
      </c>
      <c r="AF85" s="154">
        <f>SUM(AF80:AF84)</f>
        <v>245547.07719915512</v>
      </c>
      <c r="AG85" s="154">
        <f>SUM(AG80:AG84)</f>
        <v>245547.07719915512</v>
      </c>
    </row>
    <row r="86" spans="1:33" x14ac:dyDescent="0.2">
      <c r="A86" s="6"/>
      <c r="B86" s="6"/>
      <c r="C86" s="12"/>
      <c r="D86" s="34"/>
      <c r="F86" s="119"/>
      <c r="G86" s="183"/>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row>
    <row r="87" spans="1:33" x14ac:dyDescent="0.2">
      <c r="A87" s="6"/>
      <c r="B87" s="6"/>
      <c r="C87" s="12"/>
      <c r="D87" s="34"/>
      <c r="F87" s="119"/>
      <c r="G87" s="183"/>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row>
    <row r="88" spans="1:33" x14ac:dyDescent="0.2">
      <c r="A88" s="6"/>
      <c r="B88" s="6"/>
      <c r="C88" s="202" t="s">
        <v>137</v>
      </c>
      <c r="D88" s="72"/>
      <c r="E88" s="203"/>
      <c r="F88" s="204"/>
      <c r="G88" s="205" cm="1">
        <f t="array" ref="G88">IF(SUM($I17:$AG17)=0,0,(INDEX(I$6:AG$6,MATCH(TRUE,INDEX($I17:$AG17&lt;&gt;0,),0))))</f>
        <v>2</v>
      </c>
      <c r="H88" s="6"/>
      <c r="I88" s="6"/>
      <c r="J88" s="6"/>
      <c r="K88" s="6"/>
      <c r="L88" s="6"/>
      <c r="M88" s="6"/>
      <c r="N88" s="6"/>
      <c r="O88" s="6"/>
      <c r="P88" s="6"/>
      <c r="Q88" s="6"/>
      <c r="R88" s="6"/>
      <c r="S88" s="6"/>
      <c r="T88" s="6"/>
      <c r="U88" s="6"/>
      <c r="V88" s="6"/>
      <c r="W88" s="6"/>
      <c r="X88" s="6"/>
      <c r="Y88" s="6"/>
      <c r="Z88" s="6"/>
      <c r="AA88" s="6"/>
      <c r="AB88" s="6"/>
      <c r="AC88" s="6"/>
      <c r="AD88" s="6"/>
      <c r="AE88" s="6"/>
      <c r="AF88" s="6"/>
      <c r="AG88" s="6"/>
    </row>
    <row r="89" spans="1:33" x14ac:dyDescent="0.2">
      <c r="A89" s="6"/>
      <c r="B89" s="6"/>
      <c r="C89" s="72"/>
      <c r="D89" s="206"/>
      <c r="E89" s="203"/>
      <c r="F89" s="204"/>
      <c r="G89" s="205"/>
      <c r="H89" s="30"/>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row>
    <row r="90" spans="1:33" x14ac:dyDescent="0.2">
      <c r="C90" s="207" t="s">
        <v>138</v>
      </c>
      <c r="D90" s="208"/>
      <c r="E90" s="208"/>
      <c r="F90" s="208"/>
      <c r="G90" s="209">
        <f>IF(_xlfn.MINIFS($G$88:$G$89, $G$88:$G$89, "&gt;"&amp;0)=0, $A$4, _xlfn.MINIFS($G$88:$G$89, $G$88:$G$89, "&gt;"&amp;0))</f>
        <v>2</v>
      </c>
    </row>
    <row r="92" spans="1:33" x14ac:dyDescent="0.2">
      <c r="G92" s="10"/>
      <c r="I92" s="218"/>
      <c r="J92" s="218"/>
      <c r="K92" s="218"/>
      <c r="L92" s="218"/>
      <c r="M92" s="218"/>
      <c r="N92" s="218"/>
      <c r="O92" s="218"/>
      <c r="P92" s="218"/>
      <c r="Q92" s="218"/>
      <c r="R92" s="218"/>
      <c r="S92" s="218"/>
      <c r="T92" s="218"/>
      <c r="U92" s="218"/>
      <c r="V92" s="218"/>
      <c r="W92" s="218"/>
      <c r="X92" s="218"/>
      <c r="Y92" s="28"/>
      <c r="Z92" s="28"/>
      <c r="AA92" s="28"/>
      <c r="AB92" s="28"/>
      <c r="AC92" s="28"/>
      <c r="AD92" s="28"/>
      <c r="AE92" s="28"/>
      <c r="AF92" s="28"/>
      <c r="AG92" s="28"/>
    </row>
    <row r="93" spans="1:33" x14ac:dyDescent="0.2">
      <c r="I93" s="213"/>
      <c r="J93" s="213"/>
      <c r="K93" s="213"/>
      <c r="L93" s="213"/>
      <c r="M93" s="213"/>
      <c r="N93" s="213"/>
      <c r="O93" s="213"/>
      <c r="P93" s="213"/>
      <c r="Q93" s="213"/>
      <c r="R93" s="213"/>
      <c r="S93" s="213"/>
      <c r="T93" s="213"/>
      <c r="U93" s="213"/>
      <c r="V93" s="213"/>
      <c r="W93" s="213"/>
      <c r="X93" s="213"/>
      <c r="Y93" s="213"/>
      <c r="Z93" s="213"/>
    </row>
    <row r="94" spans="1:33" x14ac:dyDescent="0.2">
      <c r="I94" s="213"/>
      <c r="J94" s="213"/>
      <c r="K94" s="213"/>
      <c r="L94" s="213"/>
      <c r="M94" s="213"/>
      <c r="N94" s="213"/>
      <c r="O94" s="213"/>
      <c r="P94" s="213"/>
      <c r="Q94" s="213"/>
      <c r="R94" s="213"/>
      <c r="S94" s="213"/>
      <c r="T94" s="213"/>
      <c r="U94" s="213"/>
      <c r="V94" s="213"/>
      <c r="W94" s="213"/>
      <c r="X94" s="213"/>
      <c r="Y94" s="213"/>
      <c r="Z94" s="213"/>
    </row>
    <row r="95" spans="1:33" x14ac:dyDescent="0.2">
      <c r="I95" s="213"/>
      <c r="J95" s="213"/>
      <c r="K95" s="213"/>
      <c r="L95" s="213"/>
      <c r="M95" s="213"/>
      <c r="N95" s="213"/>
      <c r="O95" s="213"/>
      <c r="P95" s="213"/>
      <c r="Q95" s="213"/>
      <c r="R95" s="213"/>
      <c r="S95" s="213"/>
      <c r="T95" s="213"/>
      <c r="U95" s="213"/>
      <c r="V95" s="213"/>
      <c r="W95" s="213"/>
      <c r="X95" s="213"/>
      <c r="Y95" s="213"/>
      <c r="Z95" s="213"/>
    </row>
    <row r="96" spans="1:33" x14ac:dyDescent="0.2">
      <c r="I96" s="213"/>
      <c r="J96" s="213"/>
      <c r="K96" s="213"/>
      <c r="L96" s="213"/>
      <c r="M96" s="213"/>
      <c r="N96" s="213"/>
      <c r="O96" s="213"/>
      <c r="P96" s="213"/>
      <c r="Q96" s="213"/>
      <c r="R96" s="213"/>
      <c r="S96" s="213"/>
      <c r="T96" s="213"/>
      <c r="U96" s="213"/>
      <c r="V96" s="213"/>
      <c r="W96" s="213"/>
      <c r="X96" s="213"/>
      <c r="Y96" s="213"/>
      <c r="Z96" s="213"/>
    </row>
    <row r="97" spans="1:43" x14ac:dyDescent="0.2">
      <c r="I97" s="213"/>
      <c r="J97" s="213"/>
      <c r="K97" s="213"/>
      <c r="L97" s="213"/>
      <c r="M97" s="213"/>
      <c r="N97" s="213"/>
      <c r="O97" s="213"/>
      <c r="P97" s="213"/>
      <c r="Q97" s="213"/>
      <c r="R97" s="213"/>
      <c r="S97" s="213"/>
      <c r="T97" s="213"/>
      <c r="U97" s="213"/>
      <c r="V97" s="213"/>
      <c r="W97" s="213"/>
      <c r="X97" s="213"/>
      <c r="Y97" s="213"/>
      <c r="Z97" s="213"/>
    </row>
    <row r="98" spans="1:43" x14ac:dyDescent="0.2">
      <c r="I98" s="213"/>
      <c r="J98" s="213"/>
      <c r="K98" s="213"/>
      <c r="L98" s="213"/>
      <c r="M98" s="213"/>
      <c r="N98" s="213"/>
      <c r="O98" s="213"/>
      <c r="P98" s="213"/>
      <c r="Q98" s="213"/>
      <c r="R98" s="213"/>
      <c r="S98" s="213"/>
      <c r="T98" s="213"/>
      <c r="U98" s="213"/>
      <c r="V98" s="213"/>
      <c r="W98" s="213"/>
      <c r="X98" s="213"/>
      <c r="Y98" s="213"/>
      <c r="Z98" s="213"/>
    </row>
    <row r="99" spans="1:43" x14ac:dyDescent="0.2">
      <c r="I99" s="213"/>
      <c r="J99" s="213"/>
      <c r="K99" s="213"/>
      <c r="L99" s="213"/>
      <c r="M99" s="213"/>
      <c r="N99" s="213"/>
      <c r="O99" s="213"/>
      <c r="P99" s="213"/>
      <c r="Q99" s="213"/>
      <c r="R99" s="213"/>
      <c r="S99" s="213"/>
      <c r="T99" s="213"/>
      <c r="U99" s="213"/>
      <c r="V99" s="213"/>
      <c r="W99" s="213"/>
      <c r="X99" s="213"/>
      <c r="Y99" s="213"/>
      <c r="Z99" s="213"/>
    </row>
    <row r="100" spans="1:43" ht="15" x14ac:dyDescent="0.2">
      <c r="A100" s="78" t="s">
        <v>16</v>
      </c>
      <c r="B100" s="78"/>
      <c r="C100" s="78"/>
      <c r="D100" s="78"/>
      <c r="E100" s="78"/>
      <c r="F100" s="78"/>
      <c r="G100" s="177"/>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3"/>
      <c r="J102" s="213"/>
      <c r="K102" s="213"/>
      <c r="L102" s="213"/>
      <c r="M102" s="213"/>
      <c r="N102" s="213"/>
      <c r="O102" s="213"/>
      <c r="P102" s="213"/>
      <c r="Q102" s="213"/>
      <c r="R102" s="213"/>
      <c r="S102" s="213"/>
      <c r="T102" s="213"/>
      <c r="U102" s="213"/>
      <c r="V102" s="213"/>
      <c r="W102" s="213"/>
      <c r="X102" s="213"/>
      <c r="Y102" s="213"/>
      <c r="Z102" s="213"/>
    </row>
    <row r="103" spans="1:43" x14ac:dyDescent="0.2">
      <c r="D103"/>
      <c r="E103"/>
      <c r="F103"/>
      <c r="G103"/>
      <c r="I103" s="213"/>
      <c r="J103" s="213"/>
      <c r="K103" s="213"/>
      <c r="L103" s="213"/>
      <c r="M103" s="213"/>
      <c r="N103" s="213"/>
      <c r="O103" s="213"/>
      <c r="P103" s="213"/>
      <c r="Q103" s="213"/>
      <c r="R103" s="213"/>
      <c r="S103" s="213"/>
      <c r="T103" s="213"/>
      <c r="U103" s="213"/>
      <c r="V103" s="213"/>
      <c r="W103" s="213"/>
      <c r="X103" s="213"/>
      <c r="Y103" s="213"/>
      <c r="Z103" s="213"/>
    </row>
    <row r="104" spans="1:43" x14ac:dyDescent="0.2">
      <c r="A104" s="1" t="s">
        <v>7</v>
      </c>
      <c r="C104" s="1" t="s">
        <v>135</v>
      </c>
      <c r="D104"/>
      <c r="E104"/>
      <c r="F104"/>
      <c r="G104" s="34" t="str">
        <f>PROPER($A$3)&amp;A104</f>
        <v>Option 2NPV</v>
      </c>
      <c r="I104" s="28">
        <f>I85</f>
        <v>0</v>
      </c>
      <c r="J104" s="28">
        <f t="shared" ref="J104:AG104" si="18">J85</f>
        <v>0</v>
      </c>
      <c r="K104" s="28">
        <f t="shared" si="18"/>
        <v>-14282.292704793574</v>
      </c>
      <c r="L104" s="28">
        <f t="shared" si="18"/>
        <v>-47557.903021484271</v>
      </c>
      <c r="M104" s="28">
        <f t="shared" si="18"/>
        <v>245547.07719915512</v>
      </c>
      <c r="N104" s="28">
        <f t="shared" si="18"/>
        <v>245547.07719915512</v>
      </c>
      <c r="O104" s="28">
        <f t="shared" si="18"/>
        <v>245547.07719915512</v>
      </c>
      <c r="P104" s="28">
        <f t="shared" si="18"/>
        <v>245547.07719915512</v>
      </c>
      <c r="Q104" s="28">
        <f t="shared" si="18"/>
        <v>245547.07719915512</v>
      </c>
      <c r="R104" s="28">
        <f t="shared" si="18"/>
        <v>245547.07719915512</v>
      </c>
      <c r="S104" s="28">
        <f t="shared" si="18"/>
        <v>245547.07719915512</v>
      </c>
      <c r="T104" s="28">
        <f t="shared" si="18"/>
        <v>245547.07719915512</v>
      </c>
      <c r="U104" s="28">
        <f t="shared" si="18"/>
        <v>245547.07719915512</v>
      </c>
      <c r="V104" s="28">
        <f t="shared" si="18"/>
        <v>245547.07719915512</v>
      </c>
      <c r="W104" s="28">
        <f t="shared" si="18"/>
        <v>245547.07719915512</v>
      </c>
      <c r="X104" s="28">
        <f t="shared" si="18"/>
        <v>245547.07719915512</v>
      </c>
      <c r="Y104" s="28">
        <f t="shared" si="18"/>
        <v>245547.07719915512</v>
      </c>
      <c r="Z104" s="28">
        <f t="shared" si="18"/>
        <v>245547.07719915512</v>
      </c>
      <c r="AA104" s="28">
        <f t="shared" si="18"/>
        <v>245547.07719915512</v>
      </c>
      <c r="AB104" s="28">
        <f t="shared" si="18"/>
        <v>245547.07719915512</v>
      </c>
      <c r="AC104" s="28">
        <f t="shared" si="18"/>
        <v>245547.07719915512</v>
      </c>
      <c r="AD104" s="28">
        <f t="shared" si="18"/>
        <v>245547.07719915512</v>
      </c>
      <c r="AE104" s="28">
        <f t="shared" si="18"/>
        <v>245547.07719915512</v>
      </c>
      <c r="AF104" s="28">
        <f t="shared" si="18"/>
        <v>245547.07719915512</v>
      </c>
      <c r="AG104" s="28">
        <f t="shared" si="18"/>
        <v>245547.07719915512</v>
      </c>
    </row>
    <row r="105" spans="1:43" x14ac:dyDescent="0.2">
      <c r="C105" s="1" t="s">
        <v>132</v>
      </c>
      <c r="D105"/>
      <c r="E105"/>
      <c r="F105"/>
      <c r="G105"/>
      <c r="I105" s="28">
        <f>I80</f>
        <v>0</v>
      </c>
      <c r="J105" s="28">
        <f t="shared" ref="J105:AG105" si="19">J80</f>
        <v>0</v>
      </c>
      <c r="K105" s="28">
        <f t="shared" si="19"/>
        <v>-14282.292704793574</v>
      </c>
      <c r="L105" s="28">
        <f t="shared" si="19"/>
        <v>-47557.903021484271</v>
      </c>
      <c r="M105" s="28">
        <f t="shared" si="19"/>
        <v>-99549.711837889525</v>
      </c>
      <c r="N105" s="28">
        <f t="shared" si="19"/>
        <v>-99549.711837889525</v>
      </c>
      <c r="O105" s="28">
        <f t="shared" si="19"/>
        <v>-99549.711837889525</v>
      </c>
      <c r="P105" s="28">
        <f t="shared" si="19"/>
        <v>-99549.711837889525</v>
      </c>
      <c r="Q105" s="28">
        <f t="shared" si="19"/>
        <v>-99549.711837889525</v>
      </c>
      <c r="R105" s="28">
        <f t="shared" si="19"/>
        <v>-99549.711837889525</v>
      </c>
      <c r="S105" s="28">
        <f t="shared" si="19"/>
        <v>-99549.711837889525</v>
      </c>
      <c r="T105" s="28">
        <f t="shared" si="19"/>
        <v>-99549.711837889525</v>
      </c>
      <c r="U105" s="28">
        <f t="shared" si="19"/>
        <v>-99549.711837889525</v>
      </c>
      <c r="V105" s="28">
        <f t="shared" si="19"/>
        <v>-99549.711837889525</v>
      </c>
      <c r="W105" s="28">
        <f t="shared" si="19"/>
        <v>-99549.711837889525</v>
      </c>
      <c r="X105" s="28">
        <f t="shared" si="19"/>
        <v>-99549.711837889525</v>
      </c>
      <c r="Y105" s="28">
        <f t="shared" si="19"/>
        <v>-99549.711837889525</v>
      </c>
      <c r="Z105" s="28">
        <f t="shared" si="19"/>
        <v>-99549.711837889525</v>
      </c>
      <c r="AA105" s="28">
        <f t="shared" si="19"/>
        <v>-99549.711837889525</v>
      </c>
      <c r="AB105" s="28">
        <f t="shared" si="19"/>
        <v>-99549.711837889525</v>
      </c>
      <c r="AC105" s="28">
        <f t="shared" si="19"/>
        <v>-99549.711837889525</v>
      </c>
      <c r="AD105" s="28">
        <f t="shared" si="19"/>
        <v>-99549.711837889525</v>
      </c>
      <c r="AE105" s="28">
        <f t="shared" si="19"/>
        <v>-99549.711837889525</v>
      </c>
      <c r="AF105" s="28">
        <f t="shared" si="19"/>
        <v>-99549.711837889525</v>
      </c>
      <c r="AG105" s="28">
        <f t="shared" si="19"/>
        <v>-99549.711837889525</v>
      </c>
    </row>
    <row r="106" spans="1:43" x14ac:dyDescent="0.2">
      <c r="C106" s="1" t="s">
        <v>96</v>
      </c>
      <c r="D106" s="221"/>
      <c r="E106" s="34"/>
      <c r="I106" s="28">
        <f>SUM(I82:I83)</f>
        <v>0</v>
      </c>
      <c r="J106" s="28">
        <f t="shared" ref="J106:AG106" si="20">SUM(J82:J83)</f>
        <v>0</v>
      </c>
      <c r="K106" s="28">
        <f t="shared" si="20"/>
        <v>0</v>
      </c>
      <c r="L106" s="28">
        <f t="shared" si="20"/>
        <v>0</v>
      </c>
      <c r="M106" s="28">
        <f t="shared" si="20"/>
        <v>345096.78903704463</v>
      </c>
      <c r="N106" s="28">
        <f t="shared" si="20"/>
        <v>345096.78903704463</v>
      </c>
      <c r="O106" s="28">
        <f t="shared" si="20"/>
        <v>345096.78903704463</v>
      </c>
      <c r="P106" s="28">
        <f t="shared" si="20"/>
        <v>345096.78903704463</v>
      </c>
      <c r="Q106" s="28">
        <f t="shared" si="20"/>
        <v>345096.78903704463</v>
      </c>
      <c r="R106" s="28">
        <f t="shared" si="20"/>
        <v>345096.78903704463</v>
      </c>
      <c r="S106" s="28">
        <f t="shared" si="20"/>
        <v>345096.78903704463</v>
      </c>
      <c r="T106" s="28">
        <f t="shared" si="20"/>
        <v>345096.78903704463</v>
      </c>
      <c r="U106" s="28">
        <f t="shared" si="20"/>
        <v>345096.78903704463</v>
      </c>
      <c r="V106" s="28">
        <f t="shared" si="20"/>
        <v>345096.78903704463</v>
      </c>
      <c r="W106" s="28">
        <f t="shared" si="20"/>
        <v>345096.78903704463</v>
      </c>
      <c r="X106" s="28">
        <f t="shared" si="20"/>
        <v>345096.78903704463</v>
      </c>
      <c r="Y106" s="28">
        <f t="shared" si="20"/>
        <v>345096.78903704463</v>
      </c>
      <c r="Z106" s="28">
        <f t="shared" si="20"/>
        <v>345096.78903704463</v>
      </c>
      <c r="AA106" s="28">
        <f t="shared" si="20"/>
        <v>345096.78903704463</v>
      </c>
      <c r="AB106" s="28">
        <f t="shared" si="20"/>
        <v>345096.78903704463</v>
      </c>
      <c r="AC106" s="28">
        <f t="shared" si="20"/>
        <v>345096.78903704463</v>
      </c>
      <c r="AD106" s="28">
        <f t="shared" si="20"/>
        <v>345096.78903704463</v>
      </c>
      <c r="AE106" s="28">
        <f t="shared" si="20"/>
        <v>345096.78903704463</v>
      </c>
      <c r="AF106" s="28">
        <f t="shared" si="20"/>
        <v>345096.78903704463</v>
      </c>
      <c r="AG106" s="28">
        <f t="shared" si="20"/>
        <v>345096.78903704463</v>
      </c>
    </row>
    <row r="107" spans="1:43" x14ac:dyDescent="0.2">
      <c r="D107" s="253" t="str">
        <f>Assumptions!G116</f>
        <v>Capex</v>
      </c>
      <c r="E107" s="253" t="str">
        <f>Assumptions!H116</f>
        <v>Total benefits</v>
      </c>
      <c r="I107" s="213"/>
      <c r="J107" s="213"/>
      <c r="K107" s="213"/>
      <c r="L107" s="213"/>
      <c r="M107" s="213"/>
      <c r="N107" s="213"/>
      <c r="O107" s="213"/>
      <c r="P107" s="213"/>
      <c r="Q107" s="213"/>
      <c r="R107" s="213"/>
      <c r="S107" s="213"/>
      <c r="T107" s="213"/>
      <c r="U107" s="213"/>
      <c r="V107" s="213"/>
      <c r="W107" s="213"/>
      <c r="X107" s="213"/>
      <c r="Y107" s="213"/>
      <c r="Z107" s="213"/>
    </row>
    <row r="108" spans="1:43" x14ac:dyDescent="0.2">
      <c r="A108" s="1" t="str">
        <f>"sens"&amp;Assumptions!B117</f>
        <v>sens1</v>
      </c>
      <c r="C108" s="252" t="str">
        <f>Assumptions!C117</f>
        <v>Capex 10% higher</v>
      </c>
      <c r="D108" s="253">
        <f>Assumptions!G117</f>
        <v>0.1</v>
      </c>
      <c r="E108" s="253">
        <f>Assumptions!H117</f>
        <v>0</v>
      </c>
      <c r="G108" s="34" t="str">
        <f>PROPER($A$3)&amp;A108</f>
        <v>Option 2sens1</v>
      </c>
      <c r="I108" s="28" cm="1">
        <f t="array" ref="I108">I$104+IF($C108&lt;&gt;0,SUMPRODUCT((I$105:I$106)*TRANSPOSE(($D108:$E108))),0)</f>
        <v>0</v>
      </c>
      <c r="J108" s="28" cm="1">
        <f t="array" ref="J108">J$104+IF($C108&lt;&gt;0,SUMPRODUCT((J$105:J$106)*TRANSPOSE(($D108:$E108))),0)</f>
        <v>0</v>
      </c>
      <c r="K108" s="28" cm="1">
        <f t="array" ref="K108">K$104+IF($C108&lt;&gt;0,SUMPRODUCT((K$105:K$106)*TRANSPOSE(($D108:$E108))),0)</f>
        <v>-15710.521975272932</v>
      </c>
      <c r="L108" s="28" cm="1">
        <f t="array" ref="L108">L$104+IF($C108&lt;&gt;0,SUMPRODUCT((L$105:L$106)*TRANSPOSE(($D108:$E108))),0)</f>
        <v>-52313.693323632702</v>
      </c>
      <c r="M108" s="28" cm="1">
        <f t="array" ref="M108">M$104+IF($C108&lt;&gt;0,SUMPRODUCT((M$105:M$106)*TRANSPOSE(($D108:$E108))),0)</f>
        <v>235592.10601536615</v>
      </c>
      <c r="N108" s="28" cm="1">
        <f t="array" ref="N108">N$104+IF($C108&lt;&gt;0,SUMPRODUCT((N$105:N$106)*TRANSPOSE(($D108:$E108))),0)</f>
        <v>235592.10601536615</v>
      </c>
      <c r="O108" s="28" cm="1">
        <f t="array" ref="O108">O$104+IF($C108&lt;&gt;0,SUMPRODUCT((O$105:O$106)*TRANSPOSE(($D108:$E108))),0)</f>
        <v>235592.10601536615</v>
      </c>
      <c r="P108" s="28" cm="1">
        <f t="array" ref="P108">P$104+IF($C108&lt;&gt;0,SUMPRODUCT((P$105:P$106)*TRANSPOSE(($D108:$E108))),0)</f>
        <v>235592.10601536615</v>
      </c>
      <c r="Q108" s="28" cm="1">
        <f t="array" ref="Q108">Q$104+IF($C108&lt;&gt;0,SUMPRODUCT((Q$105:Q$106)*TRANSPOSE(($D108:$E108))),0)</f>
        <v>235592.10601536615</v>
      </c>
      <c r="R108" s="28" cm="1">
        <f t="array" ref="R108">R$104+IF($C108&lt;&gt;0,SUMPRODUCT((R$105:R$106)*TRANSPOSE(($D108:$E108))),0)</f>
        <v>235592.10601536615</v>
      </c>
      <c r="S108" s="28" cm="1">
        <f t="array" ref="S108">S$104+IF($C108&lt;&gt;0,SUMPRODUCT((S$105:S$106)*TRANSPOSE(($D108:$E108))),0)</f>
        <v>235592.10601536615</v>
      </c>
      <c r="T108" s="28" cm="1">
        <f t="array" ref="T108">T$104+IF($C108&lt;&gt;0,SUMPRODUCT((T$105:T$106)*TRANSPOSE(($D108:$E108))),0)</f>
        <v>235592.10601536615</v>
      </c>
      <c r="U108" s="28" cm="1">
        <f t="array" ref="U108">U$104+IF($C108&lt;&gt;0,SUMPRODUCT((U$105:U$106)*TRANSPOSE(($D108:$E108))),0)</f>
        <v>235592.10601536615</v>
      </c>
      <c r="V108" s="28" cm="1">
        <f t="array" ref="V108">V$104+IF($C108&lt;&gt;0,SUMPRODUCT((V$105:V$106)*TRANSPOSE(($D108:$E108))),0)</f>
        <v>235592.10601536615</v>
      </c>
      <c r="W108" s="28" cm="1">
        <f t="array" ref="W108">W$104+IF($C108&lt;&gt;0,SUMPRODUCT((W$105:W$106)*TRANSPOSE(($D108:$E108))),0)</f>
        <v>235592.10601536615</v>
      </c>
      <c r="X108" s="28" cm="1">
        <f t="array" ref="X108">X$104+IF($C108&lt;&gt;0,SUMPRODUCT((X$105:X$106)*TRANSPOSE(($D108:$E108))),0)</f>
        <v>235592.10601536615</v>
      </c>
      <c r="Y108" s="28" cm="1">
        <f t="array" ref="Y108">Y$104+IF($C108&lt;&gt;0,SUMPRODUCT((Y$105:Y$106)*TRANSPOSE(($D108:$E108))),0)</f>
        <v>235592.10601536615</v>
      </c>
      <c r="Z108" s="28" cm="1">
        <f t="array" ref="Z108">Z$104+IF($C108&lt;&gt;0,SUMPRODUCT((Z$105:Z$106)*TRANSPOSE(($D108:$E108))),0)</f>
        <v>235592.10601536615</v>
      </c>
      <c r="AA108" s="28" cm="1">
        <f t="array" ref="AA108">AA$104+IF($C108&lt;&gt;0,SUMPRODUCT((AA$105:AA$106)*TRANSPOSE(($D108:$E108))),0)</f>
        <v>235592.10601536615</v>
      </c>
      <c r="AB108" s="28" cm="1">
        <f t="array" ref="AB108">AB$104+IF($C108&lt;&gt;0,SUMPRODUCT((AB$105:AB$106)*TRANSPOSE(($D108:$E108))),0)</f>
        <v>235592.10601536615</v>
      </c>
      <c r="AC108" s="28" cm="1">
        <f t="array" ref="AC108">AC$104+IF($C108&lt;&gt;0,SUMPRODUCT((AC$105:AC$106)*TRANSPOSE(($D108:$E108))),0)</f>
        <v>235592.10601536615</v>
      </c>
      <c r="AD108" s="28" cm="1">
        <f t="array" ref="AD108">AD$104+IF($C108&lt;&gt;0,SUMPRODUCT((AD$105:AD$106)*TRANSPOSE(($D108:$E108))),0)</f>
        <v>235592.10601536615</v>
      </c>
      <c r="AE108" s="28" cm="1">
        <f t="array" ref="AE108">AE$104+IF($C108&lt;&gt;0,SUMPRODUCT((AE$105:AE$106)*TRANSPOSE(($D108:$E108))),0)</f>
        <v>235592.10601536615</v>
      </c>
      <c r="AF108" s="28" cm="1">
        <f t="array" ref="AF108">AF$104+IF($C108&lt;&gt;0,SUMPRODUCT((AF$105:AF$106)*TRANSPOSE(($D108:$E108))),0)</f>
        <v>235592.10601536615</v>
      </c>
      <c r="AG108" s="28" cm="1">
        <f t="array" ref="AG108">AG$104+IF($C108&lt;&gt;0,SUMPRODUCT((AG$105:AG$106)*TRANSPOSE(($D108:$E108))),0)</f>
        <v>235592.10601536615</v>
      </c>
    </row>
    <row r="109" spans="1:43" x14ac:dyDescent="0.2">
      <c r="A109" s="1" t="str">
        <f>"sens"&amp;Assumptions!B118</f>
        <v>sens2</v>
      </c>
      <c r="C109" s="252" t="str">
        <f>Assumptions!C118</f>
        <v>Capex 10% lower</v>
      </c>
      <c r="D109" s="253">
        <f>Assumptions!G118</f>
        <v>-0.1</v>
      </c>
      <c r="E109" s="253">
        <f>Assumptions!H118</f>
        <v>0</v>
      </c>
      <c r="G109" s="34" t="str">
        <f t="shared" ref="G109:G115" si="21">PROPER($A$3)&amp;A109</f>
        <v>Option 2sens2</v>
      </c>
      <c r="I109" s="28" cm="1">
        <f t="array" ref="I109">I$104+IF($C109&lt;&gt;0,SUMPRODUCT((I$105:I$106)*TRANSPOSE(($D109:$E109))),0)</f>
        <v>0</v>
      </c>
      <c r="J109" s="28" cm="1">
        <f t="array" ref="J109">J$104+IF($C109&lt;&gt;0,SUMPRODUCT((J$105:J$106)*TRANSPOSE(($D109:$E109))),0)</f>
        <v>0</v>
      </c>
      <c r="K109" s="28" cm="1">
        <f t="array" ref="K109">K$104+IF($C109&lt;&gt;0,SUMPRODUCT((K$105:K$106)*TRANSPOSE(($D109:$E109))),0)</f>
        <v>-12854.063434314216</v>
      </c>
      <c r="L109" s="28" cm="1">
        <f t="array" ref="L109">L$104+IF($C109&lt;&gt;0,SUMPRODUCT((L$105:L$106)*TRANSPOSE(($D109:$E109))),0)</f>
        <v>-42802.112719335841</v>
      </c>
      <c r="M109" s="28" cm="1">
        <f t="array" ref="M109">M$104+IF($C109&lt;&gt;0,SUMPRODUCT((M$105:M$106)*TRANSPOSE(($D109:$E109))),0)</f>
        <v>255502.04838294408</v>
      </c>
      <c r="N109" s="28" cm="1">
        <f t="array" ref="N109">N$104+IF($C109&lt;&gt;0,SUMPRODUCT((N$105:N$106)*TRANSPOSE(($D109:$E109))),0)</f>
        <v>255502.04838294408</v>
      </c>
      <c r="O109" s="28" cm="1">
        <f t="array" ref="O109">O$104+IF($C109&lt;&gt;0,SUMPRODUCT((O$105:O$106)*TRANSPOSE(($D109:$E109))),0)</f>
        <v>255502.04838294408</v>
      </c>
      <c r="P109" s="28" cm="1">
        <f t="array" ref="P109">P$104+IF($C109&lt;&gt;0,SUMPRODUCT((P$105:P$106)*TRANSPOSE(($D109:$E109))),0)</f>
        <v>255502.04838294408</v>
      </c>
      <c r="Q109" s="28" cm="1">
        <f t="array" ref="Q109">Q$104+IF($C109&lt;&gt;0,SUMPRODUCT((Q$105:Q$106)*TRANSPOSE(($D109:$E109))),0)</f>
        <v>255502.04838294408</v>
      </c>
      <c r="R109" s="28" cm="1">
        <f t="array" ref="R109">R$104+IF($C109&lt;&gt;0,SUMPRODUCT((R$105:R$106)*TRANSPOSE(($D109:$E109))),0)</f>
        <v>255502.04838294408</v>
      </c>
      <c r="S109" s="28" cm="1">
        <f t="array" ref="S109">S$104+IF($C109&lt;&gt;0,SUMPRODUCT((S$105:S$106)*TRANSPOSE(($D109:$E109))),0)</f>
        <v>255502.04838294408</v>
      </c>
      <c r="T109" s="28" cm="1">
        <f t="array" ref="T109">T$104+IF($C109&lt;&gt;0,SUMPRODUCT((T$105:T$106)*TRANSPOSE(($D109:$E109))),0)</f>
        <v>255502.04838294408</v>
      </c>
      <c r="U109" s="28" cm="1">
        <f t="array" ref="U109">U$104+IF($C109&lt;&gt;0,SUMPRODUCT((U$105:U$106)*TRANSPOSE(($D109:$E109))),0)</f>
        <v>255502.04838294408</v>
      </c>
      <c r="V109" s="28" cm="1">
        <f t="array" ref="V109">V$104+IF($C109&lt;&gt;0,SUMPRODUCT((V$105:V$106)*TRANSPOSE(($D109:$E109))),0)</f>
        <v>255502.04838294408</v>
      </c>
      <c r="W109" s="28" cm="1">
        <f t="array" ref="W109">W$104+IF($C109&lt;&gt;0,SUMPRODUCT((W$105:W$106)*TRANSPOSE(($D109:$E109))),0)</f>
        <v>255502.04838294408</v>
      </c>
      <c r="X109" s="28" cm="1">
        <f t="array" ref="X109">X$104+IF($C109&lt;&gt;0,SUMPRODUCT((X$105:X$106)*TRANSPOSE(($D109:$E109))),0)</f>
        <v>255502.04838294408</v>
      </c>
      <c r="Y109" s="28" cm="1">
        <f t="array" ref="Y109">Y$104+IF($C109&lt;&gt;0,SUMPRODUCT((Y$105:Y$106)*TRANSPOSE(($D109:$E109))),0)</f>
        <v>255502.04838294408</v>
      </c>
      <c r="Z109" s="28" cm="1">
        <f t="array" ref="Z109">Z$104+IF($C109&lt;&gt;0,SUMPRODUCT((Z$105:Z$106)*TRANSPOSE(($D109:$E109))),0)</f>
        <v>255502.04838294408</v>
      </c>
      <c r="AA109" s="28" cm="1">
        <f t="array" ref="AA109">AA$104+IF($C109&lt;&gt;0,SUMPRODUCT((AA$105:AA$106)*TRANSPOSE(($D109:$E109))),0)</f>
        <v>255502.04838294408</v>
      </c>
      <c r="AB109" s="28" cm="1">
        <f t="array" ref="AB109">AB$104+IF($C109&lt;&gt;0,SUMPRODUCT((AB$105:AB$106)*TRANSPOSE(($D109:$E109))),0)</f>
        <v>255502.04838294408</v>
      </c>
      <c r="AC109" s="28" cm="1">
        <f t="array" ref="AC109">AC$104+IF($C109&lt;&gt;0,SUMPRODUCT((AC$105:AC$106)*TRANSPOSE(($D109:$E109))),0)</f>
        <v>255502.04838294408</v>
      </c>
      <c r="AD109" s="28" cm="1">
        <f t="array" ref="AD109">AD$104+IF($C109&lt;&gt;0,SUMPRODUCT((AD$105:AD$106)*TRANSPOSE(($D109:$E109))),0)</f>
        <v>255502.04838294408</v>
      </c>
      <c r="AE109" s="28" cm="1">
        <f t="array" ref="AE109">AE$104+IF($C109&lt;&gt;0,SUMPRODUCT((AE$105:AE$106)*TRANSPOSE(($D109:$E109))),0)</f>
        <v>255502.04838294408</v>
      </c>
      <c r="AF109" s="28" cm="1">
        <f t="array" ref="AF109">AF$104+IF($C109&lt;&gt;0,SUMPRODUCT((AF$105:AF$106)*TRANSPOSE(($D109:$E109))),0)</f>
        <v>255502.04838294408</v>
      </c>
      <c r="AG109" s="28" cm="1">
        <f t="array" ref="AG109">AG$104+IF($C109&lt;&gt;0,SUMPRODUCT((AG$105:AG$106)*TRANSPOSE(($D109:$E109))),0)</f>
        <v>255502.04838294408</v>
      </c>
    </row>
    <row r="110" spans="1:43" x14ac:dyDescent="0.2">
      <c r="A110" s="1" t="str">
        <f>"sens"&amp;Assumptions!B119</f>
        <v>sens3</v>
      </c>
      <c r="C110" s="252" t="str">
        <f>Assumptions!C119</f>
        <v>Total benefits 10% higher</v>
      </c>
      <c r="D110" s="253">
        <f>Assumptions!G119</f>
        <v>0</v>
      </c>
      <c r="E110" s="253">
        <f>Assumptions!H119</f>
        <v>0.1</v>
      </c>
      <c r="G110" s="34" t="str">
        <f t="shared" si="21"/>
        <v>Option 2sens3</v>
      </c>
      <c r="I110" s="28" cm="1">
        <f t="array" ref="I110">I$104+IF($C110&lt;&gt;0,SUMPRODUCT((I$105:I$106)*TRANSPOSE(($D110:$E110))),0)</f>
        <v>0</v>
      </c>
      <c r="J110" s="28" cm="1">
        <f t="array" ref="J110">J$104+IF($C110&lt;&gt;0,SUMPRODUCT((J$105:J$106)*TRANSPOSE(($D110:$E110))),0)</f>
        <v>0</v>
      </c>
      <c r="K110" s="28" cm="1">
        <f t="array" ref="K110">K$104+IF($C110&lt;&gt;0,SUMPRODUCT((K$105:K$106)*TRANSPOSE(($D110:$E110))),0)</f>
        <v>-14282.292704793574</v>
      </c>
      <c r="L110" s="28" cm="1">
        <f t="array" ref="L110">L$104+IF($C110&lt;&gt;0,SUMPRODUCT((L$105:L$106)*TRANSPOSE(($D110:$E110))),0)</f>
        <v>-47557.903021484271</v>
      </c>
      <c r="M110" s="28" cm="1">
        <f t="array" ref="M110">M$104+IF($C110&lt;&gt;0,SUMPRODUCT((M$105:M$106)*TRANSPOSE(($D110:$E110))),0)</f>
        <v>280056.75610285957</v>
      </c>
      <c r="N110" s="28" cm="1">
        <f t="array" ref="N110">N$104+IF($C110&lt;&gt;0,SUMPRODUCT((N$105:N$106)*TRANSPOSE(($D110:$E110))),0)</f>
        <v>280056.75610285957</v>
      </c>
      <c r="O110" s="28" cm="1">
        <f t="array" ref="O110">O$104+IF($C110&lt;&gt;0,SUMPRODUCT((O$105:O$106)*TRANSPOSE(($D110:$E110))),0)</f>
        <v>280056.75610285957</v>
      </c>
      <c r="P110" s="28" cm="1">
        <f t="array" ref="P110">P$104+IF($C110&lt;&gt;0,SUMPRODUCT((P$105:P$106)*TRANSPOSE(($D110:$E110))),0)</f>
        <v>280056.75610285957</v>
      </c>
      <c r="Q110" s="28" cm="1">
        <f t="array" ref="Q110">Q$104+IF($C110&lt;&gt;0,SUMPRODUCT((Q$105:Q$106)*TRANSPOSE(($D110:$E110))),0)</f>
        <v>280056.75610285957</v>
      </c>
      <c r="R110" s="28" cm="1">
        <f t="array" ref="R110">R$104+IF($C110&lt;&gt;0,SUMPRODUCT((R$105:R$106)*TRANSPOSE(($D110:$E110))),0)</f>
        <v>280056.75610285957</v>
      </c>
      <c r="S110" s="28" cm="1">
        <f t="array" ref="S110">S$104+IF($C110&lt;&gt;0,SUMPRODUCT((S$105:S$106)*TRANSPOSE(($D110:$E110))),0)</f>
        <v>280056.75610285957</v>
      </c>
      <c r="T110" s="28" cm="1">
        <f t="array" ref="T110">T$104+IF($C110&lt;&gt;0,SUMPRODUCT((T$105:T$106)*TRANSPOSE(($D110:$E110))),0)</f>
        <v>280056.75610285957</v>
      </c>
      <c r="U110" s="28" cm="1">
        <f t="array" ref="U110">U$104+IF($C110&lt;&gt;0,SUMPRODUCT((U$105:U$106)*TRANSPOSE(($D110:$E110))),0)</f>
        <v>280056.75610285957</v>
      </c>
      <c r="V110" s="28" cm="1">
        <f t="array" ref="V110">V$104+IF($C110&lt;&gt;0,SUMPRODUCT((V$105:V$106)*TRANSPOSE(($D110:$E110))),0)</f>
        <v>280056.75610285957</v>
      </c>
      <c r="W110" s="28" cm="1">
        <f t="array" ref="W110">W$104+IF($C110&lt;&gt;0,SUMPRODUCT((W$105:W$106)*TRANSPOSE(($D110:$E110))),0)</f>
        <v>280056.75610285957</v>
      </c>
      <c r="X110" s="28" cm="1">
        <f t="array" ref="X110">X$104+IF($C110&lt;&gt;0,SUMPRODUCT((X$105:X$106)*TRANSPOSE(($D110:$E110))),0)</f>
        <v>280056.75610285957</v>
      </c>
      <c r="Y110" s="28" cm="1">
        <f t="array" ref="Y110">Y$104+IF($C110&lt;&gt;0,SUMPRODUCT((Y$105:Y$106)*TRANSPOSE(($D110:$E110))),0)</f>
        <v>280056.75610285957</v>
      </c>
      <c r="Z110" s="28" cm="1">
        <f t="array" ref="Z110">Z$104+IF($C110&lt;&gt;0,SUMPRODUCT((Z$105:Z$106)*TRANSPOSE(($D110:$E110))),0)</f>
        <v>280056.75610285957</v>
      </c>
      <c r="AA110" s="28" cm="1">
        <f t="array" ref="AA110">AA$104+IF($C110&lt;&gt;0,SUMPRODUCT((AA$105:AA$106)*TRANSPOSE(($D110:$E110))),0)</f>
        <v>280056.75610285957</v>
      </c>
      <c r="AB110" s="28" cm="1">
        <f t="array" ref="AB110">AB$104+IF($C110&lt;&gt;0,SUMPRODUCT((AB$105:AB$106)*TRANSPOSE(($D110:$E110))),0)</f>
        <v>280056.75610285957</v>
      </c>
      <c r="AC110" s="28" cm="1">
        <f t="array" ref="AC110">AC$104+IF($C110&lt;&gt;0,SUMPRODUCT((AC$105:AC$106)*TRANSPOSE(($D110:$E110))),0)</f>
        <v>280056.75610285957</v>
      </c>
      <c r="AD110" s="28" cm="1">
        <f t="array" ref="AD110">AD$104+IF($C110&lt;&gt;0,SUMPRODUCT((AD$105:AD$106)*TRANSPOSE(($D110:$E110))),0)</f>
        <v>280056.75610285957</v>
      </c>
      <c r="AE110" s="28" cm="1">
        <f t="array" ref="AE110">AE$104+IF($C110&lt;&gt;0,SUMPRODUCT((AE$105:AE$106)*TRANSPOSE(($D110:$E110))),0)</f>
        <v>280056.75610285957</v>
      </c>
      <c r="AF110" s="28" cm="1">
        <f t="array" ref="AF110">AF$104+IF($C110&lt;&gt;0,SUMPRODUCT((AF$105:AF$106)*TRANSPOSE(($D110:$E110))),0)</f>
        <v>280056.75610285957</v>
      </c>
      <c r="AG110" s="28" cm="1">
        <f t="array" ref="AG110">AG$104+IF($C110&lt;&gt;0,SUMPRODUCT((AG$105:AG$106)*TRANSPOSE(($D110:$E110))),0)</f>
        <v>280056.75610285957</v>
      </c>
    </row>
    <row r="111" spans="1:43" x14ac:dyDescent="0.2">
      <c r="A111" s="1" t="str">
        <f>"sens"&amp;Assumptions!B120</f>
        <v>sens4</v>
      </c>
      <c r="C111" s="252" t="str">
        <f>Assumptions!C120</f>
        <v>Total benefits 10% lower</v>
      </c>
      <c r="D111" s="253">
        <f>Assumptions!G120</f>
        <v>0</v>
      </c>
      <c r="E111" s="253">
        <f>Assumptions!H120</f>
        <v>-0.1</v>
      </c>
      <c r="G111" s="34" t="str">
        <f t="shared" si="21"/>
        <v>Option 2sens4</v>
      </c>
      <c r="I111" s="28" cm="1">
        <f t="array" ref="I111">I$104+IF($C111&lt;&gt;0,SUMPRODUCT((I$105:I$106)*TRANSPOSE(($D111:$E111))),0)</f>
        <v>0</v>
      </c>
      <c r="J111" s="28" cm="1">
        <f t="array" ref="J111">J$104+IF($C111&lt;&gt;0,SUMPRODUCT((J$105:J$106)*TRANSPOSE(($D111:$E111))),0)</f>
        <v>0</v>
      </c>
      <c r="K111" s="28" cm="1">
        <f t="array" ref="K111">K$104+IF($C111&lt;&gt;0,SUMPRODUCT((K$105:K$106)*TRANSPOSE(($D111:$E111))),0)</f>
        <v>-14282.292704793574</v>
      </c>
      <c r="L111" s="28" cm="1">
        <f t="array" ref="L111">L$104+IF($C111&lt;&gt;0,SUMPRODUCT((L$105:L$106)*TRANSPOSE(($D111:$E111))),0)</f>
        <v>-47557.903021484271</v>
      </c>
      <c r="M111" s="28" cm="1">
        <f t="array" ref="M111">M$104+IF($C111&lt;&gt;0,SUMPRODUCT((M$105:M$106)*TRANSPOSE(($D111:$E111))),0)</f>
        <v>211037.39829545066</v>
      </c>
      <c r="N111" s="28" cm="1">
        <f t="array" ref="N111">N$104+IF($C111&lt;&gt;0,SUMPRODUCT((N$105:N$106)*TRANSPOSE(($D111:$E111))),0)</f>
        <v>211037.39829545066</v>
      </c>
      <c r="O111" s="28" cm="1">
        <f t="array" ref="O111">O$104+IF($C111&lt;&gt;0,SUMPRODUCT((O$105:O$106)*TRANSPOSE(($D111:$E111))),0)</f>
        <v>211037.39829545066</v>
      </c>
      <c r="P111" s="28" cm="1">
        <f t="array" ref="P111">P$104+IF($C111&lt;&gt;0,SUMPRODUCT((P$105:P$106)*TRANSPOSE(($D111:$E111))),0)</f>
        <v>211037.39829545066</v>
      </c>
      <c r="Q111" s="28" cm="1">
        <f t="array" ref="Q111">Q$104+IF($C111&lt;&gt;0,SUMPRODUCT((Q$105:Q$106)*TRANSPOSE(($D111:$E111))),0)</f>
        <v>211037.39829545066</v>
      </c>
      <c r="R111" s="28" cm="1">
        <f t="array" ref="R111">R$104+IF($C111&lt;&gt;0,SUMPRODUCT((R$105:R$106)*TRANSPOSE(($D111:$E111))),0)</f>
        <v>211037.39829545066</v>
      </c>
      <c r="S111" s="28" cm="1">
        <f t="array" ref="S111">S$104+IF($C111&lt;&gt;0,SUMPRODUCT((S$105:S$106)*TRANSPOSE(($D111:$E111))),0)</f>
        <v>211037.39829545066</v>
      </c>
      <c r="T111" s="28" cm="1">
        <f t="array" ref="T111">T$104+IF($C111&lt;&gt;0,SUMPRODUCT((T$105:T$106)*TRANSPOSE(($D111:$E111))),0)</f>
        <v>211037.39829545066</v>
      </c>
      <c r="U111" s="28" cm="1">
        <f t="array" ref="U111">U$104+IF($C111&lt;&gt;0,SUMPRODUCT((U$105:U$106)*TRANSPOSE(($D111:$E111))),0)</f>
        <v>211037.39829545066</v>
      </c>
      <c r="V111" s="28" cm="1">
        <f t="array" ref="V111">V$104+IF($C111&lt;&gt;0,SUMPRODUCT((V$105:V$106)*TRANSPOSE(($D111:$E111))),0)</f>
        <v>211037.39829545066</v>
      </c>
      <c r="W111" s="28" cm="1">
        <f t="array" ref="W111">W$104+IF($C111&lt;&gt;0,SUMPRODUCT((W$105:W$106)*TRANSPOSE(($D111:$E111))),0)</f>
        <v>211037.39829545066</v>
      </c>
      <c r="X111" s="28" cm="1">
        <f t="array" ref="X111">X$104+IF($C111&lt;&gt;0,SUMPRODUCT((X$105:X$106)*TRANSPOSE(($D111:$E111))),0)</f>
        <v>211037.39829545066</v>
      </c>
      <c r="Y111" s="28" cm="1">
        <f t="array" ref="Y111">Y$104+IF($C111&lt;&gt;0,SUMPRODUCT((Y$105:Y$106)*TRANSPOSE(($D111:$E111))),0)</f>
        <v>211037.39829545066</v>
      </c>
      <c r="Z111" s="28" cm="1">
        <f t="array" ref="Z111">Z$104+IF($C111&lt;&gt;0,SUMPRODUCT((Z$105:Z$106)*TRANSPOSE(($D111:$E111))),0)</f>
        <v>211037.39829545066</v>
      </c>
      <c r="AA111" s="28" cm="1">
        <f t="array" ref="AA111">AA$104+IF($C111&lt;&gt;0,SUMPRODUCT((AA$105:AA$106)*TRANSPOSE(($D111:$E111))),0)</f>
        <v>211037.39829545066</v>
      </c>
      <c r="AB111" s="28" cm="1">
        <f t="array" ref="AB111">AB$104+IF($C111&lt;&gt;0,SUMPRODUCT((AB$105:AB$106)*TRANSPOSE(($D111:$E111))),0)</f>
        <v>211037.39829545066</v>
      </c>
      <c r="AC111" s="28" cm="1">
        <f t="array" ref="AC111">AC$104+IF($C111&lt;&gt;0,SUMPRODUCT((AC$105:AC$106)*TRANSPOSE(($D111:$E111))),0)</f>
        <v>211037.39829545066</v>
      </c>
      <c r="AD111" s="28" cm="1">
        <f t="array" ref="AD111">AD$104+IF($C111&lt;&gt;0,SUMPRODUCT((AD$105:AD$106)*TRANSPOSE(($D111:$E111))),0)</f>
        <v>211037.39829545066</v>
      </c>
      <c r="AE111" s="28" cm="1">
        <f t="array" ref="AE111">AE$104+IF($C111&lt;&gt;0,SUMPRODUCT((AE$105:AE$106)*TRANSPOSE(($D111:$E111))),0)</f>
        <v>211037.39829545066</v>
      </c>
      <c r="AF111" s="28" cm="1">
        <f t="array" ref="AF111">AF$104+IF($C111&lt;&gt;0,SUMPRODUCT((AF$105:AF$106)*TRANSPOSE(($D111:$E111))),0)</f>
        <v>211037.39829545066</v>
      </c>
      <c r="AG111" s="28" cm="1">
        <f t="array" ref="AG111">AG$104+IF($C111&lt;&gt;0,SUMPRODUCT((AG$105:AG$106)*TRANSPOSE(($D111:$E111))),0)</f>
        <v>211037.39829545066</v>
      </c>
    </row>
    <row r="112" spans="1:43" x14ac:dyDescent="0.2">
      <c r="A112" s="1" t="str">
        <f>"sens"&amp;Assumptions!B121</f>
        <v>sens5</v>
      </c>
      <c r="C112" s="252" t="str">
        <f>Assumptions!C121</f>
        <v>Capex 10% higher &amp; Total benefits 10% lower</v>
      </c>
      <c r="D112" s="253">
        <f>Assumptions!G121</f>
        <v>0.1</v>
      </c>
      <c r="E112" s="253">
        <f>Assumptions!H121</f>
        <v>-0.1</v>
      </c>
      <c r="G112" s="34" t="str">
        <f t="shared" si="21"/>
        <v>Option 2sens5</v>
      </c>
      <c r="I112" s="28" cm="1">
        <f t="array" ref="I112">I$104+IF($C112&lt;&gt;0,SUMPRODUCT((I$105:I$106)*TRANSPOSE(($D112:$E112))),0)</f>
        <v>0</v>
      </c>
      <c r="J112" s="28" cm="1">
        <f t="array" ref="J112">J$104+IF($C112&lt;&gt;0,SUMPRODUCT((J$105:J$106)*TRANSPOSE(($D112:$E112))),0)</f>
        <v>0</v>
      </c>
      <c r="K112" s="28" cm="1">
        <f t="array" ref="K112">K$104+IF($C112&lt;&gt;0,SUMPRODUCT((K$105:K$106)*TRANSPOSE(($D112:$E112))),0)</f>
        <v>-15710.521975272932</v>
      </c>
      <c r="L112" s="28" cm="1">
        <f t="array" ref="L112">L$104+IF($C112&lt;&gt;0,SUMPRODUCT((L$105:L$106)*TRANSPOSE(($D112:$E112))),0)</f>
        <v>-52313.693323632702</v>
      </c>
      <c r="M112" s="28" cm="1">
        <f t="array" ref="M112">M$104+IF($C112&lt;&gt;0,SUMPRODUCT((M$105:M$106)*TRANSPOSE(($D112:$E112))),0)</f>
        <v>201082.4271116617</v>
      </c>
      <c r="N112" s="28" cm="1">
        <f t="array" ref="N112">N$104+IF($C112&lt;&gt;0,SUMPRODUCT((N$105:N$106)*TRANSPOSE(($D112:$E112))),0)</f>
        <v>201082.4271116617</v>
      </c>
      <c r="O112" s="28" cm="1">
        <f t="array" ref="O112">O$104+IF($C112&lt;&gt;0,SUMPRODUCT((O$105:O$106)*TRANSPOSE(($D112:$E112))),0)</f>
        <v>201082.4271116617</v>
      </c>
      <c r="P112" s="28" cm="1">
        <f t="array" ref="P112">P$104+IF($C112&lt;&gt;0,SUMPRODUCT((P$105:P$106)*TRANSPOSE(($D112:$E112))),0)</f>
        <v>201082.4271116617</v>
      </c>
      <c r="Q112" s="28" cm="1">
        <f t="array" ref="Q112">Q$104+IF($C112&lt;&gt;0,SUMPRODUCT((Q$105:Q$106)*TRANSPOSE(($D112:$E112))),0)</f>
        <v>201082.4271116617</v>
      </c>
      <c r="R112" s="28" cm="1">
        <f t="array" ref="R112">R$104+IF($C112&lt;&gt;0,SUMPRODUCT((R$105:R$106)*TRANSPOSE(($D112:$E112))),0)</f>
        <v>201082.4271116617</v>
      </c>
      <c r="S112" s="28" cm="1">
        <f t="array" ref="S112">S$104+IF($C112&lt;&gt;0,SUMPRODUCT((S$105:S$106)*TRANSPOSE(($D112:$E112))),0)</f>
        <v>201082.4271116617</v>
      </c>
      <c r="T112" s="28" cm="1">
        <f t="array" ref="T112">T$104+IF($C112&lt;&gt;0,SUMPRODUCT((T$105:T$106)*TRANSPOSE(($D112:$E112))),0)</f>
        <v>201082.4271116617</v>
      </c>
      <c r="U112" s="28" cm="1">
        <f t="array" ref="U112">U$104+IF($C112&lt;&gt;0,SUMPRODUCT((U$105:U$106)*TRANSPOSE(($D112:$E112))),0)</f>
        <v>201082.4271116617</v>
      </c>
      <c r="V112" s="28" cm="1">
        <f t="array" ref="V112">V$104+IF($C112&lt;&gt;0,SUMPRODUCT((V$105:V$106)*TRANSPOSE(($D112:$E112))),0)</f>
        <v>201082.4271116617</v>
      </c>
      <c r="W112" s="28" cm="1">
        <f t="array" ref="W112">W$104+IF($C112&lt;&gt;0,SUMPRODUCT((W$105:W$106)*TRANSPOSE(($D112:$E112))),0)</f>
        <v>201082.4271116617</v>
      </c>
      <c r="X112" s="28" cm="1">
        <f t="array" ref="X112">X$104+IF($C112&lt;&gt;0,SUMPRODUCT((X$105:X$106)*TRANSPOSE(($D112:$E112))),0)</f>
        <v>201082.4271116617</v>
      </c>
      <c r="Y112" s="28" cm="1">
        <f t="array" ref="Y112">Y$104+IF($C112&lt;&gt;0,SUMPRODUCT((Y$105:Y$106)*TRANSPOSE(($D112:$E112))),0)</f>
        <v>201082.4271116617</v>
      </c>
      <c r="Z112" s="28" cm="1">
        <f t="array" ref="Z112">Z$104+IF($C112&lt;&gt;0,SUMPRODUCT((Z$105:Z$106)*TRANSPOSE(($D112:$E112))),0)</f>
        <v>201082.4271116617</v>
      </c>
      <c r="AA112" s="28" cm="1">
        <f t="array" ref="AA112">AA$104+IF($C112&lt;&gt;0,SUMPRODUCT((AA$105:AA$106)*TRANSPOSE(($D112:$E112))),0)</f>
        <v>201082.4271116617</v>
      </c>
      <c r="AB112" s="28" cm="1">
        <f t="array" ref="AB112">AB$104+IF($C112&lt;&gt;0,SUMPRODUCT((AB$105:AB$106)*TRANSPOSE(($D112:$E112))),0)</f>
        <v>201082.4271116617</v>
      </c>
      <c r="AC112" s="28" cm="1">
        <f t="array" ref="AC112">AC$104+IF($C112&lt;&gt;0,SUMPRODUCT((AC$105:AC$106)*TRANSPOSE(($D112:$E112))),0)</f>
        <v>201082.4271116617</v>
      </c>
      <c r="AD112" s="28" cm="1">
        <f t="array" ref="AD112">AD$104+IF($C112&lt;&gt;0,SUMPRODUCT((AD$105:AD$106)*TRANSPOSE(($D112:$E112))),0)</f>
        <v>201082.4271116617</v>
      </c>
      <c r="AE112" s="28" cm="1">
        <f t="array" ref="AE112">AE$104+IF($C112&lt;&gt;0,SUMPRODUCT((AE$105:AE$106)*TRANSPOSE(($D112:$E112))),0)</f>
        <v>201082.4271116617</v>
      </c>
      <c r="AF112" s="28" cm="1">
        <f t="array" ref="AF112">AF$104+IF($C112&lt;&gt;0,SUMPRODUCT((AF$105:AF$106)*TRANSPOSE(($D112:$E112))),0)</f>
        <v>201082.4271116617</v>
      </c>
      <c r="AG112" s="28" cm="1">
        <f t="array" ref="AG112">AG$104+IF($C112&lt;&gt;0,SUMPRODUCT((AG$105:AG$106)*TRANSPOSE(($D112:$E112))),0)</f>
        <v>201082.4271116617</v>
      </c>
    </row>
    <row r="113" spans="1:33" x14ac:dyDescent="0.2">
      <c r="A113" s="1" t="str">
        <f>"sens"&amp;Assumptions!B122</f>
        <v>sens</v>
      </c>
      <c r="C113" s="252">
        <f>Assumptions!C122</f>
        <v>0</v>
      </c>
      <c r="D113" s="253">
        <f>Assumptions!G122</f>
        <v>0</v>
      </c>
      <c r="E113" s="253">
        <f>Assumptions!H122</f>
        <v>0</v>
      </c>
      <c r="G113" s="34" t="str">
        <f t="shared" si="21"/>
        <v>Option 2sens</v>
      </c>
      <c r="I113" s="28" cm="1">
        <f t="array" ref="I113">I$104+IF($C113&lt;&gt;0,SUMPRODUCT((I$105:I$106)*TRANSPOSE(($D113:$E113))),0)</f>
        <v>0</v>
      </c>
      <c r="J113" s="28" cm="1">
        <f t="array" ref="J113">J$104+IF($C113&lt;&gt;0,SUMPRODUCT((J$105:J$106)*TRANSPOSE(($D113:$E113))),0)</f>
        <v>0</v>
      </c>
      <c r="K113" s="28" cm="1">
        <f t="array" ref="K113">K$104+IF($C113&lt;&gt;0,SUMPRODUCT((K$105:K$106)*TRANSPOSE(($D113:$E113))),0)</f>
        <v>-14282.292704793574</v>
      </c>
      <c r="L113" s="28" cm="1">
        <f t="array" ref="L113">L$104+IF($C113&lt;&gt;0,SUMPRODUCT((L$105:L$106)*TRANSPOSE(($D113:$E113))),0)</f>
        <v>-47557.903021484271</v>
      </c>
      <c r="M113" s="28" cm="1">
        <f t="array" ref="M113">M$104+IF($C113&lt;&gt;0,SUMPRODUCT((M$105:M$106)*TRANSPOSE(($D113:$E113))),0)</f>
        <v>245547.07719915512</v>
      </c>
      <c r="N113" s="28" cm="1">
        <f t="array" ref="N113">N$104+IF($C113&lt;&gt;0,SUMPRODUCT((N$105:N$106)*TRANSPOSE(($D113:$E113))),0)</f>
        <v>245547.07719915512</v>
      </c>
      <c r="O113" s="28" cm="1">
        <f t="array" ref="O113">O$104+IF($C113&lt;&gt;0,SUMPRODUCT((O$105:O$106)*TRANSPOSE(($D113:$E113))),0)</f>
        <v>245547.07719915512</v>
      </c>
      <c r="P113" s="28" cm="1">
        <f t="array" ref="P113">P$104+IF($C113&lt;&gt;0,SUMPRODUCT((P$105:P$106)*TRANSPOSE(($D113:$E113))),0)</f>
        <v>245547.07719915512</v>
      </c>
      <c r="Q113" s="28" cm="1">
        <f t="array" ref="Q113">Q$104+IF($C113&lt;&gt;0,SUMPRODUCT((Q$105:Q$106)*TRANSPOSE(($D113:$E113))),0)</f>
        <v>245547.07719915512</v>
      </c>
      <c r="R113" s="28" cm="1">
        <f t="array" ref="R113">R$104+IF($C113&lt;&gt;0,SUMPRODUCT((R$105:R$106)*TRANSPOSE(($D113:$E113))),0)</f>
        <v>245547.07719915512</v>
      </c>
      <c r="S113" s="28" cm="1">
        <f t="array" ref="S113">S$104+IF($C113&lt;&gt;0,SUMPRODUCT((S$105:S$106)*TRANSPOSE(($D113:$E113))),0)</f>
        <v>245547.07719915512</v>
      </c>
      <c r="T113" s="28" cm="1">
        <f t="array" ref="T113">T$104+IF($C113&lt;&gt;0,SUMPRODUCT((T$105:T$106)*TRANSPOSE(($D113:$E113))),0)</f>
        <v>245547.07719915512</v>
      </c>
      <c r="U113" s="28" cm="1">
        <f t="array" ref="U113">U$104+IF($C113&lt;&gt;0,SUMPRODUCT((U$105:U$106)*TRANSPOSE(($D113:$E113))),0)</f>
        <v>245547.07719915512</v>
      </c>
      <c r="V113" s="28" cm="1">
        <f t="array" ref="V113">V$104+IF($C113&lt;&gt;0,SUMPRODUCT((V$105:V$106)*TRANSPOSE(($D113:$E113))),0)</f>
        <v>245547.07719915512</v>
      </c>
      <c r="W113" s="28" cm="1">
        <f t="array" ref="W113">W$104+IF($C113&lt;&gt;0,SUMPRODUCT((W$105:W$106)*TRANSPOSE(($D113:$E113))),0)</f>
        <v>245547.07719915512</v>
      </c>
      <c r="X113" s="28" cm="1">
        <f t="array" ref="X113">X$104+IF($C113&lt;&gt;0,SUMPRODUCT((X$105:X$106)*TRANSPOSE(($D113:$E113))),0)</f>
        <v>245547.07719915512</v>
      </c>
      <c r="Y113" s="28" cm="1">
        <f t="array" ref="Y113">Y$104+IF($C113&lt;&gt;0,SUMPRODUCT((Y$105:Y$106)*TRANSPOSE(($D113:$E113))),0)</f>
        <v>245547.07719915512</v>
      </c>
      <c r="Z113" s="28" cm="1">
        <f t="array" ref="Z113">Z$104+IF($C113&lt;&gt;0,SUMPRODUCT((Z$105:Z$106)*TRANSPOSE(($D113:$E113))),0)</f>
        <v>245547.07719915512</v>
      </c>
      <c r="AA113" s="28" cm="1">
        <f t="array" ref="AA113">AA$104+IF($C113&lt;&gt;0,SUMPRODUCT((AA$105:AA$106)*TRANSPOSE(($D113:$E113))),0)</f>
        <v>245547.07719915512</v>
      </c>
      <c r="AB113" s="28" cm="1">
        <f t="array" ref="AB113">AB$104+IF($C113&lt;&gt;0,SUMPRODUCT((AB$105:AB$106)*TRANSPOSE(($D113:$E113))),0)</f>
        <v>245547.07719915512</v>
      </c>
      <c r="AC113" s="28" cm="1">
        <f t="array" ref="AC113">AC$104+IF($C113&lt;&gt;0,SUMPRODUCT((AC$105:AC$106)*TRANSPOSE(($D113:$E113))),0)</f>
        <v>245547.07719915512</v>
      </c>
      <c r="AD113" s="28" cm="1">
        <f t="array" ref="AD113">AD$104+IF($C113&lt;&gt;0,SUMPRODUCT((AD$105:AD$106)*TRANSPOSE(($D113:$E113))),0)</f>
        <v>245547.07719915512</v>
      </c>
      <c r="AE113" s="28" cm="1">
        <f t="array" ref="AE113">AE$104+IF($C113&lt;&gt;0,SUMPRODUCT((AE$105:AE$106)*TRANSPOSE(($D113:$E113))),0)</f>
        <v>245547.07719915512</v>
      </c>
      <c r="AF113" s="28" cm="1">
        <f t="array" ref="AF113">AF$104+IF($C113&lt;&gt;0,SUMPRODUCT((AF$105:AF$106)*TRANSPOSE(($D113:$E113))),0)</f>
        <v>245547.07719915512</v>
      </c>
      <c r="AG113" s="28" cm="1">
        <f t="array" ref="AG113">AG$104+IF($C113&lt;&gt;0,SUMPRODUCT((AG$105:AG$106)*TRANSPOSE(($D113:$E113))),0)</f>
        <v>245547.07719915512</v>
      </c>
    </row>
    <row r="114" spans="1:33" x14ac:dyDescent="0.2">
      <c r="A114" s="1" t="str">
        <f>"sens"&amp;Assumptions!B123</f>
        <v>sens</v>
      </c>
      <c r="C114" s="252">
        <f>Assumptions!C123</f>
        <v>0</v>
      </c>
      <c r="D114" s="253">
        <f>Assumptions!G123</f>
        <v>0</v>
      </c>
      <c r="E114" s="253">
        <f>Assumptions!H123</f>
        <v>0</v>
      </c>
      <c r="G114" s="34" t="str">
        <f t="shared" si="21"/>
        <v>Option 2sens</v>
      </c>
      <c r="I114" s="28" cm="1">
        <f t="array" ref="I114">I$104+IF($C114&lt;&gt;0,SUMPRODUCT((I$105:I$106)*TRANSPOSE(($D114:$E114))),0)</f>
        <v>0</v>
      </c>
      <c r="J114" s="28" cm="1">
        <f t="array" ref="J114">J$104+IF($C114&lt;&gt;0,SUMPRODUCT((J$105:J$106)*TRANSPOSE(($D114:$E114))),0)</f>
        <v>0</v>
      </c>
      <c r="K114" s="28" cm="1">
        <f t="array" ref="K114">K$104+IF($C114&lt;&gt;0,SUMPRODUCT((K$105:K$106)*TRANSPOSE(($D114:$E114))),0)</f>
        <v>-14282.292704793574</v>
      </c>
      <c r="L114" s="28" cm="1">
        <f t="array" ref="L114">L$104+IF($C114&lt;&gt;0,SUMPRODUCT((L$105:L$106)*TRANSPOSE(($D114:$E114))),0)</f>
        <v>-47557.903021484271</v>
      </c>
      <c r="M114" s="28" cm="1">
        <f t="array" ref="M114">M$104+IF($C114&lt;&gt;0,SUMPRODUCT((M$105:M$106)*TRANSPOSE(($D114:$E114))),0)</f>
        <v>245547.07719915512</v>
      </c>
      <c r="N114" s="28" cm="1">
        <f t="array" ref="N114">N$104+IF($C114&lt;&gt;0,SUMPRODUCT((N$105:N$106)*TRANSPOSE(($D114:$E114))),0)</f>
        <v>245547.07719915512</v>
      </c>
      <c r="O114" s="28" cm="1">
        <f t="array" ref="O114">O$104+IF($C114&lt;&gt;0,SUMPRODUCT((O$105:O$106)*TRANSPOSE(($D114:$E114))),0)</f>
        <v>245547.07719915512</v>
      </c>
      <c r="P114" s="28" cm="1">
        <f t="array" ref="P114">P$104+IF($C114&lt;&gt;0,SUMPRODUCT((P$105:P$106)*TRANSPOSE(($D114:$E114))),0)</f>
        <v>245547.07719915512</v>
      </c>
      <c r="Q114" s="28" cm="1">
        <f t="array" ref="Q114">Q$104+IF($C114&lt;&gt;0,SUMPRODUCT((Q$105:Q$106)*TRANSPOSE(($D114:$E114))),0)</f>
        <v>245547.07719915512</v>
      </c>
      <c r="R114" s="28" cm="1">
        <f t="array" ref="R114">R$104+IF($C114&lt;&gt;0,SUMPRODUCT((R$105:R$106)*TRANSPOSE(($D114:$E114))),0)</f>
        <v>245547.07719915512</v>
      </c>
      <c r="S114" s="28" cm="1">
        <f t="array" ref="S114">S$104+IF($C114&lt;&gt;0,SUMPRODUCT((S$105:S$106)*TRANSPOSE(($D114:$E114))),0)</f>
        <v>245547.07719915512</v>
      </c>
      <c r="T114" s="28" cm="1">
        <f t="array" ref="T114">T$104+IF($C114&lt;&gt;0,SUMPRODUCT((T$105:T$106)*TRANSPOSE(($D114:$E114))),0)</f>
        <v>245547.07719915512</v>
      </c>
      <c r="U114" s="28" cm="1">
        <f t="array" ref="U114">U$104+IF($C114&lt;&gt;0,SUMPRODUCT((U$105:U$106)*TRANSPOSE(($D114:$E114))),0)</f>
        <v>245547.07719915512</v>
      </c>
      <c r="V114" s="28" cm="1">
        <f t="array" ref="V114">V$104+IF($C114&lt;&gt;0,SUMPRODUCT((V$105:V$106)*TRANSPOSE(($D114:$E114))),0)</f>
        <v>245547.07719915512</v>
      </c>
      <c r="W114" s="28" cm="1">
        <f t="array" ref="W114">W$104+IF($C114&lt;&gt;0,SUMPRODUCT((W$105:W$106)*TRANSPOSE(($D114:$E114))),0)</f>
        <v>245547.07719915512</v>
      </c>
      <c r="X114" s="28" cm="1">
        <f t="array" ref="X114">X$104+IF($C114&lt;&gt;0,SUMPRODUCT((X$105:X$106)*TRANSPOSE(($D114:$E114))),0)</f>
        <v>245547.07719915512</v>
      </c>
      <c r="Y114" s="28" cm="1">
        <f t="array" ref="Y114">Y$104+IF($C114&lt;&gt;0,SUMPRODUCT((Y$105:Y$106)*TRANSPOSE(($D114:$E114))),0)</f>
        <v>245547.07719915512</v>
      </c>
      <c r="Z114" s="28" cm="1">
        <f t="array" ref="Z114">Z$104+IF($C114&lt;&gt;0,SUMPRODUCT((Z$105:Z$106)*TRANSPOSE(($D114:$E114))),0)</f>
        <v>245547.07719915512</v>
      </c>
      <c r="AA114" s="28" cm="1">
        <f t="array" ref="AA114">AA$104+IF($C114&lt;&gt;0,SUMPRODUCT((AA$105:AA$106)*TRANSPOSE(($D114:$E114))),0)</f>
        <v>245547.07719915512</v>
      </c>
      <c r="AB114" s="28" cm="1">
        <f t="array" ref="AB114">AB$104+IF($C114&lt;&gt;0,SUMPRODUCT((AB$105:AB$106)*TRANSPOSE(($D114:$E114))),0)</f>
        <v>245547.07719915512</v>
      </c>
      <c r="AC114" s="28" cm="1">
        <f t="array" ref="AC114">AC$104+IF($C114&lt;&gt;0,SUMPRODUCT((AC$105:AC$106)*TRANSPOSE(($D114:$E114))),0)</f>
        <v>245547.07719915512</v>
      </c>
      <c r="AD114" s="28" cm="1">
        <f t="array" ref="AD114">AD$104+IF($C114&lt;&gt;0,SUMPRODUCT((AD$105:AD$106)*TRANSPOSE(($D114:$E114))),0)</f>
        <v>245547.07719915512</v>
      </c>
      <c r="AE114" s="28" cm="1">
        <f t="array" ref="AE114">AE$104+IF($C114&lt;&gt;0,SUMPRODUCT((AE$105:AE$106)*TRANSPOSE(($D114:$E114))),0)</f>
        <v>245547.07719915512</v>
      </c>
      <c r="AF114" s="28" cm="1">
        <f t="array" ref="AF114">AF$104+IF($C114&lt;&gt;0,SUMPRODUCT((AF$105:AF$106)*TRANSPOSE(($D114:$E114))),0)</f>
        <v>245547.07719915512</v>
      </c>
      <c r="AG114" s="28" cm="1">
        <f t="array" ref="AG114">AG$104+IF($C114&lt;&gt;0,SUMPRODUCT((AG$105:AG$106)*TRANSPOSE(($D114:$E114))),0)</f>
        <v>245547.07719915512</v>
      </c>
    </row>
    <row r="115" spans="1:33" x14ac:dyDescent="0.2">
      <c r="A115" s="1" t="str">
        <f>"sens"&amp;Assumptions!B124</f>
        <v>sens</v>
      </c>
      <c r="C115" s="252">
        <f>Assumptions!C124</f>
        <v>0</v>
      </c>
      <c r="D115" s="253">
        <f>Assumptions!G124</f>
        <v>0</v>
      </c>
      <c r="E115" s="253">
        <f>Assumptions!H124</f>
        <v>0</v>
      </c>
      <c r="G115" s="34" t="str">
        <f t="shared" si="21"/>
        <v>Option 2sens</v>
      </c>
      <c r="I115" s="28" cm="1">
        <f t="array" ref="I115">I$104+IF($C115&lt;&gt;0,SUMPRODUCT((I$105:I$106)*TRANSPOSE(($D115:$E115))),0)</f>
        <v>0</v>
      </c>
      <c r="J115" s="28" cm="1">
        <f t="array" ref="J115">J$104+IF($C115&lt;&gt;0,SUMPRODUCT((J$105:J$106)*TRANSPOSE(($D115:$E115))),0)</f>
        <v>0</v>
      </c>
      <c r="K115" s="28" cm="1">
        <f t="array" ref="K115">K$104+IF($C115&lt;&gt;0,SUMPRODUCT((K$105:K$106)*TRANSPOSE(($D115:$E115))),0)</f>
        <v>-14282.292704793574</v>
      </c>
      <c r="L115" s="28" cm="1">
        <f t="array" ref="L115">L$104+IF($C115&lt;&gt;0,SUMPRODUCT((L$105:L$106)*TRANSPOSE(($D115:$E115))),0)</f>
        <v>-47557.903021484271</v>
      </c>
      <c r="M115" s="28" cm="1">
        <f t="array" ref="M115">M$104+IF($C115&lt;&gt;0,SUMPRODUCT((M$105:M$106)*TRANSPOSE(($D115:$E115))),0)</f>
        <v>245547.07719915512</v>
      </c>
      <c r="N115" s="28" cm="1">
        <f t="array" ref="N115">N$104+IF($C115&lt;&gt;0,SUMPRODUCT((N$105:N$106)*TRANSPOSE(($D115:$E115))),0)</f>
        <v>245547.07719915512</v>
      </c>
      <c r="O115" s="28" cm="1">
        <f t="array" ref="O115">O$104+IF($C115&lt;&gt;0,SUMPRODUCT((O$105:O$106)*TRANSPOSE(($D115:$E115))),0)</f>
        <v>245547.07719915512</v>
      </c>
      <c r="P115" s="28" cm="1">
        <f t="array" ref="P115">P$104+IF($C115&lt;&gt;0,SUMPRODUCT((P$105:P$106)*TRANSPOSE(($D115:$E115))),0)</f>
        <v>245547.07719915512</v>
      </c>
      <c r="Q115" s="28" cm="1">
        <f t="array" ref="Q115">Q$104+IF($C115&lt;&gt;0,SUMPRODUCT((Q$105:Q$106)*TRANSPOSE(($D115:$E115))),0)</f>
        <v>245547.07719915512</v>
      </c>
      <c r="R115" s="28" cm="1">
        <f t="array" ref="R115">R$104+IF($C115&lt;&gt;0,SUMPRODUCT((R$105:R$106)*TRANSPOSE(($D115:$E115))),0)</f>
        <v>245547.07719915512</v>
      </c>
      <c r="S115" s="28" cm="1">
        <f t="array" ref="S115">S$104+IF($C115&lt;&gt;0,SUMPRODUCT((S$105:S$106)*TRANSPOSE(($D115:$E115))),0)</f>
        <v>245547.07719915512</v>
      </c>
      <c r="T115" s="28" cm="1">
        <f t="array" ref="T115">T$104+IF($C115&lt;&gt;0,SUMPRODUCT((T$105:T$106)*TRANSPOSE(($D115:$E115))),0)</f>
        <v>245547.07719915512</v>
      </c>
      <c r="U115" s="28" cm="1">
        <f t="array" ref="U115">U$104+IF($C115&lt;&gt;0,SUMPRODUCT((U$105:U$106)*TRANSPOSE(($D115:$E115))),0)</f>
        <v>245547.07719915512</v>
      </c>
      <c r="V115" s="28" cm="1">
        <f t="array" ref="V115">V$104+IF($C115&lt;&gt;0,SUMPRODUCT((V$105:V$106)*TRANSPOSE(($D115:$E115))),0)</f>
        <v>245547.07719915512</v>
      </c>
      <c r="W115" s="28" cm="1">
        <f t="array" ref="W115">W$104+IF($C115&lt;&gt;0,SUMPRODUCT((W$105:W$106)*TRANSPOSE(($D115:$E115))),0)</f>
        <v>245547.07719915512</v>
      </c>
      <c r="X115" s="28" cm="1">
        <f t="array" ref="X115">X$104+IF($C115&lt;&gt;0,SUMPRODUCT((X$105:X$106)*TRANSPOSE(($D115:$E115))),0)</f>
        <v>245547.07719915512</v>
      </c>
      <c r="Y115" s="28" cm="1">
        <f t="array" ref="Y115">Y$104+IF($C115&lt;&gt;0,SUMPRODUCT((Y$105:Y$106)*TRANSPOSE(($D115:$E115))),0)</f>
        <v>245547.07719915512</v>
      </c>
      <c r="Z115" s="28" cm="1">
        <f t="array" ref="Z115">Z$104+IF($C115&lt;&gt;0,SUMPRODUCT((Z$105:Z$106)*TRANSPOSE(($D115:$E115))),0)</f>
        <v>245547.07719915512</v>
      </c>
      <c r="AA115" s="28" cm="1">
        <f t="array" ref="AA115">AA$104+IF($C115&lt;&gt;0,SUMPRODUCT((AA$105:AA$106)*TRANSPOSE(($D115:$E115))),0)</f>
        <v>245547.07719915512</v>
      </c>
      <c r="AB115" s="28" cm="1">
        <f t="array" ref="AB115">AB$104+IF($C115&lt;&gt;0,SUMPRODUCT((AB$105:AB$106)*TRANSPOSE(($D115:$E115))),0)</f>
        <v>245547.07719915512</v>
      </c>
      <c r="AC115" s="28" cm="1">
        <f t="array" ref="AC115">AC$104+IF($C115&lt;&gt;0,SUMPRODUCT((AC$105:AC$106)*TRANSPOSE(($D115:$E115))),0)</f>
        <v>245547.07719915512</v>
      </c>
      <c r="AD115" s="28" cm="1">
        <f t="array" ref="AD115">AD$104+IF($C115&lt;&gt;0,SUMPRODUCT((AD$105:AD$106)*TRANSPOSE(($D115:$E115))),0)</f>
        <v>245547.07719915512</v>
      </c>
      <c r="AE115" s="28" cm="1">
        <f t="array" ref="AE115">AE$104+IF($C115&lt;&gt;0,SUMPRODUCT((AE$105:AE$106)*TRANSPOSE(($D115:$E115))),0)</f>
        <v>245547.07719915512</v>
      </c>
      <c r="AF115" s="28" cm="1">
        <f t="array" ref="AF115">AF$104+IF($C115&lt;&gt;0,SUMPRODUCT((AF$105:AF$106)*TRANSPOSE(($D115:$E115))),0)</f>
        <v>245547.07719915512</v>
      </c>
      <c r="AG115" s="28" cm="1">
        <f t="array" ref="AG115">AG$104+IF($C115&lt;&gt;0,SUMPRODUCT((AG$105:AG$106)*TRANSPOSE(($D115:$E115))),0)</f>
        <v>245547.07719915512</v>
      </c>
    </row>
    <row r="116" spans="1:33" x14ac:dyDescent="0.2">
      <c r="E116" s="214"/>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row>
    <row r="127" spans="1:33" x14ac:dyDescent="0.2">
      <c r="I127" s="218"/>
      <c r="J127" s="218"/>
      <c r="K127" s="218"/>
      <c r="L127" s="218"/>
    </row>
    <row r="128" spans="1:33" x14ac:dyDescent="0.2">
      <c r="I128" s="218"/>
      <c r="J128" s="218"/>
      <c r="K128" s="218"/>
      <c r="L128" s="218"/>
    </row>
    <row r="129" spans="9:12" x14ac:dyDescent="0.2">
      <c r="I129" s="218"/>
      <c r="J129" s="218"/>
      <c r="K129" s="218"/>
      <c r="L129" s="218"/>
    </row>
    <row r="130" spans="9:12" x14ac:dyDescent="0.2">
      <c r="I130" s="218"/>
      <c r="J130" s="218"/>
      <c r="K130" s="218"/>
      <c r="L130" s="218"/>
    </row>
    <row r="131" spans="9:12" x14ac:dyDescent="0.2">
      <c r="I131" s="218"/>
      <c r="J131" s="218"/>
      <c r="K131" s="218"/>
      <c r="L131" s="218"/>
    </row>
    <row r="132" spans="9:12" x14ac:dyDescent="0.2">
      <c r="I132" s="218"/>
      <c r="J132" s="218"/>
      <c r="K132" s="218"/>
      <c r="L132" s="218"/>
    </row>
    <row r="133" spans="9:12" x14ac:dyDescent="0.2">
      <c r="I133" s="218"/>
      <c r="J133" s="218"/>
      <c r="K133" s="218"/>
      <c r="L133" s="218"/>
    </row>
    <row r="134" spans="9:12" x14ac:dyDescent="0.2">
      <c r="I134" s="218"/>
      <c r="J134" s="218"/>
      <c r="K134" s="218"/>
      <c r="L134" s="218"/>
    </row>
  </sheetData>
  <conditionalFormatting sqref="E14:E16">
    <cfRule type="expression" dxfId="10" priority="1">
      <formula>AND(SUM($I14:$AB14)&lt;&gt;0, E14=0)</formula>
    </cfRule>
  </conditionalFormatting>
  <conditionalFormatting sqref="E29">
    <cfRule type="expression" dxfId="9" priority="236">
      <formula>AND(SUM($I$28:$AG$28)&gt;0, $E$29=0)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0" id="{4F65EB60-FCE6-4945-964C-D8B8AF8E6CEB}">
            <xm:f>$A$4=Data!$C$8</xm:f>
            <x14:dxf>
              <font>
                <color theme="0" tint="-0.499984740745262"/>
              </font>
            </x14:dxf>
          </x14:cfRule>
          <xm:sqref>C3 A4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8E919-3C6A-4976-AA18-0C14B57A2441}">
  <sheetPr codeName="Sheet5">
    <tabColor rgb="FF0099FF"/>
  </sheetPr>
  <dimension ref="A1:XER115"/>
  <sheetViews>
    <sheetView showGridLines="0" zoomScale="90" zoomScaleNormal="90" workbookViewId="0">
      <pane xSplit="7" ySplit="10" topLeftCell="H11" activePane="bottomRight" state="frozen"/>
      <selection activeCell="H11" sqref="H11"/>
      <selection pane="topRight" activeCell="H11" sqref="H11"/>
      <selection pane="bottomLeft" activeCell="H11" sqref="H11"/>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TRG024-WBL012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139</v>
      </c>
      <c r="B3" s="5"/>
      <c r="C3" s="374">
        <f>INDEX(Assumptions!$E$14:$E$18, MATCH(A3,_xlfn.ANCHORARRAY( Assumptions!$C$14),0))</f>
        <v>0</v>
      </c>
    </row>
    <row r="4" spans="1:43" x14ac:dyDescent="0.2">
      <c r="A4" s="1" t="str">
        <f>(INDEX(Data!$D$9:$D$13, MATCH(A3, options,0)))</f>
        <v>Not used</v>
      </c>
      <c r="B4" s="162"/>
      <c r="C4" s="210"/>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7" t="s">
        <v>100</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0"/>
      <c r="G9" s="16" t="s">
        <v>101</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102</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c r="AH12"/>
    </row>
    <row r="13" spans="1:43" x14ac:dyDescent="0.2">
      <c r="C13" s="3" t="s">
        <v>95</v>
      </c>
      <c r="D13"/>
      <c r="E13" s="105" t="s">
        <v>103</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104</v>
      </c>
      <c r="D14"/>
      <c r="E14" s="126">
        <v>0</v>
      </c>
      <c r="G14" s="180">
        <f>input_dollars</f>
        <v>45291</v>
      </c>
      <c r="H14" s="127"/>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104</v>
      </c>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104</v>
      </c>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Q17" si="0">SUM(I14:I16)</f>
        <v>0</v>
      </c>
      <c r="J17" s="94">
        <f t="shared" si="0"/>
        <v>0</v>
      </c>
      <c r="K17" s="94">
        <f t="shared" si="0"/>
        <v>0</v>
      </c>
      <c r="L17" s="94">
        <f t="shared" si="0"/>
        <v>0</v>
      </c>
      <c r="M17" s="94">
        <f t="shared" si="0"/>
        <v>0</v>
      </c>
      <c r="N17" s="94">
        <f t="shared" si="0"/>
        <v>0</v>
      </c>
      <c r="O17" s="94">
        <f t="shared" si="0"/>
        <v>0</v>
      </c>
      <c r="P17" s="94">
        <f t="shared" si="0"/>
        <v>0</v>
      </c>
      <c r="Q17" s="94">
        <f t="shared" si="0"/>
        <v>0</v>
      </c>
      <c r="R17" s="94">
        <f t="shared" ref="R17:AB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SUM(AC14:AC16)</f>
        <v>0</v>
      </c>
      <c r="AD17" s="94">
        <f>SUM(AD14:AD16)</f>
        <v>0</v>
      </c>
      <c r="AE17" s="94">
        <f>SUM(AE14:AE16)</f>
        <v>0</v>
      </c>
      <c r="AF17" s="94">
        <f>SUM(AF14:AF16)</f>
        <v>0</v>
      </c>
      <c r="AG17" s="94">
        <f>SUM(AG14:AG16)</f>
        <v>0</v>
      </c>
      <c r="AH17"/>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row>
    <row r="20" spans="1:43" x14ac:dyDescent="0.2">
      <c r="G20" s="178"/>
      <c r="AH20"/>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105</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106</v>
      </c>
      <c r="D24" s="99"/>
      <c r="E24" s="99"/>
      <c r="F24" s="99"/>
      <c r="G24" s="181"/>
      <c r="H24" s="99"/>
      <c r="I24" s="145">
        <v>0</v>
      </c>
      <c r="J24" s="145">
        <v>0</v>
      </c>
      <c r="K24" s="145">
        <v>0</v>
      </c>
      <c r="L24" s="145">
        <v>0</v>
      </c>
      <c r="M24" s="145">
        <v>0</v>
      </c>
      <c r="N24" s="145">
        <v>0</v>
      </c>
      <c r="O24" s="145">
        <v>0</v>
      </c>
      <c r="P24" s="145">
        <v>0</v>
      </c>
      <c r="Q24" s="145">
        <v>0</v>
      </c>
      <c r="R24" s="145">
        <v>0</v>
      </c>
      <c r="S24" s="145">
        <v>0</v>
      </c>
      <c r="T24" s="145">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9"/>
      <c r="B25" s="99"/>
      <c r="C25" s="1" t="s">
        <v>107</v>
      </c>
      <c r="D25" s="181"/>
      <c r="E25" s="99"/>
      <c r="F25" s="99"/>
      <c r="G25" s="181"/>
      <c r="H25" s="99"/>
      <c r="I25" s="145">
        <v>0</v>
      </c>
      <c r="J25" s="145">
        <v>0</v>
      </c>
      <c r="K25" s="145">
        <v>0</v>
      </c>
      <c r="L25" s="145">
        <v>0</v>
      </c>
      <c r="M25" s="145">
        <v>0</v>
      </c>
      <c r="N25" s="145">
        <v>0</v>
      </c>
      <c r="O25" s="145">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1"/>
      <c r="E27" s="99"/>
      <c r="F27" s="99"/>
      <c r="G27" s="181"/>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108</v>
      </c>
      <c r="D28" s="178"/>
      <c r="E28"/>
      <c r="G28" s="180" t="s">
        <v>109</v>
      </c>
      <c r="H28"/>
      <c r="I28" s="144">
        <v>0</v>
      </c>
      <c r="J28" s="144">
        <v>0</v>
      </c>
      <c r="K28" s="144">
        <v>0</v>
      </c>
      <c r="L28" s="144">
        <v>0</v>
      </c>
      <c r="M28" s="144">
        <v>0</v>
      </c>
      <c r="N28" s="144">
        <v>0</v>
      </c>
      <c r="O28" s="144">
        <v>0</v>
      </c>
      <c r="P28" s="144">
        <v>0</v>
      </c>
      <c r="Q28" s="144">
        <v>0</v>
      </c>
      <c r="R28" s="144">
        <v>0</v>
      </c>
      <c r="S28" s="144">
        <v>0</v>
      </c>
      <c r="T28" s="144">
        <v>0</v>
      </c>
      <c r="U28" s="144">
        <v>0</v>
      </c>
      <c r="V28" s="144">
        <v>0</v>
      </c>
      <c r="W28" s="144">
        <v>0</v>
      </c>
      <c r="X28" s="144">
        <v>0</v>
      </c>
      <c r="Y28" s="144">
        <v>0</v>
      </c>
      <c r="Z28" s="144">
        <v>0</v>
      </c>
      <c r="AA28" s="144">
        <v>0</v>
      </c>
      <c r="AB28" s="144">
        <v>0</v>
      </c>
      <c r="AC28" s="144">
        <v>0</v>
      </c>
      <c r="AD28" s="144">
        <v>0</v>
      </c>
      <c r="AE28" s="144">
        <v>0</v>
      </c>
      <c r="AF28" s="144">
        <v>0</v>
      </c>
      <c r="AG28" s="144">
        <v>0</v>
      </c>
      <c r="AH28"/>
      <c r="AI28"/>
      <c r="AJ28"/>
      <c r="AK28"/>
      <c r="AL28"/>
      <c r="AM28"/>
      <c r="AN28"/>
      <c r="AO28"/>
      <c r="AP28"/>
      <c r="AQ28"/>
    </row>
    <row r="29" spans="1:43" x14ac:dyDescent="0.2">
      <c r="C29" s="1" t="s">
        <v>110</v>
      </c>
      <c r="D29" s="178" t="s">
        <v>100</v>
      </c>
      <c r="E29" s="100">
        <f>Assumptions!G43*vcr_esc</f>
        <v>31361.198140479657</v>
      </c>
      <c r="F29" s="210" t="str">
        <f>IF(AND(SUM(I28:AG28)&lt;&gt;0, E29=0), "!", "")</f>
        <v/>
      </c>
      <c r="G29" s="180">
        <f>input_dollars</f>
        <v>45291</v>
      </c>
      <c r="H29"/>
      <c r="I29" s="93">
        <f>I28*$E$29</f>
        <v>0</v>
      </c>
      <c r="J29" s="93">
        <f t="shared" ref="J29:AG29" si="2">J28*$E$29</f>
        <v>0</v>
      </c>
      <c r="K29" s="93">
        <f t="shared" si="2"/>
        <v>0</v>
      </c>
      <c r="L29" s="93">
        <f t="shared" si="2"/>
        <v>0</v>
      </c>
      <c r="M29" s="93">
        <f t="shared" si="2"/>
        <v>0</v>
      </c>
      <c r="N29" s="93">
        <f t="shared" si="2"/>
        <v>0</v>
      </c>
      <c r="O29" s="93">
        <f t="shared" si="2"/>
        <v>0</v>
      </c>
      <c r="P29" s="93">
        <f t="shared" si="2"/>
        <v>0</v>
      </c>
      <c r="Q29" s="93">
        <f t="shared" si="2"/>
        <v>0</v>
      </c>
      <c r="R29" s="93">
        <f t="shared" si="2"/>
        <v>0</v>
      </c>
      <c r="S29" s="93">
        <f t="shared" si="2"/>
        <v>0</v>
      </c>
      <c r="T29" s="93">
        <f t="shared" si="2"/>
        <v>0</v>
      </c>
      <c r="U29" s="93">
        <f t="shared" si="2"/>
        <v>0</v>
      </c>
      <c r="V29" s="93">
        <f t="shared" si="2"/>
        <v>0</v>
      </c>
      <c r="W29" s="93">
        <f t="shared" si="2"/>
        <v>0</v>
      </c>
      <c r="X29" s="93">
        <f t="shared" si="2"/>
        <v>0</v>
      </c>
      <c r="Y29" s="93">
        <f t="shared" si="2"/>
        <v>0</v>
      </c>
      <c r="Z29" s="93">
        <f t="shared" si="2"/>
        <v>0</v>
      </c>
      <c r="AA29" s="93">
        <f t="shared" si="2"/>
        <v>0</v>
      </c>
      <c r="AB29" s="93">
        <f t="shared" si="2"/>
        <v>0</v>
      </c>
      <c r="AC29" s="93">
        <f t="shared" si="2"/>
        <v>0</v>
      </c>
      <c r="AD29" s="93">
        <f t="shared" si="2"/>
        <v>0</v>
      </c>
      <c r="AE29" s="93">
        <f t="shared" si="2"/>
        <v>0</v>
      </c>
      <c r="AF29" s="93">
        <f t="shared" si="2"/>
        <v>0</v>
      </c>
      <c r="AG29" s="93">
        <f t="shared" si="2"/>
        <v>0</v>
      </c>
      <c r="AH29"/>
      <c r="AI29"/>
      <c r="AJ29"/>
      <c r="AK29"/>
      <c r="AL29"/>
      <c r="AM29"/>
      <c r="AN29"/>
      <c r="AO29"/>
      <c r="AP29"/>
      <c r="AQ29"/>
    </row>
    <row r="30" spans="1:43" x14ac:dyDescent="0.2">
      <c r="D30" s="179"/>
      <c r="E30"/>
      <c r="G30" s="180"/>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111</v>
      </c>
      <c r="D31" s="178" t="s">
        <v>112</v>
      </c>
      <c r="G31" s="180">
        <f>input_dollars</f>
        <v>45291</v>
      </c>
      <c r="H31" s="127"/>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113</v>
      </c>
      <c r="D32" s="179"/>
      <c r="E32"/>
      <c r="G32" s="180">
        <f>input_dollars</f>
        <v>45291</v>
      </c>
      <c r="H32" s="127"/>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1" t="s">
        <v>114</v>
      </c>
      <c r="D33" s="178" t="s">
        <v>112</v>
      </c>
      <c r="E33"/>
      <c r="G33" s="180">
        <f>input_dollars</f>
        <v>45291</v>
      </c>
      <c r="H33"/>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c r="AI33"/>
      <c r="AJ33"/>
      <c r="AK33"/>
      <c r="AL33"/>
      <c r="AM33"/>
      <c r="AN33"/>
      <c r="AO33"/>
      <c r="AP33"/>
      <c r="AQ33"/>
    </row>
    <row r="34" spans="1:16372" x14ac:dyDescent="0.2">
      <c r="C34" s="239" t="s">
        <v>115</v>
      </c>
      <c r="D34" s="191"/>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C35" s="239" t="s">
        <v>115</v>
      </c>
      <c r="D35" s="179"/>
      <c r="E35"/>
      <c r="G35" s="180">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79"/>
      <c r="E36"/>
      <c r="G36" s="180"/>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116</v>
      </c>
      <c r="D37" s="190"/>
      <c r="E37" s="95"/>
      <c r="F37" s="3"/>
      <c r="G37" s="182"/>
      <c r="H37" s="95"/>
      <c r="I37" s="96">
        <f>SUM(I29:I35)</f>
        <v>0</v>
      </c>
      <c r="J37" s="96">
        <f t="shared" ref="J37:AB37" si="3">SUM(J29:J35)</f>
        <v>0</v>
      </c>
      <c r="K37" s="96">
        <f t="shared" si="3"/>
        <v>0</v>
      </c>
      <c r="L37" s="96">
        <f t="shared" si="3"/>
        <v>0</v>
      </c>
      <c r="M37" s="96">
        <f t="shared" si="3"/>
        <v>0</v>
      </c>
      <c r="N37" s="96">
        <f t="shared" si="3"/>
        <v>0</v>
      </c>
      <c r="O37" s="96">
        <f t="shared" si="3"/>
        <v>0</v>
      </c>
      <c r="P37" s="96">
        <f t="shared" si="3"/>
        <v>0</v>
      </c>
      <c r="Q37" s="96">
        <f t="shared" si="3"/>
        <v>0</v>
      </c>
      <c r="R37" s="96">
        <f t="shared" si="3"/>
        <v>0</v>
      </c>
      <c r="S37" s="96">
        <f t="shared" si="3"/>
        <v>0</v>
      </c>
      <c r="T37" s="96">
        <f t="shared" si="3"/>
        <v>0</v>
      </c>
      <c r="U37" s="96">
        <f t="shared" si="3"/>
        <v>0</v>
      </c>
      <c r="V37" s="96">
        <f t="shared" si="3"/>
        <v>0</v>
      </c>
      <c r="W37" s="96">
        <f t="shared" si="3"/>
        <v>0</v>
      </c>
      <c r="X37" s="96">
        <f t="shared" si="3"/>
        <v>0</v>
      </c>
      <c r="Y37" s="96">
        <f t="shared" si="3"/>
        <v>0</v>
      </c>
      <c r="Z37" s="96">
        <f t="shared" si="3"/>
        <v>0</v>
      </c>
      <c r="AA37" s="96">
        <f t="shared" si="3"/>
        <v>0</v>
      </c>
      <c r="AB37" s="96">
        <f t="shared" si="3"/>
        <v>0</v>
      </c>
      <c r="AC37" s="96">
        <f>SUM(AC29:AC35)</f>
        <v>0</v>
      </c>
      <c r="AD37" s="96">
        <f>SUM(AD29:AD35)</f>
        <v>0</v>
      </c>
      <c r="AE37" s="96">
        <f>SUM(AE29:AE35)</f>
        <v>0</v>
      </c>
      <c r="AF37" s="96">
        <f>SUM(AF29:AF35)</f>
        <v>0</v>
      </c>
      <c r="AG37" s="96">
        <f>SUM(AG29:AG35)</f>
        <v>0</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0"/>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117</v>
      </c>
      <c r="B39" s="78"/>
      <c r="C39" s="78"/>
      <c r="D39" s="78"/>
      <c r="E39" s="78"/>
      <c r="F39" s="78"/>
      <c r="G39" s="177"/>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0"/>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118</v>
      </c>
      <c r="G42" s="178" t="s">
        <v>109</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row>
    <row r="43" spans="1:16372" ht="13.5" x14ac:dyDescent="0.25">
      <c r="C43" s="1" t="s">
        <v>119</v>
      </c>
      <c r="G43" s="178" t="s">
        <v>120</v>
      </c>
      <c r="I43" s="75">
        <f t="shared" ref="I43:AG43" si="4">I42*I7</f>
        <v>0</v>
      </c>
      <c r="J43" s="75">
        <f t="shared" si="4"/>
        <v>0</v>
      </c>
      <c r="K43" s="75">
        <f t="shared" si="4"/>
        <v>0</v>
      </c>
      <c r="L43" s="75">
        <f t="shared" si="4"/>
        <v>0</v>
      </c>
      <c r="M43" s="75">
        <f t="shared" si="4"/>
        <v>0</v>
      </c>
      <c r="N43" s="75">
        <f t="shared" si="4"/>
        <v>0</v>
      </c>
      <c r="O43" s="75">
        <f t="shared" si="4"/>
        <v>0</v>
      </c>
      <c r="P43" s="75">
        <f t="shared" si="4"/>
        <v>0</v>
      </c>
      <c r="Q43" s="75">
        <f t="shared" si="4"/>
        <v>0</v>
      </c>
      <c r="R43" s="75">
        <f t="shared" si="4"/>
        <v>0</v>
      </c>
      <c r="S43" s="75">
        <f t="shared" si="4"/>
        <v>0</v>
      </c>
      <c r="T43" s="75">
        <f t="shared" si="4"/>
        <v>0</v>
      </c>
      <c r="U43" s="75">
        <f t="shared" si="4"/>
        <v>0</v>
      </c>
      <c r="V43" s="75">
        <f t="shared" si="4"/>
        <v>0</v>
      </c>
      <c r="W43" s="75">
        <f t="shared" si="4"/>
        <v>0</v>
      </c>
      <c r="X43" s="75">
        <f t="shared" si="4"/>
        <v>0</v>
      </c>
      <c r="Y43" s="75">
        <f t="shared" si="4"/>
        <v>0</v>
      </c>
      <c r="Z43" s="75">
        <f t="shared" si="4"/>
        <v>0</v>
      </c>
      <c r="AA43" s="75">
        <f t="shared" si="4"/>
        <v>0</v>
      </c>
      <c r="AB43" s="75">
        <f t="shared" si="4"/>
        <v>0</v>
      </c>
      <c r="AC43" s="75">
        <f t="shared" si="4"/>
        <v>0</v>
      </c>
      <c r="AD43" s="75">
        <f t="shared" si="4"/>
        <v>0</v>
      </c>
      <c r="AE43" s="75">
        <f t="shared" si="4"/>
        <v>0</v>
      </c>
      <c r="AF43" s="75">
        <f t="shared" si="4"/>
        <v>0</v>
      </c>
      <c r="AG43" s="75">
        <f t="shared" si="4"/>
        <v>0</v>
      </c>
      <c r="AH43"/>
    </row>
    <row r="44" spans="1:16372" x14ac:dyDescent="0.2">
      <c r="D44"/>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79"/>
      <c r="E45"/>
      <c r="G45" s="180"/>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121</v>
      </c>
      <c r="D46" s="178" t="s">
        <v>100</v>
      </c>
      <c r="E46" s="100">
        <f>Assumptions!G101</f>
        <v>151433</v>
      </c>
      <c r="G46" s="180" t="s">
        <v>109</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row>
    <row r="47" spans="1:16372" x14ac:dyDescent="0.2">
      <c r="C47" s="1" t="s">
        <v>122</v>
      </c>
      <c r="D47" s="178" t="s">
        <v>100</v>
      </c>
      <c r="E47" s="100">
        <f>Assumptions!H47</f>
        <v>24489</v>
      </c>
      <c r="G47" s="180" t="s">
        <v>109</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row>
    <row r="48" spans="1:16372" x14ac:dyDescent="0.2">
      <c r="C48" s="1" t="s">
        <v>123</v>
      </c>
      <c r="D48" s="178" t="s">
        <v>100</v>
      </c>
      <c r="E48" s="100">
        <f>Assumptions!H48</f>
        <v>10120.346334172034</v>
      </c>
      <c r="G48" s="180" t="s">
        <v>109</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row>
    <row r="49" spans="1:43" x14ac:dyDescent="0.2">
      <c r="C49" s="1" t="s">
        <v>124</v>
      </c>
      <c r="D49" s="178" t="s">
        <v>100</v>
      </c>
      <c r="E49" s="100">
        <f>Assumptions!H49</f>
        <v>8296.0059374104003</v>
      </c>
      <c r="G49" s="180" t="s">
        <v>109</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row>
    <row r="50" spans="1:43" x14ac:dyDescent="0.2">
      <c r="C50" s="1" t="s">
        <v>125</v>
      </c>
      <c r="D50" s="178" t="s">
        <v>100</v>
      </c>
      <c r="E50" s="100">
        <f>Assumptions!H50</f>
        <v>8532.6010035645213</v>
      </c>
      <c r="G50" s="180" t="s">
        <v>109</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row>
    <row r="51" spans="1:43" x14ac:dyDescent="0.2">
      <c r="D51" s="178"/>
      <c r="G51" s="180"/>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row>
    <row r="52" spans="1:43" x14ac:dyDescent="0.2">
      <c r="C52" s="1" t="s">
        <v>126</v>
      </c>
      <c r="D52" s="178"/>
      <c r="G52" s="180">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row>
    <row r="53" spans="1:43" x14ac:dyDescent="0.2">
      <c r="C53" s="1" t="s">
        <v>127</v>
      </c>
      <c r="D53" s="178"/>
      <c r="G53" s="180">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c r="AH53"/>
    </row>
    <row r="54" spans="1:43" x14ac:dyDescent="0.2">
      <c r="D54" s="178"/>
      <c r="G54" s="178"/>
      <c r="AH54"/>
    </row>
    <row r="55" spans="1:43" x14ac:dyDescent="0.2">
      <c r="C55" s="3" t="s">
        <v>128</v>
      </c>
      <c r="D55" s="190"/>
      <c r="E55" s="95"/>
      <c r="F55" s="3"/>
      <c r="G55" s="183">
        <f>input_dollars</f>
        <v>45291</v>
      </c>
      <c r="H55" s="95"/>
      <c r="I55" s="146" cm="1">
        <f t="array" ref="I55">SUMPRODUCT((I$46:I$50)*($E$46:$E$50))+SUM(I52:I53)+I43</f>
        <v>0</v>
      </c>
      <c r="J55" s="146" cm="1">
        <f t="array" ref="J55">SUMPRODUCT((J$46:J$50)*($E$46:$E$50))+SUM(J52:J53)+J43</f>
        <v>0</v>
      </c>
      <c r="K55" s="146" cm="1">
        <f t="array" ref="K55">SUMPRODUCT((K$46:K$50)*($E$46:$E$50))+SUM(K52:K53)+K43</f>
        <v>0</v>
      </c>
      <c r="L55" s="146" cm="1">
        <f t="array" ref="L55">SUMPRODUCT((L$46:L$50)*($E$46:$E$50))+SUM(L52:L53)+L43</f>
        <v>0</v>
      </c>
      <c r="M55" s="146" cm="1">
        <f t="array" ref="M55">SUMPRODUCT((M$46:M$50)*($E$46:$E$50))+SUM(M52:M53)+M43</f>
        <v>0</v>
      </c>
      <c r="N55" s="146" cm="1">
        <f t="array" ref="N55">SUMPRODUCT((N$46:N$50)*($E$46:$E$50))+SUM(N52:N53)+N43</f>
        <v>0</v>
      </c>
      <c r="O55" s="146" cm="1">
        <f t="array" ref="O55">SUMPRODUCT((O$46:O$50)*($E$46:$E$50))+SUM(O52:O53)+O43</f>
        <v>0</v>
      </c>
      <c r="P55" s="146" cm="1">
        <f t="array" ref="P55">SUMPRODUCT((P$46:P$50)*($E$46:$E$50))+SUM(P52:P53)+P43</f>
        <v>0</v>
      </c>
      <c r="Q55" s="146" cm="1">
        <f t="array" ref="Q55">SUMPRODUCT((Q$46:Q$50)*($E$46:$E$50))+SUM(Q52:Q53)+Q43</f>
        <v>0</v>
      </c>
      <c r="R55" s="146" cm="1">
        <f t="array" ref="R55">SUMPRODUCT((R$46:R$50)*($E$46:$E$50))+SUM(R52:R53)+R43</f>
        <v>0</v>
      </c>
      <c r="S55" s="146" cm="1">
        <f t="array" ref="S55">SUMPRODUCT((S$46:S$50)*($E$46:$E$50))+SUM(S52:S53)+S43</f>
        <v>0</v>
      </c>
      <c r="T55" s="146" cm="1">
        <f t="array" ref="T55">SUMPRODUCT((T$46:T$50)*($E$46:$E$50))+SUM(T52:T53)+T43</f>
        <v>0</v>
      </c>
      <c r="U55" s="146" cm="1">
        <f t="array" ref="U55">SUMPRODUCT((U$46:U$50)*($E$46:$E$50))+SUM(U52:U53)+U43</f>
        <v>0</v>
      </c>
      <c r="V55" s="146" cm="1">
        <f t="array" ref="V55">SUMPRODUCT((V$46:V$50)*($E$46:$E$50))+SUM(V52:V53)+V43</f>
        <v>0</v>
      </c>
      <c r="W55" s="146" cm="1">
        <f t="array" ref="W55">SUMPRODUCT((W$46:W$50)*($E$46:$E$50))+SUM(W52:W53)+W43</f>
        <v>0</v>
      </c>
      <c r="X55" s="146" cm="1">
        <f t="array" ref="X55">SUMPRODUCT((X$46:X$50)*($E$46:$E$50))+SUM(X52:X53)+X43</f>
        <v>0</v>
      </c>
      <c r="Y55" s="146" cm="1">
        <f t="array" ref="Y55">SUMPRODUCT((Y$46:Y$50)*($E$46:$E$50))+SUM(Y52:Y53)+Y43</f>
        <v>0</v>
      </c>
      <c r="Z55" s="146" cm="1">
        <f t="array" ref="Z55">SUMPRODUCT((Z$46:Z$50)*($E$46:$E$50))+SUM(Z52:Z53)+Z43</f>
        <v>0</v>
      </c>
      <c r="AA55" s="146" cm="1">
        <f t="array" ref="AA55">SUMPRODUCT((AA$46:AA$50)*($E$46:$E$50))+SUM(AA52:AA53)+AA43</f>
        <v>0</v>
      </c>
      <c r="AB55" s="146" cm="1">
        <f t="array" ref="AB55">SUMPRODUCT((AB$46:AB$50)*($E$46:$E$50))+SUM(AB52:AB53)+AB43</f>
        <v>0</v>
      </c>
      <c r="AC55" s="146" cm="1">
        <f t="array" ref="AC55">SUMPRODUCT((AC$46:AC$50)*($E$46:$E$50))+SUM(AC52:AC53)+AC43</f>
        <v>0</v>
      </c>
      <c r="AD55" s="146" cm="1">
        <f t="array" ref="AD55">SUMPRODUCT((AD$46:AD$50)*($E$46:$E$50))+SUM(AD52:AD53)+AD43</f>
        <v>0</v>
      </c>
      <c r="AE55" s="146" cm="1">
        <f t="array" ref="AE55">SUMPRODUCT((AE$46:AE$50)*($E$46:$E$50))+SUM(AE52:AE53)+AE43</f>
        <v>0</v>
      </c>
      <c r="AF55" s="146" cm="1">
        <f t="array" ref="AF55">SUMPRODUCT((AF$46:AF$50)*($E$46:$E$50))+SUM(AF52:AF53)+AF43</f>
        <v>0</v>
      </c>
      <c r="AG55" s="146" cm="1">
        <f t="array" ref="AG55">SUMPRODUCT((AG$46:AG$50)*($E$46:$E$50))+SUM(AG52:AG53)+AG43</f>
        <v>0</v>
      </c>
      <c r="AH55"/>
    </row>
    <row r="56" spans="1:43" x14ac:dyDescent="0.2">
      <c r="D56" s="178"/>
      <c r="G56" s="17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row>
    <row r="57" spans="1:43" x14ac:dyDescent="0.2">
      <c r="G57" s="17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row>
    <row r="58" spans="1:43" ht="15" x14ac:dyDescent="0.2">
      <c r="A58" s="78" t="s">
        <v>3</v>
      </c>
      <c r="B58" s="78"/>
      <c r="C58" s="78"/>
      <c r="D58" s="78"/>
      <c r="E58" s="78"/>
      <c r="F58" s="78"/>
      <c r="G58" s="177"/>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1"/>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4"/>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C61" s="4"/>
      <c r="F61" s="2"/>
      <c r="G61" s="185"/>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row>
    <row r="62" spans="1:43" x14ac:dyDescent="0.2">
      <c r="C62" s="4" t="str">
        <f>'Option1 (base case)'!C62</f>
        <v>Risks mitigated vs base case</v>
      </c>
      <c r="G62" s="183">
        <f>input_dollars</f>
        <v>45291</v>
      </c>
      <c r="I62" s="112">
        <f>(1-INDEX(Data!$C$9:$C$13, MATCH($A$3, options,0)))*('Option1 (base case)'!I37-I37)</f>
        <v>0</v>
      </c>
      <c r="J62" s="112">
        <f>(1-INDEX(Data!$C$9:$C$13, MATCH($A$3, options,0)))*('Option1 (base case)'!J37-J37)</f>
        <v>0</v>
      </c>
      <c r="K62" s="112">
        <f>(1-INDEX(Data!$C$9:$C$13, MATCH($A$3, options,0)))*('Option1 (base case)'!K37-K37)</f>
        <v>0</v>
      </c>
      <c r="L62" s="112">
        <f>(1-INDEX(Data!$C$9:$C$13, MATCH($A$3, options,0)))*('Option1 (base case)'!L37-L37)</f>
        <v>0</v>
      </c>
      <c r="M62" s="112">
        <f>(1-INDEX(Data!$C$9:$C$13, MATCH($A$3, options,0)))*('Option1 (base case)'!M37-M37)</f>
        <v>0</v>
      </c>
      <c r="N62" s="112">
        <f>(1-INDEX(Data!$C$9:$C$13, MATCH($A$3, options,0)))*('Option1 (base case)'!N37-N37)</f>
        <v>0</v>
      </c>
      <c r="O62" s="112">
        <f>(1-INDEX(Data!$C$9:$C$13, MATCH($A$3, options,0)))*('Option1 (base case)'!O37-O37)</f>
        <v>0</v>
      </c>
      <c r="P62" s="112">
        <f>(1-INDEX(Data!$C$9:$C$13, MATCH($A$3, options,0)))*('Option1 (base case)'!P37-P37)</f>
        <v>0</v>
      </c>
      <c r="Q62" s="112">
        <f>(1-INDEX(Data!$C$9:$C$13, MATCH($A$3, options,0)))*('Option1 (base case)'!Q37-Q37)</f>
        <v>0</v>
      </c>
      <c r="R62" s="112">
        <f>(1-INDEX(Data!$C$9:$C$13, MATCH($A$3, options,0)))*('Option1 (base case)'!R37-R37)</f>
        <v>0</v>
      </c>
      <c r="S62" s="112">
        <f>(1-INDEX(Data!$C$9:$C$13, MATCH($A$3, options,0)))*('Option1 (base case)'!S37-S37)</f>
        <v>0</v>
      </c>
      <c r="T62" s="112">
        <f>(1-INDEX(Data!$C$9:$C$13, MATCH($A$3, options,0)))*('Option1 (base case)'!T37-T37)</f>
        <v>0</v>
      </c>
      <c r="U62" s="112">
        <f>(1-INDEX(Data!$C$9:$C$13, MATCH($A$3, options,0)))*('Option1 (base case)'!U37-U37)</f>
        <v>0</v>
      </c>
      <c r="V62" s="112">
        <f>(1-INDEX(Data!$C$9:$C$13, MATCH($A$3, options,0)))*('Option1 (base case)'!V37-V37)</f>
        <v>0</v>
      </c>
      <c r="W62" s="112">
        <f>(1-INDEX(Data!$C$9:$C$13, MATCH($A$3, options,0)))*('Option1 (base case)'!W37-W37)</f>
        <v>0</v>
      </c>
      <c r="X62" s="112">
        <f>(1-INDEX(Data!$C$9:$C$13, MATCH($A$3, options,0)))*('Option1 (base case)'!X37-X37)</f>
        <v>0</v>
      </c>
      <c r="Y62" s="112">
        <f>(1-INDEX(Data!$C$9:$C$13, MATCH($A$3, options,0)))*('Option1 (base case)'!Y37-Y37)</f>
        <v>0</v>
      </c>
      <c r="Z62" s="112">
        <f>(1-INDEX(Data!$C$9:$C$13, MATCH($A$3, options,0)))*('Option1 (base case)'!Z37-Z37)</f>
        <v>0</v>
      </c>
      <c r="AA62" s="112">
        <f>(1-INDEX(Data!$C$9:$C$13, MATCH($A$3, options,0)))*('Option1 (base case)'!AA37-AA37)</f>
        <v>0</v>
      </c>
      <c r="AB62" s="112">
        <f>(1-INDEX(Data!$C$9:$C$13, MATCH($A$3, options,0)))*('Option1 (base case)'!AB37-AB37)</f>
        <v>0</v>
      </c>
      <c r="AC62" s="112">
        <f>(1-INDEX(Data!$C$9:$C$13, MATCH($A$3, options,0)))*('Option1 (base case)'!AC37-AC37)</f>
        <v>0</v>
      </c>
      <c r="AD62" s="112">
        <f>(1-INDEX(Data!$C$9:$C$13, MATCH($A$3, options,0)))*('Option1 (base case)'!AD37-AD37)</f>
        <v>0</v>
      </c>
      <c r="AE62" s="112">
        <f>(1-INDEX(Data!$C$9:$C$13, MATCH($A$3, options,0)))*('Option1 (base case)'!AE37-AE37)</f>
        <v>0</v>
      </c>
      <c r="AF62" s="112">
        <f>(1-INDEX(Data!$C$9:$C$13, MATCH($A$3, options,0)))*('Option1 (base case)'!AF37-AF37)</f>
        <v>0</v>
      </c>
      <c r="AG62" s="112">
        <f>(1-INDEX(Data!$C$9:$C$13, MATCH($A$3, options,0)))*('Option1 (base case)'!AG37-AG37)</f>
        <v>0</v>
      </c>
      <c r="AH62"/>
    </row>
    <row r="63" spans="1:43" x14ac:dyDescent="0.2">
      <c r="G63" s="185"/>
      <c r="AH63"/>
    </row>
    <row r="64" spans="1:43" x14ac:dyDescent="0.2">
      <c r="A64" s="6"/>
      <c r="B64" s="6"/>
      <c r="C64" s="125" t="s">
        <v>14</v>
      </c>
      <c r="D64" s="34"/>
      <c r="F64" s="85"/>
      <c r="G64" s="186"/>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row>
    <row r="65" spans="1:34" x14ac:dyDescent="0.2">
      <c r="A65" s="6"/>
      <c r="B65" s="6"/>
      <c r="C65" s="4" t="str">
        <f>C14</f>
        <v>&lt; Enter description &gt;</v>
      </c>
      <c r="D65" s="34"/>
      <c r="F65" s="85"/>
      <c r="G65" s="183">
        <f>input_dollars</f>
        <v>45291</v>
      </c>
      <c r="H65" s="28"/>
      <c r="I65" s="28">
        <f t="shared" ref="I65:AG65" si="5">-I14</f>
        <v>0</v>
      </c>
      <c r="J65" s="28">
        <f t="shared" si="5"/>
        <v>0</v>
      </c>
      <c r="K65" s="28">
        <f t="shared" si="5"/>
        <v>0</v>
      </c>
      <c r="L65" s="28">
        <f t="shared" si="5"/>
        <v>0</v>
      </c>
      <c r="M65" s="28">
        <f t="shared" si="5"/>
        <v>0</v>
      </c>
      <c r="N65" s="28">
        <f t="shared" si="5"/>
        <v>0</v>
      </c>
      <c r="O65" s="28">
        <f t="shared" si="5"/>
        <v>0</v>
      </c>
      <c r="P65" s="28">
        <f t="shared" si="5"/>
        <v>0</v>
      </c>
      <c r="Q65" s="28">
        <f t="shared" si="5"/>
        <v>0</v>
      </c>
      <c r="R65" s="28">
        <f t="shared" si="5"/>
        <v>0</v>
      </c>
      <c r="S65" s="28">
        <f t="shared" si="5"/>
        <v>0</v>
      </c>
      <c r="T65" s="28">
        <f t="shared" si="5"/>
        <v>0</v>
      </c>
      <c r="U65" s="28">
        <f t="shared" si="5"/>
        <v>0</v>
      </c>
      <c r="V65" s="28">
        <f t="shared" si="5"/>
        <v>0</v>
      </c>
      <c r="W65" s="28">
        <f t="shared" si="5"/>
        <v>0</v>
      </c>
      <c r="X65" s="28">
        <f t="shared" si="5"/>
        <v>0</v>
      </c>
      <c r="Y65" s="28">
        <f t="shared" si="5"/>
        <v>0</v>
      </c>
      <c r="Z65" s="28">
        <f t="shared" si="5"/>
        <v>0</v>
      </c>
      <c r="AA65" s="28">
        <f t="shared" si="5"/>
        <v>0</v>
      </c>
      <c r="AB65" s="28">
        <f t="shared" si="5"/>
        <v>0</v>
      </c>
      <c r="AC65" s="28">
        <f t="shared" si="5"/>
        <v>0</v>
      </c>
      <c r="AD65" s="28">
        <f t="shared" si="5"/>
        <v>0</v>
      </c>
      <c r="AE65" s="28">
        <f t="shared" si="5"/>
        <v>0</v>
      </c>
      <c r="AF65" s="28">
        <f t="shared" si="5"/>
        <v>0</v>
      </c>
      <c r="AG65" s="28">
        <f t="shared" si="5"/>
        <v>0</v>
      </c>
      <c r="AH65"/>
    </row>
    <row r="66" spans="1:34" x14ac:dyDescent="0.2">
      <c r="A66" s="6"/>
      <c r="B66" s="6"/>
      <c r="C66" s="4" t="str">
        <f>C15</f>
        <v>&lt; Enter description &gt;</v>
      </c>
      <c r="D66" s="34"/>
      <c r="F66" s="85"/>
      <c r="G66" s="183">
        <f>input_dollars</f>
        <v>45291</v>
      </c>
      <c r="H66" s="28"/>
      <c r="I66" s="28">
        <f t="shared" ref="I66:AG66" si="6">-I15</f>
        <v>0</v>
      </c>
      <c r="J66" s="28">
        <f t="shared" si="6"/>
        <v>0</v>
      </c>
      <c r="K66" s="28">
        <f t="shared" si="6"/>
        <v>0</v>
      </c>
      <c r="L66" s="28">
        <f t="shared" si="6"/>
        <v>0</v>
      </c>
      <c r="M66" s="28">
        <f t="shared" si="6"/>
        <v>0</v>
      </c>
      <c r="N66" s="28">
        <f t="shared" si="6"/>
        <v>0</v>
      </c>
      <c r="O66" s="28">
        <f t="shared" si="6"/>
        <v>0</v>
      </c>
      <c r="P66" s="28">
        <f t="shared" si="6"/>
        <v>0</v>
      </c>
      <c r="Q66" s="28">
        <f t="shared" si="6"/>
        <v>0</v>
      </c>
      <c r="R66" s="28">
        <f t="shared" si="6"/>
        <v>0</v>
      </c>
      <c r="S66" s="28">
        <f t="shared" si="6"/>
        <v>0</v>
      </c>
      <c r="T66" s="28">
        <f t="shared" si="6"/>
        <v>0</v>
      </c>
      <c r="U66" s="28">
        <f t="shared" si="6"/>
        <v>0</v>
      </c>
      <c r="V66" s="28">
        <f t="shared" si="6"/>
        <v>0</v>
      </c>
      <c r="W66" s="28">
        <f t="shared" si="6"/>
        <v>0</v>
      </c>
      <c r="X66" s="28">
        <f t="shared" si="6"/>
        <v>0</v>
      </c>
      <c r="Y66" s="28">
        <f t="shared" si="6"/>
        <v>0</v>
      </c>
      <c r="Z66" s="28">
        <f t="shared" si="6"/>
        <v>0</v>
      </c>
      <c r="AA66" s="28">
        <f t="shared" si="6"/>
        <v>0</v>
      </c>
      <c r="AB66" s="28">
        <f t="shared" si="6"/>
        <v>0</v>
      </c>
      <c r="AC66" s="28">
        <f t="shared" si="6"/>
        <v>0</v>
      </c>
      <c r="AD66" s="28">
        <f t="shared" si="6"/>
        <v>0</v>
      </c>
      <c r="AE66" s="28">
        <f t="shared" si="6"/>
        <v>0</v>
      </c>
      <c r="AF66" s="28">
        <f t="shared" si="6"/>
        <v>0</v>
      </c>
      <c r="AG66" s="28">
        <f t="shared" si="6"/>
        <v>0</v>
      </c>
      <c r="AH66"/>
    </row>
    <row r="67" spans="1:34" x14ac:dyDescent="0.2">
      <c r="A67" s="6"/>
      <c r="B67" s="6"/>
      <c r="C67" s="4" t="str">
        <f>C16</f>
        <v>&lt; Enter description &gt;</v>
      </c>
      <c r="D67" s="34"/>
      <c r="F67" s="85"/>
      <c r="G67" s="183">
        <f>input_dollars</f>
        <v>45291</v>
      </c>
      <c r="H67" s="28"/>
      <c r="I67" s="28">
        <f t="shared" ref="I67:AG67" si="7">-I16</f>
        <v>0</v>
      </c>
      <c r="J67" s="28">
        <f t="shared" si="7"/>
        <v>0</v>
      </c>
      <c r="K67" s="28">
        <f t="shared" si="7"/>
        <v>0</v>
      </c>
      <c r="L67" s="28">
        <f t="shared" si="7"/>
        <v>0</v>
      </c>
      <c r="M67" s="28">
        <f t="shared" si="7"/>
        <v>0</v>
      </c>
      <c r="N67" s="28">
        <f t="shared" si="7"/>
        <v>0</v>
      </c>
      <c r="O67" s="28">
        <f t="shared" si="7"/>
        <v>0</v>
      </c>
      <c r="P67" s="28">
        <f t="shared" si="7"/>
        <v>0</v>
      </c>
      <c r="Q67" s="28">
        <f t="shared" si="7"/>
        <v>0</v>
      </c>
      <c r="R67" s="28">
        <f t="shared" si="7"/>
        <v>0</v>
      </c>
      <c r="S67" s="28">
        <f t="shared" si="7"/>
        <v>0</v>
      </c>
      <c r="T67" s="28">
        <f t="shared" si="7"/>
        <v>0</v>
      </c>
      <c r="U67" s="28">
        <f t="shared" si="7"/>
        <v>0</v>
      </c>
      <c r="V67" s="28">
        <f t="shared" si="7"/>
        <v>0</v>
      </c>
      <c r="W67" s="28">
        <f t="shared" si="7"/>
        <v>0</v>
      </c>
      <c r="X67" s="28">
        <f t="shared" si="7"/>
        <v>0</v>
      </c>
      <c r="Y67" s="28">
        <f t="shared" si="7"/>
        <v>0</v>
      </c>
      <c r="Z67" s="28">
        <f t="shared" si="7"/>
        <v>0</v>
      </c>
      <c r="AA67" s="28">
        <f t="shared" si="7"/>
        <v>0</v>
      </c>
      <c r="AB67" s="28">
        <f t="shared" si="7"/>
        <v>0</v>
      </c>
      <c r="AC67" s="28">
        <f t="shared" si="7"/>
        <v>0</v>
      </c>
      <c r="AD67" s="28">
        <f t="shared" si="7"/>
        <v>0</v>
      </c>
      <c r="AE67" s="28">
        <f t="shared" si="7"/>
        <v>0</v>
      </c>
      <c r="AF67" s="28">
        <f t="shared" si="7"/>
        <v>0</v>
      </c>
      <c r="AG67" s="28">
        <f t="shared" si="7"/>
        <v>0</v>
      </c>
      <c r="AH67"/>
    </row>
    <row r="68" spans="1:34" x14ac:dyDescent="0.2">
      <c r="A68" s="6"/>
      <c r="B68" s="6"/>
      <c r="C68" s="4"/>
      <c r="D68" s="34"/>
      <c r="F68" s="85"/>
      <c r="G68" s="187"/>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row>
    <row r="69" spans="1:34" x14ac:dyDescent="0.2">
      <c r="A69" s="6"/>
      <c r="B69" s="6"/>
      <c r="C69" s="125" t="s">
        <v>130</v>
      </c>
      <c r="D69" s="34"/>
      <c r="F69" s="85"/>
      <c r="G69" s="186"/>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row>
    <row r="70" spans="1:34" x14ac:dyDescent="0.2">
      <c r="A70" s="6"/>
      <c r="B70" s="6"/>
      <c r="C70" s="4" t="str">
        <f>C14</f>
        <v>&lt; Enter description &gt;</v>
      </c>
      <c r="D70" s="34"/>
      <c r="F70" s="85"/>
      <c r="G70" s="183">
        <f>input_dollars</f>
        <v>45291</v>
      </c>
      <c r="H70" s="28"/>
      <c r="I70" s="28" cm="1">
        <f t="array" ref="I70">SUMPRODUCT(($I65:I65))-SUMPRODUCT(($I65:I65)*($I$6:I$6&lt;=(I$6-$E14)))</f>
        <v>0</v>
      </c>
      <c r="J70" s="28" cm="1">
        <f t="array" ref="J70">SUMPRODUCT(($I65:J65))-SUMPRODUCT(($I65:J65)*($I$6:J$6&lt;=(J$6-$E14)))</f>
        <v>0</v>
      </c>
      <c r="K70" s="28" cm="1">
        <f t="array" ref="K70">SUMPRODUCT(($I65:K65))-SUMPRODUCT(($I65:K65)*($I$6:K$6&lt;=(K$6-$E14)))</f>
        <v>0</v>
      </c>
      <c r="L70" s="28" cm="1">
        <f t="array" ref="L70">SUMPRODUCT(($I65:L65))-SUMPRODUCT(($I65:L65)*($I$6:L$6&lt;=(L$6-$E14)))</f>
        <v>0</v>
      </c>
      <c r="M70" s="28" cm="1">
        <f t="array" ref="M70">SUMPRODUCT(($I65:M65))-SUMPRODUCT(($I65:M65)*($I$6:M$6&lt;=(M$6-$E14)))</f>
        <v>0</v>
      </c>
      <c r="N70" s="28" cm="1">
        <f t="array" ref="N70">SUMPRODUCT(($I65:N65))-SUMPRODUCT(($I65:N65)*($I$6:N$6&lt;=(N$6-$E14)))</f>
        <v>0</v>
      </c>
      <c r="O70" s="28" cm="1">
        <f t="array" ref="O70">SUMPRODUCT(($I65:O65))-SUMPRODUCT(($I65:O65)*($I$6:O$6&lt;=(O$6-$E14)))</f>
        <v>0</v>
      </c>
      <c r="P70" s="28" cm="1">
        <f t="array" ref="P70">SUMPRODUCT(($I65:P65))-SUMPRODUCT(($I65:P65)*($I$6:P$6&lt;=(P$6-$E14)))</f>
        <v>0</v>
      </c>
      <c r="Q70" s="28" cm="1">
        <f t="array" ref="Q70">SUMPRODUCT(($I65:Q65))-SUMPRODUCT(($I65:Q65)*($I$6:Q$6&lt;=(Q$6-$E14)))</f>
        <v>0</v>
      </c>
      <c r="R70" s="28" cm="1">
        <f t="array" ref="R70">SUMPRODUCT(($I65:R65))-SUMPRODUCT(($I65:R65)*($I$6:R$6&lt;=(R$6-$E14)))</f>
        <v>0</v>
      </c>
      <c r="S70" s="28" cm="1">
        <f t="array" ref="S70">SUMPRODUCT(($I65:S65))-SUMPRODUCT(($I65:S65)*($I$6:S$6&lt;=(S$6-$E14)))</f>
        <v>0</v>
      </c>
      <c r="T70" s="28" cm="1">
        <f t="array" ref="T70">SUMPRODUCT(($I65:T65))-SUMPRODUCT(($I65:T65)*($I$6:T$6&lt;=(T$6-$E14)))</f>
        <v>0</v>
      </c>
      <c r="U70" s="28" cm="1">
        <f t="array" ref="U70">SUMPRODUCT(($I65:U65))-SUMPRODUCT(($I65:U65)*($I$6:U$6&lt;=(U$6-$E14)))</f>
        <v>0</v>
      </c>
      <c r="V70" s="28" cm="1">
        <f t="array" ref="V70">SUMPRODUCT(($I65:V65))-SUMPRODUCT(($I65:V65)*($I$6:V$6&lt;=(V$6-$E14)))</f>
        <v>0</v>
      </c>
      <c r="W70" s="28" cm="1">
        <f t="array" ref="W70">SUMPRODUCT(($I65:W65))-SUMPRODUCT(($I65:W65)*($I$6:W$6&lt;=(W$6-$E14)))</f>
        <v>0</v>
      </c>
      <c r="X70" s="28" cm="1">
        <f t="array" ref="X70">SUMPRODUCT(($I65:X65))-SUMPRODUCT(($I65:X65)*($I$6:X$6&lt;=(X$6-$E14)))</f>
        <v>0</v>
      </c>
      <c r="Y70" s="28" cm="1">
        <f t="array" ref="Y70">SUMPRODUCT(($I65:Y65))-SUMPRODUCT(($I65:Y65)*($I$6:Y$6&lt;=(Y$6-$E14)))</f>
        <v>0</v>
      </c>
      <c r="Z70" s="28" cm="1">
        <f t="array" ref="Z70">SUMPRODUCT(($I65:Z65))-SUMPRODUCT(($I65:Z65)*($I$6:Z$6&lt;=(Z$6-$E14)))</f>
        <v>0</v>
      </c>
      <c r="AA70" s="28" cm="1">
        <f t="array" ref="AA70">SUMPRODUCT(($I65:AA65))-SUMPRODUCT(($I65:AA65)*($I$6:AA$6&lt;=(AA$6-$E14)))</f>
        <v>0</v>
      </c>
      <c r="AB70" s="28" cm="1">
        <f t="array" ref="AB70">SUMPRODUCT(($I65:AB65))-SUMPRODUCT(($I65:AB65)*($I$6:AB$6&lt;=(AB$6-$E14)))</f>
        <v>0</v>
      </c>
      <c r="AC70" s="28" cm="1">
        <f t="array" ref="AC70">SUMPRODUCT(($I65:AC65))-SUMPRODUCT(($I65:AC65)*($I$6:AC$6&lt;=(AC$6-$E14)))</f>
        <v>0</v>
      </c>
      <c r="AD70" s="28" cm="1">
        <f t="array" ref="AD70">SUMPRODUCT(($I65:AD65))-SUMPRODUCT(($I65:AD65)*($I$6:AD$6&lt;=(AD$6-$E14)))</f>
        <v>0</v>
      </c>
      <c r="AE70" s="28" cm="1">
        <f t="array" ref="AE70">SUMPRODUCT(($I65:AE65))-SUMPRODUCT(($I65:AE65)*($I$6:AE$6&lt;=(AE$6-$E14)))</f>
        <v>0</v>
      </c>
      <c r="AF70" s="28" cm="1">
        <f t="array" ref="AF70">SUMPRODUCT(($I65:AF65))-SUMPRODUCT(($I65:AF65)*($I$6:AF$6&lt;=(AF$6-$E14)))</f>
        <v>0</v>
      </c>
      <c r="AG70" s="28" cm="1">
        <f t="array" ref="AG70">SUMPRODUCT(($I65:AG65))-SUMPRODUCT(($I65:AG65)*($I$6:AG$6&lt;=(AG$6-$E14)))</f>
        <v>0</v>
      </c>
      <c r="AH70"/>
    </row>
    <row r="71" spans="1:34" x14ac:dyDescent="0.2">
      <c r="A71" s="6"/>
      <c r="B71" s="6"/>
      <c r="C71" s="4" t="str">
        <f>C15</f>
        <v>&lt; Enter description &gt;</v>
      </c>
      <c r="D71" s="34"/>
      <c r="F71" s="85"/>
      <c r="G71" s="183">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c r="AH71"/>
    </row>
    <row r="72" spans="1:34" x14ac:dyDescent="0.2">
      <c r="A72" s="6"/>
      <c r="B72" s="6"/>
      <c r="C72" s="4" t="str">
        <f>C16</f>
        <v>&lt; Enter description &gt;</v>
      </c>
      <c r="D72" s="34"/>
      <c r="F72" s="85"/>
      <c r="G72" s="183">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c r="AH72"/>
    </row>
    <row r="73" spans="1:34" x14ac:dyDescent="0.2">
      <c r="A73" s="6"/>
      <c r="B73" s="6"/>
      <c r="C73" s="4"/>
      <c r="D73" s="34"/>
      <c r="F73" s="85"/>
      <c r="G73" s="187"/>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row>
    <row r="74" spans="1:34" x14ac:dyDescent="0.2">
      <c r="A74" s="6"/>
      <c r="B74" s="6"/>
      <c r="C74" s="125" t="s">
        <v>131</v>
      </c>
      <c r="D74" s="34"/>
      <c r="G74" s="186"/>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row>
    <row r="75" spans="1:34" x14ac:dyDescent="0.2">
      <c r="A75" s="6"/>
      <c r="B75" s="6"/>
      <c r="C75" s="4" t="str">
        <f>$C$74&amp;" - "&amp;C14</f>
        <v>Annualised capex - &lt; Enter description &gt;</v>
      </c>
      <c r="D75" s="34"/>
      <c r="G75" s="183">
        <f>input_dollars</f>
        <v>45291</v>
      </c>
      <c r="H75" s="28"/>
      <c r="I75" s="28">
        <f t="shared" ref="I75:AG75" si="8">IF($E14=0,0,-PMT(real_disc, $E14,H70,))</f>
        <v>0</v>
      </c>
      <c r="J75" s="28">
        <f t="shared" si="8"/>
        <v>0</v>
      </c>
      <c r="K75" s="28">
        <f t="shared" si="8"/>
        <v>0</v>
      </c>
      <c r="L75" s="28">
        <f t="shared" si="8"/>
        <v>0</v>
      </c>
      <c r="M75" s="28">
        <f t="shared" si="8"/>
        <v>0</v>
      </c>
      <c r="N75" s="28">
        <f t="shared" si="8"/>
        <v>0</v>
      </c>
      <c r="O75" s="28">
        <f t="shared" si="8"/>
        <v>0</v>
      </c>
      <c r="P75" s="28">
        <f t="shared" si="8"/>
        <v>0</v>
      </c>
      <c r="Q75" s="28">
        <f t="shared" si="8"/>
        <v>0</v>
      </c>
      <c r="R75" s="28">
        <f t="shared" si="8"/>
        <v>0</v>
      </c>
      <c r="S75" s="28">
        <f t="shared" si="8"/>
        <v>0</v>
      </c>
      <c r="T75" s="28">
        <f t="shared" si="8"/>
        <v>0</v>
      </c>
      <c r="U75" s="28">
        <f t="shared" si="8"/>
        <v>0</v>
      </c>
      <c r="V75" s="28">
        <f t="shared" si="8"/>
        <v>0</v>
      </c>
      <c r="W75" s="28">
        <f t="shared" si="8"/>
        <v>0</v>
      </c>
      <c r="X75" s="28">
        <f t="shared" si="8"/>
        <v>0</v>
      </c>
      <c r="Y75" s="28">
        <f t="shared" si="8"/>
        <v>0</v>
      </c>
      <c r="Z75" s="28">
        <f t="shared" si="8"/>
        <v>0</v>
      </c>
      <c r="AA75" s="28">
        <f t="shared" si="8"/>
        <v>0</v>
      </c>
      <c r="AB75" s="28">
        <f t="shared" si="8"/>
        <v>0</v>
      </c>
      <c r="AC75" s="28">
        <f t="shared" si="8"/>
        <v>0</v>
      </c>
      <c r="AD75" s="28">
        <f t="shared" si="8"/>
        <v>0</v>
      </c>
      <c r="AE75" s="28">
        <f t="shared" si="8"/>
        <v>0</v>
      </c>
      <c r="AF75" s="28">
        <f t="shared" si="8"/>
        <v>0</v>
      </c>
      <c r="AG75" s="28">
        <f t="shared" si="8"/>
        <v>0</v>
      </c>
      <c r="AH75"/>
    </row>
    <row r="76" spans="1:34" x14ac:dyDescent="0.2">
      <c r="A76" s="6"/>
      <c r="B76" s="6"/>
      <c r="C76" s="4" t="str">
        <f>$C$74&amp;" - "&amp;C15</f>
        <v>Annualised capex - &lt; Enter description &gt;</v>
      </c>
      <c r="D76" s="34"/>
      <c r="G76" s="183">
        <f>input_dollars</f>
        <v>45291</v>
      </c>
      <c r="H76" s="28"/>
      <c r="I76" s="28">
        <f t="shared" ref="I76:AG76" si="9">IF($E15=0,0,-PMT(real_disc, $E15,H71,))</f>
        <v>0</v>
      </c>
      <c r="J76" s="28">
        <f t="shared" si="9"/>
        <v>0</v>
      </c>
      <c r="K76" s="28">
        <f t="shared" si="9"/>
        <v>0</v>
      </c>
      <c r="L76" s="28">
        <f t="shared" si="9"/>
        <v>0</v>
      </c>
      <c r="M76" s="28">
        <f t="shared" si="9"/>
        <v>0</v>
      </c>
      <c r="N76" s="28">
        <f t="shared" si="9"/>
        <v>0</v>
      </c>
      <c r="O76" s="28">
        <f t="shared" si="9"/>
        <v>0</v>
      </c>
      <c r="P76" s="28">
        <f t="shared" si="9"/>
        <v>0</v>
      </c>
      <c r="Q76" s="28">
        <f t="shared" si="9"/>
        <v>0</v>
      </c>
      <c r="R76" s="28">
        <f t="shared" si="9"/>
        <v>0</v>
      </c>
      <c r="S76" s="28">
        <f t="shared" si="9"/>
        <v>0</v>
      </c>
      <c r="T76" s="28">
        <f t="shared" si="9"/>
        <v>0</v>
      </c>
      <c r="U76" s="28">
        <f t="shared" si="9"/>
        <v>0</v>
      </c>
      <c r="V76" s="28">
        <f t="shared" si="9"/>
        <v>0</v>
      </c>
      <c r="W76" s="28">
        <f t="shared" si="9"/>
        <v>0</v>
      </c>
      <c r="X76" s="28">
        <f t="shared" si="9"/>
        <v>0</v>
      </c>
      <c r="Y76" s="28">
        <f t="shared" si="9"/>
        <v>0</v>
      </c>
      <c r="Z76" s="28">
        <f t="shared" si="9"/>
        <v>0</v>
      </c>
      <c r="AA76" s="28">
        <f t="shared" si="9"/>
        <v>0</v>
      </c>
      <c r="AB76" s="28">
        <f t="shared" si="9"/>
        <v>0</v>
      </c>
      <c r="AC76" s="28">
        <f t="shared" si="9"/>
        <v>0</v>
      </c>
      <c r="AD76" s="28">
        <f t="shared" si="9"/>
        <v>0</v>
      </c>
      <c r="AE76" s="28">
        <f t="shared" si="9"/>
        <v>0</v>
      </c>
      <c r="AF76" s="28">
        <f t="shared" si="9"/>
        <v>0</v>
      </c>
      <c r="AG76" s="28">
        <f t="shared" si="9"/>
        <v>0</v>
      </c>
      <c r="AH76"/>
    </row>
    <row r="77" spans="1:34" x14ac:dyDescent="0.2">
      <c r="A77" s="6"/>
      <c r="B77" s="6"/>
      <c r="C77" s="4" t="str">
        <f>$C$74&amp;" - "&amp;C16</f>
        <v>Annualised capex - &lt; Enter description &gt;</v>
      </c>
      <c r="D77" s="34"/>
      <c r="G77" s="183">
        <f>input_dollars</f>
        <v>45291</v>
      </c>
      <c r="H77" s="28"/>
      <c r="I77" s="28">
        <f t="shared" ref="I77:AG77" si="10">IF($E16=0,0,-PMT(real_disc, $E16,H72,))</f>
        <v>0</v>
      </c>
      <c r="J77" s="28">
        <f t="shared" si="10"/>
        <v>0</v>
      </c>
      <c r="K77" s="28">
        <f t="shared" si="10"/>
        <v>0</v>
      </c>
      <c r="L77" s="28">
        <f t="shared" si="10"/>
        <v>0</v>
      </c>
      <c r="M77" s="28">
        <f t="shared" si="10"/>
        <v>0</v>
      </c>
      <c r="N77" s="28">
        <f t="shared" si="10"/>
        <v>0</v>
      </c>
      <c r="O77" s="28">
        <f t="shared" si="10"/>
        <v>0</v>
      </c>
      <c r="P77" s="28">
        <f t="shared" si="10"/>
        <v>0</v>
      </c>
      <c r="Q77" s="28">
        <f t="shared" si="10"/>
        <v>0</v>
      </c>
      <c r="R77" s="28">
        <f t="shared" si="10"/>
        <v>0</v>
      </c>
      <c r="S77" s="28">
        <f t="shared" si="10"/>
        <v>0</v>
      </c>
      <c r="T77" s="28">
        <f t="shared" si="10"/>
        <v>0</v>
      </c>
      <c r="U77" s="28">
        <f t="shared" si="10"/>
        <v>0</v>
      </c>
      <c r="V77" s="28">
        <f t="shared" si="10"/>
        <v>0</v>
      </c>
      <c r="W77" s="28">
        <f t="shared" si="10"/>
        <v>0</v>
      </c>
      <c r="X77" s="28">
        <f t="shared" si="10"/>
        <v>0</v>
      </c>
      <c r="Y77" s="28">
        <f t="shared" si="10"/>
        <v>0</v>
      </c>
      <c r="Z77" s="28">
        <f t="shared" si="10"/>
        <v>0</v>
      </c>
      <c r="AA77" s="28">
        <f t="shared" si="10"/>
        <v>0</v>
      </c>
      <c r="AB77" s="28">
        <f t="shared" si="10"/>
        <v>0</v>
      </c>
      <c r="AC77" s="28">
        <f t="shared" si="10"/>
        <v>0</v>
      </c>
      <c r="AD77" s="28">
        <f t="shared" si="10"/>
        <v>0</v>
      </c>
      <c r="AE77" s="28">
        <f t="shared" si="10"/>
        <v>0</v>
      </c>
      <c r="AF77" s="28">
        <f t="shared" si="10"/>
        <v>0</v>
      </c>
      <c r="AG77" s="28">
        <f t="shared" si="10"/>
        <v>0</v>
      </c>
      <c r="AH77"/>
    </row>
    <row r="78" spans="1:34" x14ac:dyDescent="0.2">
      <c r="A78" s="6"/>
      <c r="B78" s="6"/>
      <c r="C78" s="148" t="s">
        <v>132</v>
      </c>
      <c r="D78" s="148"/>
      <c r="E78" s="149"/>
      <c r="F78" s="150"/>
      <c r="G78" s="188">
        <f>input_dollars</f>
        <v>45291</v>
      </c>
      <c r="H78" s="151"/>
      <c r="I78" s="151">
        <f>SUM(I75:I77)</f>
        <v>0</v>
      </c>
      <c r="J78" s="151">
        <f t="shared" ref="J78:AB78" si="11">SUM(J75:J77)</f>
        <v>0</v>
      </c>
      <c r="K78" s="151">
        <f t="shared" si="11"/>
        <v>0</v>
      </c>
      <c r="L78" s="151">
        <f t="shared" si="11"/>
        <v>0</v>
      </c>
      <c r="M78" s="151">
        <f t="shared" si="11"/>
        <v>0</v>
      </c>
      <c r="N78" s="151">
        <f t="shared" si="11"/>
        <v>0</v>
      </c>
      <c r="O78" s="151">
        <f t="shared" si="11"/>
        <v>0</v>
      </c>
      <c r="P78" s="151">
        <f t="shared" si="11"/>
        <v>0</v>
      </c>
      <c r="Q78" s="151">
        <f t="shared" si="11"/>
        <v>0</v>
      </c>
      <c r="R78" s="151">
        <f t="shared" si="11"/>
        <v>0</v>
      </c>
      <c r="S78" s="151">
        <f t="shared" si="11"/>
        <v>0</v>
      </c>
      <c r="T78" s="151">
        <f t="shared" si="11"/>
        <v>0</v>
      </c>
      <c r="U78" s="151">
        <f t="shared" si="11"/>
        <v>0</v>
      </c>
      <c r="V78" s="151">
        <f t="shared" si="11"/>
        <v>0</v>
      </c>
      <c r="W78" s="151">
        <f t="shared" si="11"/>
        <v>0</v>
      </c>
      <c r="X78" s="151">
        <f t="shared" si="11"/>
        <v>0</v>
      </c>
      <c r="Y78" s="151">
        <f t="shared" si="11"/>
        <v>0</v>
      </c>
      <c r="Z78" s="151">
        <f t="shared" si="11"/>
        <v>0</v>
      </c>
      <c r="AA78" s="151">
        <f t="shared" si="11"/>
        <v>0</v>
      </c>
      <c r="AB78" s="151">
        <f t="shared" si="11"/>
        <v>0</v>
      </c>
      <c r="AC78" s="151">
        <f>SUM(AC75:AC77)</f>
        <v>0</v>
      </c>
      <c r="AD78" s="151">
        <f>SUM(AD75:AD77)</f>
        <v>0</v>
      </c>
      <c r="AE78" s="151">
        <f>SUM(AE75:AE77)</f>
        <v>0</v>
      </c>
      <c r="AF78" s="151">
        <f>SUM(AF75:AF77)</f>
        <v>0</v>
      </c>
      <c r="AG78" s="151">
        <f>SUM(AG75:AG77)</f>
        <v>0</v>
      </c>
      <c r="AH78"/>
    </row>
    <row r="79" spans="1:34" x14ac:dyDescent="0.2">
      <c r="A79" s="6"/>
      <c r="B79" s="6"/>
      <c r="C79" s="12"/>
      <c r="D79" s="34"/>
      <c r="F79"/>
      <c r="G79" s="189"/>
      <c r="H79"/>
      <c r="I79"/>
      <c r="J79"/>
      <c r="K79"/>
      <c r="L79"/>
      <c r="M79"/>
      <c r="N79"/>
      <c r="O79"/>
      <c r="P79"/>
      <c r="Q79"/>
      <c r="R79"/>
      <c r="S79"/>
      <c r="T79"/>
      <c r="U79"/>
      <c r="V79"/>
      <c r="W79"/>
      <c r="X79"/>
      <c r="Y79"/>
      <c r="Z79"/>
      <c r="AA79"/>
      <c r="AB79"/>
      <c r="AC79"/>
      <c r="AD79"/>
      <c r="AE79"/>
      <c r="AF79"/>
      <c r="AG79"/>
      <c r="AH79"/>
    </row>
    <row r="80" spans="1:34" x14ac:dyDescent="0.2">
      <c r="A80" s="6"/>
      <c r="B80" s="6"/>
      <c r="C80" s="4" t="s">
        <v>131</v>
      </c>
      <c r="D80" s="34"/>
      <c r="F80" s="85"/>
      <c r="G80" s="183">
        <f t="shared" ref="G80:G85" si="12">input_dollars</f>
        <v>45291</v>
      </c>
      <c r="H80" s="28"/>
      <c r="I80" s="28">
        <f>I78</f>
        <v>0</v>
      </c>
      <c r="J80" s="28">
        <f t="shared" ref="J80:AB80" si="13">J78</f>
        <v>0</v>
      </c>
      <c r="K80" s="28">
        <f t="shared" si="13"/>
        <v>0</v>
      </c>
      <c r="L80" s="28">
        <f t="shared" si="13"/>
        <v>0</v>
      </c>
      <c r="M80" s="28">
        <f t="shared" si="13"/>
        <v>0</v>
      </c>
      <c r="N80" s="28">
        <f t="shared" si="13"/>
        <v>0</v>
      </c>
      <c r="O80" s="28">
        <f t="shared" si="13"/>
        <v>0</v>
      </c>
      <c r="P80" s="28">
        <f t="shared" si="13"/>
        <v>0</v>
      </c>
      <c r="Q80" s="28">
        <f t="shared" si="13"/>
        <v>0</v>
      </c>
      <c r="R80" s="28">
        <f t="shared" si="13"/>
        <v>0</v>
      </c>
      <c r="S80" s="28">
        <f t="shared" si="13"/>
        <v>0</v>
      </c>
      <c r="T80" s="28">
        <f t="shared" si="13"/>
        <v>0</v>
      </c>
      <c r="U80" s="28">
        <f t="shared" si="13"/>
        <v>0</v>
      </c>
      <c r="V80" s="28">
        <f t="shared" si="13"/>
        <v>0</v>
      </c>
      <c r="W80" s="28">
        <f t="shared" si="13"/>
        <v>0</v>
      </c>
      <c r="X80" s="28">
        <f t="shared" si="13"/>
        <v>0</v>
      </c>
      <c r="Y80" s="28">
        <f t="shared" si="13"/>
        <v>0</v>
      </c>
      <c r="Z80" s="28">
        <f t="shared" si="13"/>
        <v>0</v>
      </c>
      <c r="AA80" s="28">
        <f t="shared" si="13"/>
        <v>0</v>
      </c>
      <c r="AB80" s="28">
        <f t="shared" si="13"/>
        <v>0</v>
      </c>
      <c r="AC80" s="28">
        <f>AC78</f>
        <v>0</v>
      </c>
      <c r="AD80" s="28">
        <f>AD78</f>
        <v>0</v>
      </c>
      <c r="AE80" s="28">
        <f>AE78</f>
        <v>0</v>
      </c>
      <c r="AF80" s="28">
        <f>AF78</f>
        <v>0</v>
      </c>
      <c r="AG80" s="28">
        <f>AG78</f>
        <v>0</v>
      </c>
      <c r="AH80"/>
    </row>
    <row r="81" spans="1:34" x14ac:dyDescent="0.2">
      <c r="A81" s="6"/>
      <c r="B81" s="6"/>
      <c r="C81" s="4" t="s">
        <v>15</v>
      </c>
      <c r="D81" s="34"/>
      <c r="F81" s="85"/>
      <c r="G81" s="183">
        <f t="shared" si="12"/>
        <v>45291</v>
      </c>
      <c r="H81" s="28"/>
      <c r="I81" s="28">
        <f t="shared" ref="I81:AG81" si="14">-I19</f>
        <v>0</v>
      </c>
      <c r="J81" s="28">
        <f t="shared" si="14"/>
        <v>0</v>
      </c>
      <c r="K81" s="28">
        <f t="shared" si="14"/>
        <v>0</v>
      </c>
      <c r="L81" s="28">
        <f t="shared" si="14"/>
        <v>0</v>
      </c>
      <c r="M81" s="28">
        <f t="shared" si="14"/>
        <v>0</v>
      </c>
      <c r="N81" s="28">
        <f t="shared" si="14"/>
        <v>0</v>
      </c>
      <c r="O81" s="28">
        <f t="shared" si="14"/>
        <v>0</v>
      </c>
      <c r="P81" s="28">
        <f t="shared" si="14"/>
        <v>0</v>
      </c>
      <c r="Q81" s="28">
        <f t="shared" si="14"/>
        <v>0</v>
      </c>
      <c r="R81" s="28">
        <f t="shared" si="14"/>
        <v>0</v>
      </c>
      <c r="S81" s="28">
        <f t="shared" si="14"/>
        <v>0</v>
      </c>
      <c r="T81" s="28">
        <f t="shared" si="14"/>
        <v>0</v>
      </c>
      <c r="U81" s="28">
        <f t="shared" si="14"/>
        <v>0</v>
      </c>
      <c r="V81" s="28">
        <f t="shared" si="14"/>
        <v>0</v>
      </c>
      <c r="W81" s="28">
        <f t="shared" si="14"/>
        <v>0</v>
      </c>
      <c r="X81" s="28">
        <f t="shared" si="14"/>
        <v>0</v>
      </c>
      <c r="Y81" s="28">
        <f t="shared" si="14"/>
        <v>0</v>
      </c>
      <c r="Z81" s="28">
        <f t="shared" si="14"/>
        <v>0</v>
      </c>
      <c r="AA81" s="28">
        <f t="shared" si="14"/>
        <v>0</v>
      </c>
      <c r="AB81" s="28">
        <f t="shared" si="14"/>
        <v>0</v>
      </c>
      <c r="AC81" s="28">
        <f t="shared" si="14"/>
        <v>0</v>
      </c>
      <c r="AD81" s="28">
        <f t="shared" si="14"/>
        <v>0</v>
      </c>
      <c r="AE81" s="28">
        <f t="shared" si="14"/>
        <v>0</v>
      </c>
      <c r="AF81" s="28">
        <f t="shared" si="14"/>
        <v>0</v>
      </c>
      <c r="AG81" s="28">
        <f t="shared" si="14"/>
        <v>0</v>
      </c>
      <c r="AH81"/>
    </row>
    <row r="82" spans="1:34" x14ac:dyDescent="0.2">
      <c r="A82" s="6"/>
      <c r="B82" s="6"/>
      <c r="C82" s="4" t="s">
        <v>133</v>
      </c>
      <c r="D82" s="34"/>
      <c r="F82" s="85"/>
      <c r="G82" s="183">
        <f t="shared" si="12"/>
        <v>45291</v>
      </c>
      <c r="H82" s="28"/>
      <c r="I82" s="28">
        <f t="shared" ref="I82:AG82" si="15">I62</f>
        <v>0</v>
      </c>
      <c r="J82" s="28">
        <f t="shared" si="15"/>
        <v>0</v>
      </c>
      <c r="K82" s="28">
        <f t="shared" si="15"/>
        <v>0</v>
      </c>
      <c r="L82" s="28">
        <f t="shared" si="15"/>
        <v>0</v>
      </c>
      <c r="M82" s="28">
        <f t="shared" si="15"/>
        <v>0</v>
      </c>
      <c r="N82" s="28">
        <f t="shared" si="15"/>
        <v>0</v>
      </c>
      <c r="O82" s="28">
        <f t="shared" si="15"/>
        <v>0</v>
      </c>
      <c r="P82" s="28">
        <f t="shared" si="15"/>
        <v>0</v>
      </c>
      <c r="Q82" s="28">
        <f t="shared" si="15"/>
        <v>0</v>
      </c>
      <c r="R82" s="28">
        <f t="shared" si="15"/>
        <v>0</v>
      </c>
      <c r="S82" s="28">
        <f t="shared" si="15"/>
        <v>0</v>
      </c>
      <c r="T82" s="28">
        <f t="shared" si="15"/>
        <v>0</v>
      </c>
      <c r="U82" s="28">
        <f t="shared" si="15"/>
        <v>0</v>
      </c>
      <c r="V82" s="28">
        <f t="shared" si="15"/>
        <v>0</v>
      </c>
      <c r="W82" s="28">
        <f t="shared" si="15"/>
        <v>0</v>
      </c>
      <c r="X82" s="28">
        <f t="shared" si="15"/>
        <v>0</v>
      </c>
      <c r="Y82" s="28">
        <f t="shared" si="15"/>
        <v>0</v>
      </c>
      <c r="Z82" s="28">
        <f t="shared" si="15"/>
        <v>0</v>
      </c>
      <c r="AA82" s="28">
        <f t="shared" si="15"/>
        <v>0</v>
      </c>
      <c r="AB82" s="28">
        <f t="shared" si="15"/>
        <v>0</v>
      </c>
      <c r="AC82" s="28">
        <f t="shared" si="15"/>
        <v>0</v>
      </c>
      <c r="AD82" s="28">
        <f t="shared" si="15"/>
        <v>0</v>
      </c>
      <c r="AE82" s="28">
        <f t="shared" si="15"/>
        <v>0</v>
      </c>
      <c r="AF82" s="28">
        <f t="shared" si="15"/>
        <v>0</v>
      </c>
      <c r="AG82" s="28">
        <f t="shared" si="15"/>
        <v>0</v>
      </c>
      <c r="AH82"/>
    </row>
    <row r="83" spans="1:34" x14ac:dyDescent="0.2">
      <c r="A83" s="6"/>
      <c r="B83" s="6"/>
      <c r="C83" s="4" t="s">
        <v>134</v>
      </c>
      <c r="D83" s="34"/>
      <c r="F83" s="85"/>
      <c r="G83" s="183">
        <f t="shared" si="12"/>
        <v>45291</v>
      </c>
      <c r="H83" s="28"/>
      <c r="I83" s="28">
        <f t="shared" ref="I83:AG83" si="16">I55</f>
        <v>0</v>
      </c>
      <c r="J83" s="28">
        <f t="shared" si="16"/>
        <v>0</v>
      </c>
      <c r="K83" s="28">
        <f t="shared" si="16"/>
        <v>0</v>
      </c>
      <c r="L83" s="28">
        <f t="shared" si="16"/>
        <v>0</v>
      </c>
      <c r="M83" s="28">
        <f t="shared" si="16"/>
        <v>0</v>
      </c>
      <c r="N83" s="28">
        <f t="shared" si="16"/>
        <v>0</v>
      </c>
      <c r="O83" s="28">
        <f t="shared" si="16"/>
        <v>0</v>
      </c>
      <c r="P83" s="28">
        <f t="shared" si="16"/>
        <v>0</v>
      </c>
      <c r="Q83" s="28">
        <f t="shared" si="16"/>
        <v>0</v>
      </c>
      <c r="R83" s="28">
        <f t="shared" si="16"/>
        <v>0</v>
      </c>
      <c r="S83" s="28">
        <f t="shared" si="16"/>
        <v>0</v>
      </c>
      <c r="T83" s="28">
        <f t="shared" si="16"/>
        <v>0</v>
      </c>
      <c r="U83" s="28">
        <f t="shared" si="16"/>
        <v>0</v>
      </c>
      <c r="V83" s="28">
        <f t="shared" si="16"/>
        <v>0</v>
      </c>
      <c r="W83" s="28">
        <f t="shared" si="16"/>
        <v>0</v>
      </c>
      <c r="X83" s="28">
        <f t="shared" si="16"/>
        <v>0</v>
      </c>
      <c r="Y83" s="28">
        <f t="shared" si="16"/>
        <v>0</v>
      </c>
      <c r="Z83" s="28">
        <f t="shared" si="16"/>
        <v>0</v>
      </c>
      <c r="AA83" s="28">
        <f t="shared" si="16"/>
        <v>0</v>
      </c>
      <c r="AB83" s="28">
        <f t="shared" si="16"/>
        <v>0</v>
      </c>
      <c r="AC83" s="28">
        <f t="shared" si="16"/>
        <v>0</v>
      </c>
      <c r="AD83" s="28">
        <f t="shared" si="16"/>
        <v>0</v>
      </c>
      <c r="AE83" s="28">
        <f t="shared" si="16"/>
        <v>0</v>
      </c>
      <c r="AF83" s="28">
        <f t="shared" si="16"/>
        <v>0</v>
      </c>
      <c r="AG83" s="28">
        <f t="shared" si="16"/>
        <v>0</v>
      </c>
      <c r="AH83"/>
    </row>
    <row r="84" spans="1:34" x14ac:dyDescent="0.2">
      <c r="A84" s="6"/>
      <c r="B84" s="6"/>
      <c r="C84" s="4"/>
      <c r="D84" s="34"/>
      <c r="F84" s="28"/>
      <c r="G84" s="183"/>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row>
    <row r="85" spans="1:34" x14ac:dyDescent="0.2">
      <c r="A85" s="6"/>
      <c r="B85" s="6"/>
      <c r="C85" s="152" t="s">
        <v>135</v>
      </c>
      <c r="D85" s="153"/>
      <c r="E85" s="149"/>
      <c r="F85" s="154"/>
      <c r="G85" s="188">
        <f t="shared" si="12"/>
        <v>45291</v>
      </c>
      <c r="H85" s="154"/>
      <c r="I85" s="154">
        <f t="shared" ref="I85:AB85" si="17">SUM(I80:I84)</f>
        <v>0</v>
      </c>
      <c r="J85" s="154">
        <f t="shared" si="17"/>
        <v>0</v>
      </c>
      <c r="K85" s="154">
        <f t="shared" si="17"/>
        <v>0</v>
      </c>
      <c r="L85" s="154">
        <f t="shared" si="17"/>
        <v>0</v>
      </c>
      <c r="M85" s="154">
        <f t="shared" si="17"/>
        <v>0</v>
      </c>
      <c r="N85" s="154">
        <f t="shared" si="17"/>
        <v>0</v>
      </c>
      <c r="O85" s="154">
        <f t="shared" si="17"/>
        <v>0</v>
      </c>
      <c r="P85" s="154">
        <f t="shared" si="17"/>
        <v>0</v>
      </c>
      <c r="Q85" s="154">
        <f t="shared" si="17"/>
        <v>0</v>
      </c>
      <c r="R85" s="154">
        <f t="shared" si="17"/>
        <v>0</v>
      </c>
      <c r="S85" s="154">
        <f t="shared" si="17"/>
        <v>0</v>
      </c>
      <c r="T85" s="154">
        <f t="shared" si="17"/>
        <v>0</v>
      </c>
      <c r="U85" s="154">
        <f t="shared" si="17"/>
        <v>0</v>
      </c>
      <c r="V85" s="154">
        <f t="shared" si="17"/>
        <v>0</v>
      </c>
      <c r="W85" s="154">
        <f t="shared" si="17"/>
        <v>0</v>
      </c>
      <c r="X85" s="154">
        <f t="shared" si="17"/>
        <v>0</v>
      </c>
      <c r="Y85" s="154">
        <f t="shared" si="17"/>
        <v>0</v>
      </c>
      <c r="Z85" s="154">
        <f t="shared" si="17"/>
        <v>0</v>
      </c>
      <c r="AA85" s="154">
        <f t="shared" si="17"/>
        <v>0</v>
      </c>
      <c r="AB85" s="154">
        <f t="shared" si="17"/>
        <v>0</v>
      </c>
      <c r="AC85" s="154">
        <f>SUM(AC80:AC84)</f>
        <v>0</v>
      </c>
      <c r="AD85" s="154">
        <f>SUM(AD80:AD84)</f>
        <v>0</v>
      </c>
      <c r="AE85" s="154">
        <f>SUM(AE80:AE84)</f>
        <v>0</v>
      </c>
      <c r="AF85" s="154">
        <f>SUM(AF80:AF84)</f>
        <v>0</v>
      </c>
      <c r="AG85" s="154">
        <f>SUM(AG80:AG84)</f>
        <v>0</v>
      </c>
      <c r="AH85"/>
    </row>
    <row r="86" spans="1:34" x14ac:dyDescent="0.2">
      <c r="A86" s="6"/>
      <c r="B86" s="6"/>
      <c r="C86" s="12"/>
      <c r="D86" s="34"/>
      <c r="F86" s="119"/>
      <c r="G86" s="183"/>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c r="AH86"/>
    </row>
    <row r="87" spans="1:34" x14ac:dyDescent="0.2">
      <c r="A87" s="6"/>
      <c r="B87" s="6"/>
      <c r="C87" s="12"/>
      <c r="D87" s="34"/>
      <c r="F87" s="119"/>
      <c r="G87" s="183"/>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c r="AH87"/>
    </row>
    <row r="88" spans="1:34" x14ac:dyDescent="0.2">
      <c r="A88" s="6"/>
      <c r="B88" s="6"/>
      <c r="C88" s="202" t="s">
        <v>137</v>
      </c>
      <c r="D88" s="72"/>
      <c r="E88" s="203"/>
      <c r="F88" s="204"/>
      <c r="G88" s="205" cm="1">
        <f t="array" ref="G88">IF(SUM($I17:$AG17)=0,0,(INDEX(I$6:AG$6,MATCH(TRUE,INDEX($I17:$AG17&lt;&gt;0,),0))))</f>
        <v>0</v>
      </c>
      <c r="H88" s="6"/>
      <c r="I88" s="6"/>
      <c r="J88" s="6"/>
      <c r="K88" s="6"/>
      <c r="L88" s="6"/>
      <c r="M88" s="6"/>
      <c r="N88" s="6"/>
      <c r="O88" s="6"/>
      <c r="P88" s="6"/>
      <c r="Q88" s="6"/>
      <c r="R88" s="6"/>
      <c r="S88" s="6"/>
      <c r="T88" s="6"/>
      <c r="U88" s="6"/>
      <c r="V88" s="6"/>
      <c r="W88" s="6"/>
      <c r="X88" s="6"/>
      <c r="Y88" s="6"/>
      <c r="Z88" s="6"/>
      <c r="AA88" s="6"/>
      <c r="AB88" s="6"/>
      <c r="AC88" s="6"/>
      <c r="AD88" s="6"/>
      <c r="AE88" s="6"/>
      <c r="AF88" s="6"/>
      <c r="AG88" s="6"/>
      <c r="AH88"/>
    </row>
    <row r="89" spans="1:34" x14ac:dyDescent="0.2">
      <c r="C89" s="72"/>
      <c r="D89" s="206"/>
      <c r="E89" s="203"/>
      <c r="F89" s="203"/>
      <c r="G89" s="205"/>
    </row>
    <row r="90" spans="1:34" x14ac:dyDescent="0.2">
      <c r="C90" s="207" t="s">
        <v>138</v>
      </c>
      <c r="D90" s="208"/>
      <c r="E90" s="208"/>
      <c r="F90" s="208"/>
      <c r="G90" s="209" t="str">
        <f>IF(_xlfn.MINIFS($G$88:$G$89, $G$88:$G$89, "&gt;"&amp;0)=0, $A$4, _xlfn.MINIFS($G$88:$G$89, $G$88:$G$89, "&gt;"&amp;0))</f>
        <v>Not used</v>
      </c>
    </row>
    <row r="92" spans="1:34" x14ac:dyDescent="0.2">
      <c r="G92" s="10"/>
    </row>
    <row r="100" spans="1:43" ht="15" x14ac:dyDescent="0.2">
      <c r="A100" s="78" t="s">
        <v>16</v>
      </c>
      <c r="B100" s="78"/>
      <c r="C100" s="78"/>
      <c r="D100" s="78"/>
      <c r="E100" s="78"/>
      <c r="F100" s="78"/>
      <c r="G100" s="177"/>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3"/>
      <c r="J102" s="213"/>
      <c r="K102" s="213"/>
      <c r="L102" s="213"/>
      <c r="M102" s="213"/>
      <c r="N102" s="213"/>
      <c r="O102" s="213"/>
      <c r="P102" s="213"/>
      <c r="Q102" s="213"/>
      <c r="R102" s="213"/>
      <c r="S102" s="213"/>
      <c r="T102" s="213"/>
      <c r="U102" s="213"/>
      <c r="V102" s="213"/>
      <c r="W102" s="213"/>
      <c r="X102" s="213"/>
      <c r="Y102" s="213"/>
      <c r="Z102" s="213"/>
    </row>
    <row r="103" spans="1:43" x14ac:dyDescent="0.2">
      <c r="I103" s="213"/>
      <c r="J103" s="213"/>
      <c r="K103" s="213"/>
      <c r="L103" s="213"/>
      <c r="M103" s="213"/>
      <c r="N103" s="213"/>
      <c r="O103" s="213"/>
      <c r="P103" s="213"/>
      <c r="Q103" s="213"/>
      <c r="R103" s="213"/>
      <c r="S103" s="213"/>
      <c r="T103" s="213"/>
      <c r="U103" s="213"/>
      <c r="V103" s="213"/>
      <c r="W103" s="213"/>
      <c r="X103" s="213"/>
      <c r="Y103" s="213"/>
      <c r="Z103" s="213"/>
    </row>
    <row r="104" spans="1:43" x14ac:dyDescent="0.2">
      <c r="A104" s="1" t="s">
        <v>7</v>
      </c>
      <c r="C104" s="1" t="s">
        <v>135</v>
      </c>
      <c r="D104"/>
      <c r="E104"/>
      <c r="F104"/>
      <c r="G104" s="34" t="str">
        <f>PROPER($A$3)&amp;A104</f>
        <v>Option 3NPV</v>
      </c>
      <c r="I104" s="28">
        <f>I85</f>
        <v>0</v>
      </c>
      <c r="J104" s="28">
        <f t="shared" ref="J104:AG104" si="18">J85</f>
        <v>0</v>
      </c>
      <c r="K104" s="28">
        <f t="shared" si="18"/>
        <v>0</v>
      </c>
      <c r="L104" s="28">
        <f t="shared" si="18"/>
        <v>0</v>
      </c>
      <c r="M104" s="28">
        <f t="shared" si="18"/>
        <v>0</v>
      </c>
      <c r="N104" s="28">
        <f t="shared" si="18"/>
        <v>0</v>
      </c>
      <c r="O104" s="28">
        <f t="shared" si="18"/>
        <v>0</v>
      </c>
      <c r="P104" s="28">
        <f t="shared" si="18"/>
        <v>0</v>
      </c>
      <c r="Q104" s="28">
        <f t="shared" si="18"/>
        <v>0</v>
      </c>
      <c r="R104" s="28">
        <f t="shared" si="18"/>
        <v>0</v>
      </c>
      <c r="S104" s="28">
        <f t="shared" si="18"/>
        <v>0</v>
      </c>
      <c r="T104" s="28">
        <f t="shared" si="18"/>
        <v>0</v>
      </c>
      <c r="U104" s="28">
        <f t="shared" si="18"/>
        <v>0</v>
      </c>
      <c r="V104" s="28">
        <f t="shared" si="18"/>
        <v>0</v>
      </c>
      <c r="W104" s="28">
        <f t="shared" si="18"/>
        <v>0</v>
      </c>
      <c r="X104" s="28">
        <f t="shared" si="18"/>
        <v>0</v>
      </c>
      <c r="Y104" s="28">
        <f t="shared" si="18"/>
        <v>0</v>
      </c>
      <c r="Z104" s="28">
        <f t="shared" si="18"/>
        <v>0</v>
      </c>
      <c r="AA104" s="28">
        <f t="shared" si="18"/>
        <v>0</v>
      </c>
      <c r="AB104" s="28">
        <f t="shared" si="18"/>
        <v>0</v>
      </c>
      <c r="AC104" s="28">
        <f t="shared" si="18"/>
        <v>0</v>
      </c>
      <c r="AD104" s="28">
        <f t="shared" si="18"/>
        <v>0</v>
      </c>
      <c r="AE104" s="28">
        <f t="shared" si="18"/>
        <v>0</v>
      </c>
      <c r="AF104" s="28">
        <f t="shared" si="18"/>
        <v>0</v>
      </c>
      <c r="AG104" s="28">
        <f t="shared" si="18"/>
        <v>0</v>
      </c>
    </row>
    <row r="105" spans="1:43" x14ac:dyDescent="0.2">
      <c r="C105" s="1" t="s">
        <v>132</v>
      </c>
      <c r="D105"/>
      <c r="E105"/>
      <c r="F105"/>
      <c r="G105"/>
      <c r="I105" s="28">
        <f>I80</f>
        <v>0</v>
      </c>
      <c r="J105" s="28">
        <f t="shared" ref="J105:AG105" si="19">J80</f>
        <v>0</v>
      </c>
      <c r="K105" s="28">
        <f t="shared" si="19"/>
        <v>0</v>
      </c>
      <c r="L105" s="28">
        <f t="shared" si="19"/>
        <v>0</v>
      </c>
      <c r="M105" s="28">
        <f t="shared" si="19"/>
        <v>0</v>
      </c>
      <c r="N105" s="28">
        <f t="shared" si="19"/>
        <v>0</v>
      </c>
      <c r="O105" s="28">
        <f t="shared" si="19"/>
        <v>0</v>
      </c>
      <c r="P105" s="28">
        <f t="shared" si="19"/>
        <v>0</v>
      </c>
      <c r="Q105" s="28">
        <f t="shared" si="19"/>
        <v>0</v>
      </c>
      <c r="R105" s="28">
        <f t="shared" si="19"/>
        <v>0</v>
      </c>
      <c r="S105" s="28">
        <f t="shared" si="19"/>
        <v>0</v>
      </c>
      <c r="T105" s="28">
        <f t="shared" si="19"/>
        <v>0</v>
      </c>
      <c r="U105" s="28">
        <f t="shared" si="19"/>
        <v>0</v>
      </c>
      <c r="V105" s="28">
        <f t="shared" si="19"/>
        <v>0</v>
      </c>
      <c r="W105" s="28">
        <f t="shared" si="19"/>
        <v>0</v>
      </c>
      <c r="X105" s="28">
        <f t="shared" si="19"/>
        <v>0</v>
      </c>
      <c r="Y105" s="28">
        <f t="shared" si="19"/>
        <v>0</v>
      </c>
      <c r="Z105" s="28">
        <f t="shared" si="19"/>
        <v>0</v>
      </c>
      <c r="AA105" s="28">
        <f t="shared" si="19"/>
        <v>0</v>
      </c>
      <c r="AB105" s="28">
        <f t="shared" si="19"/>
        <v>0</v>
      </c>
      <c r="AC105" s="28">
        <f t="shared" si="19"/>
        <v>0</v>
      </c>
      <c r="AD105" s="28">
        <f t="shared" si="19"/>
        <v>0</v>
      </c>
      <c r="AE105" s="28">
        <f t="shared" si="19"/>
        <v>0</v>
      </c>
      <c r="AF105" s="28">
        <f t="shared" si="19"/>
        <v>0</v>
      </c>
      <c r="AG105" s="28">
        <f t="shared" si="19"/>
        <v>0</v>
      </c>
    </row>
    <row r="106" spans="1:43" x14ac:dyDescent="0.2">
      <c r="C106" s="1" t="s">
        <v>96</v>
      </c>
      <c r="D106"/>
      <c r="E106"/>
      <c r="F106"/>
      <c r="G106"/>
      <c r="I106" s="28">
        <f>SUM(I82:I83)</f>
        <v>0</v>
      </c>
      <c r="J106" s="28">
        <f t="shared" ref="J106:AG106" si="20">SUM(J82:J83)</f>
        <v>0</v>
      </c>
      <c r="K106" s="28">
        <f t="shared" si="20"/>
        <v>0</v>
      </c>
      <c r="L106" s="28">
        <f t="shared" si="20"/>
        <v>0</v>
      </c>
      <c r="M106" s="28">
        <f t="shared" si="20"/>
        <v>0</v>
      </c>
      <c r="N106" s="28">
        <f t="shared" si="20"/>
        <v>0</v>
      </c>
      <c r="O106" s="28">
        <f t="shared" si="20"/>
        <v>0</v>
      </c>
      <c r="P106" s="28">
        <f t="shared" si="20"/>
        <v>0</v>
      </c>
      <c r="Q106" s="28">
        <f t="shared" si="20"/>
        <v>0</v>
      </c>
      <c r="R106" s="28">
        <f t="shared" si="20"/>
        <v>0</v>
      </c>
      <c r="S106" s="28">
        <f t="shared" si="20"/>
        <v>0</v>
      </c>
      <c r="T106" s="28">
        <f t="shared" si="20"/>
        <v>0</v>
      </c>
      <c r="U106" s="28">
        <f t="shared" si="20"/>
        <v>0</v>
      </c>
      <c r="V106" s="28">
        <f t="shared" si="20"/>
        <v>0</v>
      </c>
      <c r="W106" s="28">
        <f t="shared" si="20"/>
        <v>0</v>
      </c>
      <c r="X106" s="28">
        <f t="shared" si="20"/>
        <v>0</v>
      </c>
      <c r="Y106" s="28">
        <f t="shared" si="20"/>
        <v>0</v>
      </c>
      <c r="Z106" s="28">
        <f t="shared" si="20"/>
        <v>0</v>
      </c>
      <c r="AA106" s="28">
        <f t="shared" si="20"/>
        <v>0</v>
      </c>
      <c r="AB106" s="28">
        <f t="shared" si="20"/>
        <v>0</v>
      </c>
      <c r="AC106" s="28">
        <f t="shared" si="20"/>
        <v>0</v>
      </c>
      <c r="AD106" s="28">
        <f t="shared" si="20"/>
        <v>0</v>
      </c>
      <c r="AE106" s="28">
        <f t="shared" si="20"/>
        <v>0</v>
      </c>
      <c r="AF106" s="28">
        <f t="shared" si="20"/>
        <v>0</v>
      </c>
      <c r="AG106" s="28">
        <f t="shared" si="20"/>
        <v>0</v>
      </c>
    </row>
    <row r="107" spans="1:43" x14ac:dyDescent="0.2">
      <c r="D107" s="253" t="str">
        <f>Assumptions!G116</f>
        <v>Capex</v>
      </c>
      <c r="E107" s="253" t="str">
        <f>Assumptions!H116</f>
        <v>Total benefits</v>
      </c>
      <c r="I107" s="213"/>
      <c r="J107" s="213"/>
      <c r="K107" s="213"/>
      <c r="L107" s="213"/>
      <c r="M107" s="213"/>
      <c r="N107" s="213"/>
      <c r="O107" s="213"/>
      <c r="P107" s="213"/>
      <c r="Q107" s="213"/>
      <c r="R107" s="213"/>
      <c r="S107" s="213"/>
      <c r="T107" s="213"/>
      <c r="U107" s="213"/>
      <c r="V107" s="213"/>
      <c r="W107" s="213"/>
      <c r="X107" s="213"/>
      <c r="Y107" s="213"/>
      <c r="Z107" s="213"/>
    </row>
    <row r="108" spans="1:43" x14ac:dyDescent="0.2">
      <c r="A108" s="1" t="str">
        <f>"sens"&amp;Assumptions!B117</f>
        <v>sens1</v>
      </c>
      <c r="C108" s="252" t="str">
        <f>Assumptions!C117</f>
        <v>Capex 10% higher</v>
      </c>
      <c r="D108" s="253">
        <f>Assumptions!G117</f>
        <v>0.1</v>
      </c>
      <c r="E108" s="253">
        <f>Assumptions!H117</f>
        <v>0</v>
      </c>
      <c r="G108" s="34" t="str">
        <f>PROPER($A$3)&amp;A108</f>
        <v>Option 3sens1</v>
      </c>
      <c r="I108" s="28" cm="1">
        <f t="array" ref="I108">I$104+IF($C108&lt;&gt;0,SUMPRODUCT((I$105:I$106)*TRANSPOSE(($D108:$E108))),0)</f>
        <v>0</v>
      </c>
      <c r="J108" s="28" cm="1">
        <f t="array" ref="J108">J$104+IF($C108&lt;&gt;0,SUMPRODUCT((J$105:J$106)*TRANSPOSE(($D108:$E108))),0)</f>
        <v>0</v>
      </c>
      <c r="K108" s="28" cm="1">
        <f t="array" ref="K108">K$104+IF($C108&lt;&gt;0,SUMPRODUCT((K$105:K$106)*TRANSPOSE(($D108:$E108))),0)</f>
        <v>0</v>
      </c>
      <c r="L108" s="28" cm="1">
        <f t="array" ref="L108">L$104+IF($C108&lt;&gt;0,SUMPRODUCT((L$105:L$106)*TRANSPOSE(($D108:$E108))),0)</f>
        <v>0</v>
      </c>
      <c r="M108" s="28" cm="1">
        <f t="array" ref="M108">M$104+IF($C108&lt;&gt;0,SUMPRODUCT((M$105:M$106)*TRANSPOSE(($D108:$E108))),0)</f>
        <v>0</v>
      </c>
      <c r="N108" s="28" cm="1">
        <f t="array" ref="N108">N$104+IF($C108&lt;&gt;0,SUMPRODUCT((N$105:N$106)*TRANSPOSE(($D108:$E108))),0)</f>
        <v>0</v>
      </c>
      <c r="O108" s="28" cm="1">
        <f t="array" ref="O108">O$104+IF($C108&lt;&gt;0,SUMPRODUCT((O$105:O$106)*TRANSPOSE(($D108:$E108))),0)</f>
        <v>0</v>
      </c>
      <c r="P108" s="28" cm="1">
        <f t="array" ref="P108">P$104+IF($C108&lt;&gt;0,SUMPRODUCT((P$105:P$106)*TRANSPOSE(($D108:$E108))),0)</f>
        <v>0</v>
      </c>
      <c r="Q108" s="28" cm="1">
        <f t="array" ref="Q108">Q$104+IF($C108&lt;&gt;0,SUMPRODUCT((Q$105:Q$106)*TRANSPOSE(($D108:$E108))),0)</f>
        <v>0</v>
      </c>
      <c r="R108" s="28" cm="1">
        <f t="array" ref="R108">R$104+IF($C108&lt;&gt;0,SUMPRODUCT((R$105:R$106)*TRANSPOSE(($D108:$E108))),0)</f>
        <v>0</v>
      </c>
      <c r="S108" s="28" cm="1">
        <f t="array" ref="S108">S$104+IF($C108&lt;&gt;0,SUMPRODUCT((S$105:S$106)*TRANSPOSE(($D108:$E108))),0)</f>
        <v>0</v>
      </c>
      <c r="T108" s="28" cm="1">
        <f t="array" ref="T108">T$104+IF($C108&lt;&gt;0,SUMPRODUCT((T$105:T$106)*TRANSPOSE(($D108:$E108))),0)</f>
        <v>0</v>
      </c>
      <c r="U108" s="28" cm="1">
        <f t="array" ref="U108">U$104+IF($C108&lt;&gt;0,SUMPRODUCT((U$105:U$106)*TRANSPOSE(($D108:$E108))),0)</f>
        <v>0</v>
      </c>
      <c r="V108" s="28" cm="1">
        <f t="array" ref="V108">V$104+IF($C108&lt;&gt;0,SUMPRODUCT((V$105:V$106)*TRANSPOSE(($D108:$E108))),0)</f>
        <v>0</v>
      </c>
      <c r="W108" s="28" cm="1">
        <f t="array" ref="W108">W$104+IF($C108&lt;&gt;0,SUMPRODUCT((W$105:W$106)*TRANSPOSE(($D108:$E108))),0)</f>
        <v>0</v>
      </c>
      <c r="X108" s="28" cm="1">
        <f t="array" ref="X108">X$104+IF($C108&lt;&gt;0,SUMPRODUCT((X$105:X$106)*TRANSPOSE(($D108:$E108))),0)</f>
        <v>0</v>
      </c>
      <c r="Y108" s="28" cm="1">
        <f t="array" ref="Y108">Y$104+IF($C108&lt;&gt;0,SUMPRODUCT((Y$105:Y$106)*TRANSPOSE(($D108:$E108))),0)</f>
        <v>0</v>
      </c>
      <c r="Z108" s="28" cm="1">
        <f t="array" ref="Z108">Z$104+IF($C108&lt;&gt;0,SUMPRODUCT((Z$105:Z$106)*TRANSPOSE(($D108:$E108))),0)</f>
        <v>0</v>
      </c>
      <c r="AA108" s="28" cm="1">
        <f t="array" ref="AA108">AA$104+IF($C108&lt;&gt;0,SUMPRODUCT((AA$105:AA$106)*TRANSPOSE(($D108:$E108))),0)</f>
        <v>0</v>
      </c>
      <c r="AB108" s="28" cm="1">
        <f t="array" ref="AB108">AB$104+IF($C108&lt;&gt;0,SUMPRODUCT((AB$105:AB$106)*TRANSPOSE(($D108:$E108))),0)</f>
        <v>0</v>
      </c>
      <c r="AC108" s="28" cm="1">
        <f t="array" ref="AC108">AC$104+IF($C108&lt;&gt;0,SUMPRODUCT((AC$105:AC$106)*TRANSPOSE(($D108:$E108))),0)</f>
        <v>0</v>
      </c>
      <c r="AD108" s="28" cm="1">
        <f t="array" ref="AD108">AD$104+IF($C108&lt;&gt;0,SUMPRODUCT((AD$105:AD$106)*TRANSPOSE(($D108:$E108))),0)</f>
        <v>0</v>
      </c>
      <c r="AE108" s="28" cm="1">
        <f t="array" ref="AE108">AE$104+IF($C108&lt;&gt;0,SUMPRODUCT((AE$105:AE$106)*TRANSPOSE(($D108:$E108))),0)</f>
        <v>0</v>
      </c>
      <c r="AF108" s="28" cm="1">
        <f t="array" ref="AF108">AF$104+IF($C108&lt;&gt;0,SUMPRODUCT((AF$105:AF$106)*TRANSPOSE(($D108:$E108))),0)</f>
        <v>0</v>
      </c>
      <c r="AG108" s="28" cm="1">
        <f t="array" ref="AG108">AG$104+IF($C108&lt;&gt;0,SUMPRODUCT((AG$105:AG$106)*TRANSPOSE(($D108:$E108))),0)</f>
        <v>0</v>
      </c>
    </row>
    <row r="109" spans="1:43" x14ac:dyDescent="0.2">
      <c r="A109" s="1" t="str">
        <f>"sens"&amp;Assumptions!B118</f>
        <v>sens2</v>
      </c>
      <c r="C109" s="252" t="str">
        <f>Assumptions!C118</f>
        <v>Capex 10% lower</v>
      </c>
      <c r="D109" s="253">
        <f>Assumptions!G118</f>
        <v>-0.1</v>
      </c>
      <c r="E109" s="253">
        <f>Assumptions!H118</f>
        <v>0</v>
      </c>
      <c r="G109" s="34" t="str">
        <f t="shared" ref="G109:G115" si="21">PROPER($A$3)&amp;A109</f>
        <v>Option 3sens2</v>
      </c>
      <c r="I109" s="28" cm="1">
        <f t="array" ref="I109">I$104+IF($C109&lt;&gt;0,SUMPRODUCT((I$105:I$106)*TRANSPOSE(($D109:$E109))),0)</f>
        <v>0</v>
      </c>
      <c r="J109" s="28" cm="1">
        <f t="array" ref="J109">J$104+IF($C109&lt;&gt;0,SUMPRODUCT((J$105:J$106)*TRANSPOSE(($D109:$E109))),0)</f>
        <v>0</v>
      </c>
      <c r="K109" s="28" cm="1">
        <f t="array" ref="K109">K$104+IF($C109&lt;&gt;0,SUMPRODUCT((K$105:K$106)*TRANSPOSE(($D109:$E109))),0)</f>
        <v>0</v>
      </c>
      <c r="L109" s="28" cm="1">
        <f t="array" ref="L109">L$104+IF($C109&lt;&gt;0,SUMPRODUCT((L$105:L$106)*TRANSPOSE(($D109:$E109))),0)</f>
        <v>0</v>
      </c>
      <c r="M109" s="28" cm="1">
        <f t="array" ref="M109">M$104+IF($C109&lt;&gt;0,SUMPRODUCT((M$105:M$106)*TRANSPOSE(($D109:$E109))),0)</f>
        <v>0</v>
      </c>
      <c r="N109" s="28" cm="1">
        <f t="array" ref="N109">N$104+IF($C109&lt;&gt;0,SUMPRODUCT((N$105:N$106)*TRANSPOSE(($D109:$E109))),0)</f>
        <v>0</v>
      </c>
      <c r="O109" s="28" cm="1">
        <f t="array" ref="O109">O$104+IF($C109&lt;&gt;0,SUMPRODUCT((O$105:O$106)*TRANSPOSE(($D109:$E109))),0)</f>
        <v>0</v>
      </c>
      <c r="P109" s="28" cm="1">
        <f t="array" ref="P109">P$104+IF($C109&lt;&gt;0,SUMPRODUCT((P$105:P$106)*TRANSPOSE(($D109:$E109))),0)</f>
        <v>0</v>
      </c>
      <c r="Q109" s="28" cm="1">
        <f t="array" ref="Q109">Q$104+IF($C109&lt;&gt;0,SUMPRODUCT((Q$105:Q$106)*TRANSPOSE(($D109:$E109))),0)</f>
        <v>0</v>
      </c>
      <c r="R109" s="28" cm="1">
        <f t="array" ref="R109">R$104+IF($C109&lt;&gt;0,SUMPRODUCT((R$105:R$106)*TRANSPOSE(($D109:$E109))),0)</f>
        <v>0</v>
      </c>
      <c r="S109" s="28" cm="1">
        <f t="array" ref="S109">S$104+IF($C109&lt;&gt;0,SUMPRODUCT((S$105:S$106)*TRANSPOSE(($D109:$E109))),0)</f>
        <v>0</v>
      </c>
      <c r="T109" s="28" cm="1">
        <f t="array" ref="T109">T$104+IF($C109&lt;&gt;0,SUMPRODUCT((T$105:T$106)*TRANSPOSE(($D109:$E109))),0)</f>
        <v>0</v>
      </c>
      <c r="U109" s="28" cm="1">
        <f t="array" ref="U109">U$104+IF($C109&lt;&gt;0,SUMPRODUCT((U$105:U$106)*TRANSPOSE(($D109:$E109))),0)</f>
        <v>0</v>
      </c>
      <c r="V109" s="28" cm="1">
        <f t="array" ref="V109">V$104+IF($C109&lt;&gt;0,SUMPRODUCT((V$105:V$106)*TRANSPOSE(($D109:$E109))),0)</f>
        <v>0</v>
      </c>
      <c r="W109" s="28" cm="1">
        <f t="array" ref="W109">W$104+IF($C109&lt;&gt;0,SUMPRODUCT((W$105:W$106)*TRANSPOSE(($D109:$E109))),0)</f>
        <v>0</v>
      </c>
      <c r="X109" s="28" cm="1">
        <f t="array" ref="X109">X$104+IF($C109&lt;&gt;0,SUMPRODUCT((X$105:X$106)*TRANSPOSE(($D109:$E109))),0)</f>
        <v>0</v>
      </c>
      <c r="Y109" s="28" cm="1">
        <f t="array" ref="Y109">Y$104+IF($C109&lt;&gt;0,SUMPRODUCT((Y$105:Y$106)*TRANSPOSE(($D109:$E109))),0)</f>
        <v>0</v>
      </c>
      <c r="Z109" s="28" cm="1">
        <f t="array" ref="Z109">Z$104+IF($C109&lt;&gt;0,SUMPRODUCT((Z$105:Z$106)*TRANSPOSE(($D109:$E109))),0)</f>
        <v>0</v>
      </c>
      <c r="AA109" s="28" cm="1">
        <f t="array" ref="AA109">AA$104+IF($C109&lt;&gt;0,SUMPRODUCT((AA$105:AA$106)*TRANSPOSE(($D109:$E109))),0)</f>
        <v>0</v>
      </c>
      <c r="AB109" s="28" cm="1">
        <f t="array" ref="AB109">AB$104+IF($C109&lt;&gt;0,SUMPRODUCT((AB$105:AB$106)*TRANSPOSE(($D109:$E109))),0)</f>
        <v>0</v>
      </c>
      <c r="AC109" s="28" cm="1">
        <f t="array" ref="AC109">AC$104+IF($C109&lt;&gt;0,SUMPRODUCT((AC$105:AC$106)*TRANSPOSE(($D109:$E109))),0)</f>
        <v>0</v>
      </c>
      <c r="AD109" s="28" cm="1">
        <f t="array" ref="AD109">AD$104+IF($C109&lt;&gt;0,SUMPRODUCT((AD$105:AD$106)*TRANSPOSE(($D109:$E109))),0)</f>
        <v>0</v>
      </c>
      <c r="AE109" s="28" cm="1">
        <f t="array" ref="AE109">AE$104+IF($C109&lt;&gt;0,SUMPRODUCT((AE$105:AE$106)*TRANSPOSE(($D109:$E109))),0)</f>
        <v>0</v>
      </c>
      <c r="AF109" s="28" cm="1">
        <f t="array" ref="AF109">AF$104+IF($C109&lt;&gt;0,SUMPRODUCT((AF$105:AF$106)*TRANSPOSE(($D109:$E109))),0)</f>
        <v>0</v>
      </c>
      <c r="AG109" s="28" cm="1">
        <f t="array" ref="AG109">AG$104+IF($C109&lt;&gt;0,SUMPRODUCT((AG$105:AG$106)*TRANSPOSE(($D109:$E109))),0)</f>
        <v>0</v>
      </c>
    </row>
    <row r="110" spans="1:43" x14ac:dyDescent="0.2">
      <c r="A110" s="1" t="str">
        <f>"sens"&amp;Assumptions!B119</f>
        <v>sens3</v>
      </c>
      <c r="C110" s="252" t="str">
        <f>Assumptions!C119</f>
        <v>Total benefits 10% higher</v>
      </c>
      <c r="D110" s="253">
        <f>Assumptions!G119</f>
        <v>0</v>
      </c>
      <c r="E110" s="253">
        <f>Assumptions!H119</f>
        <v>0.1</v>
      </c>
      <c r="G110" s="34" t="str">
        <f t="shared" si="21"/>
        <v>Option 3sens3</v>
      </c>
      <c r="I110" s="28" cm="1">
        <f t="array" ref="I110">I$104+IF($C110&lt;&gt;0,SUMPRODUCT((I$105:I$106)*TRANSPOSE(($D110:$E110))),0)</f>
        <v>0</v>
      </c>
      <c r="J110" s="28" cm="1">
        <f t="array" ref="J110">J$104+IF($C110&lt;&gt;0,SUMPRODUCT((J$105:J$106)*TRANSPOSE(($D110:$E110))),0)</f>
        <v>0</v>
      </c>
      <c r="K110" s="28" cm="1">
        <f t="array" ref="K110">K$104+IF($C110&lt;&gt;0,SUMPRODUCT((K$105:K$106)*TRANSPOSE(($D110:$E110))),0)</f>
        <v>0</v>
      </c>
      <c r="L110" s="28" cm="1">
        <f t="array" ref="L110">L$104+IF($C110&lt;&gt;0,SUMPRODUCT((L$105:L$106)*TRANSPOSE(($D110:$E110))),0)</f>
        <v>0</v>
      </c>
      <c r="M110" s="28" cm="1">
        <f t="array" ref="M110">M$104+IF($C110&lt;&gt;0,SUMPRODUCT((M$105:M$106)*TRANSPOSE(($D110:$E110))),0)</f>
        <v>0</v>
      </c>
      <c r="N110" s="28" cm="1">
        <f t="array" ref="N110">N$104+IF($C110&lt;&gt;0,SUMPRODUCT((N$105:N$106)*TRANSPOSE(($D110:$E110))),0)</f>
        <v>0</v>
      </c>
      <c r="O110" s="28" cm="1">
        <f t="array" ref="O110">O$104+IF($C110&lt;&gt;0,SUMPRODUCT((O$105:O$106)*TRANSPOSE(($D110:$E110))),0)</f>
        <v>0</v>
      </c>
      <c r="P110" s="28" cm="1">
        <f t="array" ref="P110">P$104+IF($C110&lt;&gt;0,SUMPRODUCT((P$105:P$106)*TRANSPOSE(($D110:$E110))),0)</f>
        <v>0</v>
      </c>
      <c r="Q110" s="28" cm="1">
        <f t="array" ref="Q110">Q$104+IF($C110&lt;&gt;0,SUMPRODUCT((Q$105:Q$106)*TRANSPOSE(($D110:$E110))),0)</f>
        <v>0</v>
      </c>
      <c r="R110" s="28" cm="1">
        <f t="array" ref="R110">R$104+IF($C110&lt;&gt;0,SUMPRODUCT((R$105:R$106)*TRANSPOSE(($D110:$E110))),0)</f>
        <v>0</v>
      </c>
      <c r="S110" s="28" cm="1">
        <f t="array" ref="S110">S$104+IF($C110&lt;&gt;0,SUMPRODUCT((S$105:S$106)*TRANSPOSE(($D110:$E110))),0)</f>
        <v>0</v>
      </c>
      <c r="T110" s="28" cm="1">
        <f t="array" ref="T110">T$104+IF($C110&lt;&gt;0,SUMPRODUCT((T$105:T$106)*TRANSPOSE(($D110:$E110))),0)</f>
        <v>0</v>
      </c>
      <c r="U110" s="28" cm="1">
        <f t="array" ref="U110">U$104+IF($C110&lt;&gt;0,SUMPRODUCT((U$105:U$106)*TRANSPOSE(($D110:$E110))),0)</f>
        <v>0</v>
      </c>
      <c r="V110" s="28" cm="1">
        <f t="array" ref="V110">V$104+IF($C110&lt;&gt;0,SUMPRODUCT((V$105:V$106)*TRANSPOSE(($D110:$E110))),0)</f>
        <v>0</v>
      </c>
      <c r="W110" s="28" cm="1">
        <f t="array" ref="W110">W$104+IF($C110&lt;&gt;0,SUMPRODUCT((W$105:W$106)*TRANSPOSE(($D110:$E110))),0)</f>
        <v>0</v>
      </c>
      <c r="X110" s="28" cm="1">
        <f t="array" ref="X110">X$104+IF($C110&lt;&gt;0,SUMPRODUCT((X$105:X$106)*TRANSPOSE(($D110:$E110))),0)</f>
        <v>0</v>
      </c>
      <c r="Y110" s="28" cm="1">
        <f t="array" ref="Y110">Y$104+IF($C110&lt;&gt;0,SUMPRODUCT((Y$105:Y$106)*TRANSPOSE(($D110:$E110))),0)</f>
        <v>0</v>
      </c>
      <c r="Z110" s="28" cm="1">
        <f t="array" ref="Z110">Z$104+IF($C110&lt;&gt;0,SUMPRODUCT((Z$105:Z$106)*TRANSPOSE(($D110:$E110))),0)</f>
        <v>0</v>
      </c>
      <c r="AA110" s="28" cm="1">
        <f t="array" ref="AA110">AA$104+IF($C110&lt;&gt;0,SUMPRODUCT((AA$105:AA$106)*TRANSPOSE(($D110:$E110))),0)</f>
        <v>0</v>
      </c>
      <c r="AB110" s="28" cm="1">
        <f t="array" ref="AB110">AB$104+IF($C110&lt;&gt;0,SUMPRODUCT((AB$105:AB$106)*TRANSPOSE(($D110:$E110))),0)</f>
        <v>0</v>
      </c>
      <c r="AC110" s="28" cm="1">
        <f t="array" ref="AC110">AC$104+IF($C110&lt;&gt;0,SUMPRODUCT((AC$105:AC$106)*TRANSPOSE(($D110:$E110))),0)</f>
        <v>0</v>
      </c>
      <c r="AD110" s="28" cm="1">
        <f t="array" ref="AD110">AD$104+IF($C110&lt;&gt;0,SUMPRODUCT((AD$105:AD$106)*TRANSPOSE(($D110:$E110))),0)</f>
        <v>0</v>
      </c>
      <c r="AE110" s="28" cm="1">
        <f t="array" ref="AE110">AE$104+IF($C110&lt;&gt;0,SUMPRODUCT((AE$105:AE$106)*TRANSPOSE(($D110:$E110))),0)</f>
        <v>0</v>
      </c>
      <c r="AF110" s="28" cm="1">
        <f t="array" ref="AF110">AF$104+IF($C110&lt;&gt;0,SUMPRODUCT((AF$105:AF$106)*TRANSPOSE(($D110:$E110))),0)</f>
        <v>0</v>
      </c>
      <c r="AG110" s="28" cm="1">
        <f t="array" ref="AG110">AG$104+IF($C110&lt;&gt;0,SUMPRODUCT((AG$105:AG$106)*TRANSPOSE(($D110:$E110))),0)</f>
        <v>0</v>
      </c>
    </row>
    <row r="111" spans="1:43" x14ac:dyDescent="0.2">
      <c r="A111" s="1" t="str">
        <f>"sens"&amp;Assumptions!B120</f>
        <v>sens4</v>
      </c>
      <c r="C111" s="252" t="str">
        <f>Assumptions!C120</f>
        <v>Total benefits 10% lower</v>
      </c>
      <c r="D111" s="253">
        <f>Assumptions!G120</f>
        <v>0</v>
      </c>
      <c r="E111" s="253">
        <f>Assumptions!H120</f>
        <v>-0.1</v>
      </c>
      <c r="G111" s="34" t="str">
        <f t="shared" si="21"/>
        <v>Option 3sens4</v>
      </c>
      <c r="I111" s="28" cm="1">
        <f t="array" ref="I111">I$104+IF($C111&lt;&gt;0,SUMPRODUCT((I$105:I$106)*TRANSPOSE(($D111:$E111))),0)</f>
        <v>0</v>
      </c>
      <c r="J111" s="28" cm="1">
        <f t="array" ref="J111">J$104+IF($C111&lt;&gt;0,SUMPRODUCT((J$105:J$106)*TRANSPOSE(($D111:$E111))),0)</f>
        <v>0</v>
      </c>
      <c r="K111" s="28" cm="1">
        <f t="array" ref="K111">K$104+IF($C111&lt;&gt;0,SUMPRODUCT((K$105:K$106)*TRANSPOSE(($D111:$E111))),0)</f>
        <v>0</v>
      </c>
      <c r="L111" s="28" cm="1">
        <f t="array" ref="L111">L$104+IF($C111&lt;&gt;0,SUMPRODUCT((L$105:L$106)*TRANSPOSE(($D111:$E111))),0)</f>
        <v>0</v>
      </c>
      <c r="M111" s="28" cm="1">
        <f t="array" ref="M111">M$104+IF($C111&lt;&gt;0,SUMPRODUCT((M$105:M$106)*TRANSPOSE(($D111:$E111))),0)</f>
        <v>0</v>
      </c>
      <c r="N111" s="28" cm="1">
        <f t="array" ref="N111">N$104+IF($C111&lt;&gt;0,SUMPRODUCT((N$105:N$106)*TRANSPOSE(($D111:$E111))),0)</f>
        <v>0</v>
      </c>
      <c r="O111" s="28" cm="1">
        <f t="array" ref="O111">O$104+IF($C111&lt;&gt;0,SUMPRODUCT((O$105:O$106)*TRANSPOSE(($D111:$E111))),0)</f>
        <v>0</v>
      </c>
      <c r="P111" s="28" cm="1">
        <f t="array" ref="P111">P$104+IF($C111&lt;&gt;0,SUMPRODUCT((P$105:P$106)*TRANSPOSE(($D111:$E111))),0)</f>
        <v>0</v>
      </c>
      <c r="Q111" s="28" cm="1">
        <f t="array" ref="Q111">Q$104+IF($C111&lt;&gt;0,SUMPRODUCT((Q$105:Q$106)*TRANSPOSE(($D111:$E111))),0)</f>
        <v>0</v>
      </c>
      <c r="R111" s="28" cm="1">
        <f t="array" ref="R111">R$104+IF($C111&lt;&gt;0,SUMPRODUCT((R$105:R$106)*TRANSPOSE(($D111:$E111))),0)</f>
        <v>0</v>
      </c>
      <c r="S111" s="28" cm="1">
        <f t="array" ref="S111">S$104+IF($C111&lt;&gt;0,SUMPRODUCT((S$105:S$106)*TRANSPOSE(($D111:$E111))),0)</f>
        <v>0</v>
      </c>
      <c r="T111" s="28" cm="1">
        <f t="array" ref="T111">T$104+IF($C111&lt;&gt;0,SUMPRODUCT((T$105:T$106)*TRANSPOSE(($D111:$E111))),0)</f>
        <v>0</v>
      </c>
      <c r="U111" s="28" cm="1">
        <f t="array" ref="U111">U$104+IF($C111&lt;&gt;0,SUMPRODUCT((U$105:U$106)*TRANSPOSE(($D111:$E111))),0)</f>
        <v>0</v>
      </c>
      <c r="V111" s="28" cm="1">
        <f t="array" ref="V111">V$104+IF($C111&lt;&gt;0,SUMPRODUCT((V$105:V$106)*TRANSPOSE(($D111:$E111))),0)</f>
        <v>0</v>
      </c>
      <c r="W111" s="28" cm="1">
        <f t="array" ref="W111">W$104+IF($C111&lt;&gt;0,SUMPRODUCT((W$105:W$106)*TRANSPOSE(($D111:$E111))),0)</f>
        <v>0</v>
      </c>
      <c r="X111" s="28" cm="1">
        <f t="array" ref="X111">X$104+IF($C111&lt;&gt;0,SUMPRODUCT((X$105:X$106)*TRANSPOSE(($D111:$E111))),0)</f>
        <v>0</v>
      </c>
      <c r="Y111" s="28" cm="1">
        <f t="array" ref="Y111">Y$104+IF($C111&lt;&gt;0,SUMPRODUCT((Y$105:Y$106)*TRANSPOSE(($D111:$E111))),0)</f>
        <v>0</v>
      </c>
      <c r="Z111" s="28" cm="1">
        <f t="array" ref="Z111">Z$104+IF($C111&lt;&gt;0,SUMPRODUCT((Z$105:Z$106)*TRANSPOSE(($D111:$E111))),0)</f>
        <v>0</v>
      </c>
      <c r="AA111" s="28" cm="1">
        <f t="array" ref="AA111">AA$104+IF($C111&lt;&gt;0,SUMPRODUCT((AA$105:AA$106)*TRANSPOSE(($D111:$E111))),0)</f>
        <v>0</v>
      </c>
      <c r="AB111" s="28" cm="1">
        <f t="array" ref="AB111">AB$104+IF($C111&lt;&gt;0,SUMPRODUCT((AB$105:AB$106)*TRANSPOSE(($D111:$E111))),0)</f>
        <v>0</v>
      </c>
      <c r="AC111" s="28" cm="1">
        <f t="array" ref="AC111">AC$104+IF($C111&lt;&gt;0,SUMPRODUCT((AC$105:AC$106)*TRANSPOSE(($D111:$E111))),0)</f>
        <v>0</v>
      </c>
      <c r="AD111" s="28" cm="1">
        <f t="array" ref="AD111">AD$104+IF($C111&lt;&gt;0,SUMPRODUCT((AD$105:AD$106)*TRANSPOSE(($D111:$E111))),0)</f>
        <v>0</v>
      </c>
      <c r="AE111" s="28" cm="1">
        <f t="array" ref="AE111">AE$104+IF($C111&lt;&gt;0,SUMPRODUCT((AE$105:AE$106)*TRANSPOSE(($D111:$E111))),0)</f>
        <v>0</v>
      </c>
      <c r="AF111" s="28" cm="1">
        <f t="array" ref="AF111">AF$104+IF($C111&lt;&gt;0,SUMPRODUCT((AF$105:AF$106)*TRANSPOSE(($D111:$E111))),0)</f>
        <v>0</v>
      </c>
      <c r="AG111" s="28" cm="1">
        <f t="array" ref="AG111">AG$104+IF($C111&lt;&gt;0,SUMPRODUCT((AG$105:AG$106)*TRANSPOSE(($D111:$E111))),0)</f>
        <v>0</v>
      </c>
    </row>
    <row r="112" spans="1:43" x14ac:dyDescent="0.2">
      <c r="A112" s="1" t="str">
        <f>"sens"&amp;Assumptions!B121</f>
        <v>sens5</v>
      </c>
      <c r="C112" s="252" t="str">
        <f>Assumptions!C121</f>
        <v>Capex 10% higher &amp; Total benefits 10% lower</v>
      </c>
      <c r="D112" s="253">
        <f>Assumptions!G121</f>
        <v>0.1</v>
      </c>
      <c r="E112" s="253">
        <f>Assumptions!H121</f>
        <v>-0.1</v>
      </c>
      <c r="G112" s="34" t="str">
        <f t="shared" si="21"/>
        <v>Option 3sens5</v>
      </c>
      <c r="I112" s="28" cm="1">
        <f t="array" ref="I112">I$104+IF($C112&lt;&gt;0,SUMPRODUCT((I$105:I$106)*TRANSPOSE(($D112:$E112))),0)</f>
        <v>0</v>
      </c>
      <c r="J112" s="28" cm="1">
        <f t="array" ref="J112">J$104+IF($C112&lt;&gt;0,SUMPRODUCT((J$105:J$106)*TRANSPOSE(($D112:$E112))),0)</f>
        <v>0</v>
      </c>
      <c r="K112" s="28" cm="1">
        <f t="array" ref="K112">K$104+IF($C112&lt;&gt;0,SUMPRODUCT((K$105:K$106)*TRANSPOSE(($D112:$E112))),0)</f>
        <v>0</v>
      </c>
      <c r="L112" s="28" cm="1">
        <f t="array" ref="L112">L$104+IF($C112&lt;&gt;0,SUMPRODUCT((L$105:L$106)*TRANSPOSE(($D112:$E112))),0)</f>
        <v>0</v>
      </c>
      <c r="M112" s="28" cm="1">
        <f t="array" ref="M112">M$104+IF($C112&lt;&gt;0,SUMPRODUCT((M$105:M$106)*TRANSPOSE(($D112:$E112))),0)</f>
        <v>0</v>
      </c>
      <c r="N112" s="28" cm="1">
        <f t="array" ref="N112">N$104+IF($C112&lt;&gt;0,SUMPRODUCT((N$105:N$106)*TRANSPOSE(($D112:$E112))),0)</f>
        <v>0</v>
      </c>
      <c r="O112" s="28" cm="1">
        <f t="array" ref="O112">O$104+IF($C112&lt;&gt;0,SUMPRODUCT((O$105:O$106)*TRANSPOSE(($D112:$E112))),0)</f>
        <v>0</v>
      </c>
      <c r="P112" s="28" cm="1">
        <f t="array" ref="P112">P$104+IF($C112&lt;&gt;0,SUMPRODUCT((P$105:P$106)*TRANSPOSE(($D112:$E112))),0)</f>
        <v>0</v>
      </c>
      <c r="Q112" s="28" cm="1">
        <f t="array" ref="Q112">Q$104+IF($C112&lt;&gt;0,SUMPRODUCT((Q$105:Q$106)*TRANSPOSE(($D112:$E112))),0)</f>
        <v>0</v>
      </c>
      <c r="R112" s="28" cm="1">
        <f t="array" ref="R112">R$104+IF($C112&lt;&gt;0,SUMPRODUCT((R$105:R$106)*TRANSPOSE(($D112:$E112))),0)</f>
        <v>0</v>
      </c>
      <c r="S112" s="28" cm="1">
        <f t="array" ref="S112">S$104+IF($C112&lt;&gt;0,SUMPRODUCT((S$105:S$106)*TRANSPOSE(($D112:$E112))),0)</f>
        <v>0</v>
      </c>
      <c r="T112" s="28" cm="1">
        <f t="array" ref="T112">T$104+IF($C112&lt;&gt;0,SUMPRODUCT((T$105:T$106)*TRANSPOSE(($D112:$E112))),0)</f>
        <v>0</v>
      </c>
      <c r="U112" s="28" cm="1">
        <f t="array" ref="U112">U$104+IF($C112&lt;&gt;0,SUMPRODUCT((U$105:U$106)*TRANSPOSE(($D112:$E112))),0)</f>
        <v>0</v>
      </c>
      <c r="V112" s="28" cm="1">
        <f t="array" ref="V112">V$104+IF($C112&lt;&gt;0,SUMPRODUCT((V$105:V$106)*TRANSPOSE(($D112:$E112))),0)</f>
        <v>0</v>
      </c>
      <c r="W112" s="28" cm="1">
        <f t="array" ref="W112">W$104+IF($C112&lt;&gt;0,SUMPRODUCT((W$105:W$106)*TRANSPOSE(($D112:$E112))),0)</f>
        <v>0</v>
      </c>
      <c r="X112" s="28" cm="1">
        <f t="array" ref="X112">X$104+IF($C112&lt;&gt;0,SUMPRODUCT((X$105:X$106)*TRANSPOSE(($D112:$E112))),0)</f>
        <v>0</v>
      </c>
      <c r="Y112" s="28" cm="1">
        <f t="array" ref="Y112">Y$104+IF($C112&lt;&gt;0,SUMPRODUCT((Y$105:Y$106)*TRANSPOSE(($D112:$E112))),0)</f>
        <v>0</v>
      </c>
      <c r="Z112" s="28" cm="1">
        <f t="array" ref="Z112">Z$104+IF($C112&lt;&gt;0,SUMPRODUCT((Z$105:Z$106)*TRANSPOSE(($D112:$E112))),0)</f>
        <v>0</v>
      </c>
      <c r="AA112" s="28" cm="1">
        <f t="array" ref="AA112">AA$104+IF($C112&lt;&gt;0,SUMPRODUCT((AA$105:AA$106)*TRANSPOSE(($D112:$E112))),0)</f>
        <v>0</v>
      </c>
      <c r="AB112" s="28" cm="1">
        <f t="array" ref="AB112">AB$104+IF($C112&lt;&gt;0,SUMPRODUCT((AB$105:AB$106)*TRANSPOSE(($D112:$E112))),0)</f>
        <v>0</v>
      </c>
      <c r="AC112" s="28" cm="1">
        <f t="array" ref="AC112">AC$104+IF($C112&lt;&gt;0,SUMPRODUCT((AC$105:AC$106)*TRANSPOSE(($D112:$E112))),0)</f>
        <v>0</v>
      </c>
      <c r="AD112" s="28" cm="1">
        <f t="array" ref="AD112">AD$104+IF($C112&lt;&gt;0,SUMPRODUCT((AD$105:AD$106)*TRANSPOSE(($D112:$E112))),0)</f>
        <v>0</v>
      </c>
      <c r="AE112" s="28" cm="1">
        <f t="array" ref="AE112">AE$104+IF($C112&lt;&gt;0,SUMPRODUCT((AE$105:AE$106)*TRANSPOSE(($D112:$E112))),0)</f>
        <v>0</v>
      </c>
      <c r="AF112" s="28" cm="1">
        <f t="array" ref="AF112">AF$104+IF($C112&lt;&gt;0,SUMPRODUCT((AF$105:AF$106)*TRANSPOSE(($D112:$E112))),0)</f>
        <v>0</v>
      </c>
      <c r="AG112" s="28" cm="1">
        <f t="array" ref="AG112">AG$104+IF($C112&lt;&gt;0,SUMPRODUCT((AG$105:AG$106)*TRANSPOSE(($D112:$E112))),0)</f>
        <v>0</v>
      </c>
    </row>
    <row r="113" spans="1:33" x14ac:dyDescent="0.2">
      <c r="A113" s="1" t="str">
        <f>"sens"&amp;Assumptions!B122</f>
        <v>sens</v>
      </c>
      <c r="C113" s="252">
        <f>Assumptions!C122</f>
        <v>0</v>
      </c>
      <c r="D113" s="253">
        <f>Assumptions!G122</f>
        <v>0</v>
      </c>
      <c r="E113" s="253">
        <f>Assumptions!H122</f>
        <v>0</v>
      </c>
      <c r="G113" s="34" t="str">
        <f t="shared" si="21"/>
        <v>Option 3sens</v>
      </c>
      <c r="I113" s="28" cm="1">
        <f t="array" ref="I113">I$104+IF($C113&lt;&gt;0,SUMPRODUCT((I$105:I$106)*TRANSPOSE(($D113:$E113))),0)</f>
        <v>0</v>
      </c>
      <c r="J113" s="28" cm="1">
        <f t="array" ref="J113">J$104+IF($C113&lt;&gt;0,SUMPRODUCT((J$105:J$106)*TRANSPOSE(($D113:$E113))),0)</f>
        <v>0</v>
      </c>
      <c r="K113" s="28" cm="1">
        <f t="array" ref="K113">K$104+IF($C113&lt;&gt;0,SUMPRODUCT((K$105:K$106)*TRANSPOSE(($D113:$E113))),0)</f>
        <v>0</v>
      </c>
      <c r="L113" s="28" cm="1">
        <f t="array" ref="L113">L$104+IF($C113&lt;&gt;0,SUMPRODUCT((L$105:L$106)*TRANSPOSE(($D113:$E113))),0)</f>
        <v>0</v>
      </c>
      <c r="M113" s="28" cm="1">
        <f t="array" ref="M113">M$104+IF($C113&lt;&gt;0,SUMPRODUCT((M$105:M$106)*TRANSPOSE(($D113:$E113))),0)</f>
        <v>0</v>
      </c>
      <c r="N113" s="28" cm="1">
        <f t="array" ref="N113">N$104+IF($C113&lt;&gt;0,SUMPRODUCT((N$105:N$106)*TRANSPOSE(($D113:$E113))),0)</f>
        <v>0</v>
      </c>
      <c r="O113" s="28" cm="1">
        <f t="array" ref="O113">O$104+IF($C113&lt;&gt;0,SUMPRODUCT((O$105:O$106)*TRANSPOSE(($D113:$E113))),0)</f>
        <v>0</v>
      </c>
      <c r="P113" s="28" cm="1">
        <f t="array" ref="P113">P$104+IF($C113&lt;&gt;0,SUMPRODUCT((P$105:P$106)*TRANSPOSE(($D113:$E113))),0)</f>
        <v>0</v>
      </c>
      <c r="Q113" s="28" cm="1">
        <f t="array" ref="Q113">Q$104+IF($C113&lt;&gt;0,SUMPRODUCT((Q$105:Q$106)*TRANSPOSE(($D113:$E113))),0)</f>
        <v>0</v>
      </c>
      <c r="R113" s="28" cm="1">
        <f t="array" ref="R113">R$104+IF($C113&lt;&gt;0,SUMPRODUCT((R$105:R$106)*TRANSPOSE(($D113:$E113))),0)</f>
        <v>0</v>
      </c>
      <c r="S113" s="28" cm="1">
        <f t="array" ref="S113">S$104+IF($C113&lt;&gt;0,SUMPRODUCT((S$105:S$106)*TRANSPOSE(($D113:$E113))),0)</f>
        <v>0</v>
      </c>
      <c r="T113" s="28" cm="1">
        <f t="array" ref="T113">T$104+IF($C113&lt;&gt;0,SUMPRODUCT((T$105:T$106)*TRANSPOSE(($D113:$E113))),0)</f>
        <v>0</v>
      </c>
      <c r="U113" s="28" cm="1">
        <f t="array" ref="U113">U$104+IF($C113&lt;&gt;0,SUMPRODUCT((U$105:U$106)*TRANSPOSE(($D113:$E113))),0)</f>
        <v>0</v>
      </c>
      <c r="V113" s="28" cm="1">
        <f t="array" ref="V113">V$104+IF($C113&lt;&gt;0,SUMPRODUCT((V$105:V$106)*TRANSPOSE(($D113:$E113))),0)</f>
        <v>0</v>
      </c>
      <c r="W113" s="28" cm="1">
        <f t="array" ref="W113">W$104+IF($C113&lt;&gt;0,SUMPRODUCT((W$105:W$106)*TRANSPOSE(($D113:$E113))),0)</f>
        <v>0</v>
      </c>
      <c r="X113" s="28" cm="1">
        <f t="array" ref="X113">X$104+IF($C113&lt;&gt;0,SUMPRODUCT((X$105:X$106)*TRANSPOSE(($D113:$E113))),0)</f>
        <v>0</v>
      </c>
      <c r="Y113" s="28" cm="1">
        <f t="array" ref="Y113">Y$104+IF($C113&lt;&gt;0,SUMPRODUCT((Y$105:Y$106)*TRANSPOSE(($D113:$E113))),0)</f>
        <v>0</v>
      </c>
      <c r="Z113" s="28" cm="1">
        <f t="array" ref="Z113">Z$104+IF($C113&lt;&gt;0,SUMPRODUCT((Z$105:Z$106)*TRANSPOSE(($D113:$E113))),0)</f>
        <v>0</v>
      </c>
      <c r="AA113" s="28" cm="1">
        <f t="array" ref="AA113">AA$104+IF($C113&lt;&gt;0,SUMPRODUCT((AA$105:AA$106)*TRANSPOSE(($D113:$E113))),0)</f>
        <v>0</v>
      </c>
      <c r="AB113" s="28" cm="1">
        <f t="array" ref="AB113">AB$104+IF($C113&lt;&gt;0,SUMPRODUCT((AB$105:AB$106)*TRANSPOSE(($D113:$E113))),0)</f>
        <v>0</v>
      </c>
      <c r="AC113" s="28" cm="1">
        <f t="array" ref="AC113">AC$104+IF($C113&lt;&gt;0,SUMPRODUCT((AC$105:AC$106)*TRANSPOSE(($D113:$E113))),0)</f>
        <v>0</v>
      </c>
      <c r="AD113" s="28" cm="1">
        <f t="array" ref="AD113">AD$104+IF($C113&lt;&gt;0,SUMPRODUCT((AD$105:AD$106)*TRANSPOSE(($D113:$E113))),0)</f>
        <v>0</v>
      </c>
      <c r="AE113" s="28" cm="1">
        <f t="array" ref="AE113">AE$104+IF($C113&lt;&gt;0,SUMPRODUCT((AE$105:AE$106)*TRANSPOSE(($D113:$E113))),0)</f>
        <v>0</v>
      </c>
      <c r="AF113" s="28" cm="1">
        <f t="array" ref="AF113">AF$104+IF($C113&lt;&gt;0,SUMPRODUCT((AF$105:AF$106)*TRANSPOSE(($D113:$E113))),0)</f>
        <v>0</v>
      </c>
      <c r="AG113" s="28" cm="1">
        <f t="array" ref="AG113">AG$104+IF($C113&lt;&gt;0,SUMPRODUCT((AG$105:AG$106)*TRANSPOSE(($D113:$E113))),0)</f>
        <v>0</v>
      </c>
    </row>
    <row r="114" spans="1:33" x14ac:dyDescent="0.2">
      <c r="A114" s="1" t="str">
        <f>"sens"&amp;Assumptions!B123</f>
        <v>sens</v>
      </c>
      <c r="C114" s="252">
        <f>Assumptions!C123</f>
        <v>0</v>
      </c>
      <c r="D114" s="253">
        <f>Assumptions!G123</f>
        <v>0</v>
      </c>
      <c r="E114" s="253">
        <f>Assumptions!H123</f>
        <v>0</v>
      </c>
      <c r="G114" s="34" t="str">
        <f t="shared" si="21"/>
        <v>Option 3sens</v>
      </c>
      <c r="I114" s="28" cm="1">
        <f t="array" ref="I114">I$104+IF($C114&lt;&gt;0,SUMPRODUCT((I$105:I$106)*TRANSPOSE(($D114:$E114))),0)</f>
        <v>0</v>
      </c>
      <c r="J114" s="28" cm="1">
        <f t="array" ref="J114">J$104+IF($C114&lt;&gt;0,SUMPRODUCT((J$105:J$106)*TRANSPOSE(($D114:$E114))),0)</f>
        <v>0</v>
      </c>
      <c r="K114" s="28" cm="1">
        <f t="array" ref="K114">K$104+IF($C114&lt;&gt;0,SUMPRODUCT((K$105:K$106)*TRANSPOSE(($D114:$E114))),0)</f>
        <v>0</v>
      </c>
      <c r="L114" s="28" cm="1">
        <f t="array" ref="L114">L$104+IF($C114&lt;&gt;0,SUMPRODUCT((L$105:L$106)*TRANSPOSE(($D114:$E114))),0)</f>
        <v>0</v>
      </c>
      <c r="M114" s="28" cm="1">
        <f t="array" ref="M114">M$104+IF($C114&lt;&gt;0,SUMPRODUCT((M$105:M$106)*TRANSPOSE(($D114:$E114))),0)</f>
        <v>0</v>
      </c>
      <c r="N114" s="28" cm="1">
        <f t="array" ref="N114">N$104+IF($C114&lt;&gt;0,SUMPRODUCT((N$105:N$106)*TRANSPOSE(($D114:$E114))),0)</f>
        <v>0</v>
      </c>
      <c r="O114" s="28" cm="1">
        <f t="array" ref="O114">O$104+IF($C114&lt;&gt;0,SUMPRODUCT((O$105:O$106)*TRANSPOSE(($D114:$E114))),0)</f>
        <v>0</v>
      </c>
      <c r="P114" s="28" cm="1">
        <f t="array" ref="P114">P$104+IF($C114&lt;&gt;0,SUMPRODUCT((P$105:P$106)*TRANSPOSE(($D114:$E114))),0)</f>
        <v>0</v>
      </c>
      <c r="Q114" s="28" cm="1">
        <f t="array" ref="Q114">Q$104+IF($C114&lt;&gt;0,SUMPRODUCT((Q$105:Q$106)*TRANSPOSE(($D114:$E114))),0)</f>
        <v>0</v>
      </c>
      <c r="R114" s="28" cm="1">
        <f t="array" ref="R114">R$104+IF($C114&lt;&gt;0,SUMPRODUCT((R$105:R$106)*TRANSPOSE(($D114:$E114))),0)</f>
        <v>0</v>
      </c>
      <c r="S114" s="28" cm="1">
        <f t="array" ref="S114">S$104+IF($C114&lt;&gt;0,SUMPRODUCT((S$105:S$106)*TRANSPOSE(($D114:$E114))),0)</f>
        <v>0</v>
      </c>
      <c r="T114" s="28" cm="1">
        <f t="array" ref="T114">T$104+IF($C114&lt;&gt;0,SUMPRODUCT((T$105:T$106)*TRANSPOSE(($D114:$E114))),0)</f>
        <v>0</v>
      </c>
      <c r="U114" s="28" cm="1">
        <f t="array" ref="U114">U$104+IF($C114&lt;&gt;0,SUMPRODUCT((U$105:U$106)*TRANSPOSE(($D114:$E114))),0)</f>
        <v>0</v>
      </c>
      <c r="V114" s="28" cm="1">
        <f t="array" ref="V114">V$104+IF($C114&lt;&gt;0,SUMPRODUCT((V$105:V$106)*TRANSPOSE(($D114:$E114))),0)</f>
        <v>0</v>
      </c>
      <c r="W114" s="28" cm="1">
        <f t="array" ref="W114">W$104+IF($C114&lt;&gt;0,SUMPRODUCT((W$105:W$106)*TRANSPOSE(($D114:$E114))),0)</f>
        <v>0</v>
      </c>
      <c r="X114" s="28" cm="1">
        <f t="array" ref="X114">X$104+IF($C114&lt;&gt;0,SUMPRODUCT((X$105:X$106)*TRANSPOSE(($D114:$E114))),0)</f>
        <v>0</v>
      </c>
      <c r="Y114" s="28" cm="1">
        <f t="array" ref="Y114">Y$104+IF($C114&lt;&gt;0,SUMPRODUCT((Y$105:Y$106)*TRANSPOSE(($D114:$E114))),0)</f>
        <v>0</v>
      </c>
      <c r="Z114" s="28" cm="1">
        <f t="array" ref="Z114">Z$104+IF($C114&lt;&gt;0,SUMPRODUCT((Z$105:Z$106)*TRANSPOSE(($D114:$E114))),0)</f>
        <v>0</v>
      </c>
      <c r="AA114" s="28" cm="1">
        <f t="array" ref="AA114">AA$104+IF($C114&lt;&gt;0,SUMPRODUCT((AA$105:AA$106)*TRANSPOSE(($D114:$E114))),0)</f>
        <v>0</v>
      </c>
      <c r="AB114" s="28" cm="1">
        <f t="array" ref="AB114">AB$104+IF($C114&lt;&gt;0,SUMPRODUCT((AB$105:AB$106)*TRANSPOSE(($D114:$E114))),0)</f>
        <v>0</v>
      </c>
      <c r="AC114" s="28" cm="1">
        <f t="array" ref="AC114">AC$104+IF($C114&lt;&gt;0,SUMPRODUCT((AC$105:AC$106)*TRANSPOSE(($D114:$E114))),0)</f>
        <v>0</v>
      </c>
      <c r="AD114" s="28" cm="1">
        <f t="array" ref="AD114">AD$104+IF($C114&lt;&gt;0,SUMPRODUCT((AD$105:AD$106)*TRANSPOSE(($D114:$E114))),0)</f>
        <v>0</v>
      </c>
      <c r="AE114" s="28" cm="1">
        <f t="array" ref="AE114">AE$104+IF($C114&lt;&gt;0,SUMPRODUCT((AE$105:AE$106)*TRANSPOSE(($D114:$E114))),0)</f>
        <v>0</v>
      </c>
      <c r="AF114" s="28" cm="1">
        <f t="array" ref="AF114">AF$104+IF($C114&lt;&gt;0,SUMPRODUCT((AF$105:AF$106)*TRANSPOSE(($D114:$E114))),0)</f>
        <v>0</v>
      </c>
      <c r="AG114" s="28" cm="1">
        <f t="array" ref="AG114">AG$104+IF($C114&lt;&gt;0,SUMPRODUCT((AG$105:AG$106)*TRANSPOSE(($D114:$E114))),0)</f>
        <v>0</v>
      </c>
    </row>
    <row r="115" spans="1:33" x14ac:dyDescent="0.2">
      <c r="A115" s="1" t="str">
        <f>"sens"&amp;Assumptions!B124</f>
        <v>sens</v>
      </c>
      <c r="C115" s="252">
        <f>Assumptions!C124</f>
        <v>0</v>
      </c>
      <c r="D115" s="253">
        <f>Assumptions!G124</f>
        <v>0</v>
      </c>
      <c r="E115" s="253">
        <f>Assumptions!H124</f>
        <v>0</v>
      </c>
      <c r="G115" s="34" t="str">
        <f t="shared" si="21"/>
        <v>Option 3sens</v>
      </c>
      <c r="I115" s="28" cm="1">
        <f t="array" ref="I115">I$104+IF($C115&lt;&gt;0,SUMPRODUCT((I$105:I$106)*TRANSPOSE(($D115:$E115))),0)</f>
        <v>0</v>
      </c>
      <c r="J115" s="28" cm="1">
        <f t="array" ref="J115">J$104+IF($C115&lt;&gt;0,SUMPRODUCT((J$105:J$106)*TRANSPOSE(($D115:$E115))),0)</f>
        <v>0</v>
      </c>
      <c r="K115" s="28" cm="1">
        <f t="array" ref="K115">K$104+IF($C115&lt;&gt;0,SUMPRODUCT((K$105:K$106)*TRANSPOSE(($D115:$E115))),0)</f>
        <v>0</v>
      </c>
      <c r="L115" s="28" cm="1">
        <f t="array" ref="L115">L$104+IF($C115&lt;&gt;0,SUMPRODUCT((L$105:L$106)*TRANSPOSE(($D115:$E115))),0)</f>
        <v>0</v>
      </c>
      <c r="M115" s="28" cm="1">
        <f t="array" ref="M115">M$104+IF($C115&lt;&gt;0,SUMPRODUCT((M$105:M$106)*TRANSPOSE(($D115:$E115))),0)</f>
        <v>0</v>
      </c>
      <c r="N115" s="28" cm="1">
        <f t="array" ref="N115">N$104+IF($C115&lt;&gt;0,SUMPRODUCT((N$105:N$106)*TRANSPOSE(($D115:$E115))),0)</f>
        <v>0</v>
      </c>
      <c r="O115" s="28" cm="1">
        <f t="array" ref="O115">O$104+IF($C115&lt;&gt;0,SUMPRODUCT((O$105:O$106)*TRANSPOSE(($D115:$E115))),0)</f>
        <v>0</v>
      </c>
      <c r="P115" s="28" cm="1">
        <f t="array" ref="P115">P$104+IF($C115&lt;&gt;0,SUMPRODUCT((P$105:P$106)*TRANSPOSE(($D115:$E115))),0)</f>
        <v>0</v>
      </c>
      <c r="Q115" s="28" cm="1">
        <f t="array" ref="Q115">Q$104+IF($C115&lt;&gt;0,SUMPRODUCT((Q$105:Q$106)*TRANSPOSE(($D115:$E115))),0)</f>
        <v>0</v>
      </c>
      <c r="R115" s="28" cm="1">
        <f t="array" ref="R115">R$104+IF($C115&lt;&gt;0,SUMPRODUCT((R$105:R$106)*TRANSPOSE(($D115:$E115))),0)</f>
        <v>0</v>
      </c>
      <c r="S115" s="28" cm="1">
        <f t="array" ref="S115">S$104+IF($C115&lt;&gt;0,SUMPRODUCT((S$105:S$106)*TRANSPOSE(($D115:$E115))),0)</f>
        <v>0</v>
      </c>
      <c r="T115" s="28" cm="1">
        <f t="array" ref="T115">T$104+IF($C115&lt;&gt;0,SUMPRODUCT((T$105:T$106)*TRANSPOSE(($D115:$E115))),0)</f>
        <v>0</v>
      </c>
      <c r="U115" s="28" cm="1">
        <f t="array" ref="U115">U$104+IF($C115&lt;&gt;0,SUMPRODUCT((U$105:U$106)*TRANSPOSE(($D115:$E115))),0)</f>
        <v>0</v>
      </c>
      <c r="V115" s="28" cm="1">
        <f t="array" ref="V115">V$104+IF($C115&lt;&gt;0,SUMPRODUCT((V$105:V$106)*TRANSPOSE(($D115:$E115))),0)</f>
        <v>0</v>
      </c>
      <c r="W115" s="28" cm="1">
        <f t="array" ref="W115">W$104+IF($C115&lt;&gt;0,SUMPRODUCT((W$105:W$106)*TRANSPOSE(($D115:$E115))),0)</f>
        <v>0</v>
      </c>
      <c r="X115" s="28" cm="1">
        <f t="array" ref="X115">X$104+IF($C115&lt;&gt;0,SUMPRODUCT((X$105:X$106)*TRANSPOSE(($D115:$E115))),0)</f>
        <v>0</v>
      </c>
      <c r="Y115" s="28" cm="1">
        <f t="array" ref="Y115">Y$104+IF($C115&lt;&gt;0,SUMPRODUCT((Y$105:Y$106)*TRANSPOSE(($D115:$E115))),0)</f>
        <v>0</v>
      </c>
      <c r="Z115" s="28" cm="1">
        <f t="array" ref="Z115">Z$104+IF($C115&lt;&gt;0,SUMPRODUCT((Z$105:Z$106)*TRANSPOSE(($D115:$E115))),0)</f>
        <v>0</v>
      </c>
      <c r="AA115" s="28" cm="1">
        <f t="array" ref="AA115">AA$104+IF($C115&lt;&gt;0,SUMPRODUCT((AA$105:AA$106)*TRANSPOSE(($D115:$E115))),0)</f>
        <v>0</v>
      </c>
      <c r="AB115" s="28" cm="1">
        <f t="array" ref="AB115">AB$104+IF($C115&lt;&gt;0,SUMPRODUCT((AB$105:AB$106)*TRANSPOSE(($D115:$E115))),0)</f>
        <v>0</v>
      </c>
      <c r="AC115" s="28" cm="1">
        <f t="array" ref="AC115">AC$104+IF($C115&lt;&gt;0,SUMPRODUCT((AC$105:AC$106)*TRANSPOSE(($D115:$E115))),0)</f>
        <v>0</v>
      </c>
      <c r="AD115" s="28" cm="1">
        <f t="array" ref="AD115">AD$104+IF($C115&lt;&gt;0,SUMPRODUCT((AD$105:AD$106)*TRANSPOSE(($D115:$E115))),0)</f>
        <v>0</v>
      </c>
      <c r="AE115" s="28" cm="1">
        <f t="array" ref="AE115">AE$104+IF($C115&lt;&gt;0,SUMPRODUCT((AE$105:AE$106)*TRANSPOSE(($D115:$E115))),0)</f>
        <v>0</v>
      </c>
      <c r="AF115" s="28" cm="1">
        <f t="array" ref="AF115">AF$104+IF($C115&lt;&gt;0,SUMPRODUCT((AF$105:AF$106)*TRANSPOSE(($D115:$E115))),0)</f>
        <v>0</v>
      </c>
      <c r="AG115" s="28" cm="1">
        <f t="array" ref="AG115">AG$104+IF($C115&lt;&gt;0,SUMPRODUCT((AG$105:AG$106)*TRANSPOSE(($D115:$E115))),0)</f>
        <v>0</v>
      </c>
    </row>
  </sheetData>
  <conditionalFormatting sqref="E14:E16">
    <cfRule type="expression" dxfId="7" priority="1">
      <formula>AND(SUM($I14:$AB14)&lt;&gt;0, E14=0)</formula>
    </cfRule>
  </conditionalFormatting>
  <conditionalFormatting sqref="E29">
    <cfRule type="expression" dxfId="6" priority="4">
      <formula>AND(SUM($I$28:$AG$28)&gt;0, $E$29=0)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13" id="{1712F874-B643-4BE5-934F-196C6E7538A2}">
            <xm:f>$A$4=Data!$C$8</xm:f>
            <x14:dxf>
              <font>
                <color theme="0" tint="-0.499984740745262"/>
              </font>
            </x14:dxf>
          </x14:cfRule>
          <xm:sqref>C3 A4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28DE2-E846-427B-B371-240E3FF764AB}">
  <sheetPr codeName="Sheet6">
    <tabColor rgb="FF0099FF"/>
  </sheetPr>
  <dimension ref="A1:XER115"/>
  <sheetViews>
    <sheetView showGridLines="0" zoomScale="90" zoomScaleNormal="90" workbookViewId="0">
      <pane xSplit="7" ySplit="10" topLeftCell="H11" activePane="bottomRight" state="frozen"/>
      <selection activeCell="H11" sqref="H11"/>
      <selection pane="topRight" activeCell="H11" sqref="H11"/>
      <selection pane="bottomLeft" activeCell="H11" sqref="H11"/>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TRG024-WBL012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140</v>
      </c>
      <c r="B3" s="5"/>
      <c r="C3" s="374">
        <f>INDEX(Assumptions!$E$14:$E$18, MATCH(A3,_xlfn.ANCHORARRAY( Assumptions!$C$14),0))</f>
        <v>0</v>
      </c>
    </row>
    <row r="4" spans="1:43" x14ac:dyDescent="0.2">
      <c r="A4" s="1" t="str">
        <f>(INDEX(Data!$D$9:$D$13, MATCH(A3, options,0)))</f>
        <v>Not used</v>
      </c>
      <c r="B4" s="162"/>
      <c r="C4" s="210"/>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7" t="s">
        <v>100</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0"/>
      <c r="G9" s="16" t="s">
        <v>101</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102</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c r="AI11"/>
      <c r="AJ11"/>
      <c r="AK11"/>
      <c r="AL11"/>
      <c r="AM11"/>
    </row>
    <row r="12" spans="1:43" x14ac:dyDescent="0.2">
      <c r="A12" s="3"/>
      <c r="B12" s="3"/>
      <c r="C12" s="3"/>
      <c r="D12" s="3"/>
      <c r="G12" s="178"/>
      <c r="AH12"/>
      <c r="AI12"/>
      <c r="AJ12"/>
      <c r="AK12"/>
      <c r="AL12"/>
      <c r="AM12"/>
    </row>
    <row r="13" spans="1:43" x14ac:dyDescent="0.2">
      <c r="C13" s="3" t="s">
        <v>95</v>
      </c>
      <c r="D13"/>
      <c r="E13" s="105" t="s">
        <v>103</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104</v>
      </c>
      <c r="D14"/>
      <c r="E14" s="126">
        <v>0</v>
      </c>
      <c r="G14" s="180">
        <f>input_dollars</f>
        <v>45291</v>
      </c>
      <c r="H14" s="127"/>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104</v>
      </c>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104</v>
      </c>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Q17" si="0">SUM(I14:I16)</f>
        <v>0</v>
      </c>
      <c r="J17" s="94">
        <f t="shared" si="0"/>
        <v>0</v>
      </c>
      <c r="K17" s="94">
        <f t="shared" si="0"/>
        <v>0</v>
      </c>
      <c r="L17" s="94">
        <f t="shared" si="0"/>
        <v>0</v>
      </c>
      <c r="M17" s="94">
        <f t="shared" si="0"/>
        <v>0</v>
      </c>
      <c r="N17" s="94">
        <f t="shared" si="0"/>
        <v>0</v>
      </c>
      <c r="O17" s="94">
        <f t="shared" si="0"/>
        <v>0</v>
      </c>
      <c r="P17" s="94">
        <f t="shared" si="0"/>
        <v>0</v>
      </c>
      <c r="Q17" s="94">
        <f t="shared" si="0"/>
        <v>0</v>
      </c>
      <c r="R17" s="94">
        <f t="shared" ref="R17:AG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 t="shared" si="1"/>
        <v>0</v>
      </c>
      <c r="AD17" s="94">
        <f t="shared" si="1"/>
        <v>0</v>
      </c>
      <c r="AE17" s="94">
        <f t="shared" si="1"/>
        <v>0</v>
      </c>
      <c r="AF17" s="94">
        <f t="shared" si="1"/>
        <v>0</v>
      </c>
      <c r="AG17" s="94">
        <f t="shared" si="1"/>
        <v>0</v>
      </c>
      <c r="AH17"/>
      <c r="AI17"/>
      <c r="AJ17"/>
      <c r="AK17"/>
      <c r="AL17"/>
      <c r="AM17"/>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29">
        <v>0</v>
      </c>
      <c r="S19" s="115">
        <v>0</v>
      </c>
      <c r="T19" s="115">
        <v>0</v>
      </c>
      <c r="U19" s="115">
        <v>0</v>
      </c>
      <c r="V19" s="115">
        <v>0</v>
      </c>
      <c r="W19" s="115">
        <v>0</v>
      </c>
      <c r="X19" s="115">
        <v>0</v>
      </c>
      <c r="Y19" s="115">
        <v>0</v>
      </c>
      <c r="Z19" s="115">
        <v>0</v>
      </c>
      <c r="AA19" s="115">
        <v>0</v>
      </c>
      <c r="AB19" s="115">
        <v>0</v>
      </c>
      <c r="AC19" s="115">
        <v>0</v>
      </c>
      <c r="AD19" s="115">
        <v>0</v>
      </c>
      <c r="AE19" s="115">
        <v>0</v>
      </c>
      <c r="AF19" s="115">
        <v>0</v>
      </c>
      <c r="AG19" s="115">
        <v>0</v>
      </c>
      <c r="AH19"/>
      <c r="AI19"/>
      <c r="AJ19"/>
      <c r="AK19"/>
      <c r="AL19"/>
      <c r="AM19"/>
    </row>
    <row r="20" spans="1:43" x14ac:dyDescent="0.2">
      <c r="G20" s="178"/>
      <c r="AH20"/>
      <c r="AI20"/>
      <c r="AJ20"/>
      <c r="AK20"/>
      <c r="AL20"/>
      <c r="AM20"/>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105</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106</v>
      </c>
      <c r="D24" s="99"/>
      <c r="E24" s="99"/>
      <c r="F24" s="99"/>
      <c r="G24" s="181"/>
      <c r="H24" s="99"/>
      <c r="I24" s="144">
        <v>0</v>
      </c>
      <c r="J24" s="144">
        <v>0</v>
      </c>
      <c r="K24" s="144">
        <v>0</v>
      </c>
      <c r="L24" s="144">
        <v>0</v>
      </c>
      <c r="M24" s="144">
        <v>0</v>
      </c>
      <c r="N24" s="144">
        <v>0</v>
      </c>
      <c r="O24" s="144">
        <v>0</v>
      </c>
      <c r="P24" s="144">
        <v>0</v>
      </c>
      <c r="Q24" s="144">
        <v>0</v>
      </c>
      <c r="R24" s="144">
        <v>0</v>
      </c>
      <c r="S24" s="144">
        <v>0</v>
      </c>
      <c r="T24" s="144">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9"/>
      <c r="B25" s="99"/>
      <c r="C25" s="1" t="s">
        <v>107</v>
      </c>
      <c r="D25" s="181"/>
      <c r="E25" s="99"/>
      <c r="F25" s="99"/>
      <c r="G25" s="181"/>
      <c r="H25" s="99"/>
      <c r="I25" s="145">
        <v>0</v>
      </c>
      <c r="J25" s="145">
        <v>0</v>
      </c>
      <c r="K25" s="145">
        <v>0</v>
      </c>
      <c r="L25" s="145">
        <v>0</v>
      </c>
      <c r="M25" s="145">
        <v>0</v>
      </c>
      <c r="N25" s="144">
        <v>0</v>
      </c>
      <c r="O25" s="144">
        <v>0</v>
      </c>
      <c r="P25" s="144">
        <v>0</v>
      </c>
      <c r="Q25" s="144">
        <v>0</v>
      </c>
      <c r="R25" s="144">
        <v>0</v>
      </c>
      <c r="S25" s="144">
        <v>0</v>
      </c>
      <c r="T25" s="144">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1"/>
      <c r="E27" s="99"/>
      <c r="F27" s="99"/>
      <c r="G27" s="181"/>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108</v>
      </c>
      <c r="D28" s="178"/>
      <c r="E28"/>
      <c r="G28" s="180" t="s">
        <v>109</v>
      </c>
      <c r="H28"/>
      <c r="I28" s="144">
        <v>0</v>
      </c>
      <c r="J28" s="144">
        <v>0</v>
      </c>
      <c r="K28" s="144">
        <v>0</v>
      </c>
      <c r="L28" s="144">
        <v>0</v>
      </c>
      <c r="M28" s="144">
        <v>0</v>
      </c>
      <c r="N28" s="144">
        <v>0</v>
      </c>
      <c r="O28" s="144">
        <v>0</v>
      </c>
      <c r="P28" s="144">
        <v>0</v>
      </c>
      <c r="Q28" s="144">
        <v>0</v>
      </c>
      <c r="R28" s="144">
        <v>0</v>
      </c>
      <c r="S28" s="144">
        <v>0</v>
      </c>
      <c r="T28" s="144">
        <v>0</v>
      </c>
      <c r="U28" s="144">
        <v>0</v>
      </c>
      <c r="V28" s="144">
        <v>0</v>
      </c>
      <c r="W28" s="144">
        <v>0</v>
      </c>
      <c r="X28" s="144">
        <v>0</v>
      </c>
      <c r="Y28" s="144">
        <v>0</v>
      </c>
      <c r="Z28" s="144">
        <v>0</v>
      </c>
      <c r="AA28" s="144">
        <v>0</v>
      </c>
      <c r="AB28" s="144">
        <v>0</v>
      </c>
      <c r="AC28" s="144">
        <v>0</v>
      </c>
      <c r="AD28" s="144">
        <v>0</v>
      </c>
      <c r="AE28" s="144">
        <v>0</v>
      </c>
      <c r="AF28" s="144">
        <v>0</v>
      </c>
      <c r="AG28" s="144">
        <v>0</v>
      </c>
      <c r="AH28"/>
      <c r="AI28"/>
      <c r="AJ28"/>
      <c r="AK28"/>
      <c r="AL28"/>
      <c r="AM28"/>
      <c r="AN28"/>
      <c r="AO28"/>
      <c r="AP28"/>
      <c r="AQ28"/>
    </row>
    <row r="29" spans="1:43" x14ac:dyDescent="0.2">
      <c r="C29" s="1" t="s">
        <v>110</v>
      </c>
      <c r="D29" s="178" t="s">
        <v>100</v>
      </c>
      <c r="E29" s="100">
        <f>Assumptions!G43*vcr_esc</f>
        <v>31361.198140479657</v>
      </c>
      <c r="F29" s="210" t="str">
        <f>IF(AND(SUM(I28:AG28)&lt;&gt;0, E29=0), "!", "")</f>
        <v/>
      </c>
      <c r="G29" s="180">
        <f>input_dollars</f>
        <v>45291</v>
      </c>
      <c r="H29"/>
      <c r="I29" s="93">
        <f>I28*$E$29</f>
        <v>0</v>
      </c>
      <c r="J29" s="93">
        <f t="shared" ref="J29:AG29" si="2">J28*$E$29</f>
        <v>0</v>
      </c>
      <c r="K29" s="93">
        <f t="shared" si="2"/>
        <v>0</v>
      </c>
      <c r="L29" s="93">
        <f t="shared" si="2"/>
        <v>0</v>
      </c>
      <c r="M29" s="93">
        <f t="shared" si="2"/>
        <v>0</v>
      </c>
      <c r="N29" s="93">
        <f t="shared" si="2"/>
        <v>0</v>
      </c>
      <c r="O29" s="93">
        <f t="shared" si="2"/>
        <v>0</v>
      </c>
      <c r="P29" s="93">
        <f t="shared" si="2"/>
        <v>0</v>
      </c>
      <c r="Q29" s="93">
        <f t="shared" si="2"/>
        <v>0</v>
      </c>
      <c r="R29" s="93">
        <f t="shared" si="2"/>
        <v>0</v>
      </c>
      <c r="S29" s="93">
        <f t="shared" si="2"/>
        <v>0</v>
      </c>
      <c r="T29" s="93">
        <f t="shared" si="2"/>
        <v>0</v>
      </c>
      <c r="U29" s="93">
        <f t="shared" si="2"/>
        <v>0</v>
      </c>
      <c r="V29" s="93">
        <f t="shared" si="2"/>
        <v>0</v>
      </c>
      <c r="W29" s="93">
        <f t="shared" si="2"/>
        <v>0</v>
      </c>
      <c r="X29" s="93">
        <f t="shared" si="2"/>
        <v>0</v>
      </c>
      <c r="Y29" s="93">
        <f t="shared" si="2"/>
        <v>0</v>
      </c>
      <c r="Z29" s="93">
        <f t="shared" si="2"/>
        <v>0</v>
      </c>
      <c r="AA29" s="93">
        <f t="shared" si="2"/>
        <v>0</v>
      </c>
      <c r="AB29" s="93">
        <f t="shared" si="2"/>
        <v>0</v>
      </c>
      <c r="AC29" s="93">
        <f t="shared" si="2"/>
        <v>0</v>
      </c>
      <c r="AD29" s="93">
        <f t="shared" si="2"/>
        <v>0</v>
      </c>
      <c r="AE29" s="93">
        <f t="shared" si="2"/>
        <v>0</v>
      </c>
      <c r="AF29" s="93">
        <f t="shared" si="2"/>
        <v>0</v>
      </c>
      <c r="AG29" s="93">
        <f t="shared" si="2"/>
        <v>0</v>
      </c>
      <c r="AH29"/>
      <c r="AI29"/>
      <c r="AJ29"/>
      <c r="AK29"/>
      <c r="AL29"/>
      <c r="AM29"/>
      <c r="AN29"/>
      <c r="AO29"/>
      <c r="AP29"/>
      <c r="AQ29"/>
    </row>
    <row r="30" spans="1:43" x14ac:dyDescent="0.2">
      <c r="D30" s="179"/>
      <c r="E30"/>
      <c r="G30" s="180"/>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111</v>
      </c>
      <c r="D31" s="178" t="s">
        <v>112</v>
      </c>
      <c r="G31" s="180">
        <f>input_dollars</f>
        <v>45291</v>
      </c>
      <c r="H31" s="127"/>
      <c r="I31" s="146" cm="1">
        <f t="array" ref="I31">SUMPRODUCT((Assumptions!$H$78:$H$79)*(Assumptions!$G$78:$G$79)*(Assumptions!$I$78:$I$79)*(I$24:I$25))</f>
        <v>0</v>
      </c>
      <c r="J31" s="146" cm="1">
        <f t="array" ref="J31">SUMPRODUCT((Assumptions!$H$78:$H$79)*(Assumptions!$G$78:$G$79)*(Assumptions!$I$78:$I$79)*(J$24:J$25))</f>
        <v>0</v>
      </c>
      <c r="K31" s="146" cm="1">
        <f t="array" ref="K31">SUMPRODUCT((Assumptions!$H$78:$H$79)*(Assumptions!$G$78:$G$79)*(Assumptions!$I$78:$I$79)*(K$24:K$25))</f>
        <v>0</v>
      </c>
      <c r="L31" s="146" cm="1">
        <f t="array" ref="L31">SUMPRODUCT((Assumptions!$H$78:$H$79)*(Assumptions!$G$78:$G$79)*(Assumptions!$I$78:$I$79)*(L$24:L$25))</f>
        <v>0</v>
      </c>
      <c r="M31" s="146" cm="1">
        <f t="array" ref="M31">SUMPRODUCT((Assumptions!$H$78:$H$79)*(Assumptions!$G$78:$G$79)*(Assumptions!$I$78:$I$79)*(M$24:M$25))</f>
        <v>0</v>
      </c>
      <c r="N31" s="146" cm="1">
        <f t="array" ref="N31">SUMPRODUCT((Assumptions!$H$78:$H$79)*(Assumptions!$G$78:$G$79)*(Assumptions!$I$78:$I$79)*(N$24:N$25))</f>
        <v>0</v>
      </c>
      <c r="O31" s="146" cm="1">
        <f t="array" ref="O31">SUMPRODUCT((Assumptions!$H$78:$H$79)*(Assumptions!$G$78:$G$79)*(Assumptions!$I$78:$I$79)*(O$24:O$25))</f>
        <v>0</v>
      </c>
      <c r="P31" s="146" cm="1">
        <f t="array" ref="P31">SUMPRODUCT((Assumptions!$H$78:$H$79)*(Assumptions!$G$78:$G$79)*(Assumptions!$I$78:$I$79)*(P$24:P$25))</f>
        <v>0</v>
      </c>
      <c r="Q31" s="146" cm="1">
        <f t="array" ref="Q31">SUMPRODUCT((Assumptions!$H$78:$H$79)*(Assumptions!$G$78:$G$79)*(Assumptions!$I$78:$I$79)*(Q$24:Q$25))</f>
        <v>0</v>
      </c>
      <c r="R31" s="146" cm="1">
        <f t="array" ref="R31">SUMPRODUCT((Assumptions!$H$78:$H$79)*(Assumptions!$G$78:$G$79)*(Assumptions!$I$78:$I$79)*(R$24:R$25))</f>
        <v>0</v>
      </c>
      <c r="S31" s="146" cm="1">
        <f t="array" ref="S31">SUMPRODUCT((Assumptions!$H$78:$H$79)*(Assumptions!$G$78:$G$79)*(Assumptions!$I$78:$I$79)*(S$24:S$25))</f>
        <v>0</v>
      </c>
      <c r="T31" s="146" cm="1">
        <f t="array" ref="T31">SUMPRODUCT((Assumptions!$H$78:$H$79)*(Assumptions!$G$78:$G$79)*(Assumptions!$I$78:$I$79)*(T$24:T$25))</f>
        <v>0</v>
      </c>
      <c r="U31" s="146" cm="1">
        <f t="array" ref="U31">SUMPRODUCT((Assumptions!$H$78:$H$79)*(Assumptions!$G$78:$G$79)*(Assumptions!$I$78:$I$79)*(U$24:U$25))</f>
        <v>0</v>
      </c>
      <c r="V31" s="146" cm="1">
        <f t="array" ref="V31">SUMPRODUCT((Assumptions!$H$78:$H$79)*(Assumptions!$G$78:$G$79)*(Assumptions!$I$78:$I$79)*(V$24:V$25))</f>
        <v>0</v>
      </c>
      <c r="W31" s="146" cm="1">
        <f t="array" ref="W31">SUMPRODUCT((Assumptions!$H$78:$H$79)*(Assumptions!$G$78:$G$79)*(Assumptions!$I$78:$I$79)*(W$24:W$25))</f>
        <v>0</v>
      </c>
      <c r="X31" s="146" cm="1">
        <f t="array" ref="X31">SUMPRODUCT((Assumptions!$H$78:$H$79)*(Assumptions!$G$78:$G$79)*(Assumptions!$I$78:$I$79)*(X$24:X$25))</f>
        <v>0</v>
      </c>
      <c r="Y31" s="146" cm="1">
        <f t="array" ref="Y31">SUMPRODUCT((Assumptions!$H$78:$H$79)*(Assumptions!$G$78:$G$79)*(Assumptions!$I$78:$I$79)*(Y$24:Y$25))</f>
        <v>0</v>
      </c>
      <c r="Z31" s="146" cm="1">
        <f t="array" ref="Z31">SUMPRODUCT((Assumptions!$H$78:$H$79)*(Assumptions!$G$78:$G$79)*(Assumptions!$I$78:$I$79)*(Z$24:Z$25))</f>
        <v>0</v>
      </c>
      <c r="AA31" s="146" cm="1">
        <f t="array" ref="AA31">SUMPRODUCT((Assumptions!$H$78:$H$79)*(Assumptions!$G$78:$G$79)*(Assumptions!$I$78:$I$79)*(AA$24:AA$25))</f>
        <v>0</v>
      </c>
      <c r="AB31" s="146" cm="1">
        <f t="array" ref="AB31">SUMPRODUCT((Assumptions!$H$78:$H$79)*(Assumptions!$G$78:$G$79)*(Assumptions!$I$78:$I$79)*(AB$24:AB$25))</f>
        <v>0</v>
      </c>
      <c r="AC31" s="146" cm="1">
        <f t="array" ref="AC31">SUMPRODUCT((Assumptions!$H$78:$H$79)*(Assumptions!$G$78:$G$79)*(Assumptions!$I$78:$I$79)*(AC$24:AC$25))</f>
        <v>0</v>
      </c>
      <c r="AD31" s="146" cm="1">
        <f t="array" ref="AD31">SUMPRODUCT((Assumptions!$H$78:$H$79)*(Assumptions!$G$78:$G$79)*(Assumptions!$I$78:$I$79)*(AD$24:AD$25))</f>
        <v>0</v>
      </c>
      <c r="AE31" s="146" cm="1">
        <f t="array" ref="AE31">SUMPRODUCT((Assumptions!$H$78:$H$79)*(Assumptions!$G$78:$G$79)*(Assumptions!$I$78:$I$79)*(AE$24:AE$25))</f>
        <v>0</v>
      </c>
      <c r="AF31" s="146" cm="1">
        <f t="array" ref="AF31">SUMPRODUCT((Assumptions!$H$78:$H$79)*(Assumptions!$G$78:$G$79)*(Assumptions!$I$78:$I$79)*(AF$24:AF$25))</f>
        <v>0</v>
      </c>
      <c r="AG31" s="146" cm="1">
        <f t="array" ref="AG31">SUMPRODUCT((Assumptions!$H$78:$H$79)*(Assumptions!$G$78:$G$79)*(Assumptions!$I$78:$I$79)*(AG$24:AG$25))</f>
        <v>0</v>
      </c>
      <c r="AH31"/>
      <c r="AI31"/>
      <c r="AJ31"/>
      <c r="AK31"/>
      <c r="AL31"/>
      <c r="AM31"/>
      <c r="AN31"/>
      <c r="AO31"/>
      <c r="AP31"/>
      <c r="AQ31"/>
    </row>
    <row r="32" spans="1:43" x14ac:dyDescent="0.2">
      <c r="C32" s="1" t="s">
        <v>113</v>
      </c>
      <c r="D32" s="179"/>
      <c r="E32"/>
      <c r="G32" s="180">
        <f>input_dollars</f>
        <v>45291</v>
      </c>
      <c r="H32" s="127"/>
      <c r="I32" s="146" cm="1">
        <f t="array" ref="I32">(1+Assumptions!$G$89)*SUMPRODUCT((Assumptions!$G$86:$G$87)*(I$24:I$25))</f>
        <v>0</v>
      </c>
      <c r="J32" s="146" cm="1">
        <f t="array" ref="J32">(1+Assumptions!$G$89)*SUMPRODUCT((Assumptions!$G$86:$G$87)*(J$24:J$25))</f>
        <v>0</v>
      </c>
      <c r="K32" s="146" cm="1">
        <f t="array" ref="K32">(1+Assumptions!$G$89)*SUMPRODUCT((Assumptions!$G$86:$G$87)*(K$24:K$25))</f>
        <v>0</v>
      </c>
      <c r="L32" s="146" cm="1">
        <f t="array" ref="L32">(1+Assumptions!$G$89)*SUMPRODUCT((Assumptions!$G$86:$G$87)*(L$24:L$25))</f>
        <v>0</v>
      </c>
      <c r="M32" s="146" cm="1">
        <f t="array" ref="M32">(1+Assumptions!$G$89)*SUMPRODUCT((Assumptions!$G$86:$G$87)*(M$24:M$25))</f>
        <v>0</v>
      </c>
      <c r="N32" s="146" cm="1">
        <f t="array" ref="N32">(1+Assumptions!$G$89)*SUMPRODUCT((Assumptions!$G$86:$G$87)*(N$24:N$25))</f>
        <v>0</v>
      </c>
      <c r="O32" s="146" cm="1">
        <f t="array" ref="O32">(1+Assumptions!$G$89)*SUMPRODUCT((Assumptions!$G$86:$G$87)*(O$24:O$25))</f>
        <v>0</v>
      </c>
      <c r="P32" s="146" cm="1">
        <f t="array" ref="P32">(1+Assumptions!$G$89)*SUMPRODUCT((Assumptions!$G$86:$G$87)*(P$24:P$25))</f>
        <v>0</v>
      </c>
      <c r="Q32" s="146" cm="1">
        <f t="array" ref="Q32">(1+Assumptions!$G$89)*SUMPRODUCT((Assumptions!$G$86:$G$87)*(Q$24:Q$25))</f>
        <v>0</v>
      </c>
      <c r="R32" s="146" cm="1">
        <f t="array" ref="R32">(1+Assumptions!$G$89)*SUMPRODUCT((Assumptions!$G$86:$G$87)*(R$24:R$25))</f>
        <v>0</v>
      </c>
      <c r="S32" s="146" cm="1">
        <f t="array" ref="S32">(1+Assumptions!$G$89)*SUMPRODUCT((Assumptions!$G$86:$G$87)*(S$24:S$25))</f>
        <v>0</v>
      </c>
      <c r="T32" s="146" cm="1">
        <f t="array" ref="T32">(1+Assumptions!$G$89)*SUMPRODUCT((Assumptions!$G$86:$G$87)*(T$24:T$25))</f>
        <v>0</v>
      </c>
      <c r="U32" s="146" cm="1">
        <f t="array" ref="U32">(1+Assumptions!$G$89)*SUMPRODUCT((Assumptions!$G$86:$G$87)*(U$24:U$25))</f>
        <v>0</v>
      </c>
      <c r="V32" s="146" cm="1">
        <f t="array" ref="V32">(1+Assumptions!$G$89)*SUMPRODUCT((Assumptions!$G$86:$G$87)*(V$24:V$25))</f>
        <v>0</v>
      </c>
      <c r="W32" s="146" cm="1">
        <f t="array" ref="W32">(1+Assumptions!$G$89)*SUMPRODUCT((Assumptions!$G$86:$G$87)*(W$24:W$25))</f>
        <v>0</v>
      </c>
      <c r="X32" s="146" cm="1">
        <f t="array" ref="X32">(1+Assumptions!$G$89)*SUMPRODUCT((Assumptions!$G$86:$G$87)*(X$24:X$25))</f>
        <v>0</v>
      </c>
      <c r="Y32" s="146" cm="1">
        <f t="array" ref="Y32">(1+Assumptions!$G$89)*SUMPRODUCT((Assumptions!$G$86:$G$87)*(Y$24:Y$25))</f>
        <v>0</v>
      </c>
      <c r="Z32" s="146" cm="1">
        <f t="array" ref="Z32">(1+Assumptions!$G$89)*SUMPRODUCT((Assumptions!$G$86:$G$87)*(Z$24:Z$25))</f>
        <v>0</v>
      </c>
      <c r="AA32" s="146" cm="1">
        <f t="array" ref="AA32">(1+Assumptions!$G$89)*SUMPRODUCT((Assumptions!$G$86:$G$87)*(AA$24:AA$25))</f>
        <v>0</v>
      </c>
      <c r="AB32" s="146" cm="1">
        <f t="array" ref="AB32">(1+Assumptions!$G$89)*SUMPRODUCT((Assumptions!$G$86:$G$87)*(AB$24:AB$25))</f>
        <v>0</v>
      </c>
      <c r="AC32" s="146" cm="1">
        <f t="array" ref="AC32">(1+Assumptions!$G$89)*SUMPRODUCT((Assumptions!$G$86:$G$87)*(AC$24:AC$25))</f>
        <v>0</v>
      </c>
      <c r="AD32" s="146" cm="1">
        <f t="array" ref="AD32">(1+Assumptions!$G$89)*SUMPRODUCT((Assumptions!$G$86:$G$87)*(AD$24:AD$25))</f>
        <v>0</v>
      </c>
      <c r="AE32" s="146" cm="1">
        <f t="array" ref="AE32">(1+Assumptions!$G$89)*SUMPRODUCT((Assumptions!$G$86:$G$87)*(AE$24:AE$25))</f>
        <v>0</v>
      </c>
      <c r="AF32" s="146" cm="1">
        <f t="array" ref="AF32">(1+Assumptions!$G$89)*SUMPRODUCT((Assumptions!$G$86:$G$87)*(AF$24:AF$25))</f>
        <v>0</v>
      </c>
      <c r="AG32" s="146" cm="1">
        <f t="array" ref="AG32">(1+Assumptions!$G$89)*SUMPRODUCT((Assumptions!$G$86:$G$87)*(AG$24:AG$25))</f>
        <v>0</v>
      </c>
      <c r="AH32"/>
      <c r="AI32"/>
      <c r="AJ32"/>
      <c r="AK32"/>
      <c r="AL32"/>
      <c r="AM32"/>
      <c r="AN32"/>
      <c r="AO32"/>
      <c r="AP32"/>
      <c r="AQ32"/>
    </row>
    <row r="33" spans="1:16372" x14ac:dyDescent="0.2">
      <c r="C33" s="1" t="s">
        <v>114</v>
      </c>
      <c r="D33" s="178" t="s">
        <v>112</v>
      </c>
      <c r="E33"/>
      <c r="G33" s="180">
        <f>input_dollars</f>
        <v>45291</v>
      </c>
      <c r="H33"/>
      <c r="I33" s="29">
        <v>0</v>
      </c>
      <c r="J33" s="29">
        <v>0</v>
      </c>
      <c r="K33" s="29">
        <v>0</v>
      </c>
      <c r="L33" s="29">
        <v>0</v>
      </c>
      <c r="M33" s="29">
        <v>0</v>
      </c>
      <c r="N33" s="29">
        <v>0</v>
      </c>
      <c r="O33" s="29">
        <v>0</v>
      </c>
      <c r="P33" s="29">
        <v>0</v>
      </c>
      <c r="Q33" s="29">
        <v>0</v>
      </c>
      <c r="R33" s="115">
        <v>0</v>
      </c>
      <c r="S33" s="115">
        <v>0</v>
      </c>
      <c r="T33" s="115">
        <v>0</v>
      </c>
      <c r="U33" s="115">
        <v>0</v>
      </c>
      <c r="V33" s="115">
        <v>0</v>
      </c>
      <c r="W33" s="115">
        <v>0</v>
      </c>
      <c r="X33" s="115">
        <v>0</v>
      </c>
      <c r="Y33" s="115">
        <v>0</v>
      </c>
      <c r="Z33" s="115">
        <v>0</v>
      </c>
      <c r="AA33" s="115">
        <v>0</v>
      </c>
      <c r="AB33" s="115">
        <v>0</v>
      </c>
      <c r="AC33" s="115">
        <v>0</v>
      </c>
      <c r="AD33" s="115">
        <v>0</v>
      </c>
      <c r="AE33" s="115">
        <v>0</v>
      </c>
      <c r="AF33" s="115">
        <v>0</v>
      </c>
      <c r="AG33" s="115">
        <v>0</v>
      </c>
      <c r="AH33"/>
      <c r="AI33"/>
      <c r="AJ33"/>
      <c r="AK33"/>
      <c r="AL33"/>
      <c r="AM33"/>
      <c r="AN33"/>
      <c r="AO33"/>
      <c r="AP33"/>
      <c r="AQ33"/>
    </row>
    <row r="34" spans="1:16372" x14ac:dyDescent="0.2">
      <c r="C34" s="239" t="s">
        <v>115</v>
      </c>
      <c r="D34" s="191"/>
      <c r="E34"/>
      <c r="G34" s="180">
        <f>input_dollars</f>
        <v>45291</v>
      </c>
      <c r="H34"/>
      <c r="I34" s="29">
        <v>0</v>
      </c>
      <c r="J34" s="29">
        <v>0</v>
      </c>
      <c r="K34" s="29">
        <v>0</v>
      </c>
      <c r="L34" s="29">
        <v>0</v>
      </c>
      <c r="M34" s="29">
        <v>0</v>
      </c>
      <c r="N34" s="29">
        <v>0</v>
      </c>
      <c r="O34" s="29">
        <v>0</v>
      </c>
      <c r="P34" s="29">
        <v>0</v>
      </c>
      <c r="Q34" s="29">
        <v>0</v>
      </c>
      <c r="R34" s="115">
        <v>0</v>
      </c>
      <c r="S34" s="115">
        <v>0</v>
      </c>
      <c r="T34" s="115">
        <v>0</v>
      </c>
      <c r="U34" s="115">
        <v>0</v>
      </c>
      <c r="V34" s="115">
        <v>0</v>
      </c>
      <c r="W34" s="115">
        <v>0</v>
      </c>
      <c r="X34" s="115">
        <v>0</v>
      </c>
      <c r="Y34" s="115">
        <v>0</v>
      </c>
      <c r="Z34" s="115">
        <v>0</v>
      </c>
      <c r="AA34" s="115">
        <v>0</v>
      </c>
      <c r="AB34" s="115">
        <v>0</v>
      </c>
      <c r="AC34" s="115">
        <v>0</v>
      </c>
      <c r="AD34" s="115">
        <v>0</v>
      </c>
      <c r="AE34" s="115">
        <v>0</v>
      </c>
      <c r="AF34" s="115">
        <v>0</v>
      </c>
      <c r="AG34" s="115">
        <v>0</v>
      </c>
      <c r="AH34"/>
      <c r="AI34"/>
      <c r="AJ34"/>
      <c r="AK34"/>
      <c r="AL34"/>
      <c r="AM34"/>
      <c r="AN34"/>
      <c r="AO34"/>
      <c r="AP34"/>
      <c r="AQ34"/>
    </row>
    <row r="35" spans="1:16372" x14ac:dyDescent="0.2">
      <c r="C35" s="239" t="s">
        <v>115</v>
      </c>
      <c r="D35" s="179"/>
      <c r="E35"/>
      <c r="G35" s="180">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79"/>
      <c r="E36"/>
      <c r="G36" s="180"/>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116</v>
      </c>
      <c r="D37" s="190"/>
      <c r="E37" s="95"/>
      <c r="F37" s="3"/>
      <c r="G37" s="182"/>
      <c r="H37" s="95"/>
      <c r="I37" s="96">
        <f>SUM(I29:I35)</f>
        <v>0</v>
      </c>
      <c r="J37" s="96">
        <f t="shared" ref="J37:AG37" si="3">SUM(J29:J35)</f>
        <v>0</v>
      </c>
      <c r="K37" s="96">
        <f t="shared" si="3"/>
        <v>0</v>
      </c>
      <c r="L37" s="96">
        <f t="shared" si="3"/>
        <v>0</v>
      </c>
      <c r="M37" s="96">
        <f t="shared" si="3"/>
        <v>0</v>
      </c>
      <c r="N37" s="96">
        <f t="shared" si="3"/>
        <v>0</v>
      </c>
      <c r="O37" s="96">
        <f t="shared" si="3"/>
        <v>0</v>
      </c>
      <c r="P37" s="96">
        <f t="shared" si="3"/>
        <v>0</v>
      </c>
      <c r="Q37" s="96">
        <f t="shared" si="3"/>
        <v>0</v>
      </c>
      <c r="R37" s="96">
        <f t="shared" si="3"/>
        <v>0</v>
      </c>
      <c r="S37" s="96">
        <f t="shared" si="3"/>
        <v>0</v>
      </c>
      <c r="T37" s="96">
        <f t="shared" si="3"/>
        <v>0</v>
      </c>
      <c r="U37" s="96">
        <f t="shared" si="3"/>
        <v>0</v>
      </c>
      <c r="V37" s="96">
        <f t="shared" si="3"/>
        <v>0</v>
      </c>
      <c r="W37" s="96">
        <f t="shared" si="3"/>
        <v>0</v>
      </c>
      <c r="X37" s="96">
        <f t="shared" si="3"/>
        <v>0</v>
      </c>
      <c r="Y37" s="96">
        <f t="shared" si="3"/>
        <v>0</v>
      </c>
      <c r="Z37" s="96">
        <f t="shared" si="3"/>
        <v>0</v>
      </c>
      <c r="AA37" s="96">
        <f t="shared" si="3"/>
        <v>0</v>
      </c>
      <c r="AB37" s="96">
        <f t="shared" si="3"/>
        <v>0</v>
      </c>
      <c r="AC37" s="96">
        <f t="shared" si="3"/>
        <v>0</v>
      </c>
      <c r="AD37" s="96">
        <f t="shared" si="3"/>
        <v>0</v>
      </c>
      <c r="AE37" s="96">
        <f t="shared" si="3"/>
        <v>0</v>
      </c>
      <c r="AF37" s="96">
        <f t="shared" si="3"/>
        <v>0</v>
      </c>
      <c r="AG37" s="96">
        <f t="shared" si="3"/>
        <v>0</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0"/>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117</v>
      </c>
      <c r="B39" s="78"/>
      <c r="C39" s="78"/>
      <c r="D39" s="78"/>
      <c r="E39" s="78"/>
      <c r="F39" s="78"/>
      <c r="G39" s="177"/>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0"/>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118</v>
      </c>
      <c r="G42" s="178" t="s">
        <v>109</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row>
    <row r="43" spans="1:16372" ht="13.5" x14ac:dyDescent="0.25">
      <c r="C43" s="1" t="s">
        <v>119</v>
      </c>
      <c r="G43" s="178" t="s">
        <v>120</v>
      </c>
      <c r="I43" s="75">
        <f t="shared" ref="I43:AG43" si="4">I42*I7</f>
        <v>0</v>
      </c>
      <c r="J43" s="75">
        <f t="shared" si="4"/>
        <v>0</v>
      </c>
      <c r="K43" s="75">
        <f t="shared" si="4"/>
        <v>0</v>
      </c>
      <c r="L43" s="75">
        <f t="shared" si="4"/>
        <v>0</v>
      </c>
      <c r="M43" s="75">
        <f t="shared" si="4"/>
        <v>0</v>
      </c>
      <c r="N43" s="75">
        <f t="shared" si="4"/>
        <v>0</v>
      </c>
      <c r="O43" s="75">
        <f t="shared" si="4"/>
        <v>0</v>
      </c>
      <c r="P43" s="75">
        <f t="shared" si="4"/>
        <v>0</v>
      </c>
      <c r="Q43" s="75">
        <f t="shared" si="4"/>
        <v>0</v>
      </c>
      <c r="R43" s="75">
        <f t="shared" si="4"/>
        <v>0</v>
      </c>
      <c r="S43" s="75">
        <f t="shared" si="4"/>
        <v>0</v>
      </c>
      <c r="T43" s="75">
        <f t="shared" si="4"/>
        <v>0</v>
      </c>
      <c r="U43" s="75">
        <f t="shared" si="4"/>
        <v>0</v>
      </c>
      <c r="V43" s="75">
        <f t="shared" si="4"/>
        <v>0</v>
      </c>
      <c r="W43" s="75">
        <f t="shared" si="4"/>
        <v>0</v>
      </c>
      <c r="X43" s="75">
        <f t="shared" si="4"/>
        <v>0</v>
      </c>
      <c r="Y43" s="75">
        <f t="shared" si="4"/>
        <v>0</v>
      </c>
      <c r="Z43" s="75">
        <f t="shared" si="4"/>
        <v>0</v>
      </c>
      <c r="AA43" s="75">
        <f t="shared" si="4"/>
        <v>0</v>
      </c>
      <c r="AB43" s="75">
        <f t="shared" si="4"/>
        <v>0</v>
      </c>
      <c r="AC43" s="75">
        <f t="shared" si="4"/>
        <v>0</v>
      </c>
      <c r="AD43" s="75">
        <f t="shared" si="4"/>
        <v>0</v>
      </c>
      <c r="AE43" s="75">
        <f t="shared" si="4"/>
        <v>0</v>
      </c>
      <c r="AF43" s="75">
        <f t="shared" si="4"/>
        <v>0</v>
      </c>
      <c r="AG43" s="75">
        <f t="shared" si="4"/>
        <v>0</v>
      </c>
    </row>
    <row r="44" spans="1:16372" x14ac:dyDescent="0.2">
      <c r="D44"/>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79"/>
      <c r="E45"/>
      <c r="G45" s="180"/>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121</v>
      </c>
      <c r="D46" s="178" t="s">
        <v>100</v>
      </c>
      <c r="E46" s="100">
        <f>Assumptions!G101</f>
        <v>151433</v>
      </c>
      <c r="G46" s="180" t="s">
        <v>109</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
        <v>122</v>
      </c>
      <c r="D47" s="178" t="s">
        <v>100</v>
      </c>
      <c r="E47" s="100">
        <f>Assumptions!H47</f>
        <v>24489</v>
      </c>
      <c r="G47" s="180" t="s">
        <v>109</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123</v>
      </c>
      <c r="D48" s="178" t="s">
        <v>100</v>
      </c>
      <c r="E48" s="100">
        <f>Assumptions!H48</f>
        <v>10120.346334172034</v>
      </c>
      <c r="G48" s="180" t="s">
        <v>109</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124</v>
      </c>
      <c r="D49" s="178" t="s">
        <v>100</v>
      </c>
      <c r="E49" s="100">
        <f>Assumptions!H49</f>
        <v>8296.0059374104003</v>
      </c>
      <c r="G49" s="180" t="s">
        <v>109</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125</v>
      </c>
      <c r="D50" s="178" t="s">
        <v>100</v>
      </c>
      <c r="E50" s="100">
        <f>Assumptions!H50</f>
        <v>8532.6010035645213</v>
      </c>
      <c r="G50" s="180" t="s">
        <v>109</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78"/>
      <c r="G51" s="180"/>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row>
    <row r="52" spans="1:43" x14ac:dyDescent="0.2">
      <c r="C52" s="1" t="s">
        <v>126</v>
      </c>
      <c r="D52" s="178"/>
      <c r="G52" s="180">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C53" s="1" t="s">
        <v>127</v>
      </c>
      <c r="D53" s="178"/>
      <c r="G53" s="180">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row>
    <row r="54" spans="1:43" x14ac:dyDescent="0.2">
      <c r="D54" s="178"/>
      <c r="G54" s="178"/>
    </row>
    <row r="55" spans="1:43" x14ac:dyDescent="0.2">
      <c r="C55" s="3" t="s">
        <v>128</v>
      </c>
      <c r="D55" s="190"/>
      <c r="E55" s="95"/>
      <c r="F55" s="3"/>
      <c r="G55" s="180">
        <f>input_dollars</f>
        <v>45291</v>
      </c>
      <c r="H55" s="95"/>
      <c r="I55" s="146" cm="1">
        <f t="array" ref="I55">SUMPRODUCT((I$46:I$50)*($E$46:$E$50))+SUM(I52:I53)+I43</f>
        <v>0</v>
      </c>
      <c r="J55" s="146" cm="1">
        <f t="array" ref="J55">SUMPRODUCT((J$46:J$50)*($E$46:$E$50))+SUM(J52:J53)+J43</f>
        <v>0</v>
      </c>
      <c r="K55" s="146" cm="1">
        <f t="array" ref="K55">SUMPRODUCT((K$46:K$50)*($E$46:$E$50))+SUM(K52:K53)+K43</f>
        <v>0</v>
      </c>
      <c r="L55" s="146" cm="1">
        <f t="array" ref="L55">SUMPRODUCT((L$46:L$50)*($E$46:$E$50))+SUM(L52:L53)+L43</f>
        <v>0</v>
      </c>
      <c r="M55" s="146" cm="1">
        <f t="array" ref="M55">SUMPRODUCT((M$46:M$50)*($E$46:$E$50))+SUM(M52:M53)+M43</f>
        <v>0</v>
      </c>
      <c r="N55" s="146" cm="1">
        <f t="array" ref="N55">SUMPRODUCT((N$46:N$50)*($E$46:$E$50))+SUM(N52:N53)+N43</f>
        <v>0</v>
      </c>
      <c r="O55" s="146" cm="1">
        <f t="array" ref="O55">SUMPRODUCT((O$46:O$50)*($E$46:$E$50))+SUM(O52:O53)+O43</f>
        <v>0</v>
      </c>
      <c r="P55" s="146" cm="1">
        <f t="array" ref="P55">SUMPRODUCT((P$46:P$50)*($E$46:$E$50))+SUM(P52:P53)+P43</f>
        <v>0</v>
      </c>
      <c r="Q55" s="146" cm="1">
        <f t="array" ref="Q55">SUMPRODUCT((Q$46:Q$50)*($E$46:$E$50))+SUM(Q52:Q53)+Q43</f>
        <v>0</v>
      </c>
      <c r="R55" s="146" cm="1">
        <f t="array" ref="R55">SUMPRODUCT((R$46:R$50)*($E$46:$E$50))+SUM(R52:R53)+R43</f>
        <v>0</v>
      </c>
      <c r="S55" s="146" cm="1">
        <f t="array" ref="S55">SUMPRODUCT((S$46:S$50)*($E$46:$E$50))+SUM(S52:S53)+S43</f>
        <v>0</v>
      </c>
      <c r="T55" s="146" cm="1">
        <f t="array" ref="T55">SUMPRODUCT((T$46:T$50)*($E$46:$E$50))+SUM(T52:T53)+T43</f>
        <v>0</v>
      </c>
      <c r="U55" s="146" cm="1">
        <f t="array" ref="U55">SUMPRODUCT((U$46:U$50)*($E$46:$E$50))+SUM(U52:U53)+U43</f>
        <v>0</v>
      </c>
      <c r="V55" s="146" cm="1">
        <f t="array" ref="V55">SUMPRODUCT((V$46:V$50)*($E$46:$E$50))+SUM(V52:V53)+V43</f>
        <v>0</v>
      </c>
      <c r="W55" s="146" cm="1">
        <f t="array" ref="W55">SUMPRODUCT((W$46:W$50)*($E$46:$E$50))+SUM(W52:W53)+W43</f>
        <v>0</v>
      </c>
      <c r="X55" s="146" cm="1">
        <f t="array" ref="X55">SUMPRODUCT((X$46:X$50)*($E$46:$E$50))+SUM(X52:X53)+X43</f>
        <v>0</v>
      </c>
      <c r="Y55" s="146" cm="1">
        <f t="array" ref="Y55">SUMPRODUCT((Y$46:Y$50)*($E$46:$E$50))+SUM(Y52:Y53)+Y43</f>
        <v>0</v>
      </c>
      <c r="Z55" s="146" cm="1">
        <f t="array" ref="Z55">SUMPRODUCT((Z$46:Z$50)*($E$46:$E$50))+SUM(Z52:Z53)+Z43</f>
        <v>0</v>
      </c>
      <c r="AA55" s="146" cm="1">
        <f t="array" ref="AA55">SUMPRODUCT((AA$46:AA$50)*($E$46:$E$50))+SUM(AA52:AA53)+AA43</f>
        <v>0</v>
      </c>
      <c r="AB55" s="146" cm="1">
        <f t="array" ref="AB55">SUMPRODUCT((AB$46:AB$50)*($E$46:$E$50))+SUM(AB52:AB53)+AB43</f>
        <v>0</v>
      </c>
      <c r="AC55" s="146" cm="1">
        <f t="array" ref="AC55">SUMPRODUCT((AC$46:AC$50)*($E$46:$E$50))+SUM(AC52:AC53)+AC43</f>
        <v>0</v>
      </c>
      <c r="AD55" s="146" cm="1">
        <f t="array" ref="AD55">SUMPRODUCT((AD$46:AD$50)*($E$46:$E$50))+SUM(AD52:AD53)+AD43</f>
        <v>0</v>
      </c>
      <c r="AE55" s="146" cm="1">
        <f t="array" ref="AE55">SUMPRODUCT((AE$46:AE$50)*($E$46:$E$50))+SUM(AE52:AE53)+AE43</f>
        <v>0</v>
      </c>
      <c r="AF55" s="146" cm="1">
        <f t="array" ref="AF55">SUMPRODUCT((AF$46:AF$50)*($E$46:$E$50))+SUM(AF52:AF53)+AF43</f>
        <v>0</v>
      </c>
      <c r="AG55" s="146" cm="1">
        <f t="array" ref="AG55">SUMPRODUCT((AG$46:AG$50)*($E$46:$E$50))+SUM(AG52:AG53)+AG43</f>
        <v>0</v>
      </c>
    </row>
    <row r="56" spans="1:43" x14ac:dyDescent="0.2">
      <c r="D56" s="178"/>
      <c r="G56" s="17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row>
    <row r="57" spans="1:43" x14ac:dyDescent="0.2">
      <c r="G57" s="17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row>
    <row r="58" spans="1:43" ht="15" x14ac:dyDescent="0.2">
      <c r="A58" s="78" t="s">
        <v>3</v>
      </c>
      <c r="B58" s="78"/>
      <c r="C58" s="78"/>
      <c r="D58" s="78"/>
      <c r="E58" s="78"/>
      <c r="F58" s="78"/>
      <c r="G58" s="177"/>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1"/>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4"/>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F61" s="2"/>
      <c r="G61" s="185"/>
    </row>
    <row r="62" spans="1:43" x14ac:dyDescent="0.2">
      <c r="C62" s="4" t="str">
        <f>'Option1 (base case)'!C62</f>
        <v>Risks mitigated vs base case</v>
      </c>
      <c r="G62" s="183">
        <f>input_dollars</f>
        <v>45291</v>
      </c>
      <c r="I62" s="112">
        <f>(1-INDEX(Data!$C$9:$C$13, MATCH($A$3, options,0)))*('Option1 (base case)'!I37-I37)</f>
        <v>0</v>
      </c>
      <c r="J62" s="112">
        <f>(1-INDEX(Data!$C$9:$C$13, MATCH($A$3, options,0)))*('Option1 (base case)'!J37-J37)</f>
        <v>0</v>
      </c>
      <c r="K62" s="112">
        <f>(1-INDEX(Data!$C$9:$C$13, MATCH($A$3, options,0)))*('Option1 (base case)'!K37-K37)</f>
        <v>0</v>
      </c>
      <c r="L62" s="112">
        <f>(1-INDEX(Data!$C$9:$C$13, MATCH($A$3, options,0)))*('Option1 (base case)'!L37-L37)</f>
        <v>0</v>
      </c>
      <c r="M62" s="112">
        <f>(1-INDEX(Data!$C$9:$C$13, MATCH($A$3, options,0)))*('Option1 (base case)'!M37-M37)</f>
        <v>0</v>
      </c>
      <c r="N62" s="112">
        <f>(1-INDEX(Data!$C$9:$C$13, MATCH($A$3, options,0)))*('Option1 (base case)'!N37-N37)</f>
        <v>0</v>
      </c>
      <c r="O62" s="112">
        <f>(1-INDEX(Data!$C$9:$C$13, MATCH($A$3, options,0)))*('Option1 (base case)'!O37-O37)</f>
        <v>0</v>
      </c>
      <c r="P62" s="112">
        <f>(1-INDEX(Data!$C$9:$C$13, MATCH($A$3, options,0)))*('Option1 (base case)'!P37-P37)</f>
        <v>0</v>
      </c>
      <c r="Q62" s="112">
        <f>(1-INDEX(Data!$C$9:$C$13, MATCH($A$3, options,0)))*('Option1 (base case)'!Q37-Q37)</f>
        <v>0</v>
      </c>
      <c r="R62" s="112">
        <f>(1-INDEX(Data!$C$9:$C$13, MATCH($A$3, options,0)))*('Option1 (base case)'!R37-R37)</f>
        <v>0</v>
      </c>
      <c r="S62" s="112">
        <f>(1-INDEX(Data!$C$9:$C$13, MATCH($A$3, options,0)))*('Option1 (base case)'!S37-S37)</f>
        <v>0</v>
      </c>
      <c r="T62" s="112">
        <f>(1-INDEX(Data!$C$9:$C$13, MATCH($A$3, options,0)))*('Option1 (base case)'!T37-T37)</f>
        <v>0</v>
      </c>
      <c r="U62" s="112">
        <f>(1-INDEX(Data!$C$9:$C$13, MATCH($A$3, options,0)))*('Option1 (base case)'!U37-U37)</f>
        <v>0</v>
      </c>
      <c r="V62" s="112">
        <f>(1-INDEX(Data!$C$9:$C$13, MATCH($A$3, options,0)))*('Option1 (base case)'!V37-V37)</f>
        <v>0</v>
      </c>
      <c r="W62" s="112">
        <f>(1-INDEX(Data!$C$9:$C$13, MATCH($A$3, options,0)))*('Option1 (base case)'!W37-W37)</f>
        <v>0</v>
      </c>
      <c r="X62" s="112">
        <f>(1-INDEX(Data!$C$9:$C$13, MATCH($A$3, options,0)))*('Option1 (base case)'!X37-X37)</f>
        <v>0</v>
      </c>
      <c r="Y62" s="112">
        <f>(1-INDEX(Data!$C$9:$C$13, MATCH($A$3, options,0)))*('Option1 (base case)'!Y37-Y37)</f>
        <v>0</v>
      </c>
      <c r="Z62" s="112">
        <f>(1-INDEX(Data!$C$9:$C$13, MATCH($A$3, options,0)))*('Option1 (base case)'!Z37-Z37)</f>
        <v>0</v>
      </c>
      <c r="AA62" s="112">
        <f>(1-INDEX(Data!$C$9:$C$13, MATCH($A$3, options,0)))*('Option1 (base case)'!AA37-AA37)</f>
        <v>0</v>
      </c>
      <c r="AB62" s="112">
        <f>(1-INDEX(Data!$C$9:$C$13, MATCH($A$3, options,0)))*('Option1 (base case)'!AB37-AB37)</f>
        <v>0</v>
      </c>
      <c r="AC62" s="112">
        <f>(1-INDEX(Data!$C$9:$C$13, MATCH($A$3, options,0)))*('Option1 (base case)'!AC37-AC37)</f>
        <v>0</v>
      </c>
      <c r="AD62" s="112">
        <f>(1-INDEX(Data!$C$9:$C$13, MATCH($A$3, options,0)))*('Option1 (base case)'!AD37-AD37)</f>
        <v>0</v>
      </c>
      <c r="AE62" s="112">
        <f>(1-INDEX(Data!$C$9:$C$13, MATCH($A$3, options,0)))*('Option1 (base case)'!AE37-AE37)</f>
        <v>0</v>
      </c>
      <c r="AF62" s="112">
        <f>(1-INDEX(Data!$C$9:$C$13, MATCH($A$3, options,0)))*('Option1 (base case)'!AF37-AF37)</f>
        <v>0</v>
      </c>
      <c r="AG62" s="112">
        <f>(1-INDEX(Data!$C$9:$C$13, MATCH($A$3, options,0)))*('Option1 (base case)'!AG37-AG37)</f>
        <v>0</v>
      </c>
    </row>
    <row r="63" spans="1:43" x14ac:dyDescent="0.2">
      <c r="G63" s="185"/>
    </row>
    <row r="64" spans="1:43" x14ac:dyDescent="0.2">
      <c r="A64" s="6"/>
      <c r="B64" s="6"/>
      <c r="C64" s="125" t="s">
        <v>14</v>
      </c>
      <c r="D64" s="34"/>
      <c r="F64" s="85"/>
      <c r="G64" s="186"/>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row>
    <row r="65" spans="1:33" x14ac:dyDescent="0.2">
      <c r="A65" s="6"/>
      <c r="B65" s="6"/>
      <c r="C65" s="4" t="str">
        <f>C14</f>
        <v>&lt; Enter description &gt;</v>
      </c>
      <c r="D65" s="34"/>
      <c r="F65" s="85"/>
      <c r="G65" s="183">
        <f>input_dollars</f>
        <v>45291</v>
      </c>
      <c r="H65" s="28"/>
      <c r="I65" s="28">
        <f t="shared" ref="I65:AG65" si="5">-I14</f>
        <v>0</v>
      </c>
      <c r="J65" s="28">
        <f t="shared" si="5"/>
        <v>0</v>
      </c>
      <c r="K65" s="28">
        <f t="shared" si="5"/>
        <v>0</v>
      </c>
      <c r="L65" s="28">
        <f t="shared" si="5"/>
        <v>0</v>
      </c>
      <c r="M65" s="28">
        <f t="shared" si="5"/>
        <v>0</v>
      </c>
      <c r="N65" s="28">
        <f t="shared" si="5"/>
        <v>0</v>
      </c>
      <c r="O65" s="28">
        <f t="shared" si="5"/>
        <v>0</v>
      </c>
      <c r="P65" s="28">
        <f t="shared" si="5"/>
        <v>0</v>
      </c>
      <c r="Q65" s="28">
        <f t="shared" si="5"/>
        <v>0</v>
      </c>
      <c r="R65" s="28">
        <f t="shared" si="5"/>
        <v>0</v>
      </c>
      <c r="S65" s="28">
        <f t="shared" si="5"/>
        <v>0</v>
      </c>
      <c r="T65" s="28">
        <f t="shared" si="5"/>
        <v>0</v>
      </c>
      <c r="U65" s="28">
        <f t="shared" si="5"/>
        <v>0</v>
      </c>
      <c r="V65" s="28">
        <f t="shared" si="5"/>
        <v>0</v>
      </c>
      <c r="W65" s="28">
        <f t="shared" si="5"/>
        <v>0</v>
      </c>
      <c r="X65" s="28">
        <f t="shared" si="5"/>
        <v>0</v>
      </c>
      <c r="Y65" s="28">
        <f t="shared" si="5"/>
        <v>0</v>
      </c>
      <c r="Z65" s="28">
        <f t="shared" si="5"/>
        <v>0</v>
      </c>
      <c r="AA65" s="28">
        <f t="shared" si="5"/>
        <v>0</v>
      </c>
      <c r="AB65" s="28">
        <f t="shared" si="5"/>
        <v>0</v>
      </c>
      <c r="AC65" s="28">
        <f t="shared" si="5"/>
        <v>0</v>
      </c>
      <c r="AD65" s="28">
        <f t="shared" si="5"/>
        <v>0</v>
      </c>
      <c r="AE65" s="28">
        <f t="shared" si="5"/>
        <v>0</v>
      </c>
      <c r="AF65" s="28">
        <f t="shared" si="5"/>
        <v>0</v>
      </c>
      <c r="AG65" s="28">
        <f t="shared" si="5"/>
        <v>0</v>
      </c>
    </row>
    <row r="66" spans="1:33" x14ac:dyDescent="0.2">
      <c r="A66" s="6"/>
      <c r="B66" s="6"/>
      <c r="C66" s="4" t="str">
        <f>C15</f>
        <v>&lt; Enter description &gt;</v>
      </c>
      <c r="D66" s="34"/>
      <c r="F66" s="85"/>
      <c r="G66" s="183">
        <f>input_dollars</f>
        <v>45291</v>
      </c>
      <c r="H66" s="28"/>
      <c r="I66" s="28">
        <f t="shared" ref="I66:AG66" si="6">-I15</f>
        <v>0</v>
      </c>
      <c r="J66" s="28">
        <f t="shared" si="6"/>
        <v>0</v>
      </c>
      <c r="K66" s="28">
        <f t="shared" si="6"/>
        <v>0</v>
      </c>
      <c r="L66" s="28">
        <f t="shared" si="6"/>
        <v>0</v>
      </c>
      <c r="M66" s="28">
        <f t="shared" si="6"/>
        <v>0</v>
      </c>
      <c r="N66" s="28">
        <f t="shared" si="6"/>
        <v>0</v>
      </c>
      <c r="O66" s="28">
        <f t="shared" si="6"/>
        <v>0</v>
      </c>
      <c r="P66" s="28">
        <f t="shared" si="6"/>
        <v>0</v>
      </c>
      <c r="Q66" s="28">
        <f t="shared" si="6"/>
        <v>0</v>
      </c>
      <c r="R66" s="28">
        <f t="shared" si="6"/>
        <v>0</v>
      </c>
      <c r="S66" s="28">
        <f t="shared" si="6"/>
        <v>0</v>
      </c>
      <c r="T66" s="28">
        <f t="shared" si="6"/>
        <v>0</v>
      </c>
      <c r="U66" s="28">
        <f t="shared" si="6"/>
        <v>0</v>
      </c>
      <c r="V66" s="28">
        <f t="shared" si="6"/>
        <v>0</v>
      </c>
      <c r="W66" s="28">
        <f t="shared" si="6"/>
        <v>0</v>
      </c>
      <c r="X66" s="28">
        <f t="shared" si="6"/>
        <v>0</v>
      </c>
      <c r="Y66" s="28">
        <f t="shared" si="6"/>
        <v>0</v>
      </c>
      <c r="Z66" s="28">
        <f t="shared" si="6"/>
        <v>0</v>
      </c>
      <c r="AA66" s="28">
        <f t="shared" si="6"/>
        <v>0</v>
      </c>
      <c r="AB66" s="28">
        <f t="shared" si="6"/>
        <v>0</v>
      </c>
      <c r="AC66" s="28">
        <f t="shared" si="6"/>
        <v>0</v>
      </c>
      <c r="AD66" s="28">
        <f t="shared" si="6"/>
        <v>0</v>
      </c>
      <c r="AE66" s="28">
        <f t="shared" si="6"/>
        <v>0</v>
      </c>
      <c r="AF66" s="28">
        <f t="shared" si="6"/>
        <v>0</v>
      </c>
      <c r="AG66" s="28">
        <f t="shared" si="6"/>
        <v>0</v>
      </c>
    </row>
    <row r="67" spans="1:33" x14ac:dyDescent="0.2">
      <c r="A67" s="6"/>
      <c r="B67" s="6"/>
      <c r="C67" s="4" t="str">
        <f>C16</f>
        <v>&lt; Enter description &gt;</v>
      </c>
      <c r="D67" s="34"/>
      <c r="F67" s="85"/>
      <c r="G67" s="183">
        <f>input_dollars</f>
        <v>45291</v>
      </c>
      <c r="H67" s="28"/>
      <c r="I67" s="28">
        <f t="shared" ref="I67:AG67" si="7">-I16</f>
        <v>0</v>
      </c>
      <c r="J67" s="28">
        <f t="shared" si="7"/>
        <v>0</v>
      </c>
      <c r="K67" s="28">
        <f t="shared" si="7"/>
        <v>0</v>
      </c>
      <c r="L67" s="28">
        <f t="shared" si="7"/>
        <v>0</v>
      </c>
      <c r="M67" s="28">
        <f t="shared" si="7"/>
        <v>0</v>
      </c>
      <c r="N67" s="28">
        <f t="shared" si="7"/>
        <v>0</v>
      </c>
      <c r="O67" s="28">
        <f t="shared" si="7"/>
        <v>0</v>
      </c>
      <c r="P67" s="28">
        <f t="shared" si="7"/>
        <v>0</v>
      </c>
      <c r="Q67" s="28">
        <f t="shared" si="7"/>
        <v>0</v>
      </c>
      <c r="R67" s="28">
        <f t="shared" si="7"/>
        <v>0</v>
      </c>
      <c r="S67" s="28">
        <f t="shared" si="7"/>
        <v>0</v>
      </c>
      <c r="T67" s="28">
        <f t="shared" si="7"/>
        <v>0</v>
      </c>
      <c r="U67" s="28">
        <f t="shared" si="7"/>
        <v>0</v>
      </c>
      <c r="V67" s="28">
        <f t="shared" si="7"/>
        <v>0</v>
      </c>
      <c r="W67" s="28">
        <f t="shared" si="7"/>
        <v>0</v>
      </c>
      <c r="X67" s="28">
        <f t="shared" si="7"/>
        <v>0</v>
      </c>
      <c r="Y67" s="28">
        <f t="shared" si="7"/>
        <v>0</v>
      </c>
      <c r="Z67" s="28">
        <f t="shared" si="7"/>
        <v>0</v>
      </c>
      <c r="AA67" s="28">
        <f t="shared" si="7"/>
        <v>0</v>
      </c>
      <c r="AB67" s="28">
        <f t="shared" si="7"/>
        <v>0</v>
      </c>
      <c r="AC67" s="28">
        <f t="shared" si="7"/>
        <v>0</v>
      </c>
      <c r="AD67" s="28">
        <f t="shared" si="7"/>
        <v>0</v>
      </c>
      <c r="AE67" s="28">
        <f t="shared" si="7"/>
        <v>0</v>
      </c>
      <c r="AF67" s="28">
        <f t="shared" si="7"/>
        <v>0</v>
      </c>
      <c r="AG67" s="28">
        <f t="shared" si="7"/>
        <v>0</v>
      </c>
    </row>
    <row r="68" spans="1:33" x14ac:dyDescent="0.2">
      <c r="A68" s="6"/>
      <c r="B68" s="6"/>
      <c r="C68" s="4"/>
      <c r="D68" s="34"/>
      <c r="F68" s="85"/>
      <c r="G68" s="187"/>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row>
    <row r="69" spans="1:33" x14ac:dyDescent="0.2">
      <c r="A69" s="6"/>
      <c r="B69" s="6"/>
      <c r="C69" s="125" t="s">
        <v>130</v>
      </c>
      <c r="D69" s="34"/>
      <c r="F69" s="85"/>
      <c r="G69" s="186"/>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x14ac:dyDescent="0.2">
      <c r="A70" s="6"/>
      <c r="B70" s="6"/>
      <c r="C70" s="4" t="str">
        <f>C14</f>
        <v>&lt; Enter description &gt;</v>
      </c>
      <c r="D70" s="34"/>
      <c r="F70" s="85"/>
      <c r="G70" s="183">
        <f>input_dollars</f>
        <v>45291</v>
      </c>
      <c r="H70" s="28"/>
      <c r="I70" s="28" cm="1">
        <f t="array" ref="I70">SUMPRODUCT(($I65:I65))-SUMPRODUCT(($I65:I65)*($I$6:I$6&lt;=(I$6-$E14)))</f>
        <v>0</v>
      </c>
      <c r="J70" s="28" cm="1">
        <f t="array" ref="J70">SUMPRODUCT(($I65:J65))-SUMPRODUCT(($I65:J65)*($I$6:J$6&lt;=(J$6-$E14)))</f>
        <v>0</v>
      </c>
      <c r="K70" s="28" cm="1">
        <f t="array" ref="K70">SUMPRODUCT(($I65:K65))-SUMPRODUCT(($I65:K65)*($I$6:K$6&lt;=(K$6-$E14)))</f>
        <v>0</v>
      </c>
      <c r="L70" s="28" cm="1">
        <f t="array" ref="L70">SUMPRODUCT(($I65:L65))-SUMPRODUCT(($I65:L65)*($I$6:L$6&lt;=(L$6-$E14)))</f>
        <v>0</v>
      </c>
      <c r="M70" s="28" cm="1">
        <f t="array" ref="M70">SUMPRODUCT(($I65:M65))-SUMPRODUCT(($I65:M65)*($I$6:M$6&lt;=(M$6-$E14)))</f>
        <v>0</v>
      </c>
      <c r="N70" s="28" cm="1">
        <f t="array" ref="N70">SUMPRODUCT(($I65:N65))-SUMPRODUCT(($I65:N65)*($I$6:N$6&lt;=(N$6-$E14)))</f>
        <v>0</v>
      </c>
      <c r="O70" s="28" cm="1">
        <f t="array" ref="O70">SUMPRODUCT(($I65:O65))-SUMPRODUCT(($I65:O65)*($I$6:O$6&lt;=(O$6-$E14)))</f>
        <v>0</v>
      </c>
      <c r="P70" s="28" cm="1">
        <f t="array" ref="P70">SUMPRODUCT(($I65:P65))-SUMPRODUCT(($I65:P65)*($I$6:P$6&lt;=(P$6-$E14)))</f>
        <v>0</v>
      </c>
      <c r="Q70" s="28" cm="1">
        <f t="array" ref="Q70">SUMPRODUCT(($I65:Q65))-SUMPRODUCT(($I65:Q65)*($I$6:Q$6&lt;=(Q$6-$E14)))</f>
        <v>0</v>
      </c>
      <c r="R70" s="28" cm="1">
        <f t="array" ref="R70">SUMPRODUCT(($I65:R65))-SUMPRODUCT(($I65:R65)*($I$6:R$6&lt;=(R$6-$E14)))</f>
        <v>0</v>
      </c>
      <c r="S70" s="28" cm="1">
        <f t="array" ref="S70">SUMPRODUCT(($I65:S65))-SUMPRODUCT(($I65:S65)*($I$6:S$6&lt;=(S$6-$E14)))</f>
        <v>0</v>
      </c>
      <c r="T70" s="28" cm="1">
        <f t="array" ref="T70">SUMPRODUCT(($I65:T65))-SUMPRODUCT(($I65:T65)*($I$6:T$6&lt;=(T$6-$E14)))</f>
        <v>0</v>
      </c>
      <c r="U70" s="28" cm="1">
        <f t="array" ref="U70">SUMPRODUCT(($I65:U65))-SUMPRODUCT(($I65:U65)*($I$6:U$6&lt;=(U$6-$E14)))</f>
        <v>0</v>
      </c>
      <c r="V70" s="28" cm="1">
        <f t="array" ref="V70">SUMPRODUCT(($I65:V65))-SUMPRODUCT(($I65:V65)*($I$6:V$6&lt;=(V$6-$E14)))</f>
        <v>0</v>
      </c>
      <c r="W70" s="28" cm="1">
        <f t="array" ref="W70">SUMPRODUCT(($I65:W65))-SUMPRODUCT(($I65:W65)*($I$6:W$6&lt;=(W$6-$E14)))</f>
        <v>0</v>
      </c>
      <c r="X70" s="28" cm="1">
        <f t="array" ref="X70">SUMPRODUCT(($I65:X65))-SUMPRODUCT(($I65:X65)*($I$6:X$6&lt;=(X$6-$E14)))</f>
        <v>0</v>
      </c>
      <c r="Y70" s="28" cm="1">
        <f t="array" ref="Y70">SUMPRODUCT(($I65:Y65))-SUMPRODUCT(($I65:Y65)*($I$6:Y$6&lt;=(Y$6-$E14)))</f>
        <v>0</v>
      </c>
      <c r="Z70" s="28" cm="1">
        <f t="array" ref="Z70">SUMPRODUCT(($I65:Z65))-SUMPRODUCT(($I65:Z65)*($I$6:Z$6&lt;=(Z$6-$E14)))</f>
        <v>0</v>
      </c>
      <c r="AA70" s="28" cm="1">
        <f t="array" ref="AA70">SUMPRODUCT(($I65:AA65))-SUMPRODUCT(($I65:AA65)*($I$6:AA$6&lt;=(AA$6-$E14)))</f>
        <v>0</v>
      </c>
      <c r="AB70" s="28" cm="1">
        <f t="array" ref="AB70">SUMPRODUCT(($I65:AB65))-SUMPRODUCT(($I65:AB65)*($I$6:AB$6&lt;=(AB$6-$E14)))</f>
        <v>0</v>
      </c>
      <c r="AC70" s="28" cm="1">
        <f t="array" ref="AC70">SUMPRODUCT(($I65:AC65))-SUMPRODUCT(($I65:AC65)*($I$6:AC$6&lt;=(AC$6-$E14)))</f>
        <v>0</v>
      </c>
      <c r="AD70" s="28" cm="1">
        <f t="array" ref="AD70">SUMPRODUCT(($I65:AD65))-SUMPRODUCT(($I65:AD65)*($I$6:AD$6&lt;=(AD$6-$E14)))</f>
        <v>0</v>
      </c>
      <c r="AE70" s="28" cm="1">
        <f t="array" ref="AE70">SUMPRODUCT(($I65:AE65))-SUMPRODUCT(($I65:AE65)*($I$6:AE$6&lt;=(AE$6-$E14)))</f>
        <v>0</v>
      </c>
      <c r="AF70" s="28" cm="1">
        <f t="array" ref="AF70">SUMPRODUCT(($I65:AF65))-SUMPRODUCT(($I65:AF65)*($I$6:AF$6&lt;=(AF$6-$E14)))</f>
        <v>0</v>
      </c>
      <c r="AG70" s="28" cm="1">
        <f t="array" ref="AG70">SUMPRODUCT(($I65:AG65))-SUMPRODUCT(($I65:AG65)*($I$6:AG$6&lt;=(AG$6-$E14)))</f>
        <v>0</v>
      </c>
    </row>
    <row r="71" spans="1:33" x14ac:dyDescent="0.2">
      <c r="A71" s="6"/>
      <c r="B71" s="6"/>
      <c r="C71" s="4" t="str">
        <f>C15</f>
        <v>&lt; Enter description &gt;</v>
      </c>
      <c r="D71" s="34"/>
      <c r="F71" s="85"/>
      <c r="G71" s="183">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row>
    <row r="72" spans="1:33" x14ac:dyDescent="0.2">
      <c r="A72" s="6"/>
      <c r="B72" s="6"/>
      <c r="C72" s="4" t="str">
        <f>C16</f>
        <v>&lt; Enter description &gt;</v>
      </c>
      <c r="D72" s="34"/>
      <c r="F72" s="85"/>
      <c r="G72" s="183">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row>
    <row r="73" spans="1:33" x14ac:dyDescent="0.2">
      <c r="A73" s="6"/>
      <c r="B73" s="6"/>
      <c r="C73" s="4"/>
      <c r="D73" s="34"/>
      <c r="F73" s="85"/>
      <c r="G73" s="187"/>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row>
    <row r="74" spans="1:33" x14ac:dyDescent="0.2">
      <c r="A74" s="6"/>
      <c r="B74" s="6"/>
      <c r="C74" s="125" t="s">
        <v>131</v>
      </c>
      <c r="D74" s="34"/>
      <c r="F74" s="85"/>
      <c r="G74" s="186"/>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row>
    <row r="75" spans="1:33" x14ac:dyDescent="0.2">
      <c r="A75" s="6"/>
      <c r="B75" s="6"/>
      <c r="C75" s="4" t="str">
        <f>$C$74&amp;" - "&amp;C14</f>
        <v>Annualised capex - &lt; Enter description &gt;</v>
      </c>
      <c r="D75" s="34"/>
      <c r="F75" s="85"/>
      <c r="G75" s="183">
        <f>input_dollars</f>
        <v>45291</v>
      </c>
      <c r="H75" s="28"/>
      <c r="I75" s="28">
        <f t="shared" ref="I75:AG75" si="8">IF($E14=0,0,-PMT(real_disc, $E14,H70,))</f>
        <v>0</v>
      </c>
      <c r="J75" s="28">
        <f t="shared" si="8"/>
        <v>0</v>
      </c>
      <c r="K75" s="28">
        <f t="shared" si="8"/>
        <v>0</v>
      </c>
      <c r="L75" s="28">
        <f t="shared" si="8"/>
        <v>0</v>
      </c>
      <c r="M75" s="28">
        <f t="shared" si="8"/>
        <v>0</v>
      </c>
      <c r="N75" s="28">
        <f t="shared" si="8"/>
        <v>0</v>
      </c>
      <c r="O75" s="28">
        <f t="shared" si="8"/>
        <v>0</v>
      </c>
      <c r="P75" s="28">
        <f t="shared" si="8"/>
        <v>0</v>
      </c>
      <c r="Q75" s="28">
        <f t="shared" si="8"/>
        <v>0</v>
      </c>
      <c r="R75" s="28">
        <f t="shared" si="8"/>
        <v>0</v>
      </c>
      <c r="S75" s="28">
        <f t="shared" si="8"/>
        <v>0</v>
      </c>
      <c r="T75" s="28">
        <f t="shared" si="8"/>
        <v>0</v>
      </c>
      <c r="U75" s="28">
        <f t="shared" si="8"/>
        <v>0</v>
      </c>
      <c r="V75" s="28">
        <f t="shared" si="8"/>
        <v>0</v>
      </c>
      <c r="W75" s="28">
        <f t="shared" si="8"/>
        <v>0</v>
      </c>
      <c r="X75" s="28">
        <f t="shared" si="8"/>
        <v>0</v>
      </c>
      <c r="Y75" s="28">
        <f t="shared" si="8"/>
        <v>0</v>
      </c>
      <c r="Z75" s="28">
        <f t="shared" si="8"/>
        <v>0</v>
      </c>
      <c r="AA75" s="28">
        <f t="shared" si="8"/>
        <v>0</v>
      </c>
      <c r="AB75" s="28">
        <f t="shared" si="8"/>
        <v>0</v>
      </c>
      <c r="AC75" s="28">
        <f t="shared" si="8"/>
        <v>0</v>
      </c>
      <c r="AD75" s="28">
        <f t="shared" si="8"/>
        <v>0</v>
      </c>
      <c r="AE75" s="28">
        <f t="shared" si="8"/>
        <v>0</v>
      </c>
      <c r="AF75" s="28">
        <f t="shared" si="8"/>
        <v>0</v>
      </c>
      <c r="AG75" s="28">
        <f t="shared" si="8"/>
        <v>0</v>
      </c>
    </row>
    <row r="76" spans="1:33" x14ac:dyDescent="0.2">
      <c r="A76" s="6"/>
      <c r="B76" s="6"/>
      <c r="C76" s="4" t="str">
        <f>$C$74&amp;" - "&amp;C15</f>
        <v>Annualised capex - &lt; Enter description &gt;</v>
      </c>
      <c r="D76" s="34"/>
      <c r="F76" s="85"/>
      <c r="G76" s="183">
        <f>input_dollars</f>
        <v>45291</v>
      </c>
      <c r="H76" s="28"/>
      <c r="I76" s="28">
        <f t="shared" ref="I76:AG76" si="9">IF($E15=0,0,-PMT(real_disc, $E15,H71,))</f>
        <v>0</v>
      </c>
      <c r="J76" s="28">
        <f t="shared" si="9"/>
        <v>0</v>
      </c>
      <c r="K76" s="28">
        <f t="shared" si="9"/>
        <v>0</v>
      </c>
      <c r="L76" s="28">
        <f t="shared" si="9"/>
        <v>0</v>
      </c>
      <c r="M76" s="28">
        <f t="shared" si="9"/>
        <v>0</v>
      </c>
      <c r="N76" s="28">
        <f t="shared" si="9"/>
        <v>0</v>
      </c>
      <c r="O76" s="28">
        <f t="shared" si="9"/>
        <v>0</v>
      </c>
      <c r="P76" s="28">
        <f t="shared" si="9"/>
        <v>0</v>
      </c>
      <c r="Q76" s="28">
        <f t="shared" si="9"/>
        <v>0</v>
      </c>
      <c r="R76" s="28">
        <f t="shared" si="9"/>
        <v>0</v>
      </c>
      <c r="S76" s="28">
        <f t="shared" si="9"/>
        <v>0</v>
      </c>
      <c r="T76" s="28">
        <f t="shared" si="9"/>
        <v>0</v>
      </c>
      <c r="U76" s="28">
        <f t="shared" si="9"/>
        <v>0</v>
      </c>
      <c r="V76" s="28">
        <f t="shared" si="9"/>
        <v>0</v>
      </c>
      <c r="W76" s="28">
        <f t="shared" si="9"/>
        <v>0</v>
      </c>
      <c r="X76" s="28">
        <f t="shared" si="9"/>
        <v>0</v>
      </c>
      <c r="Y76" s="28">
        <f t="shared" si="9"/>
        <v>0</v>
      </c>
      <c r="Z76" s="28">
        <f t="shared" si="9"/>
        <v>0</v>
      </c>
      <c r="AA76" s="28">
        <f t="shared" si="9"/>
        <v>0</v>
      </c>
      <c r="AB76" s="28">
        <f t="shared" si="9"/>
        <v>0</v>
      </c>
      <c r="AC76" s="28">
        <f t="shared" si="9"/>
        <v>0</v>
      </c>
      <c r="AD76" s="28">
        <f t="shared" si="9"/>
        <v>0</v>
      </c>
      <c r="AE76" s="28">
        <f t="shared" si="9"/>
        <v>0</v>
      </c>
      <c r="AF76" s="28">
        <f t="shared" si="9"/>
        <v>0</v>
      </c>
      <c r="AG76" s="28">
        <f t="shared" si="9"/>
        <v>0</v>
      </c>
    </row>
    <row r="77" spans="1:33" x14ac:dyDescent="0.2">
      <c r="A77" s="6"/>
      <c r="B77" s="6"/>
      <c r="C77" s="4" t="str">
        <f>$C$74&amp;" - "&amp;C16</f>
        <v>Annualised capex - &lt; Enter description &gt;</v>
      </c>
      <c r="D77" s="34"/>
      <c r="F77" s="85"/>
      <c r="G77" s="183">
        <f>input_dollars</f>
        <v>45291</v>
      </c>
      <c r="H77" s="28"/>
      <c r="I77" s="28">
        <f t="shared" ref="I77:AG77" si="10">IF($E16=0,0,-PMT(real_disc, $E16,H72,))</f>
        <v>0</v>
      </c>
      <c r="J77" s="28">
        <f t="shared" si="10"/>
        <v>0</v>
      </c>
      <c r="K77" s="28">
        <f t="shared" si="10"/>
        <v>0</v>
      </c>
      <c r="L77" s="28">
        <f t="shared" si="10"/>
        <v>0</v>
      </c>
      <c r="M77" s="28">
        <f t="shared" si="10"/>
        <v>0</v>
      </c>
      <c r="N77" s="28">
        <f t="shared" si="10"/>
        <v>0</v>
      </c>
      <c r="O77" s="28">
        <f t="shared" si="10"/>
        <v>0</v>
      </c>
      <c r="P77" s="28">
        <f t="shared" si="10"/>
        <v>0</v>
      </c>
      <c r="Q77" s="28">
        <f t="shared" si="10"/>
        <v>0</v>
      </c>
      <c r="R77" s="28">
        <f t="shared" si="10"/>
        <v>0</v>
      </c>
      <c r="S77" s="28">
        <f t="shared" si="10"/>
        <v>0</v>
      </c>
      <c r="T77" s="28">
        <f t="shared" si="10"/>
        <v>0</v>
      </c>
      <c r="U77" s="28">
        <f t="shared" si="10"/>
        <v>0</v>
      </c>
      <c r="V77" s="28">
        <f t="shared" si="10"/>
        <v>0</v>
      </c>
      <c r="W77" s="28">
        <f t="shared" si="10"/>
        <v>0</v>
      </c>
      <c r="X77" s="28">
        <f t="shared" si="10"/>
        <v>0</v>
      </c>
      <c r="Y77" s="28">
        <f t="shared" si="10"/>
        <v>0</v>
      </c>
      <c r="Z77" s="28">
        <f t="shared" si="10"/>
        <v>0</v>
      </c>
      <c r="AA77" s="28">
        <f t="shared" si="10"/>
        <v>0</v>
      </c>
      <c r="AB77" s="28">
        <f t="shared" si="10"/>
        <v>0</v>
      </c>
      <c r="AC77" s="28">
        <f t="shared" si="10"/>
        <v>0</v>
      </c>
      <c r="AD77" s="28">
        <f t="shared" si="10"/>
        <v>0</v>
      </c>
      <c r="AE77" s="28">
        <f t="shared" si="10"/>
        <v>0</v>
      </c>
      <c r="AF77" s="28">
        <f t="shared" si="10"/>
        <v>0</v>
      </c>
      <c r="AG77" s="28">
        <f t="shared" si="10"/>
        <v>0</v>
      </c>
    </row>
    <row r="78" spans="1:33" x14ac:dyDescent="0.2">
      <c r="A78" s="6"/>
      <c r="B78" s="6"/>
      <c r="C78" s="148" t="s">
        <v>132</v>
      </c>
      <c r="D78" s="148"/>
      <c r="E78" s="149"/>
      <c r="F78" s="150"/>
      <c r="G78" s="188">
        <f>input_dollars</f>
        <v>45291</v>
      </c>
      <c r="H78" s="151"/>
      <c r="I78" s="151">
        <f>SUM(I75:I77)</f>
        <v>0</v>
      </c>
      <c r="J78" s="151">
        <f t="shared" ref="J78:AB78" si="11">SUM(J75:J77)</f>
        <v>0</v>
      </c>
      <c r="K78" s="151">
        <f t="shared" si="11"/>
        <v>0</v>
      </c>
      <c r="L78" s="151">
        <f t="shared" si="11"/>
        <v>0</v>
      </c>
      <c r="M78" s="151">
        <f t="shared" si="11"/>
        <v>0</v>
      </c>
      <c r="N78" s="151">
        <f t="shared" si="11"/>
        <v>0</v>
      </c>
      <c r="O78" s="151">
        <f t="shared" si="11"/>
        <v>0</v>
      </c>
      <c r="P78" s="151">
        <f t="shared" si="11"/>
        <v>0</v>
      </c>
      <c r="Q78" s="151">
        <f t="shared" si="11"/>
        <v>0</v>
      </c>
      <c r="R78" s="151">
        <f t="shared" si="11"/>
        <v>0</v>
      </c>
      <c r="S78" s="151">
        <f t="shared" si="11"/>
        <v>0</v>
      </c>
      <c r="T78" s="151">
        <f t="shared" si="11"/>
        <v>0</v>
      </c>
      <c r="U78" s="151">
        <f t="shared" si="11"/>
        <v>0</v>
      </c>
      <c r="V78" s="151">
        <f t="shared" si="11"/>
        <v>0</v>
      </c>
      <c r="W78" s="151">
        <f t="shared" si="11"/>
        <v>0</v>
      </c>
      <c r="X78" s="151">
        <f t="shared" si="11"/>
        <v>0</v>
      </c>
      <c r="Y78" s="151">
        <f t="shared" si="11"/>
        <v>0</v>
      </c>
      <c r="Z78" s="151">
        <f t="shared" si="11"/>
        <v>0</v>
      </c>
      <c r="AA78" s="151">
        <f t="shared" si="11"/>
        <v>0</v>
      </c>
      <c r="AB78" s="151">
        <f t="shared" si="11"/>
        <v>0</v>
      </c>
      <c r="AC78" s="151">
        <f>SUM(AC75:AC77)</f>
        <v>0</v>
      </c>
      <c r="AD78" s="151">
        <f>SUM(AD75:AD77)</f>
        <v>0</v>
      </c>
      <c r="AE78" s="151">
        <f>SUM(AE75:AE77)</f>
        <v>0</v>
      </c>
      <c r="AF78" s="151">
        <f>SUM(AF75:AF77)</f>
        <v>0</v>
      </c>
      <c r="AG78" s="151">
        <f>SUM(AG75:AG77)</f>
        <v>0</v>
      </c>
    </row>
    <row r="79" spans="1:33" x14ac:dyDescent="0.2">
      <c r="A79" s="6"/>
      <c r="B79" s="6"/>
      <c r="C79" s="12"/>
      <c r="D79" s="34"/>
      <c r="F79"/>
      <c r="G79" s="189"/>
      <c r="H79"/>
      <c r="I79"/>
      <c r="J79"/>
      <c r="K79"/>
      <c r="L79"/>
      <c r="M79"/>
      <c r="N79"/>
      <c r="O79"/>
      <c r="P79"/>
      <c r="Q79"/>
      <c r="R79"/>
      <c r="S79"/>
      <c r="T79"/>
      <c r="U79"/>
      <c r="V79"/>
      <c r="W79"/>
      <c r="X79"/>
      <c r="Y79"/>
      <c r="Z79"/>
      <c r="AA79"/>
      <c r="AB79"/>
      <c r="AC79"/>
      <c r="AD79"/>
      <c r="AE79"/>
      <c r="AF79"/>
      <c r="AG79"/>
    </row>
    <row r="80" spans="1:33" x14ac:dyDescent="0.2">
      <c r="A80" s="6"/>
      <c r="B80" s="6"/>
      <c r="C80" s="4" t="s">
        <v>131</v>
      </c>
      <c r="D80" s="34"/>
      <c r="F80" s="85"/>
      <c r="G80" s="183">
        <f t="shared" ref="G80:G85" si="12">input_dollars</f>
        <v>45291</v>
      </c>
      <c r="H80" s="28"/>
      <c r="I80" s="28">
        <f>I78</f>
        <v>0</v>
      </c>
      <c r="J80" s="28">
        <f t="shared" ref="J80:AB80" si="13">J78</f>
        <v>0</v>
      </c>
      <c r="K80" s="28">
        <f t="shared" si="13"/>
        <v>0</v>
      </c>
      <c r="L80" s="28">
        <f t="shared" si="13"/>
        <v>0</v>
      </c>
      <c r="M80" s="28">
        <f t="shared" si="13"/>
        <v>0</v>
      </c>
      <c r="N80" s="28">
        <f t="shared" si="13"/>
        <v>0</v>
      </c>
      <c r="O80" s="28">
        <f t="shared" si="13"/>
        <v>0</v>
      </c>
      <c r="P80" s="28">
        <f t="shared" si="13"/>
        <v>0</v>
      </c>
      <c r="Q80" s="28">
        <f t="shared" si="13"/>
        <v>0</v>
      </c>
      <c r="R80" s="28">
        <f t="shared" si="13"/>
        <v>0</v>
      </c>
      <c r="S80" s="28">
        <f t="shared" si="13"/>
        <v>0</v>
      </c>
      <c r="T80" s="28">
        <f t="shared" si="13"/>
        <v>0</v>
      </c>
      <c r="U80" s="28">
        <f t="shared" si="13"/>
        <v>0</v>
      </c>
      <c r="V80" s="28">
        <f t="shared" si="13"/>
        <v>0</v>
      </c>
      <c r="W80" s="28">
        <f t="shared" si="13"/>
        <v>0</v>
      </c>
      <c r="X80" s="28">
        <f t="shared" si="13"/>
        <v>0</v>
      </c>
      <c r="Y80" s="28">
        <f t="shared" si="13"/>
        <v>0</v>
      </c>
      <c r="Z80" s="28">
        <f t="shared" si="13"/>
        <v>0</v>
      </c>
      <c r="AA80" s="28">
        <f t="shared" si="13"/>
        <v>0</v>
      </c>
      <c r="AB80" s="28">
        <f t="shared" si="13"/>
        <v>0</v>
      </c>
      <c r="AC80" s="28">
        <f>AC78</f>
        <v>0</v>
      </c>
      <c r="AD80" s="28">
        <f>AD78</f>
        <v>0</v>
      </c>
      <c r="AE80" s="28">
        <f>AE78</f>
        <v>0</v>
      </c>
      <c r="AF80" s="28">
        <f>AF78</f>
        <v>0</v>
      </c>
      <c r="AG80" s="28">
        <f>AG78</f>
        <v>0</v>
      </c>
    </row>
    <row r="81" spans="1:33" x14ac:dyDescent="0.2">
      <c r="A81" s="6"/>
      <c r="B81" s="6"/>
      <c r="C81" s="4" t="s">
        <v>15</v>
      </c>
      <c r="D81" s="34"/>
      <c r="F81" s="85"/>
      <c r="G81" s="183">
        <f t="shared" si="12"/>
        <v>45291</v>
      </c>
      <c r="H81" s="28"/>
      <c r="I81" s="28">
        <f t="shared" ref="I81:AG81" si="14">-I19</f>
        <v>0</v>
      </c>
      <c r="J81" s="28">
        <f t="shared" si="14"/>
        <v>0</v>
      </c>
      <c r="K81" s="28">
        <f t="shared" si="14"/>
        <v>0</v>
      </c>
      <c r="L81" s="28">
        <f t="shared" si="14"/>
        <v>0</v>
      </c>
      <c r="M81" s="28">
        <f t="shared" si="14"/>
        <v>0</v>
      </c>
      <c r="N81" s="28">
        <f t="shared" si="14"/>
        <v>0</v>
      </c>
      <c r="O81" s="28">
        <f t="shared" si="14"/>
        <v>0</v>
      </c>
      <c r="P81" s="28">
        <f t="shared" si="14"/>
        <v>0</v>
      </c>
      <c r="Q81" s="28">
        <f t="shared" si="14"/>
        <v>0</v>
      </c>
      <c r="R81" s="28">
        <f t="shared" si="14"/>
        <v>0</v>
      </c>
      <c r="S81" s="28">
        <f t="shared" si="14"/>
        <v>0</v>
      </c>
      <c r="T81" s="28">
        <f t="shared" si="14"/>
        <v>0</v>
      </c>
      <c r="U81" s="28">
        <f t="shared" si="14"/>
        <v>0</v>
      </c>
      <c r="V81" s="28">
        <f t="shared" si="14"/>
        <v>0</v>
      </c>
      <c r="W81" s="28">
        <f t="shared" si="14"/>
        <v>0</v>
      </c>
      <c r="X81" s="28">
        <f t="shared" si="14"/>
        <v>0</v>
      </c>
      <c r="Y81" s="28">
        <f t="shared" si="14"/>
        <v>0</v>
      </c>
      <c r="Z81" s="28">
        <f t="shared" si="14"/>
        <v>0</v>
      </c>
      <c r="AA81" s="28">
        <f t="shared" si="14"/>
        <v>0</v>
      </c>
      <c r="AB81" s="28">
        <f t="shared" si="14"/>
        <v>0</v>
      </c>
      <c r="AC81" s="28">
        <f t="shared" si="14"/>
        <v>0</v>
      </c>
      <c r="AD81" s="28">
        <f t="shared" si="14"/>
        <v>0</v>
      </c>
      <c r="AE81" s="28">
        <f t="shared" si="14"/>
        <v>0</v>
      </c>
      <c r="AF81" s="28">
        <f t="shared" si="14"/>
        <v>0</v>
      </c>
      <c r="AG81" s="28">
        <f t="shared" si="14"/>
        <v>0</v>
      </c>
    </row>
    <row r="82" spans="1:33" x14ac:dyDescent="0.2">
      <c r="A82" s="6"/>
      <c r="B82" s="6"/>
      <c r="C82" s="4" t="s">
        <v>133</v>
      </c>
      <c r="D82" s="34"/>
      <c r="F82" s="85"/>
      <c r="G82" s="183">
        <f t="shared" si="12"/>
        <v>45291</v>
      </c>
      <c r="H82" s="28"/>
      <c r="I82" s="28">
        <f>I62</f>
        <v>0</v>
      </c>
      <c r="J82" s="28">
        <f t="shared" ref="J82:AB82" si="15">J62</f>
        <v>0</v>
      </c>
      <c r="K82" s="28">
        <f t="shared" si="15"/>
        <v>0</v>
      </c>
      <c r="L82" s="28">
        <f t="shared" si="15"/>
        <v>0</v>
      </c>
      <c r="M82" s="28">
        <f t="shared" si="15"/>
        <v>0</v>
      </c>
      <c r="N82" s="28">
        <f t="shared" si="15"/>
        <v>0</v>
      </c>
      <c r="O82" s="28">
        <f t="shared" si="15"/>
        <v>0</v>
      </c>
      <c r="P82" s="28">
        <f t="shared" si="15"/>
        <v>0</v>
      </c>
      <c r="Q82" s="28">
        <f t="shared" si="15"/>
        <v>0</v>
      </c>
      <c r="R82" s="28">
        <f t="shared" si="15"/>
        <v>0</v>
      </c>
      <c r="S82" s="28">
        <f t="shared" si="15"/>
        <v>0</v>
      </c>
      <c r="T82" s="28">
        <f t="shared" si="15"/>
        <v>0</v>
      </c>
      <c r="U82" s="28">
        <f t="shared" si="15"/>
        <v>0</v>
      </c>
      <c r="V82" s="28">
        <f t="shared" si="15"/>
        <v>0</v>
      </c>
      <c r="W82" s="28">
        <f t="shared" si="15"/>
        <v>0</v>
      </c>
      <c r="X82" s="28">
        <f t="shared" si="15"/>
        <v>0</v>
      </c>
      <c r="Y82" s="28">
        <f t="shared" si="15"/>
        <v>0</v>
      </c>
      <c r="Z82" s="28">
        <f t="shared" si="15"/>
        <v>0</v>
      </c>
      <c r="AA82" s="28">
        <f t="shared" si="15"/>
        <v>0</v>
      </c>
      <c r="AB82" s="28">
        <f t="shared" si="15"/>
        <v>0</v>
      </c>
      <c r="AC82" s="28">
        <f>AC62</f>
        <v>0</v>
      </c>
      <c r="AD82" s="28">
        <f>AD62</f>
        <v>0</v>
      </c>
      <c r="AE82" s="28">
        <f>AE62</f>
        <v>0</v>
      </c>
      <c r="AF82" s="28">
        <f>AF62</f>
        <v>0</v>
      </c>
      <c r="AG82" s="28">
        <f>AG62</f>
        <v>0</v>
      </c>
    </row>
    <row r="83" spans="1:33" x14ac:dyDescent="0.2">
      <c r="A83" s="6"/>
      <c r="B83" s="6"/>
      <c r="C83" s="4" t="s">
        <v>134</v>
      </c>
      <c r="D83" s="34"/>
      <c r="F83" s="85"/>
      <c r="G83" s="183">
        <f t="shared" si="12"/>
        <v>45291</v>
      </c>
      <c r="H83" s="28"/>
      <c r="I83" s="28">
        <f t="shared" ref="I83:AG83" si="16">I55</f>
        <v>0</v>
      </c>
      <c r="J83" s="28">
        <f t="shared" si="16"/>
        <v>0</v>
      </c>
      <c r="K83" s="28">
        <f t="shared" si="16"/>
        <v>0</v>
      </c>
      <c r="L83" s="28">
        <f t="shared" si="16"/>
        <v>0</v>
      </c>
      <c r="M83" s="28">
        <f t="shared" si="16"/>
        <v>0</v>
      </c>
      <c r="N83" s="28">
        <f t="shared" si="16"/>
        <v>0</v>
      </c>
      <c r="O83" s="28">
        <f t="shared" si="16"/>
        <v>0</v>
      </c>
      <c r="P83" s="28">
        <f t="shared" si="16"/>
        <v>0</v>
      </c>
      <c r="Q83" s="28">
        <f t="shared" si="16"/>
        <v>0</v>
      </c>
      <c r="R83" s="28">
        <f t="shared" si="16"/>
        <v>0</v>
      </c>
      <c r="S83" s="28">
        <f t="shared" si="16"/>
        <v>0</v>
      </c>
      <c r="T83" s="28">
        <f t="shared" si="16"/>
        <v>0</v>
      </c>
      <c r="U83" s="28">
        <f t="shared" si="16"/>
        <v>0</v>
      </c>
      <c r="V83" s="28">
        <f t="shared" si="16"/>
        <v>0</v>
      </c>
      <c r="W83" s="28">
        <f t="shared" si="16"/>
        <v>0</v>
      </c>
      <c r="X83" s="28">
        <f t="shared" si="16"/>
        <v>0</v>
      </c>
      <c r="Y83" s="28">
        <f t="shared" si="16"/>
        <v>0</v>
      </c>
      <c r="Z83" s="28">
        <f t="shared" si="16"/>
        <v>0</v>
      </c>
      <c r="AA83" s="28">
        <f t="shared" si="16"/>
        <v>0</v>
      </c>
      <c r="AB83" s="28">
        <f t="shared" si="16"/>
        <v>0</v>
      </c>
      <c r="AC83" s="28">
        <f t="shared" si="16"/>
        <v>0</v>
      </c>
      <c r="AD83" s="28">
        <f t="shared" si="16"/>
        <v>0</v>
      </c>
      <c r="AE83" s="28">
        <f t="shared" si="16"/>
        <v>0</v>
      </c>
      <c r="AF83" s="28">
        <f t="shared" si="16"/>
        <v>0</v>
      </c>
      <c r="AG83" s="28">
        <f t="shared" si="16"/>
        <v>0</v>
      </c>
    </row>
    <row r="84" spans="1:33" x14ac:dyDescent="0.2">
      <c r="A84" s="6"/>
      <c r="B84" s="6"/>
      <c r="C84" s="4"/>
      <c r="D84" s="34"/>
      <c r="F84" s="28"/>
      <c r="G84" s="183"/>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row>
    <row r="85" spans="1:33" x14ac:dyDescent="0.2">
      <c r="A85" s="6"/>
      <c r="B85" s="6"/>
      <c r="C85" s="152" t="s">
        <v>135</v>
      </c>
      <c r="D85" s="153"/>
      <c r="E85" s="149"/>
      <c r="F85" s="154"/>
      <c r="G85" s="188">
        <f t="shared" si="12"/>
        <v>45291</v>
      </c>
      <c r="H85" s="154"/>
      <c r="I85" s="154">
        <f t="shared" ref="I85:AB85" si="17">SUM(I80:I84)</f>
        <v>0</v>
      </c>
      <c r="J85" s="154">
        <f t="shared" si="17"/>
        <v>0</v>
      </c>
      <c r="K85" s="154">
        <f t="shared" si="17"/>
        <v>0</v>
      </c>
      <c r="L85" s="154">
        <f t="shared" si="17"/>
        <v>0</v>
      </c>
      <c r="M85" s="154">
        <f t="shared" si="17"/>
        <v>0</v>
      </c>
      <c r="N85" s="154">
        <f t="shared" si="17"/>
        <v>0</v>
      </c>
      <c r="O85" s="154">
        <f t="shared" si="17"/>
        <v>0</v>
      </c>
      <c r="P85" s="154">
        <f t="shared" si="17"/>
        <v>0</v>
      </c>
      <c r="Q85" s="154">
        <f t="shared" si="17"/>
        <v>0</v>
      </c>
      <c r="R85" s="154">
        <f t="shared" si="17"/>
        <v>0</v>
      </c>
      <c r="S85" s="154">
        <f t="shared" si="17"/>
        <v>0</v>
      </c>
      <c r="T85" s="154">
        <f t="shared" si="17"/>
        <v>0</v>
      </c>
      <c r="U85" s="154">
        <f t="shared" si="17"/>
        <v>0</v>
      </c>
      <c r="V85" s="154">
        <f t="shared" si="17"/>
        <v>0</v>
      </c>
      <c r="W85" s="154">
        <f t="shared" si="17"/>
        <v>0</v>
      </c>
      <c r="X85" s="154">
        <f t="shared" si="17"/>
        <v>0</v>
      </c>
      <c r="Y85" s="154">
        <f t="shared" si="17"/>
        <v>0</v>
      </c>
      <c r="Z85" s="154">
        <f t="shared" si="17"/>
        <v>0</v>
      </c>
      <c r="AA85" s="154">
        <f t="shared" si="17"/>
        <v>0</v>
      </c>
      <c r="AB85" s="154">
        <f t="shared" si="17"/>
        <v>0</v>
      </c>
      <c r="AC85" s="154">
        <f>SUM(AC80:AC84)</f>
        <v>0</v>
      </c>
      <c r="AD85" s="154">
        <f>SUM(AD80:AD84)</f>
        <v>0</v>
      </c>
      <c r="AE85" s="154">
        <f>SUM(AE80:AE84)</f>
        <v>0</v>
      </c>
      <c r="AF85" s="154">
        <f>SUM(AF80:AF84)</f>
        <v>0</v>
      </c>
      <c r="AG85" s="154">
        <f>SUM(AG80:AG84)</f>
        <v>0</v>
      </c>
    </row>
    <row r="86" spans="1:33" x14ac:dyDescent="0.2">
      <c r="A86" s="6"/>
      <c r="B86" s="6"/>
      <c r="C86" s="12"/>
      <c r="D86" s="34"/>
      <c r="F86" s="119"/>
      <c r="G86" s="183"/>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row>
    <row r="87" spans="1:33" x14ac:dyDescent="0.2">
      <c r="A87" s="6"/>
      <c r="B87" s="6"/>
      <c r="C87" s="12"/>
      <c r="D87" s="34"/>
      <c r="F87" s="119"/>
      <c r="G87" s="183"/>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row>
    <row r="88" spans="1:33" x14ac:dyDescent="0.2">
      <c r="A88" s="6"/>
      <c r="B88" s="6"/>
      <c r="C88" s="202" t="s">
        <v>137</v>
      </c>
      <c r="D88" s="72"/>
      <c r="E88" s="203"/>
      <c r="F88" s="204"/>
      <c r="G88" s="205" cm="1">
        <f t="array" ref="G88">IF(SUM($I17:$AG17)=0,0,(INDEX(I$6:AG$6,MATCH(TRUE,INDEX($I17:$AG17&lt;&gt;0,),0))))</f>
        <v>0</v>
      </c>
      <c r="H88" s="6"/>
      <c r="I88" s="6"/>
      <c r="J88" s="6"/>
      <c r="K88" s="6"/>
      <c r="L88" s="6"/>
      <c r="M88" s="6"/>
      <c r="N88" s="6"/>
      <c r="O88" s="6"/>
      <c r="P88" s="6"/>
      <c r="Q88" s="6"/>
      <c r="R88" s="6"/>
      <c r="S88" s="6"/>
      <c r="T88" s="6"/>
      <c r="U88" s="6"/>
      <c r="V88" s="6"/>
      <c r="W88" s="6"/>
      <c r="X88" s="6"/>
      <c r="Y88" s="6"/>
      <c r="Z88" s="6"/>
      <c r="AA88" s="6"/>
      <c r="AB88" s="6"/>
      <c r="AC88" s="6"/>
      <c r="AD88" s="6"/>
      <c r="AE88" s="6"/>
      <c r="AF88" s="6"/>
      <c r="AG88" s="6"/>
    </row>
    <row r="89" spans="1:33" x14ac:dyDescent="0.2">
      <c r="C89" s="72"/>
      <c r="D89" s="206"/>
      <c r="E89" s="203"/>
      <c r="F89" s="203"/>
      <c r="G89" s="205"/>
    </row>
    <row r="90" spans="1:33" x14ac:dyDescent="0.2">
      <c r="C90" s="207" t="s">
        <v>138</v>
      </c>
      <c r="D90" s="208"/>
      <c r="E90" s="208"/>
      <c r="F90" s="208"/>
      <c r="G90" s="209" t="str">
        <f>IF(_xlfn.MINIFS($G$88:$G$89, $G$88:$G$89, "&gt;"&amp;0)=0, $A$4, _xlfn.MINIFS($G$88:$G$89, $G$88:$G$89, "&gt;"&amp;0))</f>
        <v>Not used</v>
      </c>
    </row>
    <row r="92" spans="1:33" x14ac:dyDescent="0.2">
      <c r="G92" s="10"/>
    </row>
    <row r="100" spans="1:43" ht="15" x14ac:dyDescent="0.2">
      <c r="A100" s="78" t="s">
        <v>16</v>
      </c>
      <c r="B100" s="78"/>
      <c r="C100" s="78"/>
      <c r="D100" s="78"/>
      <c r="E100" s="78"/>
      <c r="F100" s="78"/>
      <c r="G100" s="177"/>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3"/>
      <c r="J102" s="213"/>
      <c r="K102" s="213"/>
      <c r="L102" s="213"/>
      <c r="M102" s="213"/>
      <c r="N102" s="213"/>
      <c r="O102" s="213"/>
      <c r="P102" s="213"/>
      <c r="Q102" s="213"/>
      <c r="R102" s="213"/>
      <c r="S102" s="213"/>
      <c r="T102" s="213"/>
      <c r="U102" s="213"/>
      <c r="V102" s="213"/>
      <c r="W102" s="213"/>
      <c r="X102" s="213"/>
      <c r="Y102" s="213"/>
      <c r="Z102" s="213"/>
    </row>
    <row r="103" spans="1:43" x14ac:dyDescent="0.2">
      <c r="I103" s="213"/>
      <c r="J103" s="213"/>
      <c r="K103" s="213"/>
      <c r="L103" s="213"/>
      <c r="M103" s="213"/>
      <c r="N103" s="213"/>
      <c r="O103" s="213"/>
      <c r="P103" s="213"/>
      <c r="Q103" s="213"/>
      <c r="R103" s="213"/>
      <c r="S103" s="213"/>
      <c r="T103" s="213"/>
      <c r="U103" s="213"/>
      <c r="V103" s="213"/>
      <c r="W103" s="213"/>
      <c r="X103" s="213"/>
      <c r="Y103" s="213"/>
      <c r="Z103" s="213"/>
    </row>
    <row r="104" spans="1:43" x14ac:dyDescent="0.2">
      <c r="A104" s="1" t="s">
        <v>7</v>
      </c>
      <c r="C104" s="1" t="s">
        <v>135</v>
      </c>
      <c r="D104"/>
      <c r="E104"/>
      <c r="F104"/>
      <c r="G104" s="34" t="str">
        <f>PROPER($A$3)&amp;A104</f>
        <v>Option 4NPV</v>
      </c>
      <c r="I104" s="28">
        <f>I85</f>
        <v>0</v>
      </c>
      <c r="J104" s="28">
        <f t="shared" ref="J104:AG104" si="18">J85</f>
        <v>0</v>
      </c>
      <c r="K104" s="28">
        <f t="shared" si="18"/>
        <v>0</v>
      </c>
      <c r="L104" s="28">
        <f t="shared" si="18"/>
        <v>0</v>
      </c>
      <c r="M104" s="28">
        <f t="shared" si="18"/>
        <v>0</v>
      </c>
      <c r="N104" s="28">
        <f t="shared" si="18"/>
        <v>0</v>
      </c>
      <c r="O104" s="28">
        <f t="shared" si="18"/>
        <v>0</v>
      </c>
      <c r="P104" s="28">
        <f t="shared" si="18"/>
        <v>0</v>
      </c>
      <c r="Q104" s="28">
        <f t="shared" si="18"/>
        <v>0</v>
      </c>
      <c r="R104" s="28">
        <f t="shared" si="18"/>
        <v>0</v>
      </c>
      <c r="S104" s="28">
        <f t="shared" si="18"/>
        <v>0</v>
      </c>
      <c r="T104" s="28">
        <f t="shared" si="18"/>
        <v>0</v>
      </c>
      <c r="U104" s="28">
        <f t="shared" si="18"/>
        <v>0</v>
      </c>
      <c r="V104" s="28">
        <f t="shared" si="18"/>
        <v>0</v>
      </c>
      <c r="W104" s="28">
        <f t="shared" si="18"/>
        <v>0</v>
      </c>
      <c r="X104" s="28">
        <f t="shared" si="18"/>
        <v>0</v>
      </c>
      <c r="Y104" s="28">
        <f t="shared" si="18"/>
        <v>0</v>
      </c>
      <c r="Z104" s="28">
        <f t="shared" si="18"/>
        <v>0</v>
      </c>
      <c r="AA104" s="28">
        <f t="shared" si="18"/>
        <v>0</v>
      </c>
      <c r="AB104" s="28">
        <f t="shared" si="18"/>
        <v>0</v>
      </c>
      <c r="AC104" s="28">
        <f t="shared" si="18"/>
        <v>0</v>
      </c>
      <c r="AD104" s="28">
        <f t="shared" si="18"/>
        <v>0</v>
      </c>
      <c r="AE104" s="28">
        <f t="shared" si="18"/>
        <v>0</v>
      </c>
      <c r="AF104" s="28">
        <f t="shared" si="18"/>
        <v>0</v>
      </c>
      <c r="AG104" s="28">
        <f t="shared" si="18"/>
        <v>0</v>
      </c>
    </row>
    <row r="105" spans="1:43" x14ac:dyDescent="0.2">
      <c r="C105" s="1" t="s">
        <v>132</v>
      </c>
      <c r="D105"/>
      <c r="E105"/>
      <c r="F105"/>
      <c r="G105"/>
      <c r="I105" s="28">
        <f>I80</f>
        <v>0</v>
      </c>
      <c r="J105" s="28">
        <f t="shared" ref="J105:AG105" si="19">J80</f>
        <v>0</v>
      </c>
      <c r="K105" s="28">
        <f t="shared" si="19"/>
        <v>0</v>
      </c>
      <c r="L105" s="28">
        <f t="shared" si="19"/>
        <v>0</v>
      </c>
      <c r="M105" s="28">
        <f t="shared" si="19"/>
        <v>0</v>
      </c>
      <c r="N105" s="28">
        <f t="shared" si="19"/>
        <v>0</v>
      </c>
      <c r="O105" s="28">
        <f t="shared" si="19"/>
        <v>0</v>
      </c>
      <c r="P105" s="28">
        <f t="shared" si="19"/>
        <v>0</v>
      </c>
      <c r="Q105" s="28">
        <f t="shared" si="19"/>
        <v>0</v>
      </c>
      <c r="R105" s="28">
        <f t="shared" si="19"/>
        <v>0</v>
      </c>
      <c r="S105" s="28">
        <f t="shared" si="19"/>
        <v>0</v>
      </c>
      <c r="T105" s="28">
        <f t="shared" si="19"/>
        <v>0</v>
      </c>
      <c r="U105" s="28">
        <f t="shared" si="19"/>
        <v>0</v>
      </c>
      <c r="V105" s="28">
        <f t="shared" si="19"/>
        <v>0</v>
      </c>
      <c r="W105" s="28">
        <f t="shared" si="19"/>
        <v>0</v>
      </c>
      <c r="X105" s="28">
        <f t="shared" si="19"/>
        <v>0</v>
      </c>
      <c r="Y105" s="28">
        <f t="shared" si="19"/>
        <v>0</v>
      </c>
      <c r="Z105" s="28">
        <f t="shared" si="19"/>
        <v>0</v>
      </c>
      <c r="AA105" s="28">
        <f t="shared" si="19"/>
        <v>0</v>
      </c>
      <c r="AB105" s="28">
        <f t="shared" si="19"/>
        <v>0</v>
      </c>
      <c r="AC105" s="28">
        <f t="shared" si="19"/>
        <v>0</v>
      </c>
      <c r="AD105" s="28">
        <f t="shared" si="19"/>
        <v>0</v>
      </c>
      <c r="AE105" s="28">
        <f t="shared" si="19"/>
        <v>0</v>
      </c>
      <c r="AF105" s="28">
        <f t="shared" si="19"/>
        <v>0</v>
      </c>
      <c r="AG105" s="28">
        <f t="shared" si="19"/>
        <v>0</v>
      </c>
    </row>
    <row r="106" spans="1:43" x14ac:dyDescent="0.2">
      <c r="C106" s="1" t="s">
        <v>96</v>
      </c>
      <c r="D106"/>
      <c r="E106"/>
      <c r="F106"/>
      <c r="G106"/>
      <c r="I106" s="28">
        <f>SUM(I82:I83)</f>
        <v>0</v>
      </c>
      <c r="J106" s="28">
        <f t="shared" ref="J106:AG106" si="20">SUM(J82:J83)</f>
        <v>0</v>
      </c>
      <c r="K106" s="28">
        <f t="shared" si="20"/>
        <v>0</v>
      </c>
      <c r="L106" s="28">
        <f t="shared" si="20"/>
        <v>0</v>
      </c>
      <c r="M106" s="28">
        <f t="shared" si="20"/>
        <v>0</v>
      </c>
      <c r="N106" s="28">
        <f t="shared" si="20"/>
        <v>0</v>
      </c>
      <c r="O106" s="28">
        <f t="shared" si="20"/>
        <v>0</v>
      </c>
      <c r="P106" s="28">
        <f t="shared" si="20"/>
        <v>0</v>
      </c>
      <c r="Q106" s="28">
        <f t="shared" si="20"/>
        <v>0</v>
      </c>
      <c r="R106" s="28">
        <f t="shared" si="20"/>
        <v>0</v>
      </c>
      <c r="S106" s="28">
        <f t="shared" si="20"/>
        <v>0</v>
      </c>
      <c r="T106" s="28">
        <f t="shared" si="20"/>
        <v>0</v>
      </c>
      <c r="U106" s="28">
        <f t="shared" si="20"/>
        <v>0</v>
      </c>
      <c r="V106" s="28">
        <f t="shared" si="20"/>
        <v>0</v>
      </c>
      <c r="W106" s="28">
        <f t="shared" si="20"/>
        <v>0</v>
      </c>
      <c r="X106" s="28">
        <f t="shared" si="20"/>
        <v>0</v>
      </c>
      <c r="Y106" s="28">
        <f t="shared" si="20"/>
        <v>0</v>
      </c>
      <c r="Z106" s="28">
        <f t="shared" si="20"/>
        <v>0</v>
      </c>
      <c r="AA106" s="28">
        <f t="shared" si="20"/>
        <v>0</v>
      </c>
      <c r="AB106" s="28">
        <f t="shared" si="20"/>
        <v>0</v>
      </c>
      <c r="AC106" s="28">
        <f t="shared" si="20"/>
        <v>0</v>
      </c>
      <c r="AD106" s="28">
        <f t="shared" si="20"/>
        <v>0</v>
      </c>
      <c r="AE106" s="28">
        <f t="shared" si="20"/>
        <v>0</v>
      </c>
      <c r="AF106" s="28">
        <f t="shared" si="20"/>
        <v>0</v>
      </c>
      <c r="AG106" s="28">
        <f t="shared" si="20"/>
        <v>0</v>
      </c>
    </row>
    <row r="107" spans="1:43" x14ac:dyDescent="0.2">
      <c r="D107" s="253" t="str">
        <f>Assumptions!G116</f>
        <v>Capex</v>
      </c>
      <c r="E107" s="253" t="str">
        <f>Assumptions!H116</f>
        <v>Total benefits</v>
      </c>
      <c r="I107" s="213"/>
      <c r="J107" s="213"/>
      <c r="K107" s="213"/>
      <c r="L107" s="213"/>
      <c r="M107" s="213"/>
      <c r="N107" s="213"/>
      <c r="O107" s="213"/>
      <c r="P107" s="213"/>
      <c r="Q107" s="213"/>
      <c r="R107" s="213"/>
      <c r="S107" s="213"/>
      <c r="T107" s="213"/>
      <c r="U107" s="213"/>
      <c r="V107" s="213"/>
      <c r="W107" s="213"/>
      <c r="X107" s="213"/>
      <c r="Y107" s="213"/>
      <c r="Z107" s="213"/>
    </row>
    <row r="108" spans="1:43" x14ac:dyDescent="0.2">
      <c r="A108" s="1" t="str">
        <f>"sens"&amp;Assumptions!B117</f>
        <v>sens1</v>
      </c>
      <c r="C108" s="252" t="str">
        <f>Assumptions!C117</f>
        <v>Capex 10% higher</v>
      </c>
      <c r="D108" s="253">
        <f>Assumptions!G117</f>
        <v>0.1</v>
      </c>
      <c r="E108" s="253">
        <f>Assumptions!H117</f>
        <v>0</v>
      </c>
      <c r="G108" s="34" t="str">
        <f>PROPER($A$3)&amp;A108</f>
        <v>Option 4sens1</v>
      </c>
      <c r="I108" s="28" cm="1">
        <f t="array" ref="I108">I$104+IF($C108&lt;&gt;0,SUMPRODUCT((I$105:I$106)*TRANSPOSE(($D108:$E108))),0)</f>
        <v>0</v>
      </c>
      <c r="J108" s="28" cm="1">
        <f t="array" ref="J108">J$104+IF($C108&lt;&gt;0,SUMPRODUCT((J$105:J$106)*TRANSPOSE(($D108:$E108))),0)</f>
        <v>0</v>
      </c>
      <c r="K108" s="28" cm="1">
        <f t="array" ref="K108">K$104+IF($C108&lt;&gt;0,SUMPRODUCT((K$105:K$106)*TRANSPOSE(($D108:$E108))),0)</f>
        <v>0</v>
      </c>
      <c r="L108" s="28" cm="1">
        <f t="array" ref="L108">L$104+IF($C108&lt;&gt;0,SUMPRODUCT((L$105:L$106)*TRANSPOSE(($D108:$E108))),0)</f>
        <v>0</v>
      </c>
      <c r="M108" s="28" cm="1">
        <f t="array" ref="M108">M$104+IF($C108&lt;&gt;0,SUMPRODUCT((M$105:M$106)*TRANSPOSE(($D108:$E108))),0)</f>
        <v>0</v>
      </c>
      <c r="N108" s="28" cm="1">
        <f t="array" ref="N108">N$104+IF($C108&lt;&gt;0,SUMPRODUCT((N$105:N$106)*TRANSPOSE(($D108:$E108))),0)</f>
        <v>0</v>
      </c>
      <c r="O108" s="28" cm="1">
        <f t="array" ref="O108">O$104+IF($C108&lt;&gt;0,SUMPRODUCT((O$105:O$106)*TRANSPOSE(($D108:$E108))),0)</f>
        <v>0</v>
      </c>
      <c r="P108" s="28" cm="1">
        <f t="array" ref="P108">P$104+IF($C108&lt;&gt;0,SUMPRODUCT((P$105:P$106)*TRANSPOSE(($D108:$E108))),0)</f>
        <v>0</v>
      </c>
      <c r="Q108" s="28" cm="1">
        <f t="array" ref="Q108">Q$104+IF($C108&lt;&gt;0,SUMPRODUCT((Q$105:Q$106)*TRANSPOSE(($D108:$E108))),0)</f>
        <v>0</v>
      </c>
      <c r="R108" s="28" cm="1">
        <f t="array" ref="R108">R$104+IF($C108&lt;&gt;0,SUMPRODUCT((R$105:R$106)*TRANSPOSE(($D108:$E108))),0)</f>
        <v>0</v>
      </c>
      <c r="S108" s="28" cm="1">
        <f t="array" ref="S108">S$104+IF($C108&lt;&gt;0,SUMPRODUCT((S$105:S$106)*TRANSPOSE(($D108:$E108))),0)</f>
        <v>0</v>
      </c>
      <c r="T108" s="28" cm="1">
        <f t="array" ref="T108">T$104+IF($C108&lt;&gt;0,SUMPRODUCT((T$105:T$106)*TRANSPOSE(($D108:$E108))),0)</f>
        <v>0</v>
      </c>
      <c r="U108" s="28" cm="1">
        <f t="array" ref="U108">U$104+IF($C108&lt;&gt;0,SUMPRODUCT((U$105:U$106)*TRANSPOSE(($D108:$E108))),0)</f>
        <v>0</v>
      </c>
      <c r="V108" s="28" cm="1">
        <f t="array" ref="V108">V$104+IF($C108&lt;&gt;0,SUMPRODUCT((V$105:V$106)*TRANSPOSE(($D108:$E108))),0)</f>
        <v>0</v>
      </c>
      <c r="W108" s="28" cm="1">
        <f t="array" ref="W108">W$104+IF($C108&lt;&gt;0,SUMPRODUCT((W$105:W$106)*TRANSPOSE(($D108:$E108))),0)</f>
        <v>0</v>
      </c>
      <c r="X108" s="28" cm="1">
        <f t="array" ref="X108">X$104+IF($C108&lt;&gt;0,SUMPRODUCT((X$105:X$106)*TRANSPOSE(($D108:$E108))),0)</f>
        <v>0</v>
      </c>
      <c r="Y108" s="28" cm="1">
        <f t="array" ref="Y108">Y$104+IF($C108&lt;&gt;0,SUMPRODUCT((Y$105:Y$106)*TRANSPOSE(($D108:$E108))),0)</f>
        <v>0</v>
      </c>
      <c r="Z108" s="28" cm="1">
        <f t="array" ref="Z108">Z$104+IF($C108&lt;&gt;0,SUMPRODUCT((Z$105:Z$106)*TRANSPOSE(($D108:$E108))),0)</f>
        <v>0</v>
      </c>
      <c r="AA108" s="28" cm="1">
        <f t="array" ref="AA108">AA$104+IF($C108&lt;&gt;0,SUMPRODUCT((AA$105:AA$106)*TRANSPOSE(($D108:$E108))),0)</f>
        <v>0</v>
      </c>
      <c r="AB108" s="28" cm="1">
        <f t="array" ref="AB108">AB$104+IF($C108&lt;&gt;0,SUMPRODUCT((AB$105:AB$106)*TRANSPOSE(($D108:$E108))),0)</f>
        <v>0</v>
      </c>
      <c r="AC108" s="28" cm="1">
        <f t="array" ref="AC108">AC$104+IF($C108&lt;&gt;0,SUMPRODUCT((AC$105:AC$106)*TRANSPOSE(($D108:$E108))),0)</f>
        <v>0</v>
      </c>
      <c r="AD108" s="28" cm="1">
        <f t="array" ref="AD108">AD$104+IF($C108&lt;&gt;0,SUMPRODUCT((AD$105:AD$106)*TRANSPOSE(($D108:$E108))),0)</f>
        <v>0</v>
      </c>
      <c r="AE108" s="28" cm="1">
        <f t="array" ref="AE108">AE$104+IF($C108&lt;&gt;0,SUMPRODUCT((AE$105:AE$106)*TRANSPOSE(($D108:$E108))),0)</f>
        <v>0</v>
      </c>
      <c r="AF108" s="28" cm="1">
        <f t="array" ref="AF108">AF$104+IF($C108&lt;&gt;0,SUMPRODUCT((AF$105:AF$106)*TRANSPOSE(($D108:$E108))),0)</f>
        <v>0</v>
      </c>
      <c r="AG108" s="28" cm="1">
        <f t="array" ref="AG108">AG$104+IF($C108&lt;&gt;0,SUMPRODUCT((AG$105:AG$106)*TRANSPOSE(($D108:$E108))),0)</f>
        <v>0</v>
      </c>
    </row>
    <row r="109" spans="1:43" x14ac:dyDescent="0.2">
      <c r="A109" s="1" t="str">
        <f>"sens"&amp;Assumptions!B118</f>
        <v>sens2</v>
      </c>
      <c r="C109" s="252" t="str">
        <f>Assumptions!C118</f>
        <v>Capex 10% lower</v>
      </c>
      <c r="D109" s="253">
        <f>Assumptions!G118</f>
        <v>-0.1</v>
      </c>
      <c r="E109" s="253">
        <f>Assumptions!H118</f>
        <v>0</v>
      </c>
      <c r="G109" s="34" t="str">
        <f t="shared" ref="G109:G115" si="21">PROPER($A$3)&amp;A109</f>
        <v>Option 4sens2</v>
      </c>
      <c r="I109" s="28" cm="1">
        <f t="array" ref="I109">I$104+IF($C109&lt;&gt;0,SUMPRODUCT((I$105:I$106)*TRANSPOSE(($D109:$E109))),0)</f>
        <v>0</v>
      </c>
      <c r="J109" s="28" cm="1">
        <f t="array" ref="J109">J$104+IF($C109&lt;&gt;0,SUMPRODUCT((J$105:J$106)*TRANSPOSE(($D109:$E109))),0)</f>
        <v>0</v>
      </c>
      <c r="K109" s="28" cm="1">
        <f t="array" ref="K109">K$104+IF($C109&lt;&gt;0,SUMPRODUCT((K$105:K$106)*TRANSPOSE(($D109:$E109))),0)</f>
        <v>0</v>
      </c>
      <c r="L109" s="28" cm="1">
        <f t="array" ref="L109">L$104+IF($C109&lt;&gt;0,SUMPRODUCT((L$105:L$106)*TRANSPOSE(($D109:$E109))),0)</f>
        <v>0</v>
      </c>
      <c r="M109" s="28" cm="1">
        <f t="array" ref="M109">M$104+IF($C109&lt;&gt;0,SUMPRODUCT((M$105:M$106)*TRANSPOSE(($D109:$E109))),0)</f>
        <v>0</v>
      </c>
      <c r="N109" s="28" cm="1">
        <f t="array" ref="N109">N$104+IF($C109&lt;&gt;0,SUMPRODUCT((N$105:N$106)*TRANSPOSE(($D109:$E109))),0)</f>
        <v>0</v>
      </c>
      <c r="O109" s="28" cm="1">
        <f t="array" ref="O109">O$104+IF($C109&lt;&gt;0,SUMPRODUCT((O$105:O$106)*TRANSPOSE(($D109:$E109))),0)</f>
        <v>0</v>
      </c>
      <c r="P109" s="28" cm="1">
        <f t="array" ref="P109">P$104+IF($C109&lt;&gt;0,SUMPRODUCT((P$105:P$106)*TRANSPOSE(($D109:$E109))),0)</f>
        <v>0</v>
      </c>
      <c r="Q109" s="28" cm="1">
        <f t="array" ref="Q109">Q$104+IF($C109&lt;&gt;0,SUMPRODUCT((Q$105:Q$106)*TRANSPOSE(($D109:$E109))),0)</f>
        <v>0</v>
      </c>
      <c r="R109" s="28" cm="1">
        <f t="array" ref="R109">R$104+IF($C109&lt;&gt;0,SUMPRODUCT((R$105:R$106)*TRANSPOSE(($D109:$E109))),0)</f>
        <v>0</v>
      </c>
      <c r="S109" s="28" cm="1">
        <f t="array" ref="S109">S$104+IF($C109&lt;&gt;0,SUMPRODUCT((S$105:S$106)*TRANSPOSE(($D109:$E109))),0)</f>
        <v>0</v>
      </c>
      <c r="T109" s="28" cm="1">
        <f t="array" ref="T109">T$104+IF($C109&lt;&gt;0,SUMPRODUCT((T$105:T$106)*TRANSPOSE(($D109:$E109))),0)</f>
        <v>0</v>
      </c>
      <c r="U109" s="28" cm="1">
        <f t="array" ref="U109">U$104+IF($C109&lt;&gt;0,SUMPRODUCT((U$105:U$106)*TRANSPOSE(($D109:$E109))),0)</f>
        <v>0</v>
      </c>
      <c r="V109" s="28" cm="1">
        <f t="array" ref="V109">V$104+IF($C109&lt;&gt;0,SUMPRODUCT((V$105:V$106)*TRANSPOSE(($D109:$E109))),0)</f>
        <v>0</v>
      </c>
      <c r="W109" s="28" cm="1">
        <f t="array" ref="W109">W$104+IF($C109&lt;&gt;0,SUMPRODUCT((W$105:W$106)*TRANSPOSE(($D109:$E109))),0)</f>
        <v>0</v>
      </c>
      <c r="X109" s="28" cm="1">
        <f t="array" ref="X109">X$104+IF($C109&lt;&gt;0,SUMPRODUCT((X$105:X$106)*TRANSPOSE(($D109:$E109))),0)</f>
        <v>0</v>
      </c>
      <c r="Y109" s="28" cm="1">
        <f t="array" ref="Y109">Y$104+IF($C109&lt;&gt;0,SUMPRODUCT((Y$105:Y$106)*TRANSPOSE(($D109:$E109))),0)</f>
        <v>0</v>
      </c>
      <c r="Z109" s="28" cm="1">
        <f t="array" ref="Z109">Z$104+IF($C109&lt;&gt;0,SUMPRODUCT((Z$105:Z$106)*TRANSPOSE(($D109:$E109))),0)</f>
        <v>0</v>
      </c>
      <c r="AA109" s="28" cm="1">
        <f t="array" ref="AA109">AA$104+IF($C109&lt;&gt;0,SUMPRODUCT((AA$105:AA$106)*TRANSPOSE(($D109:$E109))),0)</f>
        <v>0</v>
      </c>
      <c r="AB109" s="28" cm="1">
        <f t="array" ref="AB109">AB$104+IF($C109&lt;&gt;0,SUMPRODUCT((AB$105:AB$106)*TRANSPOSE(($D109:$E109))),0)</f>
        <v>0</v>
      </c>
      <c r="AC109" s="28" cm="1">
        <f t="array" ref="AC109">AC$104+IF($C109&lt;&gt;0,SUMPRODUCT((AC$105:AC$106)*TRANSPOSE(($D109:$E109))),0)</f>
        <v>0</v>
      </c>
      <c r="AD109" s="28" cm="1">
        <f t="array" ref="AD109">AD$104+IF($C109&lt;&gt;0,SUMPRODUCT((AD$105:AD$106)*TRANSPOSE(($D109:$E109))),0)</f>
        <v>0</v>
      </c>
      <c r="AE109" s="28" cm="1">
        <f t="array" ref="AE109">AE$104+IF($C109&lt;&gt;0,SUMPRODUCT((AE$105:AE$106)*TRANSPOSE(($D109:$E109))),0)</f>
        <v>0</v>
      </c>
      <c r="AF109" s="28" cm="1">
        <f t="array" ref="AF109">AF$104+IF($C109&lt;&gt;0,SUMPRODUCT((AF$105:AF$106)*TRANSPOSE(($D109:$E109))),0)</f>
        <v>0</v>
      </c>
      <c r="AG109" s="28" cm="1">
        <f t="array" ref="AG109">AG$104+IF($C109&lt;&gt;0,SUMPRODUCT((AG$105:AG$106)*TRANSPOSE(($D109:$E109))),0)</f>
        <v>0</v>
      </c>
    </row>
    <row r="110" spans="1:43" x14ac:dyDescent="0.2">
      <c r="A110" s="1" t="str">
        <f>"sens"&amp;Assumptions!B119</f>
        <v>sens3</v>
      </c>
      <c r="C110" s="252" t="str">
        <f>Assumptions!C119</f>
        <v>Total benefits 10% higher</v>
      </c>
      <c r="D110" s="253">
        <f>Assumptions!G119</f>
        <v>0</v>
      </c>
      <c r="E110" s="253">
        <f>Assumptions!H119</f>
        <v>0.1</v>
      </c>
      <c r="G110" s="34" t="str">
        <f t="shared" si="21"/>
        <v>Option 4sens3</v>
      </c>
      <c r="I110" s="28" cm="1">
        <f t="array" ref="I110">I$104+IF($C110&lt;&gt;0,SUMPRODUCT((I$105:I$106)*TRANSPOSE(($D110:$E110))),0)</f>
        <v>0</v>
      </c>
      <c r="J110" s="28" cm="1">
        <f t="array" ref="J110">J$104+IF($C110&lt;&gt;0,SUMPRODUCT((J$105:J$106)*TRANSPOSE(($D110:$E110))),0)</f>
        <v>0</v>
      </c>
      <c r="K110" s="28" cm="1">
        <f t="array" ref="K110">K$104+IF($C110&lt;&gt;0,SUMPRODUCT((K$105:K$106)*TRANSPOSE(($D110:$E110))),0)</f>
        <v>0</v>
      </c>
      <c r="L110" s="28" cm="1">
        <f t="array" ref="L110">L$104+IF($C110&lt;&gt;0,SUMPRODUCT((L$105:L$106)*TRANSPOSE(($D110:$E110))),0)</f>
        <v>0</v>
      </c>
      <c r="M110" s="28" cm="1">
        <f t="array" ref="M110">M$104+IF($C110&lt;&gt;0,SUMPRODUCT((M$105:M$106)*TRANSPOSE(($D110:$E110))),0)</f>
        <v>0</v>
      </c>
      <c r="N110" s="28" cm="1">
        <f t="array" ref="N110">N$104+IF($C110&lt;&gt;0,SUMPRODUCT((N$105:N$106)*TRANSPOSE(($D110:$E110))),0)</f>
        <v>0</v>
      </c>
      <c r="O110" s="28" cm="1">
        <f t="array" ref="O110">O$104+IF($C110&lt;&gt;0,SUMPRODUCT((O$105:O$106)*TRANSPOSE(($D110:$E110))),0)</f>
        <v>0</v>
      </c>
      <c r="P110" s="28" cm="1">
        <f t="array" ref="P110">P$104+IF($C110&lt;&gt;0,SUMPRODUCT((P$105:P$106)*TRANSPOSE(($D110:$E110))),0)</f>
        <v>0</v>
      </c>
      <c r="Q110" s="28" cm="1">
        <f t="array" ref="Q110">Q$104+IF($C110&lt;&gt;0,SUMPRODUCT((Q$105:Q$106)*TRANSPOSE(($D110:$E110))),0)</f>
        <v>0</v>
      </c>
      <c r="R110" s="28" cm="1">
        <f t="array" ref="R110">R$104+IF($C110&lt;&gt;0,SUMPRODUCT((R$105:R$106)*TRANSPOSE(($D110:$E110))),0)</f>
        <v>0</v>
      </c>
      <c r="S110" s="28" cm="1">
        <f t="array" ref="S110">S$104+IF($C110&lt;&gt;0,SUMPRODUCT((S$105:S$106)*TRANSPOSE(($D110:$E110))),0)</f>
        <v>0</v>
      </c>
      <c r="T110" s="28" cm="1">
        <f t="array" ref="T110">T$104+IF($C110&lt;&gt;0,SUMPRODUCT((T$105:T$106)*TRANSPOSE(($D110:$E110))),0)</f>
        <v>0</v>
      </c>
      <c r="U110" s="28" cm="1">
        <f t="array" ref="U110">U$104+IF($C110&lt;&gt;0,SUMPRODUCT((U$105:U$106)*TRANSPOSE(($D110:$E110))),0)</f>
        <v>0</v>
      </c>
      <c r="V110" s="28" cm="1">
        <f t="array" ref="V110">V$104+IF($C110&lt;&gt;0,SUMPRODUCT((V$105:V$106)*TRANSPOSE(($D110:$E110))),0)</f>
        <v>0</v>
      </c>
      <c r="W110" s="28" cm="1">
        <f t="array" ref="W110">W$104+IF($C110&lt;&gt;0,SUMPRODUCT((W$105:W$106)*TRANSPOSE(($D110:$E110))),0)</f>
        <v>0</v>
      </c>
      <c r="X110" s="28" cm="1">
        <f t="array" ref="X110">X$104+IF($C110&lt;&gt;0,SUMPRODUCT((X$105:X$106)*TRANSPOSE(($D110:$E110))),0)</f>
        <v>0</v>
      </c>
      <c r="Y110" s="28" cm="1">
        <f t="array" ref="Y110">Y$104+IF($C110&lt;&gt;0,SUMPRODUCT((Y$105:Y$106)*TRANSPOSE(($D110:$E110))),0)</f>
        <v>0</v>
      </c>
      <c r="Z110" s="28" cm="1">
        <f t="array" ref="Z110">Z$104+IF($C110&lt;&gt;0,SUMPRODUCT((Z$105:Z$106)*TRANSPOSE(($D110:$E110))),0)</f>
        <v>0</v>
      </c>
      <c r="AA110" s="28" cm="1">
        <f t="array" ref="AA110">AA$104+IF($C110&lt;&gt;0,SUMPRODUCT((AA$105:AA$106)*TRANSPOSE(($D110:$E110))),0)</f>
        <v>0</v>
      </c>
      <c r="AB110" s="28" cm="1">
        <f t="array" ref="AB110">AB$104+IF($C110&lt;&gt;0,SUMPRODUCT((AB$105:AB$106)*TRANSPOSE(($D110:$E110))),0)</f>
        <v>0</v>
      </c>
      <c r="AC110" s="28" cm="1">
        <f t="array" ref="AC110">AC$104+IF($C110&lt;&gt;0,SUMPRODUCT((AC$105:AC$106)*TRANSPOSE(($D110:$E110))),0)</f>
        <v>0</v>
      </c>
      <c r="AD110" s="28" cm="1">
        <f t="array" ref="AD110">AD$104+IF($C110&lt;&gt;0,SUMPRODUCT((AD$105:AD$106)*TRANSPOSE(($D110:$E110))),0)</f>
        <v>0</v>
      </c>
      <c r="AE110" s="28" cm="1">
        <f t="array" ref="AE110">AE$104+IF($C110&lt;&gt;0,SUMPRODUCT((AE$105:AE$106)*TRANSPOSE(($D110:$E110))),0)</f>
        <v>0</v>
      </c>
      <c r="AF110" s="28" cm="1">
        <f t="array" ref="AF110">AF$104+IF($C110&lt;&gt;0,SUMPRODUCT((AF$105:AF$106)*TRANSPOSE(($D110:$E110))),0)</f>
        <v>0</v>
      </c>
      <c r="AG110" s="28" cm="1">
        <f t="array" ref="AG110">AG$104+IF($C110&lt;&gt;0,SUMPRODUCT((AG$105:AG$106)*TRANSPOSE(($D110:$E110))),0)</f>
        <v>0</v>
      </c>
    </row>
    <row r="111" spans="1:43" x14ac:dyDescent="0.2">
      <c r="A111" s="1" t="str">
        <f>"sens"&amp;Assumptions!B120</f>
        <v>sens4</v>
      </c>
      <c r="C111" s="252" t="str">
        <f>Assumptions!C120</f>
        <v>Total benefits 10% lower</v>
      </c>
      <c r="D111" s="253">
        <f>Assumptions!G120</f>
        <v>0</v>
      </c>
      <c r="E111" s="253">
        <f>Assumptions!H120</f>
        <v>-0.1</v>
      </c>
      <c r="G111" s="34" t="str">
        <f t="shared" si="21"/>
        <v>Option 4sens4</v>
      </c>
      <c r="I111" s="28" cm="1">
        <f t="array" ref="I111">I$104+IF($C111&lt;&gt;0,SUMPRODUCT((I$105:I$106)*TRANSPOSE(($D111:$E111))),0)</f>
        <v>0</v>
      </c>
      <c r="J111" s="28" cm="1">
        <f t="array" ref="J111">J$104+IF($C111&lt;&gt;0,SUMPRODUCT((J$105:J$106)*TRANSPOSE(($D111:$E111))),0)</f>
        <v>0</v>
      </c>
      <c r="K111" s="28" cm="1">
        <f t="array" ref="K111">K$104+IF($C111&lt;&gt;0,SUMPRODUCT((K$105:K$106)*TRANSPOSE(($D111:$E111))),0)</f>
        <v>0</v>
      </c>
      <c r="L111" s="28" cm="1">
        <f t="array" ref="L111">L$104+IF($C111&lt;&gt;0,SUMPRODUCT((L$105:L$106)*TRANSPOSE(($D111:$E111))),0)</f>
        <v>0</v>
      </c>
      <c r="M111" s="28" cm="1">
        <f t="array" ref="M111">M$104+IF($C111&lt;&gt;0,SUMPRODUCT((M$105:M$106)*TRANSPOSE(($D111:$E111))),0)</f>
        <v>0</v>
      </c>
      <c r="N111" s="28" cm="1">
        <f t="array" ref="N111">N$104+IF($C111&lt;&gt;0,SUMPRODUCT((N$105:N$106)*TRANSPOSE(($D111:$E111))),0)</f>
        <v>0</v>
      </c>
      <c r="O111" s="28" cm="1">
        <f t="array" ref="O111">O$104+IF($C111&lt;&gt;0,SUMPRODUCT((O$105:O$106)*TRANSPOSE(($D111:$E111))),0)</f>
        <v>0</v>
      </c>
      <c r="P111" s="28" cm="1">
        <f t="array" ref="P111">P$104+IF($C111&lt;&gt;0,SUMPRODUCT((P$105:P$106)*TRANSPOSE(($D111:$E111))),0)</f>
        <v>0</v>
      </c>
      <c r="Q111" s="28" cm="1">
        <f t="array" ref="Q111">Q$104+IF($C111&lt;&gt;0,SUMPRODUCT((Q$105:Q$106)*TRANSPOSE(($D111:$E111))),0)</f>
        <v>0</v>
      </c>
      <c r="R111" s="28" cm="1">
        <f t="array" ref="R111">R$104+IF($C111&lt;&gt;0,SUMPRODUCT((R$105:R$106)*TRANSPOSE(($D111:$E111))),0)</f>
        <v>0</v>
      </c>
      <c r="S111" s="28" cm="1">
        <f t="array" ref="S111">S$104+IF($C111&lt;&gt;0,SUMPRODUCT((S$105:S$106)*TRANSPOSE(($D111:$E111))),0)</f>
        <v>0</v>
      </c>
      <c r="T111" s="28" cm="1">
        <f t="array" ref="T111">T$104+IF($C111&lt;&gt;0,SUMPRODUCT((T$105:T$106)*TRANSPOSE(($D111:$E111))),0)</f>
        <v>0</v>
      </c>
      <c r="U111" s="28" cm="1">
        <f t="array" ref="U111">U$104+IF($C111&lt;&gt;0,SUMPRODUCT((U$105:U$106)*TRANSPOSE(($D111:$E111))),0)</f>
        <v>0</v>
      </c>
      <c r="V111" s="28" cm="1">
        <f t="array" ref="V111">V$104+IF($C111&lt;&gt;0,SUMPRODUCT((V$105:V$106)*TRANSPOSE(($D111:$E111))),0)</f>
        <v>0</v>
      </c>
      <c r="W111" s="28" cm="1">
        <f t="array" ref="W111">W$104+IF($C111&lt;&gt;0,SUMPRODUCT((W$105:W$106)*TRANSPOSE(($D111:$E111))),0)</f>
        <v>0</v>
      </c>
      <c r="X111" s="28" cm="1">
        <f t="array" ref="X111">X$104+IF($C111&lt;&gt;0,SUMPRODUCT((X$105:X$106)*TRANSPOSE(($D111:$E111))),0)</f>
        <v>0</v>
      </c>
      <c r="Y111" s="28" cm="1">
        <f t="array" ref="Y111">Y$104+IF($C111&lt;&gt;0,SUMPRODUCT((Y$105:Y$106)*TRANSPOSE(($D111:$E111))),0)</f>
        <v>0</v>
      </c>
      <c r="Z111" s="28" cm="1">
        <f t="array" ref="Z111">Z$104+IF($C111&lt;&gt;0,SUMPRODUCT((Z$105:Z$106)*TRANSPOSE(($D111:$E111))),0)</f>
        <v>0</v>
      </c>
      <c r="AA111" s="28" cm="1">
        <f t="array" ref="AA111">AA$104+IF($C111&lt;&gt;0,SUMPRODUCT((AA$105:AA$106)*TRANSPOSE(($D111:$E111))),0)</f>
        <v>0</v>
      </c>
      <c r="AB111" s="28" cm="1">
        <f t="array" ref="AB111">AB$104+IF($C111&lt;&gt;0,SUMPRODUCT((AB$105:AB$106)*TRANSPOSE(($D111:$E111))),0)</f>
        <v>0</v>
      </c>
      <c r="AC111" s="28" cm="1">
        <f t="array" ref="AC111">AC$104+IF($C111&lt;&gt;0,SUMPRODUCT((AC$105:AC$106)*TRANSPOSE(($D111:$E111))),0)</f>
        <v>0</v>
      </c>
      <c r="AD111" s="28" cm="1">
        <f t="array" ref="AD111">AD$104+IF($C111&lt;&gt;0,SUMPRODUCT((AD$105:AD$106)*TRANSPOSE(($D111:$E111))),0)</f>
        <v>0</v>
      </c>
      <c r="AE111" s="28" cm="1">
        <f t="array" ref="AE111">AE$104+IF($C111&lt;&gt;0,SUMPRODUCT((AE$105:AE$106)*TRANSPOSE(($D111:$E111))),0)</f>
        <v>0</v>
      </c>
      <c r="AF111" s="28" cm="1">
        <f t="array" ref="AF111">AF$104+IF($C111&lt;&gt;0,SUMPRODUCT((AF$105:AF$106)*TRANSPOSE(($D111:$E111))),0)</f>
        <v>0</v>
      </c>
      <c r="AG111" s="28" cm="1">
        <f t="array" ref="AG111">AG$104+IF($C111&lt;&gt;0,SUMPRODUCT((AG$105:AG$106)*TRANSPOSE(($D111:$E111))),0)</f>
        <v>0</v>
      </c>
    </row>
    <row r="112" spans="1:43" x14ac:dyDescent="0.2">
      <c r="A112" s="1" t="str">
        <f>"sens"&amp;Assumptions!B121</f>
        <v>sens5</v>
      </c>
      <c r="C112" s="252" t="str">
        <f>Assumptions!C121</f>
        <v>Capex 10% higher &amp; Total benefits 10% lower</v>
      </c>
      <c r="D112" s="253">
        <f>Assumptions!G121</f>
        <v>0.1</v>
      </c>
      <c r="E112" s="253">
        <f>Assumptions!H121</f>
        <v>-0.1</v>
      </c>
      <c r="G112" s="34" t="str">
        <f t="shared" si="21"/>
        <v>Option 4sens5</v>
      </c>
      <c r="I112" s="28" cm="1">
        <f t="array" ref="I112">I$104+IF($C112&lt;&gt;0,SUMPRODUCT((I$105:I$106)*TRANSPOSE(($D112:$E112))),0)</f>
        <v>0</v>
      </c>
      <c r="J112" s="28" cm="1">
        <f t="array" ref="J112">J$104+IF($C112&lt;&gt;0,SUMPRODUCT((J$105:J$106)*TRANSPOSE(($D112:$E112))),0)</f>
        <v>0</v>
      </c>
      <c r="K112" s="28" cm="1">
        <f t="array" ref="K112">K$104+IF($C112&lt;&gt;0,SUMPRODUCT((K$105:K$106)*TRANSPOSE(($D112:$E112))),0)</f>
        <v>0</v>
      </c>
      <c r="L112" s="28" cm="1">
        <f t="array" ref="L112">L$104+IF($C112&lt;&gt;0,SUMPRODUCT((L$105:L$106)*TRANSPOSE(($D112:$E112))),0)</f>
        <v>0</v>
      </c>
      <c r="M112" s="28" cm="1">
        <f t="array" ref="M112">M$104+IF($C112&lt;&gt;0,SUMPRODUCT((M$105:M$106)*TRANSPOSE(($D112:$E112))),0)</f>
        <v>0</v>
      </c>
      <c r="N112" s="28" cm="1">
        <f t="array" ref="N112">N$104+IF($C112&lt;&gt;0,SUMPRODUCT((N$105:N$106)*TRANSPOSE(($D112:$E112))),0)</f>
        <v>0</v>
      </c>
      <c r="O112" s="28" cm="1">
        <f t="array" ref="O112">O$104+IF($C112&lt;&gt;0,SUMPRODUCT((O$105:O$106)*TRANSPOSE(($D112:$E112))),0)</f>
        <v>0</v>
      </c>
      <c r="P112" s="28" cm="1">
        <f t="array" ref="P112">P$104+IF($C112&lt;&gt;0,SUMPRODUCT((P$105:P$106)*TRANSPOSE(($D112:$E112))),0)</f>
        <v>0</v>
      </c>
      <c r="Q112" s="28" cm="1">
        <f t="array" ref="Q112">Q$104+IF($C112&lt;&gt;0,SUMPRODUCT((Q$105:Q$106)*TRANSPOSE(($D112:$E112))),0)</f>
        <v>0</v>
      </c>
      <c r="R112" s="28" cm="1">
        <f t="array" ref="R112">R$104+IF($C112&lt;&gt;0,SUMPRODUCT((R$105:R$106)*TRANSPOSE(($D112:$E112))),0)</f>
        <v>0</v>
      </c>
      <c r="S112" s="28" cm="1">
        <f t="array" ref="S112">S$104+IF($C112&lt;&gt;0,SUMPRODUCT((S$105:S$106)*TRANSPOSE(($D112:$E112))),0)</f>
        <v>0</v>
      </c>
      <c r="T112" s="28" cm="1">
        <f t="array" ref="T112">T$104+IF($C112&lt;&gt;0,SUMPRODUCT((T$105:T$106)*TRANSPOSE(($D112:$E112))),0)</f>
        <v>0</v>
      </c>
      <c r="U112" s="28" cm="1">
        <f t="array" ref="U112">U$104+IF($C112&lt;&gt;0,SUMPRODUCT((U$105:U$106)*TRANSPOSE(($D112:$E112))),0)</f>
        <v>0</v>
      </c>
      <c r="V112" s="28" cm="1">
        <f t="array" ref="V112">V$104+IF($C112&lt;&gt;0,SUMPRODUCT((V$105:V$106)*TRANSPOSE(($D112:$E112))),0)</f>
        <v>0</v>
      </c>
      <c r="W112" s="28" cm="1">
        <f t="array" ref="W112">W$104+IF($C112&lt;&gt;0,SUMPRODUCT((W$105:W$106)*TRANSPOSE(($D112:$E112))),0)</f>
        <v>0</v>
      </c>
      <c r="X112" s="28" cm="1">
        <f t="array" ref="X112">X$104+IF($C112&lt;&gt;0,SUMPRODUCT((X$105:X$106)*TRANSPOSE(($D112:$E112))),0)</f>
        <v>0</v>
      </c>
      <c r="Y112" s="28" cm="1">
        <f t="array" ref="Y112">Y$104+IF($C112&lt;&gt;0,SUMPRODUCT((Y$105:Y$106)*TRANSPOSE(($D112:$E112))),0)</f>
        <v>0</v>
      </c>
      <c r="Z112" s="28" cm="1">
        <f t="array" ref="Z112">Z$104+IF($C112&lt;&gt;0,SUMPRODUCT((Z$105:Z$106)*TRANSPOSE(($D112:$E112))),0)</f>
        <v>0</v>
      </c>
      <c r="AA112" s="28" cm="1">
        <f t="array" ref="AA112">AA$104+IF($C112&lt;&gt;0,SUMPRODUCT((AA$105:AA$106)*TRANSPOSE(($D112:$E112))),0)</f>
        <v>0</v>
      </c>
      <c r="AB112" s="28" cm="1">
        <f t="array" ref="AB112">AB$104+IF($C112&lt;&gt;0,SUMPRODUCT((AB$105:AB$106)*TRANSPOSE(($D112:$E112))),0)</f>
        <v>0</v>
      </c>
      <c r="AC112" s="28" cm="1">
        <f t="array" ref="AC112">AC$104+IF($C112&lt;&gt;0,SUMPRODUCT((AC$105:AC$106)*TRANSPOSE(($D112:$E112))),0)</f>
        <v>0</v>
      </c>
      <c r="AD112" s="28" cm="1">
        <f t="array" ref="AD112">AD$104+IF($C112&lt;&gt;0,SUMPRODUCT((AD$105:AD$106)*TRANSPOSE(($D112:$E112))),0)</f>
        <v>0</v>
      </c>
      <c r="AE112" s="28" cm="1">
        <f t="array" ref="AE112">AE$104+IF($C112&lt;&gt;0,SUMPRODUCT((AE$105:AE$106)*TRANSPOSE(($D112:$E112))),0)</f>
        <v>0</v>
      </c>
      <c r="AF112" s="28" cm="1">
        <f t="array" ref="AF112">AF$104+IF($C112&lt;&gt;0,SUMPRODUCT((AF$105:AF$106)*TRANSPOSE(($D112:$E112))),0)</f>
        <v>0</v>
      </c>
      <c r="AG112" s="28" cm="1">
        <f t="array" ref="AG112">AG$104+IF($C112&lt;&gt;0,SUMPRODUCT((AG$105:AG$106)*TRANSPOSE(($D112:$E112))),0)</f>
        <v>0</v>
      </c>
    </row>
    <row r="113" spans="1:33" x14ac:dyDescent="0.2">
      <c r="A113" s="1" t="str">
        <f>"sens"&amp;Assumptions!B122</f>
        <v>sens</v>
      </c>
      <c r="C113" s="252">
        <f>Assumptions!C122</f>
        <v>0</v>
      </c>
      <c r="D113" s="253">
        <f>Assumptions!G122</f>
        <v>0</v>
      </c>
      <c r="E113" s="253">
        <f>Assumptions!H122</f>
        <v>0</v>
      </c>
      <c r="G113" s="34" t="str">
        <f t="shared" si="21"/>
        <v>Option 4sens</v>
      </c>
      <c r="I113" s="28" cm="1">
        <f t="array" ref="I113">I$104+IF($C113&lt;&gt;0,SUMPRODUCT((I$105:I$106)*TRANSPOSE(($D113:$E113))),0)</f>
        <v>0</v>
      </c>
      <c r="J113" s="28" cm="1">
        <f t="array" ref="J113">J$104+IF($C113&lt;&gt;0,SUMPRODUCT((J$105:J$106)*TRANSPOSE(($D113:$E113))),0)</f>
        <v>0</v>
      </c>
      <c r="K113" s="28" cm="1">
        <f t="array" ref="K113">K$104+IF($C113&lt;&gt;0,SUMPRODUCT((K$105:K$106)*TRANSPOSE(($D113:$E113))),0)</f>
        <v>0</v>
      </c>
      <c r="L113" s="28" cm="1">
        <f t="array" ref="L113">L$104+IF($C113&lt;&gt;0,SUMPRODUCT((L$105:L$106)*TRANSPOSE(($D113:$E113))),0)</f>
        <v>0</v>
      </c>
      <c r="M113" s="28" cm="1">
        <f t="array" ref="M113">M$104+IF($C113&lt;&gt;0,SUMPRODUCT((M$105:M$106)*TRANSPOSE(($D113:$E113))),0)</f>
        <v>0</v>
      </c>
      <c r="N113" s="28" cm="1">
        <f t="array" ref="N113">N$104+IF($C113&lt;&gt;0,SUMPRODUCT((N$105:N$106)*TRANSPOSE(($D113:$E113))),0)</f>
        <v>0</v>
      </c>
      <c r="O113" s="28" cm="1">
        <f t="array" ref="O113">O$104+IF($C113&lt;&gt;0,SUMPRODUCT((O$105:O$106)*TRANSPOSE(($D113:$E113))),0)</f>
        <v>0</v>
      </c>
      <c r="P113" s="28" cm="1">
        <f t="array" ref="P113">P$104+IF($C113&lt;&gt;0,SUMPRODUCT((P$105:P$106)*TRANSPOSE(($D113:$E113))),0)</f>
        <v>0</v>
      </c>
      <c r="Q113" s="28" cm="1">
        <f t="array" ref="Q113">Q$104+IF($C113&lt;&gt;0,SUMPRODUCT((Q$105:Q$106)*TRANSPOSE(($D113:$E113))),0)</f>
        <v>0</v>
      </c>
      <c r="R113" s="28" cm="1">
        <f t="array" ref="R113">R$104+IF($C113&lt;&gt;0,SUMPRODUCT((R$105:R$106)*TRANSPOSE(($D113:$E113))),0)</f>
        <v>0</v>
      </c>
      <c r="S113" s="28" cm="1">
        <f t="array" ref="S113">S$104+IF($C113&lt;&gt;0,SUMPRODUCT((S$105:S$106)*TRANSPOSE(($D113:$E113))),0)</f>
        <v>0</v>
      </c>
      <c r="T113" s="28" cm="1">
        <f t="array" ref="T113">T$104+IF($C113&lt;&gt;0,SUMPRODUCT((T$105:T$106)*TRANSPOSE(($D113:$E113))),0)</f>
        <v>0</v>
      </c>
      <c r="U113" s="28" cm="1">
        <f t="array" ref="U113">U$104+IF($C113&lt;&gt;0,SUMPRODUCT((U$105:U$106)*TRANSPOSE(($D113:$E113))),0)</f>
        <v>0</v>
      </c>
      <c r="V113" s="28" cm="1">
        <f t="array" ref="V113">V$104+IF($C113&lt;&gt;0,SUMPRODUCT((V$105:V$106)*TRANSPOSE(($D113:$E113))),0)</f>
        <v>0</v>
      </c>
      <c r="W113" s="28" cm="1">
        <f t="array" ref="W113">W$104+IF($C113&lt;&gt;0,SUMPRODUCT((W$105:W$106)*TRANSPOSE(($D113:$E113))),0)</f>
        <v>0</v>
      </c>
      <c r="X113" s="28" cm="1">
        <f t="array" ref="X113">X$104+IF($C113&lt;&gt;0,SUMPRODUCT((X$105:X$106)*TRANSPOSE(($D113:$E113))),0)</f>
        <v>0</v>
      </c>
      <c r="Y113" s="28" cm="1">
        <f t="array" ref="Y113">Y$104+IF($C113&lt;&gt;0,SUMPRODUCT((Y$105:Y$106)*TRANSPOSE(($D113:$E113))),0)</f>
        <v>0</v>
      </c>
      <c r="Z113" s="28" cm="1">
        <f t="array" ref="Z113">Z$104+IF($C113&lt;&gt;0,SUMPRODUCT((Z$105:Z$106)*TRANSPOSE(($D113:$E113))),0)</f>
        <v>0</v>
      </c>
      <c r="AA113" s="28" cm="1">
        <f t="array" ref="AA113">AA$104+IF($C113&lt;&gt;0,SUMPRODUCT((AA$105:AA$106)*TRANSPOSE(($D113:$E113))),0)</f>
        <v>0</v>
      </c>
      <c r="AB113" s="28" cm="1">
        <f t="array" ref="AB113">AB$104+IF($C113&lt;&gt;0,SUMPRODUCT((AB$105:AB$106)*TRANSPOSE(($D113:$E113))),0)</f>
        <v>0</v>
      </c>
      <c r="AC113" s="28" cm="1">
        <f t="array" ref="AC113">AC$104+IF($C113&lt;&gt;0,SUMPRODUCT((AC$105:AC$106)*TRANSPOSE(($D113:$E113))),0)</f>
        <v>0</v>
      </c>
      <c r="AD113" s="28" cm="1">
        <f t="array" ref="AD113">AD$104+IF($C113&lt;&gt;0,SUMPRODUCT((AD$105:AD$106)*TRANSPOSE(($D113:$E113))),0)</f>
        <v>0</v>
      </c>
      <c r="AE113" s="28" cm="1">
        <f t="array" ref="AE113">AE$104+IF($C113&lt;&gt;0,SUMPRODUCT((AE$105:AE$106)*TRANSPOSE(($D113:$E113))),0)</f>
        <v>0</v>
      </c>
      <c r="AF113" s="28" cm="1">
        <f t="array" ref="AF113">AF$104+IF($C113&lt;&gt;0,SUMPRODUCT((AF$105:AF$106)*TRANSPOSE(($D113:$E113))),0)</f>
        <v>0</v>
      </c>
      <c r="AG113" s="28" cm="1">
        <f t="array" ref="AG113">AG$104+IF($C113&lt;&gt;0,SUMPRODUCT((AG$105:AG$106)*TRANSPOSE(($D113:$E113))),0)</f>
        <v>0</v>
      </c>
    </row>
    <row r="114" spans="1:33" x14ac:dyDescent="0.2">
      <c r="A114" s="1" t="str">
        <f>"sens"&amp;Assumptions!B123</f>
        <v>sens</v>
      </c>
      <c r="C114" s="252">
        <f>Assumptions!C123</f>
        <v>0</v>
      </c>
      <c r="D114" s="253">
        <f>Assumptions!G123</f>
        <v>0</v>
      </c>
      <c r="E114" s="253">
        <f>Assumptions!H123</f>
        <v>0</v>
      </c>
      <c r="G114" s="34" t="str">
        <f t="shared" si="21"/>
        <v>Option 4sens</v>
      </c>
      <c r="I114" s="28" cm="1">
        <f t="array" ref="I114">I$104+IF($C114&lt;&gt;0,SUMPRODUCT((I$105:I$106)*TRANSPOSE(($D114:$E114))),0)</f>
        <v>0</v>
      </c>
      <c r="J114" s="28" cm="1">
        <f t="array" ref="J114">J$104+IF($C114&lt;&gt;0,SUMPRODUCT((J$105:J$106)*TRANSPOSE(($D114:$E114))),0)</f>
        <v>0</v>
      </c>
      <c r="K114" s="28" cm="1">
        <f t="array" ref="K114">K$104+IF($C114&lt;&gt;0,SUMPRODUCT((K$105:K$106)*TRANSPOSE(($D114:$E114))),0)</f>
        <v>0</v>
      </c>
      <c r="L114" s="28" cm="1">
        <f t="array" ref="L114">L$104+IF($C114&lt;&gt;0,SUMPRODUCT((L$105:L$106)*TRANSPOSE(($D114:$E114))),0)</f>
        <v>0</v>
      </c>
      <c r="M114" s="28" cm="1">
        <f t="array" ref="M114">M$104+IF($C114&lt;&gt;0,SUMPRODUCT((M$105:M$106)*TRANSPOSE(($D114:$E114))),0)</f>
        <v>0</v>
      </c>
      <c r="N114" s="28" cm="1">
        <f t="array" ref="N114">N$104+IF($C114&lt;&gt;0,SUMPRODUCT((N$105:N$106)*TRANSPOSE(($D114:$E114))),0)</f>
        <v>0</v>
      </c>
      <c r="O114" s="28" cm="1">
        <f t="array" ref="O114">O$104+IF($C114&lt;&gt;0,SUMPRODUCT((O$105:O$106)*TRANSPOSE(($D114:$E114))),0)</f>
        <v>0</v>
      </c>
      <c r="P114" s="28" cm="1">
        <f t="array" ref="P114">P$104+IF($C114&lt;&gt;0,SUMPRODUCT((P$105:P$106)*TRANSPOSE(($D114:$E114))),0)</f>
        <v>0</v>
      </c>
      <c r="Q114" s="28" cm="1">
        <f t="array" ref="Q114">Q$104+IF($C114&lt;&gt;0,SUMPRODUCT((Q$105:Q$106)*TRANSPOSE(($D114:$E114))),0)</f>
        <v>0</v>
      </c>
      <c r="R114" s="28" cm="1">
        <f t="array" ref="R114">R$104+IF($C114&lt;&gt;0,SUMPRODUCT((R$105:R$106)*TRANSPOSE(($D114:$E114))),0)</f>
        <v>0</v>
      </c>
      <c r="S114" s="28" cm="1">
        <f t="array" ref="S114">S$104+IF($C114&lt;&gt;0,SUMPRODUCT((S$105:S$106)*TRANSPOSE(($D114:$E114))),0)</f>
        <v>0</v>
      </c>
      <c r="T114" s="28" cm="1">
        <f t="array" ref="T114">T$104+IF($C114&lt;&gt;0,SUMPRODUCT((T$105:T$106)*TRANSPOSE(($D114:$E114))),0)</f>
        <v>0</v>
      </c>
      <c r="U114" s="28" cm="1">
        <f t="array" ref="U114">U$104+IF($C114&lt;&gt;0,SUMPRODUCT((U$105:U$106)*TRANSPOSE(($D114:$E114))),0)</f>
        <v>0</v>
      </c>
      <c r="V114" s="28" cm="1">
        <f t="array" ref="V114">V$104+IF($C114&lt;&gt;0,SUMPRODUCT((V$105:V$106)*TRANSPOSE(($D114:$E114))),0)</f>
        <v>0</v>
      </c>
      <c r="W114" s="28" cm="1">
        <f t="array" ref="W114">W$104+IF($C114&lt;&gt;0,SUMPRODUCT((W$105:W$106)*TRANSPOSE(($D114:$E114))),0)</f>
        <v>0</v>
      </c>
      <c r="X114" s="28" cm="1">
        <f t="array" ref="X114">X$104+IF($C114&lt;&gt;0,SUMPRODUCT((X$105:X$106)*TRANSPOSE(($D114:$E114))),0)</f>
        <v>0</v>
      </c>
      <c r="Y114" s="28" cm="1">
        <f t="array" ref="Y114">Y$104+IF($C114&lt;&gt;0,SUMPRODUCT((Y$105:Y$106)*TRANSPOSE(($D114:$E114))),0)</f>
        <v>0</v>
      </c>
      <c r="Z114" s="28" cm="1">
        <f t="array" ref="Z114">Z$104+IF($C114&lt;&gt;0,SUMPRODUCT((Z$105:Z$106)*TRANSPOSE(($D114:$E114))),0)</f>
        <v>0</v>
      </c>
      <c r="AA114" s="28" cm="1">
        <f t="array" ref="AA114">AA$104+IF($C114&lt;&gt;0,SUMPRODUCT((AA$105:AA$106)*TRANSPOSE(($D114:$E114))),0)</f>
        <v>0</v>
      </c>
      <c r="AB114" s="28" cm="1">
        <f t="array" ref="AB114">AB$104+IF($C114&lt;&gt;0,SUMPRODUCT((AB$105:AB$106)*TRANSPOSE(($D114:$E114))),0)</f>
        <v>0</v>
      </c>
      <c r="AC114" s="28" cm="1">
        <f t="array" ref="AC114">AC$104+IF($C114&lt;&gt;0,SUMPRODUCT((AC$105:AC$106)*TRANSPOSE(($D114:$E114))),0)</f>
        <v>0</v>
      </c>
      <c r="AD114" s="28" cm="1">
        <f t="array" ref="AD114">AD$104+IF($C114&lt;&gt;0,SUMPRODUCT((AD$105:AD$106)*TRANSPOSE(($D114:$E114))),0)</f>
        <v>0</v>
      </c>
      <c r="AE114" s="28" cm="1">
        <f t="array" ref="AE114">AE$104+IF($C114&lt;&gt;0,SUMPRODUCT((AE$105:AE$106)*TRANSPOSE(($D114:$E114))),0)</f>
        <v>0</v>
      </c>
      <c r="AF114" s="28" cm="1">
        <f t="array" ref="AF114">AF$104+IF($C114&lt;&gt;0,SUMPRODUCT((AF$105:AF$106)*TRANSPOSE(($D114:$E114))),0)</f>
        <v>0</v>
      </c>
      <c r="AG114" s="28" cm="1">
        <f t="array" ref="AG114">AG$104+IF($C114&lt;&gt;0,SUMPRODUCT((AG$105:AG$106)*TRANSPOSE(($D114:$E114))),0)</f>
        <v>0</v>
      </c>
    </row>
    <row r="115" spans="1:33" x14ac:dyDescent="0.2">
      <c r="A115" s="1" t="str">
        <f>"sens"&amp;Assumptions!B124</f>
        <v>sens</v>
      </c>
      <c r="C115" s="252">
        <f>Assumptions!C124</f>
        <v>0</v>
      </c>
      <c r="D115" s="253">
        <f>Assumptions!G124</f>
        <v>0</v>
      </c>
      <c r="E115" s="253">
        <f>Assumptions!H124</f>
        <v>0</v>
      </c>
      <c r="G115" s="34" t="str">
        <f t="shared" si="21"/>
        <v>Option 4sens</v>
      </c>
      <c r="I115" s="28" cm="1">
        <f t="array" ref="I115">I$104+IF($C115&lt;&gt;0,SUMPRODUCT((I$105:I$106)*TRANSPOSE(($D115:$E115))),0)</f>
        <v>0</v>
      </c>
      <c r="J115" s="28" cm="1">
        <f t="array" ref="J115">J$104+IF($C115&lt;&gt;0,SUMPRODUCT((J$105:J$106)*TRANSPOSE(($D115:$E115))),0)</f>
        <v>0</v>
      </c>
      <c r="K115" s="28" cm="1">
        <f t="array" ref="K115">K$104+IF($C115&lt;&gt;0,SUMPRODUCT((K$105:K$106)*TRANSPOSE(($D115:$E115))),0)</f>
        <v>0</v>
      </c>
      <c r="L115" s="28" cm="1">
        <f t="array" ref="L115">L$104+IF($C115&lt;&gt;0,SUMPRODUCT((L$105:L$106)*TRANSPOSE(($D115:$E115))),0)</f>
        <v>0</v>
      </c>
      <c r="M115" s="28" cm="1">
        <f t="array" ref="M115">M$104+IF($C115&lt;&gt;0,SUMPRODUCT((M$105:M$106)*TRANSPOSE(($D115:$E115))),0)</f>
        <v>0</v>
      </c>
      <c r="N115" s="28" cm="1">
        <f t="array" ref="N115">N$104+IF($C115&lt;&gt;0,SUMPRODUCT((N$105:N$106)*TRANSPOSE(($D115:$E115))),0)</f>
        <v>0</v>
      </c>
      <c r="O115" s="28" cm="1">
        <f t="array" ref="O115">O$104+IF($C115&lt;&gt;0,SUMPRODUCT((O$105:O$106)*TRANSPOSE(($D115:$E115))),0)</f>
        <v>0</v>
      </c>
      <c r="P115" s="28" cm="1">
        <f t="array" ref="P115">P$104+IF($C115&lt;&gt;0,SUMPRODUCT((P$105:P$106)*TRANSPOSE(($D115:$E115))),0)</f>
        <v>0</v>
      </c>
      <c r="Q115" s="28" cm="1">
        <f t="array" ref="Q115">Q$104+IF($C115&lt;&gt;0,SUMPRODUCT((Q$105:Q$106)*TRANSPOSE(($D115:$E115))),0)</f>
        <v>0</v>
      </c>
      <c r="R115" s="28" cm="1">
        <f t="array" ref="R115">R$104+IF($C115&lt;&gt;0,SUMPRODUCT((R$105:R$106)*TRANSPOSE(($D115:$E115))),0)</f>
        <v>0</v>
      </c>
      <c r="S115" s="28" cm="1">
        <f t="array" ref="S115">S$104+IF($C115&lt;&gt;0,SUMPRODUCT((S$105:S$106)*TRANSPOSE(($D115:$E115))),0)</f>
        <v>0</v>
      </c>
      <c r="T115" s="28" cm="1">
        <f t="array" ref="T115">T$104+IF($C115&lt;&gt;0,SUMPRODUCT((T$105:T$106)*TRANSPOSE(($D115:$E115))),0)</f>
        <v>0</v>
      </c>
      <c r="U115" s="28" cm="1">
        <f t="array" ref="U115">U$104+IF($C115&lt;&gt;0,SUMPRODUCT((U$105:U$106)*TRANSPOSE(($D115:$E115))),0)</f>
        <v>0</v>
      </c>
      <c r="V115" s="28" cm="1">
        <f t="array" ref="V115">V$104+IF($C115&lt;&gt;0,SUMPRODUCT((V$105:V$106)*TRANSPOSE(($D115:$E115))),0)</f>
        <v>0</v>
      </c>
      <c r="W115" s="28" cm="1">
        <f t="array" ref="W115">W$104+IF($C115&lt;&gt;0,SUMPRODUCT((W$105:W$106)*TRANSPOSE(($D115:$E115))),0)</f>
        <v>0</v>
      </c>
      <c r="X115" s="28" cm="1">
        <f t="array" ref="X115">X$104+IF($C115&lt;&gt;0,SUMPRODUCT((X$105:X$106)*TRANSPOSE(($D115:$E115))),0)</f>
        <v>0</v>
      </c>
      <c r="Y115" s="28" cm="1">
        <f t="array" ref="Y115">Y$104+IF($C115&lt;&gt;0,SUMPRODUCT((Y$105:Y$106)*TRANSPOSE(($D115:$E115))),0)</f>
        <v>0</v>
      </c>
      <c r="Z115" s="28" cm="1">
        <f t="array" ref="Z115">Z$104+IF($C115&lt;&gt;0,SUMPRODUCT((Z$105:Z$106)*TRANSPOSE(($D115:$E115))),0)</f>
        <v>0</v>
      </c>
      <c r="AA115" s="28" cm="1">
        <f t="array" ref="AA115">AA$104+IF($C115&lt;&gt;0,SUMPRODUCT((AA$105:AA$106)*TRANSPOSE(($D115:$E115))),0)</f>
        <v>0</v>
      </c>
      <c r="AB115" s="28" cm="1">
        <f t="array" ref="AB115">AB$104+IF($C115&lt;&gt;0,SUMPRODUCT((AB$105:AB$106)*TRANSPOSE(($D115:$E115))),0)</f>
        <v>0</v>
      </c>
      <c r="AC115" s="28" cm="1">
        <f t="array" ref="AC115">AC$104+IF($C115&lt;&gt;0,SUMPRODUCT((AC$105:AC$106)*TRANSPOSE(($D115:$E115))),0)</f>
        <v>0</v>
      </c>
      <c r="AD115" s="28" cm="1">
        <f t="array" ref="AD115">AD$104+IF($C115&lt;&gt;0,SUMPRODUCT((AD$105:AD$106)*TRANSPOSE(($D115:$E115))),0)</f>
        <v>0</v>
      </c>
      <c r="AE115" s="28" cm="1">
        <f t="array" ref="AE115">AE$104+IF($C115&lt;&gt;0,SUMPRODUCT((AE$105:AE$106)*TRANSPOSE(($D115:$E115))),0)</f>
        <v>0</v>
      </c>
      <c r="AF115" s="28" cm="1">
        <f t="array" ref="AF115">AF$104+IF($C115&lt;&gt;0,SUMPRODUCT((AF$105:AF$106)*TRANSPOSE(($D115:$E115))),0)</f>
        <v>0</v>
      </c>
      <c r="AG115" s="28" cm="1">
        <f t="array" ref="AG115">AG$104+IF($C115&lt;&gt;0,SUMPRODUCT((AG$105:AG$106)*TRANSPOSE(($D115:$E115))),0)</f>
        <v>0</v>
      </c>
    </row>
  </sheetData>
  <conditionalFormatting sqref="E14:E16">
    <cfRule type="expression" dxfId="4" priority="53">
      <formula>AND(SUM($I14:$AB14)&lt;&gt;0, E14=0)</formula>
    </cfRule>
  </conditionalFormatting>
  <conditionalFormatting sqref="E29">
    <cfRule type="expression" dxfId="3" priority="1">
      <formula>AND(SUM($I$28:$AG$28)&gt;0, $E$29=0)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98" id="{17B125C1-0588-4495-B8F7-9B52E25BED85}">
            <xm:f>$A$4=Data!$C$8</xm:f>
            <x14:dxf>
              <font>
                <color theme="0" tint="-0.499984740745262"/>
              </font>
            </x14:dxf>
          </x14:cfRule>
          <xm:sqref>C3 A4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C94D8-0AAB-45B3-9A29-8CF3F90554FB}">
  <sheetPr codeName="Sheet14">
    <tabColor rgb="FF0099FF"/>
  </sheetPr>
  <dimension ref="A1:XER115"/>
  <sheetViews>
    <sheetView showGridLines="0" zoomScale="90" zoomScaleNormal="90" workbookViewId="0">
      <pane xSplit="7" ySplit="10" topLeftCell="H11" activePane="bottomRight" state="frozen"/>
      <selection activeCell="H11" sqref="H11"/>
      <selection pane="topRight" activeCell="H11" sqref="H11"/>
      <selection pane="bottomLeft" activeCell="H11" sqref="H11"/>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TRG024-WBL012 Tie upgrade</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141</v>
      </c>
      <c r="B3" s="5"/>
      <c r="C3" s="374">
        <f>INDEX(Assumptions!$E$14:$E$18, MATCH(A3,_xlfn.ANCHORARRAY( Assumptions!$C$14),0))</f>
        <v>0</v>
      </c>
    </row>
    <row r="4" spans="1:43" x14ac:dyDescent="0.2">
      <c r="A4" s="1" t="str">
        <f>(INDEX(Data!$D$9:$D$13, MATCH(A3, options,0)))</f>
        <v>Not used</v>
      </c>
      <c r="B4" s="162"/>
      <c r="C4" s="210"/>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7" t="s">
        <v>100</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0"/>
      <c r="G9" s="16" t="s">
        <v>101</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102</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c r="AH12"/>
      <c r="AI12"/>
      <c r="AJ12"/>
      <c r="AK12"/>
    </row>
    <row r="13" spans="1:43" x14ac:dyDescent="0.2">
      <c r="C13" s="3" t="s">
        <v>95</v>
      </c>
      <c r="D13"/>
      <c r="E13" s="105" t="s">
        <v>103</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104</v>
      </c>
      <c r="D14"/>
      <c r="E14" s="126">
        <v>0</v>
      </c>
      <c r="G14" s="180">
        <f>input_dollars</f>
        <v>45291</v>
      </c>
      <c r="H14" s="127"/>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104</v>
      </c>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104</v>
      </c>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Q17" si="0">SUM(I14:I16)</f>
        <v>0</v>
      </c>
      <c r="J17" s="94">
        <f t="shared" si="0"/>
        <v>0</v>
      </c>
      <c r="K17" s="94">
        <f>SUM(K14:K16)</f>
        <v>0</v>
      </c>
      <c r="L17" s="94">
        <f t="shared" si="0"/>
        <v>0</v>
      </c>
      <c r="M17" s="94">
        <f t="shared" si="0"/>
        <v>0</v>
      </c>
      <c r="N17" s="94">
        <f t="shared" si="0"/>
        <v>0</v>
      </c>
      <c r="O17" s="94">
        <f t="shared" si="0"/>
        <v>0</v>
      </c>
      <c r="P17" s="94">
        <f t="shared" si="0"/>
        <v>0</v>
      </c>
      <c r="Q17" s="94">
        <f t="shared" si="0"/>
        <v>0</v>
      </c>
      <c r="R17" s="94">
        <f t="shared" ref="R17:AG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 t="shared" si="1"/>
        <v>0</v>
      </c>
      <c r="AD17" s="94">
        <f t="shared" si="1"/>
        <v>0</v>
      </c>
      <c r="AE17" s="94">
        <f t="shared" si="1"/>
        <v>0</v>
      </c>
      <c r="AF17" s="94">
        <f t="shared" si="1"/>
        <v>0</v>
      </c>
      <c r="AG17" s="94">
        <f t="shared" si="1"/>
        <v>0</v>
      </c>
      <c r="AH17"/>
      <c r="AI17"/>
      <c r="AJ17"/>
      <c r="AK17"/>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115">
        <v>0</v>
      </c>
      <c r="S19" s="115">
        <v>0</v>
      </c>
      <c r="T19" s="115">
        <v>0</v>
      </c>
      <c r="U19" s="115">
        <v>0</v>
      </c>
      <c r="V19" s="115">
        <v>0</v>
      </c>
      <c r="W19" s="115">
        <v>0</v>
      </c>
      <c r="X19" s="115">
        <v>0</v>
      </c>
      <c r="Y19" s="115">
        <v>0</v>
      </c>
      <c r="Z19" s="115">
        <v>0</v>
      </c>
      <c r="AA19" s="115">
        <v>0</v>
      </c>
      <c r="AB19" s="115">
        <v>0</v>
      </c>
      <c r="AC19" s="115">
        <v>0</v>
      </c>
      <c r="AD19" s="115">
        <v>0</v>
      </c>
      <c r="AE19" s="115">
        <v>0</v>
      </c>
      <c r="AF19" s="115">
        <v>0</v>
      </c>
      <c r="AG19" s="115">
        <v>0</v>
      </c>
      <c r="AH19"/>
      <c r="AI19"/>
      <c r="AJ19"/>
      <c r="AK19"/>
    </row>
    <row r="20" spans="1:43" x14ac:dyDescent="0.2">
      <c r="G20" s="178"/>
      <c r="AH20"/>
      <c r="AI20"/>
      <c r="AJ20"/>
      <c r="AK20"/>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105</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106</v>
      </c>
      <c r="D24" s="99"/>
      <c r="E24" s="99"/>
      <c r="F24" s="99"/>
      <c r="G24" s="181"/>
      <c r="H24" s="99"/>
      <c r="I24" s="145">
        <v>0</v>
      </c>
      <c r="J24" s="145">
        <v>0</v>
      </c>
      <c r="K24" s="145">
        <v>0</v>
      </c>
      <c r="L24" s="145">
        <v>0</v>
      </c>
      <c r="M24" s="145">
        <v>0</v>
      </c>
      <c r="N24" s="145">
        <v>0</v>
      </c>
      <c r="O24" s="145">
        <v>0</v>
      </c>
      <c r="P24" s="145">
        <v>0</v>
      </c>
      <c r="Q24" s="145">
        <v>0</v>
      </c>
      <c r="R24" s="145">
        <v>0</v>
      </c>
      <c r="S24" s="145">
        <v>0</v>
      </c>
      <c r="T24" s="145">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9"/>
      <c r="B25" s="99"/>
      <c r="C25" s="1" t="s">
        <v>107</v>
      </c>
      <c r="D25" s="181"/>
      <c r="E25" s="99"/>
      <c r="F25" s="99"/>
      <c r="G25" s="181"/>
      <c r="H25" s="99"/>
      <c r="I25" s="145">
        <v>0</v>
      </c>
      <c r="J25" s="145">
        <v>0</v>
      </c>
      <c r="K25" s="145">
        <v>0</v>
      </c>
      <c r="L25" s="145">
        <v>0</v>
      </c>
      <c r="M25" s="145">
        <v>0</v>
      </c>
      <c r="N25" s="145">
        <v>0</v>
      </c>
      <c r="O25" s="145">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ht="12.75" customHeight="1" x14ac:dyDescent="0.2">
      <c r="A27" s="99"/>
      <c r="B27" s="99"/>
      <c r="C27" s="99"/>
      <c r="D27" s="181"/>
      <c r="E27" s="99"/>
      <c r="F27" s="99"/>
      <c r="G27" s="181"/>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c r="AI27"/>
      <c r="AJ27"/>
      <c r="AK27"/>
      <c r="AL27"/>
      <c r="AM27"/>
      <c r="AN27"/>
      <c r="AO27"/>
      <c r="AP27"/>
      <c r="AQ27"/>
    </row>
    <row r="28" spans="1:43" x14ac:dyDescent="0.2">
      <c r="C28" s="1" t="s">
        <v>108</v>
      </c>
      <c r="D28" s="178"/>
      <c r="E28"/>
      <c r="G28" s="180" t="s">
        <v>109</v>
      </c>
      <c r="H28"/>
      <c r="I28" s="144">
        <v>0</v>
      </c>
      <c r="J28" s="144">
        <v>0</v>
      </c>
      <c r="K28" s="144">
        <v>0</v>
      </c>
      <c r="L28" s="144">
        <v>0</v>
      </c>
      <c r="M28" s="144">
        <v>0</v>
      </c>
      <c r="N28" s="144">
        <v>0</v>
      </c>
      <c r="O28" s="144">
        <v>0</v>
      </c>
      <c r="P28" s="144">
        <v>0</v>
      </c>
      <c r="Q28" s="144">
        <v>0</v>
      </c>
      <c r="R28" s="144">
        <v>0</v>
      </c>
      <c r="S28" s="144">
        <v>0</v>
      </c>
      <c r="T28" s="144">
        <v>0</v>
      </c>
      <c r="U28" s="144">
        <v>0</v>
      </c>
      <c r="V28" s="144">
        <v>0</v>
      </c>
      <c r="W28" s="144">
        <v>0</v>
      </c>
      <c r="X28" s="144">
        <v>0</v>
      </c>
      <c r="Y28" s="144">
        <v>0</v>
      </c>
      <c r="Z28" s="144">
        <v>0</v>
      </c>
      <c r="AA28" s="144">
        <v>0</v>
      </c>
      <c r="AB28" s="144">
        <v>0</v>
      </c>
      <c r="AC28" s="144">
        <v>0</v>
      </c>
      <c r="AD28" s="144">
        <v>0</v>
      </c>
      <c r="AE28" s="144">
        <v>0</v>
      </c>
      <c r="AF28" s="144">
        <v>0</v>
      </c>
      <c r="AG28" s="144">
        <v>0</v>
      </c>
      <c r="AH28"/>
      <c r="AI28"/>
      <c r="AJ28"/>
      <c r="AK28"/>
      <c r="AL28"/>
      <c r="AM28"/>
      <c r="AN28"/>
      <c r="AO28"/>
      <c r="AP28"/>
      <c r="AQ28"/>
    </row>
    <row r="29" spans="1:43" x14ac:dyDescent="0.2">
      <c r="C29" s="1" t="s">
        <v>110</v>
      </c>
      <c r="D29" s="178" t="s">
        <v>100</v>
      </c>
      <c r="E29" s="100">
        <f>Assumptions!G43*vcr_esc</f>
        <v>31361.198140479657</v>
      </c>
      <c r="F29" s="210" t="str">
        <f>IF(AND(SUM(I28:AG28)&lt;&gt;0, E29=0), "!", "")</f>
        <v/>
      </c>
      <c r="G29" s="180">
        <f>input_dollars</f>
        <v>45291</v>
      </c>
      <c r="H29"/>
      <c r="I29" s="93">
        <f>I28*$E$29</f>
        <v>0</v>
      </c>
      <c r="J29" s="93">
        <f t="shared" ref="J29:AG29" si="2">J28*$E$29</f>
        <v>0</v>
      </c>
      <c r="K29" s="93">
        <f t="shared" si="2"/>
        <v>0</v>
      </c>
      <c r="L29" s="93">
        <f t="shared" si="2"/>
        <v>0</v>
      </c>
      <c r="M29" s="93">
        <f t="shared" si="2"/>
        <v>0</v>
      </c>
      <c r="N29" s="93">
        <f t="shared" si="2"/>
        <v>0</v>
      </c>
      <c r="O29" s="93">
        <f t="shared" si="2"/>
        <v>0</v>
      </c>
      <c r="P29" s="93">
        <f t="shared" si="2"/>
        <v>0</v>
      </c>
      <c r="Q29" s="93">
        <f t="shared" si="2"/>
        <v>0</v>
      </c>
      <c r="R29" s="93">
        <f t="shared" si="2"/>
        <v>0</v>
      </c>
      <c r="S29" s="93">
        <f t="shared" si="2"/>
        <v>0</v>
      </c>
      <c r="T29" s="93">
        <f t="shared" si="2"/>
        <v>0</v>
      </c>
      <c r="U29" s="93">
        <f t="shared" si="2"/>
        <v>0</v>
      </c>
      <c r="V29" s="93">
        <f t="shared" si="2"/>
        <v>0</v>
      </c>
      <c r="W29" s="93">
        <f t="shared" si="2"/>
        <v>0</v>
      </c>
      <c r="X29" s="93">
        <f t="shared" si="2"/>
        <v>0</v>
      </c>
      <c r="Y29" s="93">
        <f t="shared" si="2"/>
        <v>0</v>
      </c>
      <c r="Z29" s="93">
        <f t="shared" si="2"/>
        <v>0</v>
      </c>
      <c r="AA29" s="93">
        <f t="shared" si="2"/>
        <v>0</v>
      </c>
      <c r="AB29" s="93">
        <f t="shared" si="2"/>
        <v>0</v>
      </c>
      <c r="AC29" s="93">
        <f t="shared" si="2"/>
        <v>0</v>
      </c>
      <c r="AD29" s="93">
        <f t="shared" si="2"/>
        <v>0</v>
      </c>
      <c r="AE29" s="93">
        <f t="shared" si="2"/>
        <v>0</v>
      </c>
      <c r="AF29" s="93">
        <f t="shared" si="2"/>
        <v>0</v>
      </c>
      <c r="AG29" s="93">
        <f t="shared" si="2"/>
        <v>0</v>
      </c>
      <c r="AH29"/>
      <c r="AI29"/>
      <c r="AJ29"/>
      <c r="AK29"/>
      <c r="AL29"/>
      <c r="AM29"/>
      <c r="AN29"/>
      <c r="AO29"/>
      <c r="AP29"/>
      <c r="AQ29"/>
    </row>
    <row r="30" spans="1:43" x14ac:dyDescent="0.2">
      <c r="D30" s="179"/>
      <c r="E30"/>
      <c r="G30" s="180"/>
      <c r="H30"/>
      <c r="I30"/>
      <c r="J30"/>
      <c r="K30"/>
      <c r="L30"/>
      <c r="M30"/>
      <c r="N30"/>
      <c r="O30"/>
      <c r="P30"/>
      <c r="Q30"/>
      <c r="R30"/>
      <c r="S30"/>
      <c r="T30"/>
      <c r="U30"/>
      <c r="V30"/>
      <c r="W30"/>
      <c r="X30"/>
      <c r="Y30"/>
      <c r="Z30"/>
      <c r="AA30"/>
      <c r="AB30"/>
      <c r="AC30"/>
      <c r="AD30"/>
      <c r="AE30"/>
      <c r="AF30"/>
      <c r="AG30"/>
      <c r="AH30"/>
      <c r="AI30"/>
      <c r="AJ30"/>
      <c r="AK30"/>
      <c r="AL30"/>
      <c r="AM30"/>
      <c r="AN30"/>
      <c r="AO30"/>
      <c r="AP30"/>
      <c r="AQ30"/>
    </row>
    <row r="31" spans="1:43" x14ac:dyDescent="0.2">
      <c r="C31" s="1" t="s">
        <v>111</v>
      </c>
      <c r="D31" s="178" t="s">
        <v>112</v>
      </c>
      <c r="G31" s="180">
        <f>input_dollars</f>
        <v>45291</v>
      </c>
      <c r="H31" s="127"/>
      <c r="I31" s="146" cm="1">
        <f t="array" ref="I31">SUMPRODUCT((Assumptions!$H$78:$H$79)*(Assumptions!$G$78:$G$79)*(Assumptions!$I$78:$I$79)*(I$24:I$25))</f>
        <v>0</v>
      </c>
      <c r="J31" s="146" cm="1">
        <f t="array" ref="J31">SUMPRODUCT((Assumptions!$H$78:$H$79)*(Assumptions!$G$78:$G$79)*(Assumptions!$I$78:$I$79)*(J$24:J$25))</f>
        <v>0</v>
      </c>
      <c r="K31" s="146" cm="1">
        <f t="array" ref="K31">SUMPRODUCT((Assumptions!$H$78:$H$79)*(Assumptions!$G$78:$G$79)*(Assumptions!$I$78:$I$79)*(K$24:K$25))</f>
        <v>0</v>
      </c>
      <c r="L31" s="146" cm="1">
        <f t="array" ref="L31">SUMPRODUCT((Assumptions!$H$78:$H$79)*(Assumptions!$G$78:$G$79)*(Assumptions!$I$78:$I$79)*(L$24:L$25))</f>
        <v>0</v>
      </c>
      <c r="M31" s="146" cm="1">
        <f t="array" ref="M31">SUMPRODUCT((Assumptions!$H$78:$H$79)*(Assumptions!$G$78:$G$79)*(Assumptions!$I$78:$I$79)*(M$24:M$25))</f>
        <v>0</v>
      </c>
      <c r="N31" s="146" cm="1">
        <f t="array" ref="N31">SUMPRODUCT((Assumptions!$H$78:$H$79)*(Assumptions!$G$78:$G$79)*(Assumptions!$I$78:$I$79)*(N$24:N$25))</f>
        <v>0</v>
      </c>
      <c r="O31" s="146" cm="1">
        <f t="array" ref="O31">SUMPRODUCT((Assumptions!$H$78:$H$79)*(Assumptions!$G$78:$G$79)*(Assumptions!$I$78:$I$79)*(O$24:O$25))</f>
        <v>0</v>
      </c>
      <c r="P31" s="146" cm="1">
        <f t="array" ref="P31">SUMPRODUCT((Assumptions!$H$78:$H$79)*(Assumptions!$G$78:$G$79)*(Assumptions!$I$78:$I$79)*(P$24:P$25))</f>
        <v>0</v>
      </c>
      <c r="Q31" s="146" cm="1">
        <f t="array" ref="Q31">SUMPRODUCT((Assumptions!$H$78:$H$79)*(Assumptions!$G$78:$G$79)*(Assumptions!$I$78:$I$79)*(Q$24:Q$25))</f>
        <v>0</v>
      </c>
      <c r="R31" s="146" cm="1">
        <f t="array" ref="R31">SUMPRODUCT((Assumptions!$H$78:$H$79)*(Assumptions!$G$78:$G$79)*(Assumptions!$I$78:$I$79)*(R$24:R$25))</f>
        <v>0</v>
      </c>
      <c r="S31" s="146" cm="1">
        <f t="array" ref="S31">SUMPRODUCT((Assumptions!$H$78:$H$79)*(Assumptions!$G$78:$G$79)*(Assumptions!$I$78:$I$79)*(S$24:S$25))</f>
        <v>0</v>
      </c>
      <c r="T31" s="146" cm="1">
        <f t="array" ref="T31">SUMPRODUCT((Assumptions!$H$78:$H$79)*(Assumptions!$G$78:$G$79)*(Assumptions!$I$78:$I$79)*(T$24:T$25))</f>
        <v>0</v>
      </c>
      <c r="U31" s="146" cm="1">
        <f t="array" ref="U31">SUMPRODUCT((Assumptions!$H$78:$H$79)*(Assumptions!$G$78:$G$79)*(Assumptions!$I$78:$I$79)*(U$24:U$25))</f>
        <v>0</v>
      </c>
      <c r="V31" s="146" cm="1">
        <f t="array" ref="V31">SUMPRODUCT((Assumptions!$H$78:$H$79)*(Assumptions!$G$78:$G$79)*(Assumptions!$I$78:$I$79)*(V$24:V$25))</f>
        <v>0</v>
      </c>
      <c r="W31" s="146" cm="1">
        <f t="array" ref="W31">SUMPRODUCT((Assumptions!$H$78:$H$79)*(Assumptions!$G$78:$G$79)*(Assumptions!$I$78:$I$79)*(W$24:W$25))</f>
        <v>0</v>
      </c>
      <c r="X31" s="146" cm="1">
        <f t="array" ref="X31">SUMPRODUCT((Assumptions!$H$78:$H$79)*(Assumptions!$G$78:$G$79)*(Assumptions!$I$78:$I$79)*(X$24:X$25))</f>
        <v>0</v>
      </c>
      <c r="Y31" s="146" cm="1">
        <f t="array" ref="Y31">SUMPRODUCT((Assumptions!$H$78:$H$79)*(Assumptions!$G$78:$G$79)*(Assumptions!$I$78:$I$79)*(Y$24:Y$25))</f>
        <v>0</v>
      </c>
      <c r="Z31" s="146" cm="1">
        <f t="array" ref="Z31">SUMPRODUCT((Assumptions!$H$78:$H$79)*(Assumptions!$G$78:$G$79)*(Assumptions!$I$78:$I$79)*(Z$24:Z$25))</f>
        <v>0</v>
      </c>
      <c r="AA31" s="146" cm="1">
        <f t="array" ref="AA31">SUMPRODUCT((Assumptions!$H$78:$H$79)*(Assumptions!$G$78:$G$79)*(Assumptions!$I$78:$I$79)*(AA$24:AA$25))</f>
        <v>0</v>
      </c>
      <c r="AB31" s="146" cm="1">
        <f t="array" ref="AB31">SUMPRODUCT((Assumptions!$H$78:$H$79)*(Assumptions!$G$78:$G$79)*(Assumptions!$I$78:$I$79)*(AB$24:AB$25))</f>
        <v>0</v>
      </c>
      <c r="AC31" s="146" cm="1">
        <f t="array" ref="AC31">SUMPRODUCT((Assumptions!$H$78:$H$79)*(Assumptions!$G$78:$G$79)*(Assumptions!$I$78:$I$79)*(AC$24:AC$25))</f>
        <v>0</v>
      </c>
      <c r="AD31" s="146" cm="1">
        <f t="array" ref="AD31">SUMPRODUCT((Assumptions!$H$78:$H$79)*(Assumptions!$G$78:$G$79)*(Assumptions!$I$78:$I$79)*(AD$24:AD$25))</f>
        <v>0</v>
      </c>
      <c r="AE31" s="146" cm="1">
        <f t="array" ref="AE31">SUMPRODUCT((Assumptions!$H$78:$H$79)*(Assumptions!$G$78:$G$79)*(Assumptions!$I$78:$I$79)*(AE$24:AE$25))</f>
        <v>0</v>
      </c>
      <c r="AF31" s="146" cm="1">
        <f t="array" ref="AF31">SUMPRODUCT((Assumptions!$H$78:$H$79)*(Assumptions!$G$78:$G$79)*(Assumptions!$I$78:$I$79)*(AF$24:AF$25))</f>
        <v>0</v>
      </c>
      <c r="AG31" s="146" cm="1">
        <f t="array" ref="AG31">SUMPRODUCT((Assumptions!$H$78:$H$79)*(Assumptions!$G$78:$G$79)*(Assumptions!$I$78:$I$79)*(AG$24:AG$25))</f>
        <v>0</v>
      </c>
      <c r="AH31"/>
      <c r="AI31"/>
      <c r="AJ31"/>
      <c r="AK31"/>
      <c r="AL31"/>
      <c r="AM31"/>
      <c r="AN31"/>
      <c r="AO31"/>
      <c r="AP31"/>
      <c r="AQ31"/>
    </row>
    <row r="32" spans="1:43" x14ac:dyDescent="0.2">
      <c r="C32" s="1" t="s">
        <v>113</v>
      </c>
      <c r="D32" s="179"/>
      <c r="E32"/>
      <c r="G32" s="180">
        <f>input_dollars</f>
        <v>45291</v>
      </c>
      <c r="H32" s="127"/>
      <c r="I32" s="146" cm="1">
        <f t="array" ref="I32">(1+Assumptions!$G$89)*SUMPRODUCT((Assumptions!$G$86:$G$87)*(I$24:I$25))</f>
        <v>0</v>
      </c>
      <c r="J32" s="146" cm="1">
        <f t="array" ref="J32">(1+Assumptions!$G$89)*SUMPRODUCT((Assumptions!$G$86:$G$87)*(J$24:J$25))</f>
        <v>0</v>
      </c>
      <c r="K32" s="146" cm="1">
        <f t="array" ref="K32">(1+Assumptions!$G$89)*SUMPRODUCT((Assumptions!$G$86:$G$87)*(K$24:K$25))</f>
        <v>0</v>
      </c>
      <c r="L32" s="146" cm="1">
        <f t="array" ref="L32">(1+Assumptions!$G$89)*SUMPRODUCT((Assumptions!$G$86:$G$87)*(L$24:L$25))</f>
        <v>0</v>
      </c>
      <c r="M32" s="146" cm="1">
        <f t="array" ref="M32">(1+Assumptions!$G$89)*SUMPRODUCT((Assumptions!$G$86:$G$87)*(M$24:M$25))</f>
        <v>0</v>
      </c>
      <c r="N32" s="146" cm="1">
        <f t="array" ref="N32">(1+Assumptions!$G$89)*SUMPRODUCT((Assumptions!$G$86:$G$87)*(N$24:N$25))</f>
        <v>0</v>
      </c>
      <c r="O32" s="146" cm="1">
        <f t="array" ref="O32">(1+Assumptions!$G$89)*SUMPRODUCT((Assumptions!$G$86:$G$87)*(O$24:O$25))</f>
        <v>0</v>
      </c>
      <c r="P32" s="146" cm="1">
        <f t="array" ref="P32">(1+Assumptions!$G$89)*SUMPRODUCT((Assumptions!$G$86:$G$87)*(P$24:P$25))</f>
        <v>0</v>
      </c>
      <c r="Q32" s="146" cm="1">
        <f t="array" ref="Q32">(1+Assumptions!$G$89)*SUMPRODUCT((Assumptions!$G$86:$G$87)*(Q$24:Q$25))</f>
        <v>0</v>
      </c>
      <c r="R32" s="146" cm="1">
        <f t="array" ref="R32">(1+Assumptions!$G$89)*SUMPRODUCT((Assumptions!$G$86:$G$87)*(R$24:R$25))</f>
        <v>0</v>
      </c>
      <c r="S32" s="146" cm="1">
        <f t="array" ref="S32">(1+Assumptions!$G$89)*SUMPRODUCT((Assumptions!$G$86:$G$87)*(S$24:S$25))</f>
        <v>0</v>
      </c>
      <c r="T32" s="146" cm="1">
        <f t="array" ref="T32">(1+Assumptions!$G$89)*SUMPRODUCT((Assumptions!$G$86:$G$87)*(T$24:T$25))</f>
        <v>0</v>
      </c>
      <c r="U32" s="146" cm="1">
        <f t="array" ref="U32">(1+Assumptions!$G$89)*SUMPRODUCT((Assumptions!$G$86:$G$87)*(U$24:U$25))</f>
        <v>0</v>
      </c>
      <c r="V32" s="146" cm="1">
        <f t="array" ref="V32">(1+Assumptions!$G$89)*SUMPRODUCT((Assumptions!$G$86:$G$87)*(V$24:V$25))</f>
        <v>0</v>
      </c>
      <c r="W32" s="146" cm="1">
        <f t="array" ref="W32">(1+Assumptions!$G$89)*SUMPRODUCT((Assumptions!$G$86:$G$87)*(W$24:W$25))</f>
        <v>0</v>
      </c>
      <c r="X32" s="146" cm="1">
        <f t="array" ref="X32">(1+Assumptions!$G$89)*SUMPRODUCT((Assumptions!$G$86:$G$87)*(X$24:X$25))</f>
        <v>0</v>
      </c>
      <c r="Y32" s="146" cm="1">
        <f t="array" ref="Y32">(1+Assumptions!$G$89)*SUMPRODUCT((Assumptions!$G$86:$G$87)*(Y$24:Y$25))</f>
        <v>0</v>
      </c>
      <c r="Z32" s="146" cm="1">
        <f t="array" ref="Z32">(1+Assumptions!$G$89)*SUMPRODUCT((Assumptions!$G$86:$G$87)*(Z$24:Z$25))</f>
        <v>0</v>
      </c>
      <c r="AA32" s="146" cm="1">
        <f t="array" ref="AA32">(1+Assumptions!$G$89)*SUMPRODUCT((Assumptions!$G$86:$G$87)*(AA$24:AA$25))</f>
        <v>0</v>
      </c>
      <c r="AB32" s="146" cm="1">
        <f t="array" ref="AB32">(1+Assumptions!$G$89)*SUMPRODUCT((Assumptions!$G$86:$G$87)*(AB$24:AB$25))</f>
        <v>0</v>
      </c>
      <c r="AC32" s="146" cm="1">
        <f t="array" ref="AC32">(1+Assumptions!$G$89)*SUMPRODUCT((Assumptions!$G$86:$G$87)*(AC$24:AC$25))</f>
        <v>0</v>
      </c>
      <c r="AD32" s="146" cm="1">
        <f t="array" ref="AD32">(1+Assumptions!$G$89)*SUMPRODUCT((Assumptions!$G$86:$G$87)*(AD$24:AD$25))</f>
        <v>0</v>
      </c>
      <c r="AE32" s="146" cm="1">
        <f t="array" ref="AE32">(1+Assumptions!$G$89)*SUMPRODUCT((Assumptions!$G$86:$G$87)*(AE$24:AE$25))</f>
        <v>0</v>
      </c>
      <c r="AF32" s="146" cm="1">
        <f t="array" ref="AF32">(1+Assumptions!$G$89)*SUMPRODUCT((Assumptions!$G$86:$G$87)*(AF$24:AF$25))</f>
        <v>0</v>
      </c>
      <c r="AG32" s="146" cm="1">
        <f t="array" ref="AG32">(1+Assumptions!$G$89)*SUMPRODUCT((Assumptions!$G$86:$G$87)*(AG$24:AG$25))</f>
        <v>0</v>
      </c>
      <c r="AH32"/>
      <c r="AI32"/>
      <c r="AJ32"/>
      <c r="AK32"/>
      <c r="AL32"/>
      <c r="AM32"/>
      <c r="AN32"/>
      <c r="AO32"/>
      <c r="AP32"/>
      <c r="AQ32"/>
    </row>
    <row r="33" spans="1:16372" x14ac:dyDescent="0.2">
      <c r="C33" s="1" t="s">
        <v>114</v>
      </c>
      <c r="D33" s="178" t="s">
        <v>112</v>
      </c>
      <c r="E33"/>
      <c r="G33" s="180">
        <f>input_dollars</f>
        <v>45291</v>
      </c>
      <c r="H33"/>
      <c r="I33" s="29">
        <v>0</v>
      </c>
      <c r="J33" s="29">
        <v>0</v>
      </c>
      <c r="K33" s="29">
        <v>0</v>
      </c>
      <c r="L33" s="29">
        <v>0</v>
      </c>
      <c r="M33" s="29">
        <v>0</v>
      </c>
      <c r="N33" s="29">
        <v>0</v>
      </c>
      <c r="O33" s="29">
        <v>0</v>
      </c>
      <c r="P33" s="29">
        <v>0</v>
      </c>
      <c r="Q33" s="29">
        <v>0</v>
      </c>
      <c r="R33" s="115">
        <v>0</v>
      </c>
      <c r="S33" s="115">
        <v>0</v>
      </c>
      <c r="T33" s="115">
        <v>0</v>
      </c>
      <c r="U33" s="115">
        <v>0</v>
      </c>
      <c r="V33" s="115">
        <v>0</v>
      </c>
      <c r="W33" s="115">
        <v>0</v>
      </c>
      <c r="X33" s="115">
        <v>0</v>
      </c>
      <c r="Y33" s="115">
        <v>0</v>
      </c>
      <c r="Z33" s="115">
        <v>0</v>
      </c>
      <c r="AA33" s="115">
        <v>0</v>
      </c>
      <c r="AB33" s="115">
        <v>0</v>
      </c>
      <c r="AC33" s="115">
        <v>0</v>
      </c>
      <c r="AD33" s="115">
        <v>0</v>
      </c>
      <c r="AE33" s="115">
        <v>0</v>
      </c>
      <c r="AF33" s="115">
        <v>0</v>
      </c>
      <c r="AG33" s="115">
        <v>0</v>
      </c>
      <c r="AH33"/>
      <c r="AI33"/>
      <c r="AJ33"/>
      <c r="AK33"/>
      <c r="AL33"/>
      <c r="AM33"/>
      <c r="AN33"/>
      <c r="AO33"/>
      <c r="AP33"/>
      <c r="AQ33"/>
    </row>
    <row r="34" spans="1:16372" x14ac:dyDescent="0.2">
      <c r="C34" s="239" t="s">
        <v>115</v>
      </c>
      <c r="D34" s="191"/>
      <c r="E34"/>
      <c r="G34" s="180">
        <f>input_dollars</f>
        <v>45291</v>
      </c>
      <c r="H34"/>
      <c r="I34" s="29">
        <v>0</v>
      </c>
      <c r="J34" s="29">
        <v>0</v>
      </c>
      <c r="K34" s="29">
        <v>0</v>
      </c>
      <c r="L34" s="29">
        <v>0</v>
      </c>
      <c r="M34" s="29">
        <v>0</v>
      </c>
      <c r="N34" s="29">
        <v>0</v>
      </c>
      <c r="O34" s="29">
        <v>0</v>
      </c>
      <c r="P34" s="29">
        <v>0</v>
      </c>
      <c r="Q34" s="29">
        <v>0</v>
      </c>
      <c r="R34" s="115">
        <v>0</v>
      </c>
      <c r="S34" s="115">
        <v>0</v>
      </c>
      <c r="T34" s="115">
        <v>0</v>
      </c>
      <c r="U34" s="115">
        <v>0</v>
      </c>
      <c r="V34" s="115">
        <v>0</v>
      </c>
      <c r="W34" s="115">
        <v>0</v>
      </c>
      <c r="X34" s="115">
        <v>0</v>
      </c>
      <c r="Y34" s="115">
        <v>0</v>
      </c>
      <c r="Z34" s="115">
        <v>0</v>
      </c>
      <c r="AA34" s="115">
        <v>0</v>
      </c>
      <c r="AB34" s="115">
        <v>0</v>
      </c>
      <c r="AC34" s="115">
        <v>0</v>
      </c>
      <c r="AD34" s="115">
        <v>0</v>
      </c>
      <c r="AE34" s="115">
        <v>0</v>
      </c>
      <c r="AF34" s="115">
        <v>0</v>
      </c>
      <c r="AG34" s="115">
        <v>0</v>
      </c>
      <c r="AH34"/>
      <c r="AI34"/>
      <c r="AJ34"/>
      <c r="AK34"/>
      <c r="AL34"/>
      <c r="AM34"/>
      <c r="AN34"/>
      <c r="AO34"/>
      <c r="AP34"/>
      <c r="AQ34"/>
    </row>
    <row r="35" spans="1:16372" x14ac:dyDescent="0.2">
      <c r="C35" s="239" t="s">
        <v>115</v>
      </c>
      <c r="D35" s="179"/>
      <c r="E35"/>
      <c r="G35" s="180">
        <f>input_dollars</f>
        <v>45291</v>
      </c>
      <c r="H35"/>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c r="AI35"/>
      <c r="AJ35"/>
      <c r="AK35"/>
      <c r="AL35"/>
      <c r="AM35"/>
      <c r="AN35"/>
      <c r="AO35"/>
      <c r="AP35"/>
      <c r="AQ35"/>
    </row>
    <row r="36" spans="1:16372" x14ac:dyDescent="0.2">
      <c r="D36" s="179"/>
      <c r="E36"/>
      <c r="G36" s="180"/>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C37" s="3" t="s">
        <v>116</v>
      </c>
      <c r="D37" s="190"/>
      <c r="E37" s="95"/>
      <c r="F37" s="3"/>
      <c r="G37" s="182"/>
      <c r="H37" s="95"/>
      <c r="I37" s="96">
        <f>SUM(I29:I35)</f>
        <v>0</v>
      </c>
      <c r="J37" s="96">
        <f t="shared" ref="J37:AG37" si="3">SUM(J29:J35)</f>
        <v>0</v>
      </c>
      <c r="K37" s="96">
        <f t="shared" si="3"/>
        <v>0</v>
      </c>
      <c r="L37" s="96">
        <f t="shared" si="3"/>
        <v>0</v>
      </c>
      <c r="M37" s="96">
        <f t="shared" si="3"/>
        <v>0</v>
      </c>
      <c r="N37" s="96">
        <f t="shared" si="3"/>
        <v>0</v>
      </c>
      <c r="O37" s="96">
        <f t="shared" si="3"/>
        <v>0</v>
      </c>
      <c r="P37" s="96">
        <f t="shared" si="3"/>
        <v>0</v>
      </c>
      <c r="Q37" s="96">
        <f t="shared" si="3"/>
        <v>0</v>
      </c>
      <c r="R37" s="96">
        <f t="shared" si="3"/>
        <v>0</v>
      </c>
      <c r="S37" s="96">
        <f t="shared" si="3"/>
        <v>0</v>
      </c>
      <c r="T37" s="96">
        <f t="shared" si="3"/>
        <v>0</v>
      </c>
      <c r="U37" s="96">
        <f t="shared" si="3"/>
        <v>0</v>
      </c>
      <c r="V37" s="96">
        <f t="shared" si="3"/>
        <v>0</v>
      </c>
      <c r="W37" s="96">
        <f t="shared" si="3"/>
        <v>0</v>
      </c>
      <c r="X37" s="96">
        <f t="shared" si="3"/>
        <v>0</v>
      </c>
      <c r="Y37" s="96">
        <f t="shared" si="3"/>
        <v>0</v>
      </c>
      <c r="Z37" s="96">
        <f t="shared" si="3"/>
        <v>0</v>
      </c>
      <c r="AA37" s="96">
        <f t="shared" si="3"/>
        <v>0</v>
      </c>
      <c r="AB37" s="96">
        <f t="shared" si="3"/>
        <v>0</v>
      </c>
      <c r="AC37" s="96">
        <f t="shared" si="3"/>
        <v>0</v>
      </c>
      <c r="AD37" s="96">
        <f t="shared" si="3"/>
        <v>0</v>
      </c>
      <c r="AE37" s="96">
        <f t="shared" si="3"/>
        <v>0</v>
      </c>
      <c r="AF37" s="96">
        <f t="shared" si="3"/>
        <v>0</v>
      </c>
      <c r="AG37" s="96">
        <f t="shared" si="3"/>
        <v>0</v>
      </c>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x14ac:dyDescent="0.2">
      <c r="D38"/>
      <c r="E38"/>
      <c r="G38" s="180"/>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row>
    <row r="39" spans="1:16372" ht="15" x14ac:dyDescent="0.2">
      <c r="A39" s="78" t="s">
        <v>117</v>
      </c>
      <c r="B39" s="78"/>
      <c r="C39" s="78"/>
      <c r="D39" s="78"/>
      <c r="E39" s="78"/>
      <c r="F39" s="78"/>
      <c r="G39" s="177"/>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x14ac:dyDescent="0.2">
      <c r="D41"/>
      <c r="E41"/>
      <c r="G41" s="180"/>
      <c r="H41"/>
      <c r="I41"/>
      <c r="J41"/>
      <c r="K41"/>
      <c r="L41"/>
      <c r="M41"/>
      <c r="N41"/>
      <c r="O41"/>
      <c r="P41"/>
      <c r="Q41"/>
      <c r="R41"/>
      <c r="S41"/>
      <c r="T41"/>
      <c r="U41"/>
      <c r="V41"/>
      <c r="W41"/>
      <c r="X41"/>
      <c r="Y41"/>
      <c r="Z41"/>
      <c r="AA41"/>
      <c r="AB41"/>
      <c r="AC41"/>
      <c r="AD41"/>
      <c r="AE41"/>
      <c r="AF41"/>
      <c r="AG41"/>
      <c r="AH41"/>
      <c r="AI41"/>
      <c r="AJ41"/>
      <c r="AK41"/>
      <c r="AL41"/>
      <c r="AM41"/>
      <c r="AN41"/>
      <c r="AO41"/>
      <c r="AP41"/>
      <c r="AQ41"/>
    </row>
    <row r="42" spans="1:16372" ht="13.5" x14ac:dyDescent="0.25">
      <c r="C42" s="1" t="s">
        <v>118</v>
      </c>
      <c r="G42" s="178" t="s">
        <v>109</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c r="AI42"/>
      <c r="AJ42"/>
      <c r="AK42"/>
    </row>
    <row r="43" spans="1:16372" ht="13.5" x14ac:dyDescent="0.25">
      <c r="C43" s="1" t="s">
        <v>119</v>
      </c>
      <c r="G43" s="178" t="s">
        <v>120</v>
      </c>
      <c r="I43" s="75">
        <f t="shared" ref="I43:AG43" si="4">I42*I7</f>
        <v>0</v>
      </c>
      <c r="J43" s="75">
        <f t="shared" si="4"/>
        <v>0</v>
      </c>
      <c r="K43" s="75">
        <f t="shared" si="4"/>
        <v>0</v>
      </c>
      <c r="L43" s="75">
        <f t="shared" si="4"/>
        <v>0</v>
      </c>
      <c r="M43" s="75">
        <f t="shared" si="4"/>
        <v>0</v>
      </c>
      <c r="N43" s="75">
        <f t="shared" si="4"/>
        <v>0</v>
      </c>
      <c r="O43" s="75">
        <f t="shared" si="4"/>
        <v>0</v>
      </c>
      <c r="P43" s="75">
        <f t="shared" si="4"/>
        <v>0</v>
      </c>
      <c r="Q43" s="75">
        <f t="shared" si="4"/>
        <v>0</v>
      </c>
      <c r="R43" s="75">
        <f t="shared" si="4"/>
        <v>0</v>
      </c>
      <c r="S43" s="75">
        <f t="shared" si="4"/>
        <v>0</v>
      </c>
      <c r="T43" s="75">
        <f t="shared" si="4"/>
        <v>0</v>
      </c>
      <c r="U43" s="75">
        <f t="shared" si="4"/>
        <v>0</v>
      </c>
      <c r="V43" s="75">
        <f t="shared" si="4"/>
        <v>0</v>
      </c>
      <c r="W43" s="75">
        <f t="shared" si="4"/>
        <v>0</v>
      </c>
      <c r="X43" s="75">
        <f t="shared" si="4"/>
        <v>0</v>
      </c>
      <c r="Y43" s="75">
        <f t="shared" si="4"/>
        <v>0</v>
      </c>
      <c r="Z43" s="75">
        <f t="shared" si="4"/>
        <v>0</v>
      </c>
      <c r="AA43" s="75">
        <f t="shared" si="4"/>
        <v>0</v>
      </c>
      <c r="AB43" s="75">
        <f t="shared" si="4"/>
        <v>0</v>
      </c>
      <c r="AC43" s="75">
        <f t="shared" si="4"/>
        <v>0</v>
      </c>
      <c r="AD43" s="75">
        <f t="shared" si="4"/>
        <v>0</v>
      </c>
      <c r="AE43" s="75">
        <f t="shared" si="4"/>
        <v>0</v>
      </c>
      <c r="AF43" s="75">
        <f t="shared" si="4"/>
        <v>0</v>
      </c>
      <c r="AG43" s="75">
        <f t="shared" si="4"/>
        <v>0</v>
      </c>
      <c r="AH43"/>
      <c r="AI43"/>
      <c r="AJ43"/>
      <c r="AK43"/>
    </row>
    <row r="44" spans="1:16372" x14ac:dyDescent="0.2">
      <c r="D44"/>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D45" s="179"/>
      <c r="E45"/>
      <c r="G45" s="180"/>
      <c r="H45"/>
      <c r="I45"/>
      <c r="J45"/>
      <c r="K45"/>
      <c r="L45"/>
      <c r="M45"/>
      <c r="N45"/>
      <c r="O45"/>
      <c r="P45"/>
      <c r="Q45"/>
      <c r="R45"/>
      <c r="S45"/>
      <c r="T45"/>
      <c r="U45"/>
      <c r="V45"/>
      <c r="W45"/>
      <c r="X45"/>
      <c r="Y45"/>
      <c r="Z45"/>
      <c r="AA45"/>
      <c r="AB45"/>
      <c r="AC45"/>
      <c r="AD45"/>
      <c r="AE45"/>
      <c r="AF45"/>
      <c r="AG45"/>
      <c r="AH45"/>
      <c r="AI45"/>
      <c r="AJ45"/>
      <c r="AK45"/>
      <c r="AL45"/>
      <c r="AM45"/>
      <c r="AN45"/>
      <c r="AO45"/>
      <c r="AP45"/>
      <c r="AQ45"/>
    </row>
    <row r="46" spans="1:16372" x14ac:dyDescent="0.2">
      <c r="C46" s="1" t="s">
        <v>121</v>
      </c>
      <c r="D46" s="178" t="s">
        <v>100</v>
      </c>
      <c r="E46" s="100">
        <f>Assumptions!G101</f>
        <v>151433</v>
      </c>
      <c r="G46" s="180" t="s">
        <v>109</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
        <v>122</v>
      </c>
      <c r="D47" s="178" t="s">
        <v>100</v>
      </c>
      <c r="E47" s="100">
        <f>Assumptions!H47</f>
        <v>24489</v>
      </c>
      <c r="G47" s="180" t="s">
        <v>109</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123</v>
      </c>
      <c r="D48" s="178" t="s">
        <v>100</v>
      </c>
      <c r="E48" s="100">
        <f>Assumptions!H48</f>
        <v>10120.346334172034</v>
      </c>
      <c r="G48" s="180" t="s">
        <v>109</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124</v>
      </c>
      <c r="D49" s="178" t="s">
        <v>100</v>
      </c>
      <c r="E49" s="100">
        <f>Assumptions!H49</f>
        <v>8296.0059374104003</v>
      </c>
      <c r="G49" s="180" t="s">
        <v>109</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125</v>
      </c>
      <c r="D50" s="178" t="s">
        <v>100</v>
      </c>
      <c r="E50" s="100">
        <f>Assumptions!H50</f>
        <v>8532.6010035645213</v>
      </c>
      <c r="G50" s="180" t="s">
        <v>109</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78"/>
      <c r="G51" s="180"/>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row>
    <row r="52" spans="1:43" x14ac:dyDescent="0.2">
      <c r="C52" s="1" t="s">
        <v>126</v>
      </c>
      <c r="D52" s="178"/>
      <c r="G52" s="180">
        <f>input_dollars</f>
        <v>45291</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C53" s="1" t="s">
        <v>127</v>
      </c>
      <c r="D53" s="178"/>
      <c r="G53" s="180">
        <f>input_dollars</f>
        <v>45291</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row>
    <row r="54" spans="1:43" x14ac:dyDescent="0.2">
      <c r="D54" s="178"/>
      <c r="G54" s="178"/>
    </row>
    <row r="55" spans="1:43" x14ac:dyDescent="0.2">
      <c r="C55" s="3" t="s">
        <v>128</v>
      </c>
      <c r="D55" s="190"/>
      <c r="E55" s="95"/>
      <c r="F55" s="3"/>
      <c r="G55" s="183">
        <f>input_dollars</f>
        <v>45291</v>
      </c>
      <c r="H55" s="95"/>
      <c r="I55" s="146" cm="1">
        <f t="array" ref="I55">SUMPRODUCT((I$46:I$50)*($E$46:$E$50))+SUM(I52:I53)+I43</f>
        <v>0</v>
      </c>
      <c r="J55" s="146" cm="1">
        <f t="array" ref="J55">SUMPRODUCT((J$46:J$50)*($E$46:$E$50))+SUM(J52:J53)+J43</f>
        <v>0</v>
      </c>
      <c r="K55" s="146" cm="1">
        <f t="array" ref="K55">SUMPRODUCT((K$46:K$50)*($E$46:$E$50))+SUM(K52:K53)+K43</f>
        <v>0</v>
      </c>
      <c r="L55" s="146" cm="1">
        <f t="array" ref="L55">SUMPRODUCT((L$46:L$50)*($E$46:$E$50))+SUM(L52:L53)+L43</f>
        <v>0</v>
      </c>
      <c r="M55" s="146" cm="1">
        <f t="array" ref="M55">SUMPRODUCT((M$46:M$50)*($E$46:$E$50))+SUM(M52:M53)+M43</f>
        <v>0</v>
      </c>
      <c r="N55" s="146" cm="1">
        <f t="array" ref="N55">SUMPRODUCT((N$46:N$50)*($E$46:$E$50))+SUM(N52:N53)+N43</f>
        <v>0</v>
      </c>
      <c r="O55" s="146" cm="1">
        <f t="array" ref="O55">SUMPRODUCT((O$46:O$50)*($E$46:$E$50))+SUM(O52:O53)+O43</f>
        <v>0</v>
      </c>
      <c r="P55" s="146" cm="1">
        <f t="array" ref="P55">SUMPRODUCT((P$46:P$50)*($E$46:$E$50))+SUM(P52:P53)+P43</f>
        <v>0</v>
      </c>
      <c r="Q55" s="146" cm="1">
        <f t="array" ref="Q55">SUMPRODUCT((Q$46:Q$50)*($E$46:$E$50))+SUM(Q52:Q53)+Q43</f>
        <v>0</v>
      </c>
      <c r="R55" s="146" cm="1">
        <f t="array" ref="R55">SUMPRODUCT((R$46:R$50)*($E$46:$E$50))+SUM(R52:R53)+R43</f>
        <v>0</v>
      </c>
      <c r="S55" s="146" cm="1">
        <f t="array" ref="S55">SUMPRODUCT((S$46:S$50)*($E$46:$E$50))+SUM(S52:S53)+S43</f>
        <v>0</v>
      </c>
      <c r="T55" s="146" cm="1">
        <f t="array" ref="T55">SUMPRODUCT((T$46:T$50)*($E$46:$E$50))+SUM(T52:T53)+T43</f>
        <v>0</v>
      </c>
      <c r="U55" s="146" cm="1">
        <f t="array" ref="U55">SUMPRODUCT((U$46:U$50)*($E$46:$E$50))+SUM(U52:U53)+U43</f>
        <v>0</v>
      </c>
      <c r="V55" s="146" cm="1">
        <f t="array" ref="V55">SUMPRODUCT((V$46:V$50)*($E$46:$E$50))+SUM(V52:V53)+V43</f>
        <v>0</v>
      </c>
      <c r="W55" s="146" cm="1">
        <f t="array" ref="W55">SUMPRODUCT((W$46:W$50)*($E$46:$E$50))+SUM(W52:W53)+W43</f>
        <v>0</v>
      </c>
      <c r="X55" s="146" cm="1">
        <f t="array" ref="X55">SUMPRODUCT((X$46:X$50)*($E$46:$E$50))+SUM(X52:X53)+X43</f>
        <v>0</v>
      </c>
      <c r="Y55" s="146" cm="1">
        <f t="array" ref="Y55">SUMPRODUCT((Y$46:Y$50)*($E$46:$E$50))+SUM(Y52:Y53)+Y43</f>
        <v>0</v>
      </c>
      <c r="Z55" s="146" cm="1">
        <f t="array" ref="Z55">SUMPRODUCT((Z$46:Z$50)*($E$46:$E$50))+SUM(Z52:Z53)+Z43</f>
        <v>0</v>
      </c>
      <c r="AA55" s="146" cm="1">
        <f t="array" ref="AA55">SUMPRODUCT((AA$46:AA$50)*($E$46:$E$50))+SUM(AA52:AA53)+AA43</f>
        <v>0</v>
      </c>
      <c r="AB55" s="146" cm="1">
        <f t="array" ref="AB55">SUMPRODUCT((AB$46:AB$50)*($E$46:$E$50))+SUM(AB52:AB53)+AB43</f>
        <v>0</v>
      </c>
      <c r="AC55" s="146" cm="1">
        <f t="array" ref="AC55">SUMPRODUCT((AC$46:AC$50)*($E$46:$E$50))+SUM(AC52:AC53)+AC43</f>
        <v>0</v>
      </c>
      <c r="AD55" s="146" cm="1">
        <f t="array" ref="AD55">SUMPRODUCT((AD$46:AD$50)*($E$46:$E$50))+SUM(AD52:AD53)+AD43</f>
        <v>0</v>
      </c>
      <c r="AE55" s="146" cm="1">
        <f t="array" ref="AE55">SUMPRODUCT((AE$46:AE$50)*($E$46:$E$50))+SUM(AE52:AE53)+AE43</f>
        <v>0</v>
      </c>
      <c r="AF55" s="146" cm="1">
        <f t="array" ref="AF55">SUMPRODUCT((AF$46:AF$50)*($E$46:$E$50))+SUM(AF52:AF53)+AF43</f>
        <v>0</v>
      </c>
      <c r="AG55" s="146" cm="1">
        <f t="array" ref="AG55">SUMPRODUCT((AG$46:AG$50)*($E$46:$E$50))+SUM(AG52:AG53)+AG43</f>
        <v>0</v>
      </c>
    </row>
    <row r="56" spans="1:43" x14ac:dyDescent="0.2">
      <c r="D56" s="178"/>
      <c r="G56" s="17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row>
    <row r="57" spans="1:43" x14ac:dyDescent="0.2">
      <c r="G57" s="17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row>
    <row r="58" spans="1:43" ht="15" x14ac:dyDescent="0.2">
      <c r="A58" s="78" t="s">
        <v>3</v>
      </c>
      <c r="B58" s="78"/>
      <c r="C58" s="78"/>
      <c r="D58" s="78"/>
      <c r="E58" s="78"/>
      <c r="F58" s="78"/>
      <c r="G58" s="177"/>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c r="AI58"/>
      <c r="AJ58"/>
      <c r="AK58"/>
      <c r="AL58"/>
      <c r="AM58"/>
      <c r="AN58"/>
      <c r="AO58"/>
      <c r="AP58"/>
      <c r="AQ58"/>
    </row>
    <row r="59" spans="1:43" ht="15" x14ac:dyDescent="0.2">
      <c r="A59" s="99"/>
      <c r="B59" s="99"/>
      <c r="C59" s="99"/>
      <c r="D59" s="99"/>
      <c r="E59" s="99"/>
      <c r="F59" s="99"/>
      <c r="G59" s="181"/>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c r="AI59"/>
      <c r="AJ59"/>
      <c r="AK59"/>
      <c r="AL59"/>
      <c r="AM59"/>
      <c r="AN59"/>
      <c r="AO59"/>
      <c r="AP59"/>
      <c r="AQ59"/>
    </row>
    <row r="60" spans="1:43" ht="12.75" customHeight="1" x14ac:dyDescent="0.2">
      <c r="A60" s="99"/>
      <c r="B60" s="99"/>
      <c r="C60" s="99"/>
      <c r="D60" s="99"/>
      <c r="E60" s="99"/>
      <c r="F60"/>
      <c r="G60" s="184"/>
      <c r="H60" s="99"/>
      <c r="I60" s="99"/>
      <c r="J60" s="99"/>
      <c r="K60" s="99"/>
      <c r="L60" s="99"/>
      <c r="M60" s="99"/>
      <c r="N60" s="99"/>
      <c r="O60" s="99"/>
      <c r="P60" s="99"/>
      <c r="Q60" s="99"/>
      <c r="R60" s="99"/>
      <c r="S60" s="99"/>
      <c r="T60" s="99"/>
      <c r="U60" s="99"/>
      <c r="V60" s="99"/>
      <c r="W60" s="99"/>
      <c r="X60" s="99"/>
      <c r="Y60" s="99"/>
      <c r="Z60" s="99"/>
      <c r="AA60" s="99"/>
      <c r="AB60"/>
      <c r="AC60"/>
      <c r="AD60"/>
      <c r="AE60"/>
      <c r="AF60"/>
      <c r="AG60"/>
      <c r="AH60"/>
      <c r="AI60"/>
      <c r="AJ60"/>
      <c r="AK60"/>
      <c r="AL60"/>
      <c r="AM60"/>
      <c r="AN60"/>
      <c r="AO60"/>
    </row>
    <row r="61" spans="1:43" x14ac:dyDescent="0.2">
      <c r="F61" s="2"/>
      <c r="G61" s="185"/>
    </row>
    <row r="62" spans="1:43" x14ac:dyDescent="0.2">
      <c r="C62" s="4" t="str">
        <f>'Option1 (base case)'!C62</f>
        <v>Risks mitigated vs base case</v>
      </c>
      <c r="G62" s="183">
        <f>input_dollars</f>
        <v>45291</v>
      </c>
      <c r="I62" s="112">
        <f>(1-INDEX(Data!$C$9:$C$13, MATCH($A$3, options,0)))*('Option1 (base case)'!I37-I37)</f>
        <v>0</v>
      </c>
      <c r="J62" s="112">
        <f>(1-INDEX(Data!$C$9:$C$13, MATCH($A$3, options,0)))*('Option1 (base case)'!J37-J37)</f>
        <v>0</v>
      </c>
      <c r="K62" s="112">
        <f>(1-INDEX(Data!$C$9:$C$13, MATCH($A$3, options,0)))*('Option1 (base case)'!K37-K37)</f>
        <v>0</v>
      </c>
      <c r="L62" s="112">
        <f>(1-INDEX(Data!$C$9:$C$13, MATCH($A$3, options,0)))*('Option1 (base case)'!L37-L37)</f>
        <v>0</v>
      </c>
      <c r="M62" s="112">
        <f>(1-INDEX(Data!$C$9:$C$13, MATCH($A$3, options,0)))*('Option1 (base case)'!M37-M37)</f>
        <v>0</v>
      </c>
      <c r="N62" s="112">
        <f>(1-INDEX(Data!$C$9:$C$13, MATCH($A$3, options,0)))*('Option1 (base case)'!N37-N37)</f>
        <v>0</v>
      </c>
      <c r="O62" s="112">
        <f>(1-INDEX(Data!$C$9:$C$13, MATCH($A$3, options,0)))*('Option1 (base case)'!O37-O37)</f>
        <v>0</v>
      </c>
      <c r="P62" s="112">
        <f>(1-INDEX(Data!$C$9:$C$13, MATCH($A$3, options,0)))*('Option1 (base case)'!P37-P37)</f>
        <v>0</v>
      </c>
      <c r="Q62" s="112">
        <f>(1-INDEX(Data!$C$9:$C$13, MATCH($A$3, options,0)))*('Option1 (base case)'!Q37-Q37)</f>
        <v>0</v>
      </c>
      <c r="R62" s="112">
        <f>(1-INDEX(Data!$C$9:$C$13, MATCH($A$3, options,0)))*('Option1 (base case)'!R37-R37)</f>
        <v>0</v>
      </c>
      <c r="S62" s="112">
        <f>(1-INDEX(Data!$C$9:$C$13, MATCH($A$3, options,0)))*('Option1 (base case)'!S37-S37)</f>
        <v>0</v>
      </c>
      <c r="T62" s="112">
        <f>(1-INDEX(Data!$C$9:$C$13, MATCH($A$3, options,0)))*('Option1 (base case)'!T37-T37)</f>
        <v>0</v>
      </c>
      <c r="U62" s="112">
        <f>(1-INDEX(Data!$C$9:$C$13, MATCH($A$3, options,0)))*('Option1 (base case)'!U37-U37)</f>
        <v>0</v>
      </c>
      <c r="V62" s="112">
        <f>(1-INDEX(Data!$C$9:$C$13, MATCH($A$3, options,0)))*('Option1 (base case)'!V37-V37)</f>
        <v>0</v>
      </c>
      <c r="W62" s="112">
        <f>(1-INDEX(Data!$C$9:$C$13, MATCH($A$3, options,0)))*('Option1 (base case)'!W37-W37)</f>
        <v>0</v>
      </c>
      <c r="X62" s="112">
        <f>(1-INDEX(Data!$C$9:$C$13, MATCH($A$3, options,0)))*('Option1 (base case)'!X37-X37)</f>
        <v>0</v>
      </c>
      <c r="Y62" s="112">
        <f>(1-INDEX(Data!$C$9:$C$13, MATCH($A$3, options,0)))*('Option1 (base case)'!Y37-Y37)</f>
        <v>0</v>
      </c>
      <c r="Z62" s="112">
        <f>(1-INDEX(Data!$C$9:$C$13, MATCH($A$3, options,0)))*('Option1 (base case)'!Z37-Z37)</f>
        <v>0</v>
      </c>
      <c r="AA62" s="112">
        <f>(1-INDEX(Data!$C$9:$C$13, MATCH($A$3, options,0)))*('Option1 (base case)'!AA37-AA37)</f>
        <v>0</v>
      </c>
      <c r="AB62" s="112">
        <f>(1-INDEX(Data!$C$9:$C$13, MATCH($A$3, options,0)))*('Option1 (base case)'!AB37-AB37)</f>
        <v>0</v>
      </c>
      <c r="AC62" s="112">
        <f>(1-INDEX(Data!$C$9:$C$13, MATCH($A$3, options,0)))*('Option1 (base case)'!AC37-AC37)</f>
        <v>0</v>
      </c>
      <c r="AD62" s="112">
        <f>(1-INDEX(Data!$C$9:$C$13, MATCH($A$3, options,0)))*('Option1 (base case)'!AD37-AD37)</f>
        <v>0</v>
      </c>
      <c r="AE62" s="112">
        <f>(1-INDEX(Data!$C$9:$C$13, MATCH($A$3, options,0)))*('Option1 (base case)'!AE37-AE37)</f>
        <v>0</v>
      </c>
      <c r="AF62" s="112">
        <f>(1-INDEX(Data!$C$9:$C$13, MATCH($A$3, options,0)))*('Option1 (base case)'!AF37-AF37)</f>
        <v>0</v>
      </c>
      <c r="AG62" s="112">
        <f>(1-INDEX(Data!$C$9:$C$13, MATCH($A$3, options,0)))*('Option1 (base case)'!AG37-AG37)</f>
        <v>0</v>
      </c>
    </row>
    <row r="63" spans="1:43" x14ac:dyDescent="0.2">
      <c r="G63" s="185"/>
    </row>
    <row r="64" spans="1:43" x14ac:dyDescent="0.2">
      <c r="A64" s="6"/>
      <c r="B64" s="6"/>
      <c r="C64" s="125" t="s">
        <v>14</v>
      </c>
      <c r="D64" s="34"/>
      <c r="F64" s="85"/>
      <c r="G64" s="186"/>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row>
    <row r="65" spans="1:33" x14ac:dyDescent="0.2">
      <c r="A65" s="6"/>
      <c r="B65" s="6"/>
      <c r="C65" s="4" t="str">
        <f>C14</f>
        <v>&lt; Enter description &gt;</v>
      </c>
      <c r="D65" s="34"/>
      <c r="F65" s="85"/>
      <c r="G65" s="183">
        <f>input_dollars</f>
        <v>45291</v>
      </c>
      <c r="H65" s="28"/>
      <c r="I65" s="28">
        <f t="shared" ref="I65:AG65" si="5">-I14</f>
        <v>0</v>
      </c>
      <c r="J65" s="28">
        <f t="shared" si="5"/>
        <v>0</v>
      </c>
      <c r="K65" s="28">
        <f t="shared" si="5"/>
        <v>0</v>
      </c>
      <c r="L65" s="28">
        <f t="shared" si="5"/>
        <v>0</v>
      </c>
      <c r="M65" s="28">
        <f t="shared" si="5"/>
        <v>0</v>
      </c>
      <c r="N65" s="28">
        <f t="shared" si="5"/>
        <v>0</v>
      </c>
      <c r="O65" s="28">
        <f t="shared" si="5"/>
        <v>0</v>
      </c>
      <c r="P65" s="28">
        <f t="shared" si="5"/>
        <v>0</v>
      </c>
      <c r="Q65" s="28">
        <f t="shared" si="5"/>
        <v>0</v>
      </c>
      <c r="R65" s="28">
        <f t="shared" si="5"/>
        <v>0</v>
      </c>
      <c r="S65" s="28">
        <f t="shared" si="5"/>
        <v>0</v>
      </c>
      <c r="T65" s="28">
        <f t="shared" si="5"/>
        <v>0</v>
      </c>
      <c r="U65" s="28">
        <f t="shared" si="5"/>
        <v>0</v>
      </c>
      <c r="V65" s="28">
        <f t="shared" si="5"/>
        <v>0</v>
      </c>
      <c r="W65" s="28">
        <f t="shared" si="5"/>
        <v>0</v>
      </c>
      <c r="X65" s="28">
        <f t="shared" si="5"/>
        <v>0</v>
      </c>
      <c r="Y65" s="28">
        <f t="shared" si="5"/>
        <v>0</v>
      </c>
      <c r="Z65" s="28">
        <f t="shared" si="5"/>
        <v>0</v>
      </c>
      <c r="AA65" s="28">
        <f t="shared" si="5"/>
        <v>0</v>
      </c>
      <c r="AB65" s="28">
        <f t="shared" si="5"/>
        <v>0</v>
      </c>
      <c r="AC65" s="28">
        <f t="shared" si="5"/>
        <v>0</v>
      </c>
      <c r="AD65" s="28">
        <f t="shared" si="5"/>
        <v>0</v>
      </c>
      <c r="AE65" s="28">
        <f t="shared" si="5"/>
        <v>0</v>
      </c>
      <c r="AF65" s="28">
        <f t="shared" si="5"/>
        <v>0</v>
      </c>
      <c r="AG65" s="28">
        <f t="shared" si="5"/>
        <v>0</v>
      </c>
    </row>
    <row r="66" spans="1:33" x14ac:dyDescent="0.2">
      <c r="A66" s="6"/>
      <c r="B66" s="6"/>
      <c r="C66" s="4" t="str">
        <f>C15</f>
        <v>&lt; Enter description &gt;</v>
      </c>
      <c r="D66" s="34"/>
      <c r="F66" s="85"/>
      <c r="G66" s="183">
        <f>input_dollars</f>
        <v>45291</v>
      </c>
      <c r="H66" s="28"/>
      <c r="I66" s="28">
        <f t="shared" ref="I66:AG66" si="6">-I15</f>
        <v>0</v>
      </c>
      <c r="J66" s="28">
        <f t="shared" si="6"/>
        <v>0</v>
      </c>
      <c r="K66" s="28">
        <f t="shared" si="6"/>
        <v>0</v>
      </c>
      <c r="L66" s="28">
        <f t="shared" si="6"/>
        <v>0</v>
      </c>
      <c r="M66" s="28">
        <f t="shared" si="6"/>
        <v>0</v>
      </c>
      <c r="N66" s="28">
        <f t="shared" si="6"/>
        <v>0</v>
      </c>
      <c r="O66" s="28">
        <f t="shared" si="6"/>
        <v>0</v>
      </c>
      <c r="P66" s="28">
        <f t="shared" si="6"/>
        <v>0</v>
      </c>
      <c r="Q66" s="28">
        <f t="shared" si="6"/>
        <v>0</v>
      </c>
      <c r="R66" s="28">
        <f t="shared" si="6"/>
        <v>0</v>
      </c>
      <c r="S66" s="28">
        <f t="shared" si="6"/>
        <v>0</v>
      </c>
      <c r="T66" s="28">
        <f t="shared" si="6"/>
        <v>0</v>
      </c>
      <c r="U66" s="28">
        <f t="shared" si="6"/>
        <v>0</v>
      </c>
      <c r="V66" s="28">
        <f t="shared" si="6"/>
        <v>0</v>
      </c>
      <c r="W66" s="28">
        <f t="shared" si="6"/>
        <v>0</v>
      </c>
      <c r="X66" s="28">
        <f t="shared" si="6"/>
        <v>0</v>
      </c>
      <c r="Y66" s="28">
        <f t="shared" si="6"/>
        <v>0</v>
      </c>
      <c r="Z66" s="28">
        <f t="shared" si="6"/>
        <v>0</v>
      </c>
      <c r="AA66" s="28">
        <f t="shared" si="6"/>
        <v>0</v>
      </c>
      <c r="AB66" s="28">
        <f t="shared" si="6"/>
        <v>0</v>
      </c>
      <c r="AC66" s="28">
        <f t="shared" si="6"/>
        <v>0</v>
      </c>
      <c r="AD66" s="28">
        <f t="shared" si="6"/>
        <v>0</v>
      </c>
      <c r="AE66" s="28">
        <f t="shared" si="6"/>
        <v>0</v>
      </c>
      <c r="AF66" s="28">
        <f t="shared" si="6"/>
        <v>0</v>
      </c>
      <c r="AG66" s="28">
        <f t="shared" si="6"/>
        <v>0</v>
      </c>
    </row>
    <row r="67" spans="1:33" x14ac:dyDescent="0.2">
      <c r="A67" s="6"/>
      <c r="B67" s="6"/>
      <c r="C67" s="4" t="str">
        <f>C16</f>
        <v>&lt; Enter description &gt;</v>
      </c>
      <c r="D67" s="34"/>
      <c r="F67" s="85"/>
      <c r="G67" s="183">
        <f>input_dollars</f>
        <v>45291</v>
      </c>
      <c r="H67" s="28"/>
      <c r="I67" s="28">
        <f t="shared" ref="I67:AG67" si="7">-I16</f>
        <v>0</v>
      </c>
      <c r="J67" s="28">
        <f t="shared" si="7"/>
        <v>0</v>
      </c>
      <c r="K67" s="28">
        <f t="shared" si="7"/>
        <v>0</v>
      </c>
      <c r="L67" s="28">
        <f t="shared" si="7"/>
        <v>0</v>
      </c>
      <c r="M67" s="28">
        <f t="shared" si="7"/>
        <v>0</v>
      </c>
      <c r="N67" s="28">
        <f t="shared" si="7"/>
        <v>0</v>
      </c>
      <c r="O67" s="28">
        <f t="shared" si="7"/>
        <v>0</v>
      </c>
      <c r="P67" s="28">
        <f t="shared" si="7"/>
        <v>0</v>
      </c>
      <c r="Q67" s="28">
        <f t="shared" si="7"/>
        <v>0</v>
      </c>
      <c r="R67" s="28">
        <f t="shared" si="7"/>
        <v>0</v>
      </c>
      <c r="S67" s="28">
        <f t="shared" si="7"/>
        <v>0</v>
      </c>
      <c r="T67" s="28">
        <f t="shared" si="7"/>
        <v>0</v>
      </c>
      <c r="U67" s="28">
        <f t="shared" si="7"/>
        <v>0</v>
      </c>
      <c r="V67" s="28">
        <f t="shared" si="7"/>
        <v>0</v>
      </c>
      <c r="W67" s="28">
        <f t="shared" si="7"/>
        <v>0</v>
      </c>
      <c r="X67" s="28">
        <f t="shared" si="7"/>
        <v>0</v>
      </c>
      <c r="Y67" s="28">
        <f t="shared" si="7"/>
        <v>0</v>
      </c>
      <c r="Z67" s="28">
        <f t="shared" si="7"/>
        <v>0</v>
      </c>
      <c r="AA67" s="28">
        <f t="shared" si="7"/>
        <v>0</v>
      </c>
      <c r="AB67" s="28">
        <f t="shared" si="7"/>
        <v>0</v>
      </c>
      <c r="AC67" s="28">
        <f t="shared" si="7"/>
        <v>0</v>
      </c>
      <c r="AD67" s="28">
        <f t="shared" si="7"/>
        <v>0</v>
      </c>
      <c r="AE67" s="28">
        <f t="shared" si="7"/>
        <v>0</v>
      </c>
      <c r="AF67" s="28">
        <f t="shared" si="7"/>
        <v>0</v>
      </c>
      <c r="AG67" s="28">
        <f t="shared" si="7"/>
        <v>0</v>
      </c>
    </row>
    <row r="68" spans="1:33" x14ac:dyDescent="0.2">
      <c r="A68" s="6"/>
      <c r="B68" s="6"/>
      <c r="C68" s="4"/>
      <c r="D68" s="34"/>
      <c r="F68" s="85"/>
      <c r="G68" s="187"/>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row>
    <row r="69" spans="1:33" x14ac:dyDescent="0.2">
      <c r="A69" s="6"/>
      <c r="B69" s="6"/>
      <c r="C69" s="125" t="s">
        <v>130</v>
      </c>
      <c r="D69" s="34"/>
      <c r="F69" s="85"/>
      <c r="G69" s="186"/>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x14ac:dyDescent="0.2">
      <c r="A70" s="6"/>
      <c r="B70" s="6"/>
      <c r="C70" s="4" t="str">
        <f>C14</f>
        <v>&lt; Enter description &gt;</v>
      </c>
      <c r="D70" s="34"/>
      <c r="F70" s="85"/>
      <c r="G70" s="183">
        <f>input_dollars</f>
        <v>45291</v>
      </c>
      <c r="H70" s="28"/>
      <c r="I70" s="28" cm="1">
        <f t="array" ref="I70">SUMPRODUCT(($I65:I65))-SUMPRODUCT(($I65:I65)*($I$6:I$6&lt;=(I$6-$E14)))</f>
        <v>0</v>
      </c>
      <c r="J70" s="28" cm="1">
        <f t="array" ref="J70">SUMPRODUCT(($I65:J65))-SUMPRODUCT(($I65:J65)*($I$6:J$6&lt;=(J$6-$E14)))</f>
        <v>0</v>
      </c>
      <c r="K70" s="28" cm="1">
        <f t="array" ref="K70">SUMPRODUCT(($I65:K65))-SUMPRODUCT(($I65:K65)*($I$6:K$6&lt;=(K$6-$E14)))</f>
        <v>0</v>
      </c>
      <c r="L70" s="28" cm="1">
        <f t="array" ref="L70">SUMPRODUCT(($I65:L65))-SUMPRODUCT(($I65:L65)*($I$6:L$6&lt;=(L$6-$E14)))</f>
        <v>0</v>
      </c>
      <c r="M70" s="28" cm="1">
        <f t="array" ref="M70">SUMPRODUCT(($I65:M65))-SUMPRODUCT(($I65:M65)*($I$6:M$6&lt;=(M$6-$E14)))</f>
        <v>0</v>
      </c>
      <c r="N70" s="28" cm="1">
        <f t="array" ref="N70">SUMPRODUCT(($I65:N65))-SUMPRODUCT(($I65:N65)*($I$6:N$6&lt;=(N$6-$E14)))</f>
        <v>0</v>
      </c>
      <c r="O70" s="28" cm="1">
        <f t="array" ref="O70">SUMPRODUCT(($I65:O65))-SUMPRODUCT(($I65:O65)*($I$6:O$6&lt;=(O$6-$E14)))</f>
        <v>0</v>
      </c>
      <c r="P70" s="28" cm="1">
        <f t="array" ref="P70">SUMPRODUCT(($I65:P65))-SUMPRODUCT(($I65:P65)*($I$6:P$6&lt;=(P$6-$E14)))</f>
        <v>0</v>
      </c>
      <c r="Q70" s="28" cm="1">
        <f t="array" ref="Q70">SUMPRODUCT(($I65:Q65))-SUMPRODUCT(($I65:Q65)*($I$6:Q$6&lt;=(Q$6-$E14)))</f>
        <v>0</v>
      </c>
      <c r="R70" s="28" cm="1">
        <f t="array" ref="R70">SUMPRODUCT(($I65:R65))-SUMPRODUCT(($I65:R65)*($I$6:R$6&lt;=(R$6-$E14)))</f>
        <v>0</v>
      </c>
      <c r="S70" s="28" cm="1">
        <f t="array" ref="S70">SUMPRODUCT(($I65:S65))-SUMPRODUCT(($I65:S65)*($I$6:S$6&lt;=(S$6-$E14)))</f>
        <v>0</v>
      </c>
      <c r="T70" s="28" cm="1">
        <f t="array" ref="T70">SUMPRODUCT(($I65:T65))-SUMPRODUCT(($I65:T65)*($I$6:T$6&lt;=(T$6-$E14)))</f>
        <v>0</v>
      </c>
      <c r="U70" s="28" cm="1">
        <f t="array" ref="U70">SUMPRODUCT(($I65:U65))-SUMPRODUCT(($I65:U65)*($I$6:U$6&lt;=(U$6-$E14)))</f>
        <v>0</v>
      </c>
      <c r="V70" s="28" cm="1">
        <f t="array" ref="V70">SUMPRODUCT(($I65:V65))-SUMPRODUCT(($I65:V65)*($I$6:V$6&lt;=(V$6-$E14)))</f>
        <v>0</v>
      </c>
      <c r="W70" s="28" cm="1">
        <f t="array" ref="W70">SUMPRODUCT(($I65:W65))-SUMPRODUCT(($I65:W65)*($I$6:W$6&lt;=(W$6-$E14)))</f>
        <v>0</v>
      </c>
      <c r="X70" s="28" cm="1">
        <f t="array" ref="X70">SUMPRODUCT(($I65:X65))-SUMPRODUCT(($I65:X65)*($I$6:X$6&lt;=(X$6-$E14)))</f>
        <v>0</v>
      </c>
      <c r="Y70" s="28" cm="1">
        <f t="array" ref="Y70">SUMPRODUCT(($I65:Y65))-SUMPRODUCT(($I65:Y65)*($I$6:Y$6&lt;=(Y$6-$E14)))</f>
        <v>0</v>
      </c>
      <c r="Z70" s="28" cm="1">
        <f t="array" ref="Z70">SUMPRODUCT(($I65:Z65))-SUMPRODUCT(($I65:Z65)*($I$6:Z$6&lt;=(Z$6-$E14)))</f>
        <v>0</v>
      </c>
      <c r="AA70" s="28" cm="1">
        <f t="array" ref="AA70">SUMPRODUCT(($I65:AA65))-SUMPRODUCT(($I65:AA65)*($I$6:AA$6&lt;=(AA$6-$E14)))</f>
        <v>0</v>
      </c>
      <c r="AB70" s="28" cm="1">
        <f t="array" ref="AB70">SUMPRODUCT(($I65:AB65))-SUMPRODUCT(($I65:AB65)*($I$6:AB$6&lt;=(AB$6-$E14)))</f>
        <v>0</v>
      </c>
      <c r="AC70" s="28" cm="1">
        <f t="array" ref="AC70">SUMPRODUCT(($I65:AC65))-SUMPRODUCT(($I65:AC65)*($I$6:AC$6&lt;=(AC$6-$E14)))</f>
        <v>0</v>
      </c>
      <c r="AD70" s="28" cm="1">
        <f t="array" ref="AD70">SUMPRODUCT(($I65:AD65))-SUMPRODUCT(($I65:AD65)*($I$6:AD$6&lt;=(AD$6-$E14)))</f>
        <v>0</v>
      </c>
      <c r="AE70" s="28" cm="1">
        <f t="array" ref="AE70">SUMPRODUCT(($I65:AE65))-SUMPRODUCT(($I65:AE65)*($I$6:AE$6&lt;=(AE$6-$E14)))</f>
        <v>0</v>
      </c>
      <c r="AF70" s="28" cm="1">
        <f t="array" ref="AF70">SUMPRODUCT(($I65:AF65))-SUMPRODUCT(($I65:AF65)*($I$6:AF$6&lt;=(AF$6-$E14)))</f>
        <v>0</v>
      </c>
      <c r="AG70" s="28" cm="1">
        <f t="array" ref="AG70">SUMPRODUCT(($I65:AG65))-SUMPRODUCT(($I65:AG65)*($I$6:AG$6&lt;=(AG$6-$E14)))</f>
        <v>0</v>
      </c>
    </row>
    <row r="71" spans="1:33" x14ac:dyDescent="0.2">
      <c r="A71" s="6"/>
      <c r="B71" s="6"/>
      <c r="C71" s="4" t="str">
        <f>C15</f>
        <v>&lt; Enter description &gt;</v>
      </c>
      <c r="D71" s="34"/>
      <c r="F71" s="85"/>
      <c r="G71" s="183">
        <f>input_dollars</f>
        <v>45291</v>
      </c>
      <c r="H71" s="28"/>
      <c r="I71" s="28" cm="1">
        <f t="array" ref="I71">SUMPRODUCT(($I66:I66))-SUMPRODUCT(($I66:I66)*($I$6:I$6&lt;=(I$6-$E15)))</f>
        <v>0</v>
      </c>
      <c r="J71" s="28" cm="1">
        <f t="array" ref="J71">SUMPRODUCT(($I66:J66))-SUMPRODUCT(($I66:J66)*($I$6:J$6&lt;=(J$6-$E15)))</f>
        <v>0</v>
      </c>
      <c r="K71" s="28" cm="1">
        <f t="array" ref="K71">SUMPRODUCT(($I66:K66))-SUMPRODUCT(($I66:K66)*($I$6:K$6&lt;=(K$6-$E15)))</f>
        <v>0</v>
      </c>
      <c r="L71" s="28" cm="1">
        <f t="array" ref="L71">SUMPRODUCT(($I66:L66))-SUMPRODUCT(($I66:L66)*($I$6:L$6&lt;=(L$6-$E15)))</f>
        <v>0</v>
      </c>
      <c r="M71" s="28" cm="1">
        <f t="array" ref="M71">SUMPRODUCT(($I66:M66))-SUMPRODUCT(($I66:M66)*($I$6:M$6&lt;=(M$6-$E15)))</f>
        <v>0</v>
      </c>
      <c r="N71" s="28" cm="1">
        <f t="array" ref="N71">SUMPRODUCT(($I66:N66))-SUMPRODUCT(($I66:N66)*($I$6:N$6&lt;=(N$6-$E15)))</f>
        <v>0</v>
      </c>
      <c r="O71" s="28" cm="1">
        <f t="array" ref="O71">SUMPRODUCT(($I66:O66))-SUMPRODUCT(($I66:O66)*($I$6:O$6&lt;=(O$6-$E15)))</f>
        <v>0</v>
      </c>
      <c r="P71" s="28" cm="1">
        <f t="array" ref="P71">SUMPRODUCT(($I66:P66))-SUMPRODUCT(($I66:P66)*($I$6:P$6&lt;=(P$6-$E15)))</f>
        <v>0</v>
      </c>
      <c r="Q71" s="28" cm="1">
        <f t="array" ref="Q71">SUMPRODUCT(($I66:Q66))-SUMPRODUCT(($I66:Q66)*($I$6:Q$6&lt;=(Q$6-$E15)))</f>
        <v>0</v>
      </c>
      <c r="R71" s="28" cm="1">
        <f t="array" ref="R71">SUMPRODUCT(($I66:R66))-SUMPRODUCT(($I66:R66)*($I$6:R$6&lt;=(R$6-$E15)))</f>
        <v>0</v>
      </c>
      <c r="S71" s="28" cm="1">
        <f t="array" ref="S71">SUMPRODUCT(($I66:S66))-SUMPRODUCT(($I66:S66)*($I$6:S$6&lt;=(S$6-$E15)))</f>
        <v>0</v>
      </c>
      <c r="T71" s="28" cm="1">
        <f t="array" ref="T71">SUMPRODUCT(($I66:T66))-SUMPRODUCT(($I66:T66)*($I$6:T$6&lt;=(T$6-$E15)))</f>
        <v>0</v>
      </c>
      <c r="U71" s="28" cm="1">
        <f t="array" ref="U71">SUMPRODUCT(($I66:U66))-SUMPRODUCT(($I66:U66)*($I$6:U$6&lt;=(U$6-$E15)))</f>
        <v>0</v>
      </c>
      <c r="V71" s="28" cm="1">
        <f t="array" ref="V71">SUMPRODUCT(($I66:V66))-SUMPRODUCT(($I66:V66)*($I$6:V$6&lt;=(V$6-$E15)))</f>
        <v>0</v>
      </c>
      <c r="W71" s="28" cm="1">
        <f t="array" ref="W71">SUMPRODUCT(($I66:W66))-SUMPRODUCT(($I66:W66)*($I$6:W$6&lt;=(W$6-$E15)))</f>
        <v>0</v>
      </c>
      <c r="X71" s="28" cm="1">
        <f t="array" ref="X71">SUMPRODUCT(($I66:X66))-SUMPRODUCT(($I66:X66)*($I$6:X$6&lt;=(X$6-$E15)))</f>
        <v>0</v>
      </c>
      <c r="Y71" s="28" cm="1">
        <f t="array" ref="Y71">SUMPRODUCT(($I66:Y66))-SUMPRODUCT(($I66:Y66)*($I$6:Y$6&lt;=(Y$6-$E15)))</f>
        <v>0</v>
      </c>
      <c r="Z71" s="28" cm="1">
        <f t="array" ref="Z71">SUMPRODUCT(($I66:Z66))-SUMPRODUCT(($I66:Z66)*($I$6:Z$6&lt;=(Z$6-$E15)))</f>
        <v>0</v>
      </c>
      <c r="AA71" s="28" cm="1">
        <f t="array" ref="AA71">SUMPRODUCT(($I66:AA66))-SUMPRODUCT(($I66:AA66)*($I$6:AA$6&lt;=(AA$6-$E15)))</f>
        <v>0</v>
      </c>
      <c r="AB71" s="28" cm="1">
        <f t="array" ref="AB71">SUMPRODUCT(($I66:AB66))-SUMPRODUCT(($I66:AB66)*($I$6:AB$6&lt;=(AB$6-$E15)))</f>
        <v>0</v>
      </c>
      <c r="AC71" s="28" cm="1">
        <f t="array" ref="AC71">SUMPRODUCT(($I66:AC66))-SUMPRODUCT(($I66:AC66)*($I$6:AC$6&lt;=(AC$6-$E15)))</f>
        <v>0</v>
      </c>
      <c r="AD71" s="28" cm="1">
        <f t="array" ref="AD71">SUMPRODUCT(($I66:AD66))-SUMPRODUCT(($I66:AD66)*($I$6:AD$6&lt;=(AD$6-$E15)))</f>
        <v>0</v>
      </c>
      <c r="AE71" s="28" cm="1">
        <f t="array" ref="AE71">SUMPRODUCT(($I66:AE66))-SUMPRODUCT(($I66:AE66)*($I$6:AE$6&lt;=(AE$6-$E15)))</f>
        <v>0</v>
      </c>
      <c r="AF71" s="28" cm="1">
        <f t="array" ref="AF71">SUMPRODUCT(($I66:AF66))-SUMPRODUCT(($I66:AF66)*($I$6:AF$6&lt;=(AF$6-$E15)))</f>
        <v>0</v>
      </c>
      <c r="AG71" s="28" cm="1">
        <f t="array" ref="AG71">SUMPRODUCT(($I66:AG66))-SUMPRODUCT(($I66:AG66)*($I$6:AG$6&lt;=(AG$6-$E15)))</f>
        <v>0</v>
      </c>
    </row>
    <row r="72" spans="1:33" x14ac:dyDescent="0.2">
      <c r="A72" s="6"/>
      <c r="B72" s="6"/>
      <c r="C72" s="4" t="str">
        <f>C16</f>
        <v>&lt; Enter description &gt;</v>
      </c>
      <c r="D72" s="34"/>
      <c r="F72" s="85"/>
      <c r="G72" s="183">
        <f>input_dollars</f>
        <v>45291</v>
      </c>
      <c r="H72" s="28"/>
      <c r="I72" s="28" cm="1">
        <f t="array" ref="I72">SUMPRODUCT(($I67:I67))-SUMPRODUCT(($I67:I67)*($I$6:I$6&lt;=(I$6-$E16)))</f>
        <v>0</v>
      </c>
      <c r="J72" s="28" cm="1">
        <f t="array" ref="J72">SUMPRODUCT(($I67:J67))-SUMPRODUCT(($I67:J67)*($I$6:J$6&lt;=(J$6-$E16)))</f>
        <v>0</v>
      </c>
      <c r="K72" s="28" cm="1">
        <f t="array" ref="K72">SUMPRODUCT(($I67:K67))-SUMPRODUCT(($I67:K67)*($I$6:K$6&lt;=(K$6-$E16)))</f>
        <v>0</v>
      </c>
      <c r="L72" s="28" cm="1">
        <f t="array" ref="L72">SUMPRODUCT(($I67:L67))-SUMPRODUCT(($I67:L67)*($I$6:L$6&lt;=(L$6-$E16)))</f>
        <v>0</v>
      </c>
      <c r="M72" s="28" cm="1">
        <f t="array" ref="M72">SUMPRODUCT(($I67:M67))-SUMPRODUCT(($I67:M67)*($I$6:M$6&lt;=(M$6-$E16)))</f>
        <v>0</v>
      </c>
      <c r="N72" s="28" cm="1">
        <f t="array" ref="N72">SUMPRODUCT(($I67:N67))-SUMPRODUCT(($I67:N67)*($I$6:N$6&lt;=(N$6-$E16)))</f>
        <v>0</v>
      </c>
      <c r="O72" s="28" cm="1">
        <f t="array" ref="O72">SUMPRODUCT(($I67:O67))-SUMPRODUCT(($I67:O67)*($I$6:O$6&lt;=(O$6-$E16)))</f>
        <v>0</v>
      </c>
      <c r="P72" s="28" cm="1">
        <f t="array" ref="P72">SUMPRODUCT(($I67:P67))-SUMPRODUCT(($I67:P67)*($I$6:P$6&lt;=(P$6-$E16)))</f>
        <v>0</v>
      </c>
      <c r="Q72" s="28" cm="1">
        <f t="array" ref="Q72">SUMPRODUCT(($I67:Q67))-SUMPRODUCT(($I67:Q67)*($I$6:Q$6&lt;=(Q$6-$E16)))</f>
        <v>0</v>
      </c>
      <c r="R72" s="28" cm="1">
        <f t="array" ref="R72">SUMPRODUCT(($I67:R67))-SUMPRODUCT(($I67:R67)*($I$6:R$6&lt;=(R$6-$E16)))</f>
        <v>0</v>
      </c>
      <c r="S72" s="28" cm="1">
        <f t="array" ref="S72">SUMPRODUCT(($I67:S67))-SUMPRODUCT(($I67:S67)*($I$6:S$6&lt;=(S$6-$E16)))</f>
        <v>0</v>
      </c>
      <c r="T72" s="28" cm="1">
        <f t="array" ref="T72">SUMPRODUCT(($I67:T67))-SUMPRODUCT(($I67:T67)*($I$6:T$6&lt;=(T$6-$E16)))</f>
        <v>0</v>
      </c>
      <c r="U72" s="28" cm="1">
        <f t="array" ref="U72">SUMPRODUCT(($I67:U67))-SUMPRODUCT(($I67:U67)*($I$6:U$6&lt;=(U$6-$E16)))</f>
        <v>0</v>
      </c>
      <c r="V72" s="28" cm="1">
        <f t="array" ref="V72">SUMPRODUCT(($I67:V67))-SUMPRODUCT(($I67:V67)*($I$6:V$6&lt;=(V$6-$E16)))</f>
        <v>0</v>
      </c>
      <c r="W72" s="28" cm="1">
        <f t="array" ref="W72">SUMPRODUCT(($I67:W67))-SUMPRODUCT(($I67:W67)*($I$6:W$6&lt;=(W$6-$E16)))</f>
        <v>0</v>
      </c>
      <c r="X72" s="28" cm="1">
        <f t="array" ref="X72">SUMPRODUCT(($I67:X67))-SUMPRODUCT(($I67:X67)*($I$6:X$6&lt;=(X$6-$E16)))</f>
        <v>0</v>
      </c>
      <c r="Y72" s="28" cm="1">
        <f t="array" ref="Y72">SUMPRODUCT(($I67:Y67))-SUMPRODUCT(($I67:Y67)*($I$6:Y$6&lt;=(Y$6-$E16)))</f>
        <v>0</v>
      </c>
      <c r="Z72" s="28" cm="1">
        <f t="array" ref="Z72">SUMPRODUCT(($I67:Z67))-SUMPRODUCT(($I67:Z67)*($I$6:Z$6&lt;=(Z$6-$E16)))</f>
        <v>0</v>
      </c>
      <c r="AA72" s="28" cm="1">
        <f t="array" ref="AA72">SUMPRODUCT(($I67:AA67))-SUMPRODUCT(($I67:AA67)*($I$6:AA$6&lt;=(AA$6-$E16)))</f>
        <v>0</v>
      </c>
      <c r="AB72" s="28" cm="1">
        <f t="array" ref="AB72">SUMPRODUCT(($I67:AB67))-SUMPRODUCT(($I67:AB67)*($I$6:AB$6&lt;=(AB$6-$E16)))</f>
        <v>0</v>
      </c>
      <c r="AC72" s="28" cm="1">
        <f t="array" ref="AC72">SUMPRODUCT(($I67:AC67))-SUMPRODUCT(($I67:AC67)*($I$6:AC$6&lt;=(AC$6-$E16)))</f>
        <v>0</v>
      </c>
      <c r="AD72" s="28" cm="1">
        <f t="array" ref="AD72">SUMPRODUCT(($I67:AD67))-SUMPRODUCT(($I67:AD67)*($I$6:AD$6&lt;=(AD$6-$E16)))</f>
        <v>0</v>
      </c>
      <c r="AE72" s="28" cm="1">
        <f t="array" ref="AE72">SUMPRODUCT(($I67:AE67))-SUMPRODUCT(($I67:AE67)*($I$6:AE$6&lt;=(AE$6-$E16)))</f>
        <v>0</v>
      </c>
      <c r="AF72" s="28" cm="1">
        <f t="array" ref="AF72">SUMPRODUCT(($I67:AF67))-SUMPRODUCT(($I67:AF67)*($I$6:AF$6&lt;=(AF$6-$E16)))</f>
        <v>0</v>
      </c>
      <c r="AG72" s="28" cm="1">
        <f t="array" ref="AG72">SUMPRODUCT(($I67:AG67))-SUMPRODUCT(($I67:AG67)*($I$6:AG$6&lt;=(AG$6-$E16)))</f>
        <v>0</v>
      </c>
    </row>
    <row r="73" spans="1:33" x14ac:dyDescent="0.2">
      <c r="A73" s="6"/>
      <c r="B73" s="6"/>
      <c r="C73" s="4"/>
      <c r="D73" s="34"/>
      <c r="F73" s="85"/>
      <c r="G73" s="187"/>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row>
    <row r="74" spans="1:33" x14ac:dyDescent="0.2">
      <c r="A74" s="6"/>
      <c r="B74" s="6"/>
      <c r="C74" s="125" t="s">
        <v>131</v>
      </c>
      <c r="D74" s="34"/>
      <c r="F74" s="85"/>
      <c r="G74" s="186"/>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row>
    <row r="75" spans="1:33" x14ac:dyDescent="0.2">
      <c r="A75" s="6"/>
      <c r="B75" s="6"/>
      <c r="C75" s="4" t="str">
        <f>$C$74&amp;" - "&amp;C14</f>
        <v>Annualised capex - &lt; Enter description &gt;</v>
      </c>
      <c r="D75" s="34"/>
      <c r="F75" s="85"/>
      <c r="G75" s="183">
        <f>input_dollars</f>
        <v>45291</v>
      </c>
      <c r="H75" s="28"/>
      <c r="I75" s="28">
        <f t="shared" ref="I75:AG75" si="8">IF($E14=0,0,-PMT(real_disc, $E14,H70,))</f>
        <v>0</v>
      </c>
      <c r="J75" s="28">
        <f t="shared" si="8"/>
        <v>0</v>
      </c>
      <c r="K75" s="28">
        <f t="shared" si="8"/>
        <v>0</v>
      </c>
      <c r="L75" s="28">
        <f t="shared" si="8"/>
        <v>0</v>
      </c>
      <c r="M75" s="28">
        <f t="shared" si="8"/>
        <v>0</v>
      </c>
      <c r="N75" s="28">
        <f t="shared" si="8"/>
        <v>0</v>
      </c>
      <c r="O75" s="28">
        <f t="shared" si="8"/>
        <v>0</v>
      </c>
      <c r="P75" s="28">
        <f t="shared" si="8"/>
        <v>0</v>
      </c>
      <c r="Q75" s="28">
        <f t="shared" si="8"/>
        <v>0</v>
      </c>
      <c r="R75" s="28">
        <f t="shared" si="8"/>
        <v>0</v>
      </c>
      <c r="S75" s="28">
        <f t="shared" si="8"/>
        <v>0</v>
      </c>
      <c r="T75" s="28">
        <f t="shared" si="8"/>
        <v>0</v>
      </c>
      <c r="U75" s="28">
        <f t="shared" si="8"/>
        <v>0</v>
      </c>
      <c r="V75" s="28">
        <f t="shared" si="8"/>
        <v>0</v>
      </c>
      <c r="W75" s="28">
        <f t="shared" si="8"/>
        <v>0</v>
      </c>
      <c r="X75" s="28">
        <f t="shared" si="8"/>
        <v>0</v>
      </c>
      <c r="Y75" s="28">
        <f t="shared" si="8"/>
        <v>0</v>
      </c>
      <c r="Z75" s="28">
        <f t="shared" si="8"/>
        <v>0</v>
      </c>
      <c r="AA75" s="28">
        <f t="shared" si="8"/>
        <v>0</v>
      </c>
      <c r="AB75" s="28">
        <f t="shared" si="8"/>
        <v>0</v>
      </c>
      <c r="AC75" s="28">
        <f t="shared" si="8"/>
        <v>0</v>
      </c>
      <c r="AD75" s="28">
        <f t="shared" si="8"/>
        <v>0</v>
      </c>
      <c r="AE75" s="28">
        <f t="shared" si="8"/>
        <v>0</v>
      </c>
      <c r="AF75" s="28">
        <f t="shared" si="8"/>
        <v>0</v>
      </c>
      <c r="AG75" s="28">
        <f t="shared" si="8"/>
        <v>0</v>
      </c>
    </row>
    <row r="76" spans="1:33" x14ac:dyDescent="0.2">
      <c r="A76" s="6"/>
      <c r="B76" s="6"/>
      <c r="C76" s="4" t="str">
        <f>$C$74&amp;" - "&amp;C15</f>
        <v>Annualised capex - &lt; Enter description &gt;</v>
      </c>
      <c r="D76" s="34"/>
      <c r="F76" s="85"/>
      <c r="G76" s="183">
        <f>input_dollars</f>
        <v>45291</v>
      </c>
      <c r="H76" s="28"/>
      <c r="I76" s="28">
        <f t="shared" ref="I76:AG76" si="9">IF($E15=0,0,-PMT(real_disc, $E15,H71,))</f>
        <v>0</v>
      </c>
      <c r="J76" s="28">
        <f t="shared" si="9"/>
        <v>0</v>
      </c>
      <c r="K76" s="28">
        <f t="shared" si="9"/>
        <v>0</v>
      </c>
      <c r="L76" s="28">
        <f t="shared" si="9"/>
        <v>0</v>
      </c>
      <c r="M76" s="28">
        <f t="shared" si="9"/>
        <v>0</v>
      </c>
      <c r="N76" s="28">
        <f t="shared" si="9"/>
        <v>0</v>
      </c>
      <c r="O76" s="28">
        <f t="shared" si="9"/>
        <v>0</v>
      </c>
      <c r="P76" s="28">
        <f t="shared" si="9"/>
        <v>0</v>
      </c>
      <c r="Q76" s="28">
        <f t="shared" si="9"/>
        <v>0</v>
      </c>
      <c r="R76" s="28">
        <f t="shared" si="9"/>
        <v>0</v>
      </c>
      <c r="S76" s="28">
        <f t="shared" si="9"/>
        <v>0</v>
      </c>
      <c r="T76" s="28">
        <f t="shared" si="9"/>
        <v>0</v>
      </c>
      <c r="U76" s="28">
        <f t="shared" si="9"/>
        <v>0</v>
      </c>
      <c r="V76" s="28">
        <f t="shared" si="9"/>
        <v>0</v>
      </c>
      <c r="W76" s="28">
        <f t="shared" si="9"/>
        <v>0</v>
      </c>
      <c r="X76" s="28">
        <f t="shared" si="9"/>
        <v>0</v>
      </c>
      <c r="Y76" s="28">
        <f t="shared" si="9"/>
        <v>0</v>
      </c>
      <c r="Z76" s="28">
        <f t="shared" si="9"/>
        <v>0</v>
      </c>
      <c r="AA76" s="28">
        <f t="shared" si="9"/>
        <v>0</v>
      </c>
      <c r="AB76" s="28">
        <f t="shared" si="9"/>
        <v>0</v>
      </c>
      <c r="AC76" s="28">
        <f t="shared" si="9"/>
        <v>0</v>
      </c>
      <c r="AD76" s="28">
        <f t="shared" si="9"/>
        <v>0</v>
      </c>
      <c r="AE76" s="28">
        <f t="shared" si="9"/>
        <v>0</v>
      </c>
      <c r="AF76" s="28">
        <f t="shared" si="9"/>
        <v>0</v>
      </c>
      <c r="AG76" s="28">
        <f t="shared" si="9"/>
        <v>0</v>
      </c>
    </row>
    <row r="77" spans="1:33" x14ac:dyDescent="0.2">
      <c r="A77" s="6"/>
      <c r="B77" s="6"/>
      <c r="C77" s="4" t="str">
        <f>$C$74&amp;" - "&amp;C16</f>
        <v>Annualised capex - &lt; Enter description &gt;</v>
      </c>
      <c r="D77" s="34"/>
      <c r="F77" s="85"/>
      <c r="G77" s="183">
        <f>input_dollars</f>
        <v>45291</v>
      </c>
      <c r="H77" s="28"/>
      <c r="I77" s="28">
        <f t="shared" ref="I77:AG77" si="10">IF($E16=0,0,-PMT(real_disc, $E16,H72,))</f>
        <v>0</v>
      </c>
      <c r="J77" s="28">
        <f t="shared" si="10"/>
        <v>0</v>
      </c>
      <c r="K77" s="28">
        <f t="shared" si="10"/>
        <v>0</v>
      </c>
      <c r="L77" s="28">
        <f t="shared" si="10"/>
        <v>0</v>
      </c>
      <c r="M77" s="28">
        <f t="shared" si="10"/>
        <v>0</v>
      </c>
      <c r="N77" s="28">
        <f t="shared" si="10"/>
        <v>0</v>
      </c>
      <c r="O77" s="28">
        <f t="shared" si="10"/>
        <v>0</v>
      </c>
      <c r="P77" s="28">
        <f t="shared" si="10"/>
        <v>0</v>
      </c>
      <c r="Q77" s="28">
        <f t="shared" si="10"/>
        <v>0</v>
      </c>
      <c r="R77" s="28">
        <f t="shared" si="10"/>
        <v>0</v>
      </c>
      <c r="S77" s="28">
        <f t="shared" si="10"/>
        <v>0</v>
      </c>
      <c r="T77" s="28">
        <f t="shared" si="10"/>
        <v>0</v>
      </c>
      <c r="U77" s="28">
        <f t="shared" si="10"/>
        <v>0</v>
      </c>
      <c r="V77" s="28">
        <f t="shared" si="10"/>
        <v>0</v>
      </c>
      <c r="W77" s="28">
        <f t="shared" si="10"/>
        <v>0</v>
      </c>
      <c r="X77" s="28">
        <f t="shared" si="10"/>
        <v>0</v>
      </c>
      <c r="Y77" s="28">
        <f t="shared" si="10"/>
        <v>0</v>
      </c>
      <c r="Z77" s="28">
        <f t="shared" si="10"/>
        <v>0</v>
      </c>
      <c r="AA77" s="28">
        <f t="shared" si="10"/>
        <v>0</v>
      </c>
      <c r="AB77" s="28">
        <f t="shared" si="10"/>
        <v>0</v>
      </c>
      <c r="AC77" s="28">
        <f t="shared" si="10"/>
        <v>0</v>
      </c>
      <c r="AD77" s="28">
        <f t="shared" si="10"/>
        <v>0</v>
      </c>
      <c r="AE77" s="28">
        <f t="shared" si="10"/>
        <v>0</v>
      </c>
      <c r="AF77" s="28">
        <f t="shared" si="10"/>
        <v>0</v>
      </c>
      <c r="AG77" s="28">
        <f t="shared" si="10"/>
        <v>0</v>
      </c>
    </row>
    <row r="78" spans="1:33" x14ac:dyDescent="0.2">
      <c r="A78" s="6"/>
      <c r="B78" s="6"/>
      <c r="C78" s="148" t="s">
        <v>132</v>
      </c>
      <c r="D78" s="148"/>
      <c r="E78" s="149"/>
      <c r="F78" s="150"/>
      <c r="G78" s="188">
        <f>input_dollars</f>
        <v>45291</v>
      </c>
      <c r="H78" s="151"/>
      <c r="I78" s="151">
        <f>SUM(I75:I77)</f>
        <v>0</v>
      </c>
      <c r="J78" s="151">
        <f t="shared" ref="J78:AB78" si="11">SUM(J75:J77)</f>
        <v>0</v>
      </c>
      <c r="K78" s="151">
        <f t="shared" si="11"/>
        <v>0</v>
      </c>
      <c r="L78" s="151">
        <f t="shared" si="11"/>
        <v>0</v>
      </c>
      <c r="M78" s="151">
        <f t="shared" si="11"/>
        <v>0</v>
      </c>
      <c r="N78" s="151">
        <f t="shared" si="11"/>
        <v>0</v>
      </c>
      <c r="O78" s="151">
        <f t="shared" si="11"/>
        <v>0</v>
      </c>
      <c r="P78" s="151">
        <f t="shared" si="11"/>
        <v>0</v>
      </c>
      <c r="Q78" s="151">
        <f t="shared" si="11"/>
        <v>0</v>
      </c>
      <c r="R78" s="151">
        <f t="shared" si="11"/>
        <v>0</v>
      </c>
      <c r="S78" s="151">
        <f t="shared" si="11"/>
        <v>0</v>
      </c>
      <c r="T78" s="151">
        <f t="shared" si="11"/>
        <v>0</v>
      </c>
      <c r="U78" s="151">
        <f t="shared" si="11"/>
        <v>0</v>
      </c>
      <c r="V78" s="151">
        <f t="shared" si="11"/>
        <v>0</v>
      </c>
      <c r="W78" s="151">
        <f t="shared" si="11"/>
        <v>0</v>
      </c>
      <c r="X78" s="151">
        <f t="shared" si="11"/>
        <v>0</v>
      </c>
      <c r="Y78" s="151">
        <f t="shared" si="11"/>
        <v>0</v>
      </c>
      <c r="Z78" s="151">
        <f t="shared" si="11"/>
        <v>0</v>
      </c>
      <c r="AA78" s="151">
        <f t="shared" si="11"/>
        <v>0</v>
      </c>
      <c r="AB78" s="151">
        <f t="shared" si="11"/>
        <v>0</v>
      </c>
      <c r="AC78" s="151">
        <f>SUM(AC75:AC77)</f>
        <v>0</v>
      </c>
      <c r="AD78" s="151">
        <f>SUM(AD75:AD77)</f>
        <v>0</v>
      </c>
      <c r="AE78" s="151">
        <f>SUM(AE75:AE77)</f>
        <v>0</v>
      </c>
      <c r="AF78" s="151">
        <f>SUM(AF75:AF77)</f>
        <v>0</v>
      </c>
      <c r="AG78" s="151">
        <f>SUM(AG75:AG77)</f>
        <v>0</v>
      </c>
    </row>
    <row r="79" spans="1:33" x14ac:dyDescent="0.2">
      <c r="A79" s="6"/>
      <c r="B79" s="6"/>
      <c r="C79" s="12"/>
      <c r="D79" s="34"/>
      <c r="F79"/>
      <c r="G79" s="189"/>
      <c r="H79"/>
      <c r="I79"/>
      <c r="J79"/>
      <c r="K79"/>
      <c r="L79"/>
      <c r="M79"/>
      <c r="N79"/>
      <c r="O79"/>
      <c r="P79"/>
      <c r="Q79"/>
      <c r="R79"/>
      <c r="S79"/>
      <c r="T79"/>
      <c r="U79"/>
      <c r="V79"/>
      <c r="W79"/>
      <c r="X79"/>
      <c r="Y79"/>
      <c r="Z79"/>
      <c r="AA79"/>
      <c r="AB79"/>
      <c r="AC79"/>
      <c r="AD79"/>
      <c r="AE79"/>
      <c r="AF79"/>
      <c r="AG79"/>
    </row>
    <row r="80" spans="1:33" x14ac:dyDescent="0.2">
      <c r="A80" s="6"/>
      <c r="B80" s="6"/>
      <c r="C80" s="4" t="s">
        <v>131</v>
      </c>
      <c r="D80" s="34"/>
      <c r="F80" s="85"/>
      <c r="G80" s="183">
        <f t="shared" ref="G80:G85" si="12">input_dollars</f>
        <v>45291</v>
      </c>
      <c r="H80" s="28"/>
      <c r="I80" s="28">
        <f>I78</f>
        <v>0</v>
      </c>
      <c r="J80" s="28">
        <f t="shared" ref="J80:AB80" si="13">J78</f>
        <v>0</v>
      </c>
      <c r="K80" s="28">
        <f t="shared" si="13"/>
        <v>0</v>
      </c>
      <c r="L80" s="28">
        <f t="shared" si="13"/>
        <v>0</v>
      </c>
      <c r="M80" s="28">
        <f t="shared" si="13"/>
        <v>0</v>
      </c>
      <c r="N80" s="28">
        <f t="shared" si="13"/>
        <v>0</v>
      </c>
      <c r="O80" s="28">
        <f t="shared" si="13"/>
        <v>0</v>
      </c>
      <c r="P80" s="28">
        <f t="shared" si="13"/>
        <v>0</v>
      </c>
      <c r="Q80" s="28">
        <f t="shared" si="13"/>
        <v>0</v>
      </c>
      <c r="R80" s="28">
        <f t="shared" si="13"/>
        <v>0</v>
      </c>
      <c r="S80" s="28">
        <f t="shared" si="13"/>
        <v>0</v>
      </c>
      <c r="T80" s="28">
        <f t="shared" si="13"/>
        <v>0</v>
      </c>
      <c r="U80" s="28">
        <f t="shared" si="13"/>
        <v>0</v>
      </c>
      <c r="V80" s="28">
        <f t="shared" si="13"/>
        <v>0</v>
      </c>
      <c r="W80" s="28">
        <f t="shared" si="13"/>
        <v>0</v>
      </c>
      <c r="X80" s="28">
        <f t="shared" si="13"/>
        <v>0</v>
      </c>
      <c r="Y80" s="28">
        <f t="shared" si="13"/>
        <v>0</v>
      </c>
      <c r="Z80" s="28">
        <f t="shared" si="13"/>
        <v>0</v>
      </c>
      <c r="AA80" s="28">
        <f t="shared" si="13"/>
        <v>0</v>
      </c>
      <c r="AB80" s="28">
        <f t="shared" si="13"/>
        <v>0</v>
      </c>
      <c r="AC80" s="28">
        <f>AC78</f>
        <v>0</v>
      </c>
      <c r="AD80" s="28">
        <f>AD78</f>
        <v>0</v>
      </c>
      <c r="AE80" s="28">
        <f>AE78</f>
        <v>0</v>
      </c>
      <c r="AF80" s="28">
        <f>AF78</f>
        <v>0</v>
      </c>
      <c r="AG80" s="28">
        <f>AG78</f>
        <v>0</v>
      </c>
    </row>
    <row r="81" spans="1:33" x14ac:dyDescent="0.2">
      <c r="A81" s="6"/>
      <c r="B81" s="6"/>
      <c r="C81" s="4" t="s">
        <v>15</v>
      </c>
      <c r="D81" s="34"/>
      <c r="F81" s="85"/>
      <c r="G81" s="183">
        <f t="shared" si="12"/>
        <v>45291</v>
      </c>
      <c r="H81" s="28"/>
      <c r="I81" s="28">
        <f t="shared" ref="I81:AG81" si="14">-I19</f>
        <v>0</v>
      </c>
      <c r="J81" s="28">
        <f t="shared" si="14"/>
        <v>0</v>
      </c>
      <c r="K81" s="28">
        <f t="shared" si="14"/>
        <v>0</v>
      </c>
      <c r="L81" s="28">
        <f t="shared" si="14"/>
        <v>0</v>
      </c>
      <c r="M81" s="28">
        <f t="shared" si="14"/>
        <v>0</v>
      </c>
      <c r="N81" s="28">
        <f t="shared" si="14"/>
        <v>0</v>
      </c>
      <c r="O81" s="28">
        <f t="shared" si="14"/>
        <v>0</v>
      </c>
      <c r="P81" s="28">
        <f t="shared" si="14"/>
        <v>0</v>
      </c>
      <c r="Q81" s="28">
        <f t="shared" si="14"/>
        <v>0</v>
      </c>
      <c r="R81" s="28">
        <f t="shared" si="14"/>
        <v>0</v>
      </c>
      <c r="S81" s="28">
        <f t="shared" si="14"/>
        <v>0</v>
      </c>
      <c r="T81" s="28">
        <f t="shared" si="14"/>
        <v>0</v>
      </c>
      <c r="U81" s="28">
        <f t="shared" si="14"/>
        <v>0</v>
      </c>
      <c r="V81" s="28">
        <f t="shared" si="14"/>
        <v>0</v>
      </c>
      <c r="W81" s="28">
        <f t="shared" si="14"/>
        <v>0</v>
      </c>
      <c r="X81" s="28">
        <f t="shared" si="14"/>
        <v>0</v>
      </c>
      <c r="Y81" s="28">
        <f t="shared" si="14"/>
        <v>0</v>
      </c>
      <c r="Z81" s="28">
        <f t="shared" si="14"/>
        <v>0</v>
      </c>
      <c r="AA81" s="28">
        <f t="shared" si="14"/>
        <v>0</v>
      </c>
      <c r="AB81" s="28">
        <f t="shared" si="14"/>
        <v>0</v>
      </c>
      <c r="AC81" s="28">
        <f t="shared" si="14"/>
        <v>0</v>
      </c>
      <c r="AD81" s="28">
        <f t="shared" si="14"/>
        <v>0</v>
      </c>
      <c r="AE81" s="28">
        <f t="shared" si="14"/>
        <v>0</v>
      </c>
      <c r="AF81" s="28">
        <f t="shared" si="14"/>
        <v>0</v>
      </c>
      <c r="AG81" s="28">
        <f t="shared" si="14"/>
        <v>0</v>
      </c>
    </row>
    <row r="82" spans="1:33" x14ac:dyDescent="0.2">
      <c r="A82" s="6"/>
      <c r="B82" s="6"/>
      <c r="C82" s="4" t="s">
        <v>133</v>
      </c>
      <c r="D82" s="34"/>
      <c r="F82" s="85"/>
      <c r="G82" s="183">
        <f t="shared" si="12"/>
        <v>45291</v>
      </c>
      <c r="H82" s="28"/>
      <c r="I82" s="28">
        <f>I62</f>
        <v>0</v>
      </c>
      <c r="J82" s="28">
        <f t="shared" ref="J82:AB82" si="15">J62</f>
        <v>0</v>
      </c>
      <c r="K82" s="28">
        <f t="shared" si="15"/>
        <v>0</v>
      </c>
      <c r="L82" s="28">
        <f t="shared" si="15"/>
        <v>0</v>
      </c>
      <c r="M82" s="28">
        <f t="shared" si="15"/>
        <v>0</v>
      </c>
      <c r="N82" s="28">
        <f t="shared" si="15"/>
        <v>0</v>
      </c>
      <c r="O82" s="28">
        <f t="shared" si="15"/>
        <v>0</v>
      </c>
      <c r="P82" s="28">
        <f t="shared" si="15"/>
        <v>0</v>
      </c>
      <c r="Q82" s="28">
        <f t="shared" si="15"/>
        <v>0</v>
      </c>
      <c r="R82" s="28">
        <f t="shared" si="15"/>
        <v>0</v>
      </c>
      <c r="S82" s="28">
        <f t="shared" si="15"/>
        <v>0</v>
      </c>
      <c r="T82" s="28">
        <f t="shared" si="15"/>
        <v>0</v>
      </c>
      <c r="U82" s="28">
        <f t="shared" si="15"/>
        <v>0</v>
      </c>
      <c r="V82" s="28">
        <f t="shared" si="15"/>
        <v>0</v>
      </c>
      <c r="W82" s="28">
        <f t="shared" si="15"/>
        <v>0</v>
      </c>
      <c r="X82" s="28">
        <f t="shared" si="15"/>
        <v>0</v>
      </c>
      <c r="Y82" s="28">
        <f t="shared" si="15"/>
        <v>0</v>
      </c>
      <c r="Z82" s="28">
        <f t="shared" si="15"/>
        <v>0</v>
      </c>
      <c r="AA82" s="28">
        <f t="shared" si="15"/>
        <v>0</v>
      </c>
      <c r="AB82" s="28">
        <f t="shared" si="15"/>
        <v>0</v>
      </c>
      <c r="AC82" s="28">
        <f>AC62</f>
        <v>0</v>
      </c>
      <c r="AD82" s="28">
        <f>AD62</f>
        <v>0</v>
      </c>
      <c r="AE82" s="28">
        <f>AE62</f>
        <v>0</v>
      </c>
      <c r="AF82" s="28">
        <f>AF62</f>
        <v>0</v>
      </c>
      <c r="AG82" s="28">
        <f>AG62</f>
        <v>0</v>
      </c>
    </row>
    <row r="83" spans="1:33" x14ac:dyDescent="0.2">
      <c r="A83" s="6"/>
      <c r="B83" s="6"/>
      <c r="C83" s="4" t="s">
        <v>134</v>
      </c>
      <c r="D83" s="34"/>
      <c r="F83" s="85"/>
      <c r="G83" s="183">
        <f t="shared" si="12"/>
        <v>45291</v>
      </c>
      <c r="H83" s="28"/>
      <c r="I83" s="28">
        <f t="shared" ref="I83:AG83" si="16">I55</f>
        <v>0</v>
      </c>
      <c r="J83" s="28">
        <f t="shared" si="16"/>
        <v>0</v>
      </c>
      <c r="K83" s="28">
        <f t="shared" si="16"/>
        <v>0</v>
      </c>
      <c r="L83" s="28">
        <f t="shared" si="16"/>
        <v>0</v>
      </c>
      <c r="M83" s="28">
        <f t="shared" si="16"/>
        <v>0</v>
      </c>
      <c r="N83" s="28">
        <f t="shared" si="16"/>
        <v>0</v>
      </c>
      <c r="O83" s="28">
        <f t="shared" si="16"/>
        <v>0</v>
      </c>
      <c r="P83" s="28">
        <f t="shared" si="16"/>
        <v>0</v>
      </c>
      <c r="Q83" s="28">
        <f t="shared" si="16"/>
        <v>0</v>
      </c>
      <c r="R83" s="28">
        <f t="shared" si="16"/>
        <v>0</v>
      </c>
      <c r="S83" s="28">
        <f t="shared" si="16"/>
        <v>0</v>
      </c>
      <c r="T83" s="28">
        <f t="shared" si="16"/>
        <v>0</v>
      </c>
      <c r="U83" s="28">
        <f t="shared" si="16"/>
        <v>0</v>
      </c>
      <c r="V83" s="28">
        <f t="shared" si="16"/>
        <v>0</v>
      </c>
      <c r="W83" s="28">
        <f t="shared" si="16"/>
        <v>0</v>
      </c>
      <c r="X83" s="28">
        <f t="shared" si="16"/>
        <v>0</v>
      </c>
      <c r="Y83" s="28">
        <f t="shared" si="16"/>
        <v>0</v>
      </c>
      <c r="Z83" s="28">
        <f t="shared" si="16"/>
        <v>0</v>
      </c>
      <c r="AA83" s="28">
        <f t="shared" si="16"/>
        <v>0</v>
      </c>
      <c r="AB83" s="28">
        <f t="shared" si="16"/>
        <v>0</v>
      </c>
      <c r="AC83" s="28">
        <f t="shared" si="16"/>
        <v>0</v>
      </c>
      <c r="AD83" s="28">
        <f t="shared" si="16"/>
        <v>0</v>
      </c>
      <c r="AE83" s="28">
        <f t="shared" si="16"/>
        <v>0</v>
      </c>
      <c r="AF83" s="28">
        <f t="shared" si="16"/>
        <v>0</v>
      </c>
      <c r="AG83" s="28">
        <f t="shared" si="16"/>
        <v>0</v>
      </c>
    </row>
    <row r="84" spans="1:33" x14ac:dyDescent="0.2">
      <c r="A84" s="6"/>
      <c r="B84" s="6"/>
      <c r="C84" s="4"/>
      <c r="D84" s="34"/>
      <c r="F84" s="28"/>
      <c r="G84" s="183"/>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row>
    <row r="85" spans="1:33" x14ac:dyDescent="0.2">
      <c r="A85" s="6"/>
      <c r="B85" s="6"/>
      <c r="C85" s="152" t="s">
        <v>135</v>
      </c>
      <c r="D85" s="153"/>
      <c r="E85" s="149"/>
      <c r="F85" s="154"/>
      <c r="G85" s="188">
        <f t="shared" si="12"/>
        <v>45291</v>
      </c>
      <c r="H85" s="154"/>
      <c r="I85" s="154">
        <f t="shared" ref="I85:AB85" si="17">SUM(I80:I84)</f>
        <v>0</v>
      </c>
      <c r="J85" s="154">
        <f t="shared" si="17"/>
        <v>0</v>
      </c>
      <c r="K85" s="154">
        <f t="shared" si="17"/>
        <v>0</v>
      </c>
      <c r="L85" s="154">
        <f t="shared" si="17"/>
        <v>0</v>
      </c>
      <c r="M85" s="154">
        <f t="shared" si="17"/>
        <v>0</v>
      </c>
      <c r="N85" s="154">
        <f t="shared" si="17"/>
        <v>0</v>
      </c>
      <c r="O85" s="154">
        <f t="shared" si="17"/>
        <v>0</v>
      </c>
      <c r="P85" s="154">
        <f t="shared" si="17"/>
        <v>0</v>
      </c>
      <c r="Q85" s="154">
        <f t="shared" si="17"/>
        <v>0</v>
      </c>
      <c r="R85" s="154">
        <f t="shared" si="17"/>
        <v>0</v>
      </c>
      <c r="S85" s="154">
        <f t="shared" si="17"/>
        <v>0</v>
      </c>
      <c r="T85" s="154">
        <f t="shared" si="17"/>
        <v>0</v>
      </c>
      <c r="U85" s="154">
        <f t="shared" si="17"/>
        <v>0</v>
      </c>
      <c r="V85" s="154">
        <f t="shared" si="17"/>
        <v>0</v>
      </c>
      <c r="W85" s="154">
        <f t="shared" si="17"/>
        <v>0</v>
      </c>
      <c r="X85" s="154">
        <f t="shared" si="17"/>
        <v>0</v>
      </c>
      <c r="Y85" s="154">
        <f t="shared" si="17"/>
        <v>0</v>
      </c>
      <c r="Z85" s="154">
        <f t="shared" si="17"/>
        <v>0</v>
      </c>
      <c r="AA85" s="154">
        <f t="shared" si="17"/>
        <v>0</v>
      </c>
      <c r="AB85" s="154">
        <f t="shared" si="17"/>
        <v>0</v>
      </c>
      <c r="AC85" s="154">
        <f>SUM(AC80:AC84)</f>
        <v>0</v>
      </c>
      <c r="AD85" s="154">
        <f>SUM(AD80:AD84)</f>
        <v>0</v>
      </c>
      <c r="AE85" s="154">
        <f>SUM(AE80:AE84)</f>
        <v>0</v>
      </c>
      <c r="AF85" s="154">
        <f>SUM(AF80:AF84)</f>
        <v>0</v>
      </c>
      <c r="AG85" s="154">
        <f>SUM(AG80:AG84)</f>
        <v>0</v>
      </c>
    </row>
    <row r="86" spans="1:33" x14ac:dyDescent="0.2">
      <c r="A86" s="6"/>
      <c r="B86" s="6"/>
      <c r="C86" s="12"/>
      <c r="D86" s="34"/>
      <c r="F86" s="119"/>
      <c r="G86" s="183"/>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row>
    <row r="87" spans="1:33" x14ac:dyDescent="0.2">
      <c r="A87" s="6"/>
      <c r="B87" s="6"/>
      <c r="C87" s="12"/>
      <c r="D87" s="34"/>
      <c r="F87" s="119"/>
      <c r="G87" s="183"/>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row>
    <row r="88" spans="1:33" x14ac:dyDescent="0.2">
      <c r="A88" s="6"/>
      <c r="B88" s="6"/>
      <c r="C88" s="202" t="s">
        <v>137</v>
      </c>
      <c r="D88" s="72"/>
      <c r="E88" s="203"/>
      <c r="F88" s="204"/>
      <c r="G88" s="205" cm="1">
        <f t="array" ref="G88">IF(SUM($I17:$AG17)=0,0,(INDEX(I$6:AG$6,MATCH(TRUE,INDEX($I17:$AG17&lt;&gt;0,),0))))</f>
        <v>0</v>
      </c>
      <c r="H88" s="6"/>
      <c r="I88" s="6"/>
      <c r="J88" s="6"/>
      <c r="K88" s="6"/>
      <c r="L88" s="6"/>
      <c r="M88" s="6"/>
      <c r="N88" s="6"/>
      <c r="O88" s="6"/>
      <c r="P88" s="6"/>
      <c r="Q88" s="6"/>
      <c r="R88" s="6"/>
      <c r="S88" s="6"/>
      <c r="T88" s="6"/>
      <c r="U88" s="6"/>
      <c r="V88" s="6"/>
      <c r="W88" s="6"/>
      <c r="X88" s="6"/>
      <c r="Y88" s="6"/>
      <c r="Z88" s="6"/>
      <c r="AA88" s="6"/>
      <c r="AB88" s="6"/>
      <c r="AC88" s="6"/>
      <c r="AD88" s="6"/>
      <c r="AE88" s="6"/>
      <c r="AF88" s="6"/>
      <c r="AG88" s="6"/>
    </row>
    <row r="89" spans="1:33" x14ac:dyDescent="0.2">
      <c r="C89" s="72"/>
      <c r="D89" s="206"/>
      <c r="E89" s="203"/>
      <c r="F89" s="203"/>
      <c r="G89" s="205"/>
    </row>
    <row r="90" spans="1:33" x14ac:dyDescent="0.2">
      <c r="C90" s="207" t="s">
        <v>138</v>
      </c>
      <c r="D90" s="208"/>
      <c r="E90" s="208"/>
      <c r="F90" s="208"/>
      <c r="G90" s="209" t="str">
        <f>IF(_xlfn.MINIFS($G$88:$G$89, $G$88:$G$89, "&gt;"&amp;0)=0, $A$4, _xlfn.MINIFS($G$88:$G$89, $G$88:$G$89, "&gt;"&amp;0))</f>
        <v>Not used</v>
      </c>
    </row>
    <row r="92" spans="1:33" x14ac:dyDescent="0.2">
      <c r="G92" s="10"/>
    </row>
    <row r="100" spans="1:43" ht="15" x14ac:dyDescent="0.2">
      <c r="A100" s="78" t="s">
        <v>16</v>
      </c>
      <c r="B100" s="78"/>
      <c r="C100" s="78"/>
      <c r="D100" s="78"/>
      <c r="E100" s="78"/>
      <c r="F100" s="78"/>
      <c r="G100" s="177"/>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c r="AI100"/>
      <c r="AJ100"/>
      <c r="AK100"/>
      <c r="AL100"/>
      <c r="AM100"/>
      <c r="AN100"/>
      <c r="AO100"/>
      <c r="AP100"/>
      <c r="AQ100"/>
    </row>
    <row r="102" spans="1:43" x14ac:dyDescent="0.2">
      <c r="I102" s="213"/>
      <c r="J102" s="213"/>
      <c r="K102" s="213"/>
      <c r="L102" s="213"/>
      <c r="M102" s="213"/>
      <c r="N102" s="213"/>
      <c r="O102" s="213"/>
      <c r="P102" s="213"/>
      <c r="Q102" s="213"/>
      <c r="R102" s="213"/>
      <c r="S102" s="213"/>
      <c r="T102" s="213"/>
      <c r="U102" s="213"/>
      <c r="V102" s="213"/>
      <c r="W102" s="213"/>
      <c r="X102" s="213"/>
      <c r="Y102" s="213"/>
      <c r="Z102" s="213"/>
    </row>
    <row r="103" spans="1:43" x14ac:dyDescent="0.2">
      <c r="I103" s="213"/>
      <c r="J103" s="213"/>
      <c r="K103" s="213"/>
      <c r="L103" s="213"/>
      <c r="M103" s="213"/>
      <c r="N103" s="213"/>
      <c r="O103" s="213"/>
      <c r="P103" s="213"/>
      <c r="Q103" s="213"/>
      <c r="R103" s="213"/>
      <c r="S103" s="213"/>
      <c r="T103" s="213"/>
      <c r="U103" s="213"/>
      <c r="V103" s="213"/>
      <c r="W103" s="213"/>
      <c r="X103" s="213"/>
      <c r="Y103" s="213"/>
      <c r="Z103" s="213"/>
    </row>
    <row r="104" spans="1:43" x14ac:dyDescent="0.2">
      <c r="A104" s="1" t="s">
        <v>7</v>
      </c>
      <c r="C104" s="1" t="s">
        <v>135</v>
      </c>
      <c r="D104"/>
      <c r="E104"/>
      <c r="F104"/>
      <c r="G104" s="34" t="str">
        <f>PROPER($A$3)&amp;A104</f>
        <v>Option 5NPV</v>
      </c>
      <c r="I104" s="28">
        <f>I85</f>
        <v>0</v>
      </c>
      <c r="J104" s="28">
        <f t="shared" ref="J104:AG104" si="18">J85</f>
        <v>0</v>
      </c>
      <c r="K104" s="28">
        <f t="shared" si="18"/>
        <v>0</v>
      </c>
      <c r="L104" s="28">
        <f t="shared" si="18"/>
        <v>0</v>
      </c>
      <c r="M104" s="28">
        <f t="shared" si="18"/>
        <v>0</v>
      </c>
      <c r="N104" s="28">
        <f t="shared" si="18"/>
        <v>0</v>
      </c>
      <c r="O104" s="28">
        <f t="shared" si="18"/>
        <v>0</v>
      </c>
      <c r="P104" s="28">
        <f t="shared" si="18"/>
        <v>0</v>
      </c>
      <c r="Q104" s="28">
        <f t="shared" si="18"/>
        <v>0</v>
      </c>
      <c r="R104" s="28">
        <f t="shared" si="18"/>
        <v>0</v>
      </c>
      <c r="S104" s="28">
        <f t="shared" si="18"/>
        <v>0</v>
      </c>
      <c r="T104" s="28">
        <f t="shared" si="18"/>
        <v>0</v>
      </c>
      <c r="U104" s="28">
        <f t="shared" si="18"/>
        <v>0</v>
      </c>
      <c r="V104" s="28">
        <f t="shared" si="18"/>
        <v>0</v>
      </c>
      <c r="W104" s="28">
        <f t="shared" si="18"/>
        <v>0</v>
      </c>
      <c r="X104" s="28">
        <f t="shared" si="18"/>
        <v>0</v>
      </c>
      <c r="Y104" s="28">
        <f t="shared" si="18"/>
        <v>0</v>
      </c>
      <c r="Z104" s="28">
        <f t="shared" si="18"/>
        <v>0</v>
      </c>
      <c r="AA104" s="28">
        <f t="shared" si="18"/>
        <v>0</v>
      </c>
      <c r="AB104" s="28">
        <f t="shared" si="18"/>
        <v>0</v>
      </c>
      <c r="AC104" s="28">
        <f t="shared" si="18"/>
        <v>0</v>
      </c>
      <c r="AD104" s="28">
        <f t="shared" si="18"/>
        <v>0</v>
      </c>
      <c r="AE104" s="28">
        <f t="shared" si="18"/>
        <v>0</v>
      </c>
      <c r="AF104" s="28">
        <f t="shared" si="18"/>
        <v>0</v>
      </c>
      <c r="AG104" s="28">
        <f t="shared" si="18"/>
        <v>0</v>
      </c>
    </row>
    <row r="105" spans="1:43" x14ac:dyDescent="0.2">
      <c r="C105" s="1" t="s">
        <v>132</v>
      </c>
      <c r="D105"/>
      <c r="E105"/>
      <c r="F105"/>
      <c r="G105"/>
      <c r="I105" s="28">
        <f>I80</f>
        <v>0</v>
      </c>
      <c r="J105" s="28">
        <f t="shared" ref="J105:AG105" si="19">J80</f>
        <v>0</v>
      </c>
      <c r="K105" s="28">
        <f t="shared" si="19"/>
        <v>0</v>
      </c>
      <c r="L105" s="28">
        <f t="shared" si="19"/>
        <v>0</v>
      </c>
      <c r="M105" s="28">
        <f t="shared" si="19"/>
        <v>0</v>
      </c>
      <c r="N105" s="28">
        <f t="shared" si="19"/>
        <v>0</v>
      </c>
      <c r="O105" s="28">
        <f t="shared" si="19"/>
        <v>0</v>
      </c>
      <c r="P105" s="28">
        <f t="shared" si="19"/>
        <v>0</v>
      </c>
      <c r="Q105" s="28">
        <f t="shared" si="19"/>
        <v>0</v>
      </c>
      <c r="R105" s="28">
        <f t="shared" si="19"/>
        <v>0</v>
      </c>
      <c r="S105" s="28">
        <f t="shared" si="19"/>
        <v>0</v>
      </c>
      <c r="T105" s="28">
        <f t="shared" si="19"/>
        <v>0</v>
      </c>
      <c r="U105" s="28">
        <f t="shared" si="19"/>
        <v>0</v>
      </c>
      <c r="V105" s="28">
        <f t="shared" si="19"/>
        <v>0</v>
      </c>
      <c r="W105" s="28">
        <f t="shared" si="19"/>
        <v>0</v>
      </c>
      <c r="X105" s="28">
        <f t="shared" si="19"/>
        <v>0</v>
      </c>
      <c r="Y105" s="28">
        <f t="shared" si="19"/>
        <v>0</v>
      </c>
      <c r="Z105" s="28">
        <f t="shared" si="19"/>
        <v>0</v>
      </c>
      <c r="AA105" s="28">
        <f t="shared" si="19"/>
        <v>0</v>
      </c>
      <c r="AB105" s="28">
        <f t="shared" si="19"/>
        <v>0</v>
      </c>
      <c r="AC105" s="28">
        <f t="shared" si="19"/>
        <v>0</v>
      </c>
      <c r="AD105" s="28">
        <f t="shared" si="19"/>
        <v>0</v>
      </c>
      <c r="AE105" s="28">
        <f t="shared" si="19"/>
        <v>0</v>
      </c>
      <c r="AF105" s="28">
        <f t="shared" si="19"/>
        <v>0</v>
      </c>
      <c r="AG105" s="28">
        <f t="shared" si="19"/>
        <v>0</v>
      </c>
    </row>
    <row r="106" spans="1:43" x14ac:dyDescent="0.2">
      <c r="C106" s="1" t="s">
        <v>96</v>
      </c>
      <c r="D106"/>
      <c r="E106"/>
      <c r="F106"/>
      <c r="G106"/>
      <c r="I106" s="28">
        <f>SUM(I82:I83)</f>
        <v>0</v>
      </c>
      <c r="J106" s="28">
        <f t="shared" ref="J106:AG106" si="20">SUM(J82:J83)</f>
        <v>0</v>
      </c>
      <c r="K106" s="28">
        <f t="shared" si="20"/>
        <v>0</v>
      </c>
      <c r="L106" s="28">
        <f t="shared" si="20"/>
        <v>0</v>
      </c>
      <c r="M106" s="28">
        <f t="shared" si="20"/>
        <v>0</v>
      </c>
      <c r="N106" s="28">
        <f t="shared" si="20"/>
        <v>0</v>
      </c>
      <c r="O106" s="28">
        <f t="shared" si="20"/>
        <v>0</v>
      </c>
      <c r="P106" s="28">
        <f t="shared" si="20"/>
        <v>0</v>
      </c>
      <c r="Q106" s="28">
        <f t="shared" si="20"/>
        <v>0</v>
      </c>
      <c r="R106" s="28">
        <f t="shared" si="20"/>
        <v>0</v>
      </c>
      <c r="S106" s="28">
        <f t="shared" si="20"/>
        <v>0</v>
      </c>
      <c r="T106" s="28">
        <f t="shared" si="20"/>
        <v>0</v>
      </c>
      <c r="U106" s="28">
        <f t="shared" si="20"/>
        <v>0</v>
      </c>
      <c r="V106" s="28">
        <f t="shared" si="20"/>
        <v>0</v>
      </c>
      <c r="W106" s="28">
        <f t="shared" si="20"/>
        <v>0</v>
      </c>
      <c r="X106" s="28">
        <f t="shared" si="20"/>
        <v>0</v>
      </c>
      <c r="Y106" s="28">
        <f t="shared" si="20"/>
        <v>0</v>
      </c>
      <c r="Z106" s="28">
        <f t="shared" si="20"/>
        <v>0</v>
      </c>
      <c r="AA106" s="28">
        <f t="shared" si="20"/>
        <v>0</v>
      </c>
      <c r="AB106" s="28">
        <f t="shared" si="20"/>
        <v>0</v>
      </c>
      <c r="AC106" s="28">
        <f t="shared" si="20"/>
        <v>0</v>
      </c>
      <c r="AD106" s="28">
        <f t="shared" si="20"/>
        <v>0</v>
      </c>
      <c r="AE106" s="28">
        <f t="shared" si="20"/>
        <v>0</v>
      </c>
      <c r="AF106" s="28">
        <f t="shared" si="20"/>
        <v>0</v>
      </c>
      <c r="AG106" s="28">
        <f t="shared" si="20"/>
        <v>0</v>
      </c>
    </row>
    <row r="107" spans="1:43" x14ac:dyDescent="0.2">
      <c r="D107" s="253" t="str">
        <f>Assumptions!G116</f>
        <v>Capex</v>
      </c>
      <c r="E107" s="253" t="str">
        <f>Assumptions!H116</f>
        <v>Total benefits</v>
      </c>
      <c r="I107" s="213"/>
      <c r="J107" s="213"/>
      <c r="K107" s="213"/>
      <c r="L107" s="213"/>
      <c r="M107" s="213"/>
      <c r="N107" s="213"/>
      <c r="O107" s="213"/>
      <c r="P107" s="213"/>
      <c r="Q107" s="213"/>
      <c r="R107" s="213"/>
      <c r="S107" s="213"/>
      <c r="T107" s="213"/>
      <c r="U107" s="213"/>
      <c r="V107" s="213"/>
      <c r="W107" s="213"/>
      <c r="X107" s="213"/>
      <c r="Y107" s="213"/>
      <c r="Z107" s="213"/>
    </row>
    <row r="108" spans="1:43" x14ac:dyDescent="0.2">
      <c r="A108" s="1" t="str">
        <f>"sens"&amp;Assumptions!B117</f>
        <v>sens1</v>
      </c>
      <c r="C108" s="252" t="str">
        <f>Assumptions!C117</f>
        <v>Capex 10% higher</v>
      </c>
      <c r="D108" s="253">
        <f>Assumptions!G117</f>
        <v>0.1</v>
      </c>
      <c r="E108" s="253">
        <f>Assumptions!H117</f>
        <v>0</v>
      </c>
      <c r="G108" s="34" t="str">
        <f>PROPER($A$3)&amp;A108</f>
        <v>Option 5sens1</v>
      </c>
      <c r="I108" s="28" cm="1">
        <f t="array" ref="I108">I$104+IF($C108&lt;&gt;0,SUMPRODUCT((I$105:I$106)*TRANSPOSE(($D108:$E108))),0)</f>
        <v>0</v>
      </c>
      <c r="J108" s="28" cm="1">
        <f t="array" ref="J108">J$104+IF($C108&lt;&gt;0,SUMPRODUCT((J$105:J$106)*TRANSPOSE(($D108:$E108))),0)</f>
        <v>0</v>
      </c>
      <c r="K108" s="28" cm="1">
        <f t="array" ref="K108">K$104+IF($C108&lt;&gt;0,SUMPRODUCT((K$105:K$106)*TRANSPOSE(($D108:$E108))),0)</f>
        <v>0</v>
      </c>
      <c r="L108" s="28" cm="1">
        <f t="array" ref="L108">L$104+IF($C108&lt;&gt;0,SUMPRODUCT((L$105:L$106)*TRANSPOSE(($D108:$E108))),0)</f>
        <v>0</v>
      </c>
      <c r="M108" s="28" cm="1">
        <f t="array" ref="M108">M$104+IF($C108&lt;&gt;0,SUMPRODUCT((M$105:M$106)*TRANSPOSE(($D108:$E108))),0)</f>
        <v>0</v>
      </c>
      <c r="N108" s="28" cm="1">
        <f t="array" ref="N108">N$104+IF($C108&lt;&gt;0,SUMPRODUCT((N$105:N$106)*TRANSPOSE(($D108:$E108))),0)</f>
        <v>0</v>
      </c>
      <c r="O108" s="28" cm="1">
        <f t="array" ref="O108">O$104+IF($C108&lt;&gt;0,SUMPRODUCT((O$105:O$106)*TRANSPOSE(($D108:$E108))),0)</f>
        <v>0</v>
      </c>
      <c r="P108" s="28" cm="1">
        <f t="array" ref="P108">P$104+IF($C108&lt;&gt;0,SUMPRODUCT((P$105:P$106)*TRANSPOSE(($D108:$E108))),0)</f>
        <v>0</v>
      </c>
      <c r="Q108" s="28" cm="1">
        <f t="array" ref="Q108">Q$104+IF($C108&lt;&gt;0,SUMPRODUCT((Q$105:Q$106)*TRANSPOSE(($D108:$E108))),0)</f>
        <v>0</v>
      </c>
      <c r="R108" s="28" cm="1">
        <f t="array" ref="R108">R$104+IF($C108&lt;&gt;0,SUMPRODUCT((R$105:R$106)*TRANSPOSE(($D108:$E108))),0)</f>
        <v>0</v>
      </c>
      <c r="S108" s="28" cm="1">
        <f t="array" ref="S108">S$104+IF($C108&lt;&gt;0,SUMPRODUCT((S$105:S$106)*TRANSPOSE(($D108:$E108))),0)</f>
        <v>0</v>
      </c>
      <c r="T108" s="28" cm="1">
        <f t="array" ref="T108">T$104+IF($C108&lt;&gt;0,SUMPRODUCT((T$105:T$106)*TRANSPOSE(($D108:$E108))),0)</f>
        <v>0</v>
      </c>
      <c r="U108" s="28" cm="1">
        <f t="array" ref="U108">U$104+IF($C108&lt;&gt;0,SUMPRODUCT((U$105:U$106)*TRANSPOSE(($D108:$E108))),0)</f>
        <v>0</v>
      </c>
      <c r="V108" s="28" cm="1">
        <f t="array" ref="V108">V$104+IF($C108&lt;&gt;0,SUMPRODUCT((V$105:V$106)*TRANSPOSE(($D108:$E108))),0)</f>
        <v>0</v>
      </c>
      <c r="W108" s="28" cm="1">
        <f t="array" ref="W108">W$104+IF($C108&lt;&gt;0,SUMPRODUCT((W$105:W$106)*TRANSPOSE(($D108:$E108))),0)</f>
        <v>0</v>
      </c>
      <c r="X108" s="28" cm="1">
        <f t="array" ref="X108">X$104+IF($C108&lt;&gt;0,SUMPRODUCT((X$105:X$106)*TRANSPOSE(($D108:$E108))),0)</f>
        <v>0</v>
      </c>
      <c r="Y108" s="28" cm="1">
        <f t="array" ref="Y108">Y$104+IF($C108&lt;&gt;0,SUMPRODUCT((Y$105:Y$106)*TRANSPOSE(($D108:$E108))),0)</f>
        <v>0</v>
      </c>
      <c r="Z108" s="28" cm="1">
        <f t="array" ref="Z108">Z$104+IF($C108&lt;&gt;0,SUMPRODUCT((Z$105:Z$106)*TRANSPOSE(($D108:$E108))),0)</f>
        <v>0</v>
      </c>
      <c r="AA108" s="28" cm="1">
        <f t="array" ref="AA108">AA$104+IF($C108&lt;&gt;0,SUMPRODUCT((AA$105:AA$106)*TRANSPOSE(($D108:$E108))),0)</f>
        <v>0</v>
      </c>
      <c r="AB108" s="28" cm="1">
        <f t="array" ref="AB108">AB$104+IF($C108&lt;&gt;0,SUMPRODUCT((AB$105:AB$106)*TRANSPOSE(($D108:$E108))),0)</f>
        <v>0</v>
      </c>
      <c r="AC108" s="28" cm="1">
        <f t="array" ref="AC108">AC$104+IF($C108&lt;&gt;0,SUMPRODUCT((AC$105:AC$106)*TRANSPOSE(($D108:$E108))),0)</f>
        <v>0</v>
      </c>
      <c r="AD108" s="28" cm="1">
        <f t="array" ref="AD108">AD$104+IF($C108&lt;&gt;0,SUMPRODUCT((AD$105:AD$106)*TRANSPOSE(($D108:$E108))),0)</f>
        <v>0</v>
      </c>
      <c r="AE108" s="28" cm="1">
        <f t="array" ref="AE108">AE$104+IF($C108&lt;&gt;0,SUMPRODUCT((AE$105:AE$106)*TRANSPOSE(($D108:$E108))),0)</f>
        <v>0</v>
      </c>
      <c r="AF108" s="28" cm="1">
        <f t="array" ref="AF108">AF$104+IF($C108&lt;&gt;0,SUMPRODUCT((AF$105:AF$106)*TRANSPOSE(($D108:$E108))),0)</f>
        <v>0</v>
      </c>
      <c r="AG108" s="28" cm="1">
        <f t="array" ref="AG108">AG$104+IF($C108&lt;&gt;0,SUMPRODUCT((AG$105:AG$106)*TRANSPOSE(($D108:$E108))),0)</f>
        <v>0</v>
      </c>
    </row>
    <row r="109" spans="1:43" x14ac:dyDescent="0.2">
      <c r="A109" s="1" t="str">
        <f>"sens"&amp;Assumptions!B118</f>
        <v>sens2</v>
      </c>
      <c r="C109" s="252" t="str">
        <f>Assumptions!C118</f>
        <v>Capex 10% lower</v>
      </c>
      <c r="D109" s="253">
        <f>Assumptions!G118</f>
        <v>-0.1</v>
      </c>
      <c r="E109" s="253">
        <f>Assumptions!H118</f>
        <v>0</v>
      </c>
      <c r="G109" s="34" t="str">
        <f t="shared" ref="G109:G115" si="21">PROPER($A$3)&amp;A109</f>
        <v>Option 5sens2</v>
      </c>
      <c r="I109" s="28" cm="1">
        <f t="array" ref="I109">I$104+IF($C109&lt;&gt;0,SUMPRODUCT((I$105:I$106)*TRANSPOSE(($D109:$E109))),0)</f>
        <v>0</v>
      </c>
      <c r="J109" s="28" cm="1">
        <f t="array" ref="J109">J$104+IF($C109&lt;&gt;0,SUMPRODUCT((J$105:J$106)*TRANSPOSE(($D109:$E109))),0)</f>
        <v>0</v>
      </c>
      <c r="K109" s="28" cm="1">
        <f t="array" ref="K109">K$104+IF($C109&lt;&gt;0,SUMPRODUCT((K$105:K$106)*TRANSPOSE(($D109:$E109))),0)</f>
        <v>0</v>
      </c>
      <c r="L109" s="28" cm="1">
        <f t="array" ref="L109">L$104+IF($C109&lt;&gt;0,SUMPRODUCT((L$105:L$106)*TRANSPOSE(($D109:$E109))),0)</f>
        <v>0</v>
      </c>
      <c r="M109" s="28" cm="1">
        <f t="array" ref="M109">M$104+IF($C109&lt;&gt;0,SUMPRODUCT((M$105:M$106)*TRANSPOSE(($D109:$E109))),0)</f>
        <v>0</v>
      </c>
      <c r="N109" s="28" cm="1">
        <f t="array" ref="N109">N$104+IF($C109&lt;&gt;0,SUMPRODUCT((N$105:N$106)*TRANSPOSE(($D109:$E109))),0)</f>
        <v>0</v>
      </c>
      <c r="O109" s="28" cm="1">
        <f t="array" ref="O109">O$104+IF($C109&lt;&gt;0,SUMPRODUCT((O$105:O$106)*TRANSPOSE(($D109:$E109))),0)</f>
        <v>0</v>
      </c>
      <c r="P109" s="28" cm="1">
        <f t="array" ref="P109">P$104+IF($C109&lt;&gt;0,SUMPRODUCT((P$105:P$106)*TRANSPOSE(($D109:$E109))),0)</f>
        <v>0</v>
      </c>
      <c r="Q109" s="28" cm="1">
        <f t="array" ref="Q109">Q$104+IF($C109&lt;&gt;0,SUMPRODUCT((Q$105:Q$106)*TRANSPOSE(($D109:$E109))),0)</f>
        <v>0</v>
      </c>
      <c r="R109" s="28" cm="1">
        <f t="array" ref="R109">R$104+IF($C109&lt;&gt;0,SUMPRODUCT((R$105:R$106)*TRANSPOSE(($D109:$E109))),0)</f>
        <v>0</v>
      </c>
      <c r="S109" s="28" cm="1">
        <f t="array" ref="S109">S$104+IF($C109&lt;&gt;0,SUMPRODUCT((S$105:S$106)*TRANSPOSE(($D109:$E109))),0)</f>
        <v>0</v>
      </c>
      <c r="T109" s="28" cm="1">
        <f t="array" ref="T109">T$104+IF($C109&lt;&gt;0,SUMPRODUCT((T$105:T$106)*TRANSPOSE(($D109:$E109))),0)</f>
        <v>0</v>
      </c>
      <c r="U109" s="28" cm="1">
        <f t="array" ref="U109">U$104+IF($C109&lt;&gt;0,SUMPRODUCT((U$105:U$106)*TRANSPOSE(($D109:$E109))),0)</f>
        <v>0</v>
      </c>
      <c r="V109" s="28" cm="1">
        <f t="array" ref="V109">V$104+IF($C109&lt;&gt;0,SUMPRODUCT((V$105:V$106)*TRANSPOSE(($D109:$E109))),0)</f>
        <v>0</v>
      </c>
      <c r="W109" s="28" cm="1">
        <f t="array" ref="W109">W$104+IF($C109&lt;&gt;0,SUMPRODUCT((W$105:W$106)*TRANSPOSE(($D109:$E109))),0)</f>
        <v>0</v>
      </c>
      <c r="X109" s="28" cm="1">
        <f t="array" ref="X109">X$104+IF($C109&lt;&gt;0,SUMPRODUCT((X$105:X$106)*TRANSPOSE(($D109:$E109))),0)</f>
        <v>0</v>
      </c>
      <c r="Y109" s="28" cm="1">
        <f t="array" ref="Y109">Y$104+IF($C109&lt;&gt;0,SUMPRODUCT((Y$105:Y$106)*TRANSPOSE(($D109:$E109))),0)</f>
        <v>0</v>
      </c>
      <c r="Z109" s="28" cm="1">
        <f t="array" ref="Z109">Z$104+IF($C109&lt;&gt;0,SUMPRODUCT((Z$105:Z$106)*TRANSPOSE(($D109:$E109))),0)</f>
        <v>0</v>
      </c>
      <c r="AA109" s="28" cm="1">
        <f t="array" ref="AA109">AA$104+IF($C109&lt;&gt;0,SUMPRODUCT((AA$105:AA$106)*TRANSPOSE(($D109:$E109))),0)</f>
        <v>0</v>
      </c>
      <c r="AB109" s="28" cm="1">
        <f t="array" ref="AB109">AB$104+IF($C109&lt;&gt;0,SUMPRODUCT((AB$105:AB$106)*TRANSPOSE(($D109:$E109))),0)</f>
        <v>0</v>
      </c>
      <c r="AC109" s="28" cm="1">
        <f t="array" ref="AC109">AC$104+IF($C109&lt;&gt;0,SUMPRODUCT((AC$105:AC$106)*TRANSPOSE(($D109:$E109))),0)</f>
        <v>0</v>
      </c>
      <c r="AD109" s="28" cm="1">
        <f t="array" ref="AD109">AD$104+IF($C109&lt;&gt;0,SUMPRODUCT((AD$105:AD$106)*TRANSPOSE(($D109:$E109))),0)</f>
        <v>0</v>
      </c>
      <c r="AE109" s="28" cm="1">
        <f t="array" ref="AE109">AE$104+IF($C109&lt;&gt;0,SUMPRODUCT((AE$105:AE$106)*TRANSPOSE(($D109:$E109))),0)</f>
        <v>0</v>
      </c>
      <c r="AF109" s="28" cm="1">
        <f t="array" ref="AF109">AF$104+IF($C109&lt;&gt;0,SUMPRODUCT((AF$105:AF$106)*TRANSPOSE(($D109:$E109))),0)</f>
        <v>0</v>
      </c>
      <c r="AG109" s="28" cm="1">
        <f t="array" ref="AG109">AG$104+IF($C109&lt;&gt;0,SUMPRODUCT((AG$105:AG$106)*TRANSPOSE(($D109:$E109))),0)</f>
        <v>0</v>
      </c>
    </row>
    <row r="110" spans="1:43" x14ac:dyDescent="0.2">
      <c r="A110" s="1" t="str">
        <f>"sens"&amp;Assumptions!B119</f>
        <v>sens3</v>
      </c>
      <c r="C110" s="252" t="str">
        <f>Assumptions!C119</f>
        <v>Total benefits 10% higher</v>
      </c>
      <c r="D110" s="253">
        <f>Assumptions!G119</f>
        <v>0</v>
      </c>
      <c r="E110" s="253">
        <f>Assumptions!H119</f>
        <v>0.1</v>
      </c>
      <c r="G110" s="34" t="str">
        <f t="shared" si="21"/>
        <v>Option 5sens3</v>
      </c>
      <c r="I110" s="28" cm="1">
        <f t="array" ref="I110">I$104+IF($C110&lt;&gt;0,SUMPRODUCT((I$105:I$106)*TRANSPOSE(($D110:$E110))),0)</f>
        <v>0</v>
      </c>
      <c r="J110" s="28" cm="1">
        <f t="array" ref="J110">J$104+IF($C110&lt;&gt;0,SUMPRODUCT((J$105:J$106)*TRANSPOSE(($D110:$E110))),0)</f>
        <v>0</v>
      </c>
      <c r="K110" s="28" cm="1">
        <f t="array" ref="K110">K$104+IF($C110&lt;&gt;0,SUMPRODUCT((K$105:K$106)*TRANSPOSE(($D110:$E110))),0)</f>
        <v>0</v>
      </c>
      <c r="L110" s="28" cm="1">
        <f t="array" ref="L110">L$104+IF($C110&lt;&gt;0,SUMPRODUCT((L$105:L$106)*TRANSPOSE(($D110:$E110))),0)</f>
        <v>0</v>
      </c>
      <c r="M110" s="28" cm="1">
        <f t="array" ref="M110">M$104+IF($C110&lt;&gt;0,SUMPRODUCT((M$105:M$106)*TRANSPOSE(($D110:$E110))),0)</f>
        <v>0</v>
      </c>
      <c r="N110" s="28" cm="1">
        <f t="array" ref="N110">N$104+IF($C110&lt;&gt;0,SUMPRODUCT((N$105:N$106)*TRANSPOSE(($D110:$E110))),0)</f>
        <v>0</v>
      </c>
      <c r="O110" s="28" cm="1">
        <f t="array" ref="O110">O$104+IF($C110&lt;&gt;0,SUMPRODUCT((O$105:O$106)*TRANSPOSE(($D110:$E110))),0)</f>
        <v>0</v>
      </c>
      <c r="P110" s="28" cm="1">
        <f t="array" ref="P110">P$104+IF($C110&lt;&gt;0,SUMPRODUCT((P$105:P$106)*TRANSPOSE(($D110:$E110))),0)</f>
        <v>0</v>
      </c>
      <c r="Q110" s="28" cm="1">
        <f t="array" ref="Q110">Q$104+IF($C110&lt;&gt;0,SUMPRODUCT((Q$105:Q$106)*TRANSPOSE(($D110:$E110))),0)</f>
        <v>0</v>
      </c>
      <c r="R110" s="28" cm="1">
        <f t="array" ref="R110">R$104+IF($C110&lt;&gt;0,SUMPRODUCT((R$105:R$106)*TRANSPOSE(($D110:$E110))),0)</f>
        <v>0</v>
      </c>
      <c r="S110" s="28" cm="1">
        <f t="array" ref="S110">S$104+IF($C110&lt;&gt;0,SUMPRODUCT((S$105:S$106)*TRANSPOSE(($D110:$E110))),0)</f>
        <v>0</v>
      </c>
      <c r="T110" s="28" cm="1">
        <f t="array" ref="T110">T$104+IF($C110&lt;&gt;0,SUMPRODUCT((T$105:T$106)*TRANSPOSE(($D110:$E110))),0)</f>
        <v>0</v>
      </c>
      <c r="U110" s="28" cm="1">
        <f t="array" ref="U110">U$104+IF($C110&lt;&gt;0,SUMPRODUCT((U$105:U$106)*TRANSPOSE(($D110:$E110))),0)</f>
        <v>0</v>
      </c>
      <c r="V110" s="28" cm="1">
        <f t="array" ref="V110">V$104+IF($C110&lt;&gt;0,SUMPRODUCT((V$105:V$106)*TRANSPOSE(($D110:$E110))),0)</f>
        <v>0</v>
      </c>
      <c r="W110" s="28" cm="1">
        <f t="array" ref="W110">W$104+IF($C110&lt;&gt;0,SUMPRODUCT((W$105:W$106)*TRANSPOSE(($D110:$E110))),0)</f>
        <v>0</v>
      </c>
      <c r="X110" s="28" cm="1">
        <f t="array" ref="X110">X$104+IF($C110&lt;&gt;0,SUMPRODUCT((X$105:X$106)*TRANSPOSE(($D110:$E110))),0)</f>
        <v>0</v>
      </c>
      <c r="Y110" s="28" cm="1">
        <f t="array" ref="Y110">Y$104+IF($C110&lt;&gt;0,SUMPRODUCT((Y$105:Y$106)*TRANSPOSE(($D110:$E110))),0)</f>
        <v>0</v>
      </c>
      <c r="Z110" s="28" cm="1">
        <f t="array" ref="Z110">Z$104+IF($C110&lt;&gt;0,SUMPRODUCT((Z$105:Z$106)*TRANSPOSE(($D110:$E110))),0)</f>
        <v>0</v>
      </c>
      <c r="AA110" s="28" cm="1">
        <f t="array" ref="AA110">AA$104+IF($C110&lt;&gt;0,SUMPRODUCT((AA$105:AA$106)*TRANSPOSE(($D110:$E110))),0)</f>
        <v>0</v>
      </c>
      <c r="AB110" s="28" cm="1">
        <f t="array" ref="AB110">AB$104+IF($C110&lt;&gt;0,SUMPRODUCT((AB$105:AB$106)*TRANSPOSE(($D110:$E110))),0)</f>
        <v>0</v>
      </c>
      <c r="AC110" s="28" cm="1">
        <f t="array" ref="AC110">AC$104+IF($C110&lt;&gt;0,SUMPRODUCT((AC$105:AC$106)*TRANSPOSE(($D110:$E110))),0)</f>
        <v>0</v>
      </c>
      <c r="AD110" s="28" cm="1">
        <f t="array" ref="AD110">AD$104+IF($C110&lt;&gt;0,SUMPRODUCT((AD$105:AD$106)*TRANSPOSE(($D110:$E110))),0)</f>
        <v>0</v>
      </c>
      <c r="AE110" s="28" cm="1">
        <f t="array" ref="AE110">AE$104+IF($C110&lt;&gt;0,SUMPRODUCT((AE$105:AE$106)*TRANSPOSE(($D110:$E110))),0)</f>
        <v>0</v>
      </c>
      <c r="AF110" s="28" cm="1">
        <f t="array" ref="AF110">AF$104+IF($C110&lt;&gt;0,SUMPRODUCT((AF$105:AF$106)*TRANSPOSE(($D110:$E110))),0)</f>
        <v>0</v>
      </c>
      <c r="AG110" s="28" cm="1">
        <f t="array" ref="AG110">AG$104+IF($C110&lt;&gt;0,SUMPRODUCT((AG$105:AG$106)*TRANSPOSE(($D110:$E110))),0)</f>
        <v>0</v>
      </c>
    </row>
    <row r="111" spans="1:43" x14ac:dyDescent="0.2">
      <c r="A111" s="1" t="str">
        <f>"sens"&amp;Assumptions!B120</f>
        <v>sens4</v>
      </c>
      <c r="C111" s="252" t="str">
        <f>Assumptions!C120</f>
        <v>Total benefits 10% lower</v>
      </c>
      <c r="D111" s="253">
        <f>Assumptions!G120</f>
        <v>0</v>
      </c>
      <c r="E111" s="253">
        <f>Assumptions!H120</f>
        <v>-0.1</v>
      </c>
      <c r="G111" s="34" t="str">
        <f t="shared" si="21"/>
        <v>Option 5sens4</v>
      </c>
      <c r="I111" s="28" cm="1">
        <f t="array" ref="I111">I$104+IF($C111&lt;&gt;0,SUMPRODUCT((I$105:I$106)*TRANSPOSE(($D111:$E111))),0)</f>
        <v>0</v>
      </c>
      <c r="J111" s="28" cm="1">
        <f t="array" ref="J111">J$104+IF($C111&lt;&gt;0,SUMPRODUCT((J$105:J$106)*TRANSPOSE(($D111:$E111))),0)</f>
        <v>0</v>
      </c>
      <c r="K111" s="28" cm="1">
        <f t="array" ref="K111">K$104+IF($C111&lt;&gt;0,SUMPRODUCT((K$105:K$106)*TRANSPOSE(($D111:$E111))),0)</f>
        <v>0</v>
      </c>
      <c r="L111" s="28" cm="1">
        <f t="array" ref="L111">L$104+IF($C111&lt;&gt;0,SUMPRODUCT((L$105:L$106)*TRANSPOSE(($D111:$E111))),0)</f>
        <v>0</v>
      </c>
      <c r="M111" s="28" cm="1">
        <f t="array" ref="M111">M$104+IF($C111&lt;&gt;0,SUMPRODUCT((M$105:M$106)*TRANSPOSE(($D111:$E111))),0)</f>
        <v>0</v>
      </c>
      <c r="N111" s="28" cm="1">
        <f t="array" ref="N111">N$104+IF($C111&lt;&gt;0,SUMPRODUCT((N$105:N$106)*TRANSPOSE(($D111:$E111))),0)</f>
        <v>0</v>
      </c>
      <c r="O111" s="28" cm="1">
        <f t="array" ref="O111">O$104+IF($C111&lt;&gt;0,SUMPRODUCT((O$105:O$106)*TRANSPOSE(($D111:$E111))),0)</f>
        <v>0</v>
      </c>
      <c r="P111" s="28" cm="1">
        <f t="array" ref="P111">P$104+IF($C111&lt;&gt;0,SUMPRODUCT((P$105:P$106)*TRANSPOSE(($D111:$E111))),0)</f>
        <v>0</v>
      </c>
      <c r="Q111" s="28" cm="1">
        <f t="array" ref="Q111">Q$104+IF($C111&lt;&gt;0,SUMPRODUCT((Q$105:Q$106)*TRANSPOSE(($D111:$E111))),0)</f>
        <v>0</v>
      </c>
      <c r="R111" s="28" cm="1">
        <f t="array" ref="R111">R$104+IF($C111&lt;&gt;0,SUMPRODUCT((R$105:R$106)*TRANSPOSE(($D111:$E111))),0)</f>
        <v>0</v>
      </c>
      <c r="S111" s="28" cm="1">
        <f t="array" ref="S111">S$104+IF($C111&lt;&gt;0,SUMPRODUCT((S$105:S$106)*TRANSPOSE(($D111:$E111))),0)</f>
        <v>0</v>
      </c>
      <c r="T111" s="28" cm="1">
        <f t="array" ref="T111">T$104+IF($C111&lt;&gt;0,SUMPRODUCT((T$105:T$106)*TRANSPOSE(($D111:$E111))),0)</f>
        <v>0</v>
      </c>
      <c r="U111" s="28" cm="1">
        <f t="array" ref="U111">U$104+IF($C111&lt;&gt;0,SUMPRODUCT((U$105:U$106)*TRANSPOSE(($D111:$E111))),0)</f>
        <v>0</v>
      </c>
      <c r="V111" s="28" cm="1">
        <f t="array" ref="V111">V$104+IF($C111&lt;&gt;0,SUMPRODUCT((V$105:V$106)*TRANSPOSE(($D111:$E111))),0)</f>
        <v>0</v>
      </c>
      <c r="W111" s="28" cm="1">
        <f t="array" ref="W111">W$104+IF($C111&lt;&gt;0,SUMPRODUCT((W$105:W$106)*TRANSPOSE(($D111:$E111))),0)</f>
        <v>0</v>
      </c>
      <c r="X111" s="28" cm="1">
        <f t="array" ref="X111">X$104+IF($C111&lt;&gt;0,SUMPRODUCT((X$105:X$106)*TRANSPOSE(($D111:$E111))),0)</f>
        <v>0</v>
      </c>
      <c r="Y111" s="28" cm="1">
        <f t="array" ref="Y111">Y$104+IF($C111&lt;&gt;0,SUMPRODUCT((Y$105:Y$106)*TRANSPOSE(($D111:$E111))),0)</f>
        <v>0</v>
      </c>
      <c r="Z111" s="28" cm="1">
        <f t="array" ref="Z111">Z$104+IF($C111&lt;&gt;0,SUMPRODUCT((Z$105:Z$106)*TRANSPOSE(($D111:$E111))),0)</f>
        <v>0</v>
      </c>
      <c r="AA111" s="28" cm="1">
        <f t="array" ref="AA111">AA$104+IF($C111&lt;&gt;0,SUMPRODUCT((AA$105:AA$106)*TRANSPOSE(($D111:$E111))),0)</f>
        <v>0</v>
      </c>
      <c r="AB111" s="28" cm="1">
        <f t="array" ref="AB111">AB$104+IF($C111&lt;&gt;0,SUMPRODUCT((AB$105:AB$106)*TRANSPOSE(($D111:$E111))),0)</f>
        <v>0</v>
      </c>
      <c r="AC111" s="28" cm="1">
        <f t="array" ref="AC111">AC$104+IF($C111&lt;&gt;0,SUMPRODUCT((AC$105:AC$106)*TRANSPOSE(($D111:$E111))),0)</f>
        <v>0</v>
      </c>
      <c r="AD111" s="28" cm="1">
        <f t="array" ref="AD111">AD$104+IF($C111&lt;&gt;0,SUMPRODUCT((AD$105:AD$106)*TRANSPOSE(($D111:$E111))),0)</f>
        <v>0</v>
      </c>
      <c r="AE111" s="28" cm="1">
        <f t="array" ref="AE111">AE$104+IF($C111&lt;&gt;0,SUMPRODUCT((AE$105:AE$106)*TRANSPOSE(($D111:$E111))),0)</f>
        <v>0</v>
      </c>
      <c r="AF111" s="28" cm="1">
        <f t="array" ref="AF111">AF$104+IF($C111&lt;&gt;0,SUMPRODUCT((AF$105:AF$106)*TRANSPOSE(($D111:$E111))),0)</f>
        <v>0</v>
      </c>
      <c r="AG111" s="28" cm="1">
        <f t="array" ref="AG111">AG$104+IF($C111&lt;&gt;0,SUMPRODUCT((AG$105:AG$106)*TRANSPOSE(($D111:$E111))),0)</f>
        <v>0</v>
      </c>
    </row>
    <row r="112" spans="1:43" x14ac:dyDescent="0.2">
      <c r="A112" s="1" t="str">
        <f>"sens"&amp;Assumptions!B121</f>
        <v>sens5</v>
      </c>
      <c r="C112" s="252" t="str">
        <f>Assumptions!C121</f>
        <v>Capex 10% higher &amp; Total benefits 10% lower</v>
      </c>
      <c r="D112" s="253">
        <f>Assumptions!G121</f>
        <v>0.1</v>
      </c>
      <c r="E112" s="253">
        <f>Assumptions!H121</f>
        <v>-0.1</v>
      </c>
      <c r="G112" s="34" t="str">
        <f t="shared" si="21"/>
        <v>Option 5sens5</v>
      </c>
      <c r="I112" s="28" cm="1">
        <f t="array" ref="I112">I$104+IF($C112&lt;&gt;0,SUMPRODUCT((I$105:I$106)*TRANSPOSE(($D112:$E112))),0)</f>
        <v>0</v>
      </c>
      <c r="J112" s="28" cm="1">
        <f t="array" ref="J112">J$104+IF($C112&lt;&gt;0,SUMPRODUCT((J$105:J$106)*TRANSPOSE(($D112:$E112))),0)</f>
        <v>0</v>
      </c>
      <c r="K112" s="28" cm="1">
        <f t="array" ref="K112">K$104+IF($C112&lt;&gt;0,SUMPRODUCT((K$105:K$106)*TRANSPOSE(($D112:$E112))),0)</f>
        <v>0</v>
      </c>
      <c r="L112" s="28" cm="1">
        <f t="array" ref="L112">L$104+IF($C112&lt;&gt;0,SUMPRODUCT((L$105:L$106)*TRANSPOSE(($D112:$E112))),0)</f>
        <v>0</v>
      </c>
      <c r="M112" s="28" cm="1">
        <f t="array" ref="M112">M$104+IF($C112&lt;&gt;0,SUMPRODUCT((M$105:M$106)*TRANSPOSE(($D112:$E112))),0)</f>
        <v>0</v>
      </c>
      <c r="N112" s="28" cm="1">
        <f t="array" ref="N112">N$104+IF($C112&lt;&gt;0,SUMPRODUCT((N$105:N$106)*TRANSPOSE(($D112:$E112))),0)</f>
        <v>0</v>
      </c>
      <c r="O112" s="28" cm="1">
        <f t="array" ref="O112">O$104+IF($C112&lt;&gt;0,SUMPRODUCT((O$105:O$106)*TRANSPOSE(($D112:$E112))),0)</f>
        <v>0</v>
      </c>
      <c r="P112" s="28" cm="1">
        <f t="array" ref="P112">P$104+IF($C112&lt;&gt;0,SUMPRODUCT((P$105:P$106)*TRANSPOSE(($D112:$E112))),0)</f>
        <v>0</v>
      </c>
      <c r="Q112" s="28" cm="1">
        <f t="array" ref="Q112">Q$104+IF($C112&lt;&gt;0,SUMPRODUCT((Q$105:Q$106)*TRANSPOSE(($D112:$E112))),0)</f>
        <v>0</v>
      </c>
      <c r="R112" s="28" cm="1">
        <f t="array" ref="R112">R$104+IF($C112&lt;&gt;0,SUMPRODUCT((R$105:R$106)*TRANSPOSE(($D112:$E112))),0)</f>
        <v>0</v>
      </c>
      <c r="S112" s="28" cm="1">
        <f t="array" ref="S112">S$104+IF($C112&lt;&gt;0,SUMPRODUCT((S$105:S$106)*TRANSPOSE(($D112:$E112))),0)</f>
        <v>0</v>
      </c>
      <c r="T112" s="28" cm="1">
        <f t="array" ref="T112">T$104+IF($C112&lt;&gt;0,SUMPRODUCT((T$105:T$106)*TRANSPOSE(($D112:$E112))),0)</f>
        <v>0</v>
      </c>
      <c r="U112" s="28" cm="1">
        <f t="array" ref="U112">U$104+IF($C112&lt;&gt;0,SUMPRODUCT((U$105:U$106)*TRANSPOSE(($D112:$E112))),0)</f>
        <v>0</v>
      </c>
      <c r="V112" s="28" cm="1">
        <f t="array" ref="V112">V$104+IF($C112&lt;&gt;0,SUMPRODUCT((V$105:V$106)*TRANSPOSE(($D112:$E112))),0)</f>
        <v>0</v>
      </c>
      <c r="W112" s="28" cm="1">
        <f t="array" ref="W112">W$104+IF($C112&lt;&gt;0,SUMPRODUCT((W$105:W$106)*TRANSPOSE(($D112:$E112))),0)</f>
        <v>0</v>
      </c>
      <c r="X112" s="28" cm="1">
        <f t="array" ref="X112">X$104+IF($C112&lt;&gt;0,SUMPRODUCT((X$105:X$106)*TRANSPOSE(($D112:$E112))),0)</f>
        <v>0</v>
      </c>
      <c r="Y112" s="28" cm="1">
        <f t="array" ref="Y112">Y$104+IF($C112&lt;&gt;0,SUMPRODUCT((Y$105:Y$106)*TRANSPOSE(($D112:$E112))),0)</f>
        <v>0</v>
      </c>
      <c r="Z112" s="28" cm="1">
        <f t="array" ref="Z112">Z$104+IF($C112&lt;&gt;0,SUMPRODUCT((Z$105:Z$106)*TRANSPOSE(($D112:$E112))),0)</f>
        <v>0</v>
      </c>
      <c r="AA112" s="28" cm="1">
        <f t="array" ref="AA112">AA$104+IF($C112&lt;&gt;0,SUMPRODUCT((AA$105:AA$106)*TRANSPOSE(($D112:$E112))),0)</f>
        <v>0</v>
      </c>
      <c r="AB112" s="28" cm="1">
        <f t="array" ref="AB112">AB$104+IF($C112&lt;&gt;0,SUMPRODUCT((AB$105:AB$106)*TRANSPOSE(($D112:$E112))),0)</f>
        <v>0</v>
      </c>
      <c r="AC112" s="28" cm="1">
        <f t="array" ref="AC112">AC$104+IF($C112&lt;&gt;0,SUMPRODUCT((AC$105:AC$106)*TRANSPOSE(($D112:$E112))),0)</f>
        <v>0</v>
      </c>
      <c r="AD112" s="28" cm="1">
        <f t="array" ref="AD112">AD$104+IF($C112&lt;&gt;0,SUMPRODUCT((AD$105:AD$106)*TRANSPOSE(($D112:$E112))),0)</f>
        <v>0</v>
      </c>
      <c r="AE112" s="28" cm="1">
        <f t="array" ref="AE112">AE$104+IF($C112&lt;&gt;0,SUMPRODUCT((AE$105:AE$106)*TRANSPOSE(($D112:$E112))),0)</f>
        <v>0</v>
      </c>
      <c r="AF112" s="28" cm="1">
        <f t="array" ref="AF112">AF$104+IF($C112&lt;&gt;0,SUMPRODUCT((AF$105:AF$106)*TRANSPOSE(($D112:$E112))),0)</f>
        <v>0</v>
      </c>
      <c r="AG112" s="28" cm="1">
        <f t="array" ref="AG112">AG$104+IF($C112&lt;&gt;0,SUMPRODUCT((AG$105:AG$106)*TRANSPOSE(($D112:$E112))),0)</f>
        <v>0</v>
      </c>
    </row>
    <row r="113" spans="1:33" x14ac:dyDescent="0.2">
      <c r="A113" s="1" t="str">
        <f>"sens"&amp;Assumptions!B122</f>
        <v>sens</v>
      </c>
      <c r="C113" s="252">
        <f>Assumptions!C122</f>
        <v>0</v>
      </c>
      <c r="D113" s="253">
        <f>Assumptions!G122</f>
        <v>0</v>
      </c>
      <c r="E113" s="253">
        <f>Assumptions!H122</f>
        <v>0</v>
      </c>
      <c r="G113" s="34" t="str">
        <f t="shared" si="21"/>
        <v>Option 5sens</v>
      </c>
      <c r="I113" s="28" cm="1">
        <f t="array" ref="I113">I$104+IF($C113&lt;&gt;0,SUMPRODUCT((I$105:I$106)*TRANSPOSE(($D113:$E113))),0)</f>
        <v>0</v>
      </c>
      <c r="J113" s="28" cm="1">
        <f t="array" ref="J113">J$104+IF($C113&lt;&gt;0,SUMPRODUCT((J$105:J$106)*TRANSPOSE(($D113:$E113))),0)</f>
        <v>0</v>
      </c>
      <c r="K113" s="28" cm="1">
        <f t="array" ref="K113">K$104+IF($C113&lt;&gt;0,SUMPRODUCT((K$105:K$106)*TRANSPOSE(($D113:$E113))),0)</f>
        <v>0</v>
      </c>
      <c r="L113" s="28" cm="1">
        <f t="array" ref="L113">L$104+IF($C113&lt;&gt;0,SUMPRODUCT((L$105:L$106)*TRANSPOSE(($D113:$E113))),0)</f>
        <v>0</v>
      </c>
      <c r="M113" s="28" cm="1">
        <f t="array" ref="M113">M$104+IF($C113&lt;&gt;0,SUMPRODUCT((M$105:M$106)*TRANSPOSE(($D113:$E113))),0)</f>
        <v>0</v>
      </c>
      <c r="N113" s="28" cm="1">
        <f t="array" ref="N113">N$104+IF($C113&lt;&gt;0,SUMPRODUCT((N$105:N$106)*TRANSPOSE(($D113:$E113))),0)</f>
        <v>0</v>
      </c>
      <c r="O113" s="28" cm="1">
        <f t="array" ref="O113">O$104+IF($C113&lt;&gt;0,SUMPRODUCT((O$105:O$106)*TRANSPOSE(($D113:$E113))),0)</f>
        <v>0</v>
      </c>
      <c r="P113" s="28" cm="1">
        <f t="array" ref="P113">P$104+IF($C113&lt;&gt;0,SUMPRODUCT((P$105:P$106)*TRANSPOSE(($D113:$E113))),0)</f>
        <v>0</v>
      </c>
      <c r="Q113" s="28" cm="1">
        <f t="array" ref="Q113">Q$104+IF($C113&lt;&gt;0,SUMPRODUCT((Q$105:Q$106)*TRANSPOSE(($D113:$E113))),0)</f>
        <v>0</v>
      </c>
      <c r="R113" s="28" cm="1">
        <f t="array" ref="R113">R$104+IF($C113&lt;&gt;0,SUMPRODUCT((R$105:R$106)*TRANSPOSE(($D113:$E113))),0)</f>
        <v>0</v>
      </c>
      <c r="S113" s="28" cm="1">
        <f t="array" ref="S113">S$104+IF($C113&lt;&gt;0,SUMPRODUCT((S$105:S$106)*TRANSPOSE(($D113:$E113))),0)</f>
        <v>0</v>
      </c>
      <c r="T113" s="28" cm="1">
        <f t="array" ref="T113">T$104+IF($C113&lt;&gt;0,SUMPRODUCT((T$105:T$106)*TRANSPOSE(($D113:$E113))),0)</f>
        <v>0</v>
      </c>
      <c r="U113" s="28" cm="1">
        <f t="array" ref="U113">U$104+IF($C113&lt;&gt;0,SUMPRODUCT((U$105:U$106)*TRANSPOSE(($D113:$E113))),0)</f>
        <v>0</v>
      </c>
      <c r="V113" s="28" cm="1">
        <f t="array" ref="V113">V$104+IF($C113&lt;&gt;0,SUMPRODUCT((V$105:V$106)*TRANSPOSE(($D113:$E113))),0)</f>
        <v>0</v>
      </c>
      <c r="W113" s="28" cm="1">
        <f t="array" ref="W113">W$104+IF($C113&lt;&gt;0,SUMPRODUCT((W$105:W$106)*TRANSPOSE(($D113:$E113))),0)</f>
        <v>0</v>
      </c>
      <c r="X113" s="28" cm="1">
        <f t="array" ref="X113">X$104+IF($C113&lt;&gt;0,SUMPRODUCT((X$105:X$106)*TRANSPOSE(($D113:$E113))),0)</f>
        <v>0</v>
      </c>
      <c r="Y113" s="28" cm="1">
        <f t="array" ref="Y113">Y$104+IF($C113&lt;&gt;0,SUMPRODUCT((Y$105:Y$106)*TRANSPOSE(($D113:$E113))),0)</f>
        <v>0</v>
      </c>
      <c r="Z113" s="28" cm="1">
        <f t="array" ref="Z113">Z$104+IF($C113&lt;&gt;0,SUMPRODUCT((Z$105:Z$106)*TRANSPOSE(($D113:$E113))),0)</f>
        <v>0</v>
      </c>
      <c r="AA113" s="28" cm="1">
        <f t="array" ref="AA113">AA$104+IF($C113&lt;&gt;0,SUMPRODUCT((AA$105:AA$106)*TRANSPOSE(($D113:$E113))),0)</f>
        <v>0</v>
      </c>
      <c r="AB113" s="28" cm="1">
        <f t="array" ref="AB113">AB$104+IF($C113&lt;&gt;0,SUMPRODUCT((AB$105:AB$106)*TRANSPOSE(($D113:$E113))),0)</f>
        <v>0</v>
      </c>
      <c r="AC113" s="28" cm="1">
        <f t="array" ref="AC113">AC$104+IF($C113&lt;&gt;0,SUMPRODUCT((AC$105:AC$106)*TRANSPOSE(($D113:$E113))),0)</f>
        <v>0</v>
      </c>
      <c r="AD113" s="28" cm="1">
        <f t="array" ref="AD113">AD$104+IF($C113&lt;&gt;0,SUMPRODUCT((AD$105:AD$106)*TRANSPOSE(($D113:$E113))),0)</f>
        <v>0</v>
      </c>
      <c r="AE113" s="28" cm="1">
        <f t="array" ref="AE113">AE$104+IF($C113&lt;&gt;0,SUMPRODUCT((AE$105:AE$106)*TRANSPOSE(($D113:$E113))),0)</f>
        <v>0</v>
      </c>
      <c r="AF113" s="28" cm="1">
        <f t="array" ref="AF113">AF$104+IF($C113&lt;&gt;0,SUMPRODUCT((AF$105:AF$106)*TRANSPOSE(($D113:$E113))),0)</f>
        <v>0</v>
      </c>
      <c r="AG113" s="28" cm="1">
        <f t="array" ref="AG113">AG$104+IF($C113&lt;&gt;0,SUMPRODUCT((AG$105:AG$106)*TRANSPOSE(($D113:$E113))),0)</f>
        <v>0</v>
      </c>
    </row>
    <row r="114" spans="1:33" x14ac:dyDescent="0.2">
      <c r="A114" s="1" t="str">
        <f>"sens"&amp;Assumptions!B123</f>
        <v>sens</v>
      </c>
      <c r="C114" s="252">
        <f>Assumptions!C123</f>
        <v>0</v>
      </c>
      <c r="D114" s="253">
        <f>Assumptions!G123</f>
        <v>0</v>
      </c>
      <c r="E114" s="253">
        <f>Assumptions!H123</f>
        <v>0</v>
      </c>
      <c r="G114" s="34" t="str">
        <f t="shared" si="21"/>
        <v>Option 5sens</v>
      </c>
      <c r="I114" s="28" cm="1">
        <f t="array" ref="I114">I$104+IF($C114&lt;&gt;0,SUMPRODUCT((I$105:I$106)*TRANSPOSE(($D114:$E114))),0)</f>
        <v>0</v>
      </c>
      <c r="J114" s="28" cm="1">
        <f t="array" ref="J114">J$104+IF($C114&lt;&gt;0,SUMPRODUCT((J$105:J$106)*TRANSPOSE(($D114:$E114))),0)</f>
        <v>0</v>
      </c>
      <c r="K114" s="28" cm="1">
        <f t="array" ref="K114">K$104+IF($C114&lt;&gt;0,SUMPRODUCT((K$105:K$106)*TRANSPOSE(($D114:$E114))),0)</f>
        <v>0</v>
      </c>
      <c r="L114" s="28" cm="1">
        <f t="array" ref="L114">L$104+IF($C114&lt;&gt;0,SUMPRODUCT((L$105:L$106)*TRANSPOSE(($D114:$E114))),0)</f>
        <v>0</v>
      </c>
      <c r="M114" s="28" cm="1">
        <f t="array" ref="M114">M$104+IF($C114&lt;&gt;0,SUMPRODUCT((M$105:M$106)*TRANSPOSE(($D114:$E114))),0)</f>
        <v>0</v>
      </c>
      <c r="N114" s="28" cm="1">
        <f t="array" ref="N114">N$104+IF($C114&lt;&gt;0,SUMPRODUCT((N$105:N$106)*TRANSPOSE(($D114:$E114))),0)</f>
        <v>0</v>
      </c>
      <c r="O114" s="28" cm="1">
        <f t="array" ref="O114">O$104+IF($C114&lt;&gt;0,SUMPRODUCT((O$105:O$106)*TRANSPOSE(($D114:$E114))),0)</f>
        <v>0</v>
      </c>
      <c r="P114" s="28" cm="1">
        <f t="array" ref="P114">P$104+IF($C114&lt;&gt;0,SUMPRODUCT((P$105:P$106)*TRANSPOSE(($D114:$E114))),0)</f>
        <v>0</v>
      </c>
      <c r="Q114" s="28" cm="1">
        <f t="array" ref="Q114">Q$104+IF($C114&lt;&gt;0,SUMPRODUCT((Q$105:Q$106)*TRANSPOSE(($D114:$E114))),0)</f>
        <v>0</v>
      </c>
      <c r="R114" s="28" cm="1">
        <f t="array" ref="R114">R$104+IF($C114&lt;&gt;0,SUMPRODUCT((R$105:R$106)*TRANSPOSE(($D114:$E114))),0)</f>
        <v>0</v>
      </c>
      <c r="S114" s="28" cm="1">
        <f t="array" ref="S114">S$104+IF($C114&lt;&gt;0,SUMPRODUCT((S$105:S$106)*TRANSPOSE(($D114:$E114))),0)</f>
        <v>0</v>
      </c>
      <c r="T114" s="28" cm="1">
        <f t="array" ref="T114">T$104+IF($C114&lt;&gt;0,SUMPRODUCT((T$105:T$106)*TRANSPOSE(($D114:$E114))),0)</f>
        <v>0</v>
      </c>
      <c r="U114" s="28" cm="1">
        <f t="array" ref="U114">U$104+IF($C114&lt;&gt;0,SUMPRODUCT((U$105:U$106)*TRANSPOSE(($D114:$E114))),0)</f>
        <v>0</v>
      </c>
      <c r="V114" s="28" cm="1">
        <f t="array" ref="V114">V$104+IF($C114&lt;&gt;0,SUMPRODUCT((V$105:V$106)*TRANSPOSE(($D114:$E114))),0)</f>
        <v>0</v>
      </c>
      <c r="W114" s="28" cm="1">
        <f t="array" ref="W114">W$104+IF($C114&lt;&gt;0,SUMPRODUCT((W$105:W$106)*TRANSPOSE(($D114:$E114))),0)</f>
        <v>0</v>
      </c>
      <c r="X114" s="28" cm="1">
        <f t="array" ref="X114">X$104+IF($C114&lt;&gt;0,SUMPRODUCT((X$105:X$106)*TRANSPOSE(($D114:$E114))),0)</f>
        <v>0</v>
      </c>
      <c r="Y114" s="28" cm="1">
        <f t="array" ref="Y114">Y$104+IF($C114&lt;&gt;0,SUMPRODUCT((Y$105:Y$106)*TRANSPOSE(($D114:$E114))),0)</f>
        <v>0</v>
      </c>
      <c r="Z114" s="28" cm="1">
        <f t="array" ref="Z114">Z$104+IF($C114&lt;&gt;0,SUMPRODUCT((Z$105:Z$106)*TRANSPOSE(($D114:$E114))),0)</f>
        <v>0</v>
      </c>
      <c r="AA114" s="28" cm="1">
        <f t="array" ref="AA114">AA$104+IF($C114&lt;&gt;0,SUMPRODUCT((AA$105:AA$106)*TRANSPOSE(($D114:$E114))),0)</f>
        <v>0</v>
      </c>
      <c r="AB114" s="28" cm="1">
        <f t="array" ref="AB114">AB$104+IF($C114&lt;&gt;0,SUMPRODUCT((AB$105:AB$106)*TRANSPOSE(($D114:$E114))),0)</f>
        <v>0</v>
      </c>
      <c r="AC114" s="28" cm="1">
        <f t="array" ref="AC114">AC$104+IF($C114&lt;&gt;0,SUMPRODUCT((AC$105:AC$106)*TRANSPOSE(($D114:$E114))),0)</f>
        <v>0</v>
      </c>
      <c r="AD114" s="28" cm="1">
        <f t="array" ref="AD114">AD$104+IF($C114&lt;&gt;0,SUMPRODUCT((AD$105:AD$106)*TRANSPOSE(($D114:$E114))),0)</f>
        <v>0</v>
      </c>
      <c r="AE114" s="28" cm="1">
        <f t="array" ref="AE114">AE$104+IF($C114&lt;&gt;0,SUMPRODUCT((AE$105:AE$106)*TRANSPOSE(($D114:$E114))),0)</f>
        <v>0</v>
      </c>
      <c r="AF114" s="28" cm="1">
        <f t="array" ref="AF114">AF$104+IF($C114&lt;&gt;0,SUMPRODUCT((AF$105:AF$106)*TRANSPOSE(($D114:$E114))),0)</f>
        <v>0</v>
      </c>
      <c r="AG114" s="28" cm="1">
        <f t="array" ref="AG114">AG$104+IF($C114&lt;&gt;0,SUMPRODUCT((AG$105:AG$106)*TRANSPOSE(($D114:$E114))),0)</f>
        <v>0</v>
      </c>
    </row>
    <row r="115" spans="1:33" x14ac:dyDescent="0.2">
      <c r="A115" s="1" t="str">
        <f>"sens"&amp;Assumptions!B124</f>
        <v>sens</v>
      </c>
      <c r="C115" s="252">
        <f>Assumptions!C124</f>
        <v>0</v>
      </c>
      <c r="D115" s="253">
        <f>Assumptions!G124</f>
        <v>0</v>
      </c>
      <c r="E115" s="253">
        <f>Assumptions!H124</f>
        <v>0</v>
      </c>
      <c r="G115" s="34" t="str">
        <f t="shared" si="21"/>
        <v>Option 5sens</v>
      </c>
      <c r="I115" s="28" cm="1">
        <f t="array" ref="I115">I$104+IF($C115&lt;&gt;0,SUMPRODUCT((I$105:I$106)*TRANSPOSE(($D115:$E115))),0)</f>
        <v>0</v>
      </c>
      <c r="J115" s="28" cm="1">
        <f t="array" ref="J115">J$104+IF($C115&lt;&gt;0,SUMPRODUCT((J$105:J$106)*TRANSPOSE(($D115:$E115))),0)</f>
        <v>0</v>
      </c>
      <c r="K115" s="28" cm="1">
        <f t="array" ref="K115">K$104+IF($C115&lt;&gt;0,SUMPRODUCT((K$105:K$106)*TRANSPOSE(($D115:$E115))),0)</f>
        <v>0</v>
      </c>
      <c r="L115" s="28" cm="1">
        <f t="array" ref="L115">L$104+IF($C115&lt;&gt;0,SUMPRODUCT((L$105:L$106)*TRANSPOSE(($D115:$E115))),0)</f>
        <v>0</v>
      </c>
      <c r="M115" s="28" cm="1">
        <f t="array" ref="M115">M$104+IF($C115&lt;&gt;0,SUMPRODUCT((M$105:M$106)*TRANSPOSE(($D115:$E115))),0)</f>
        <v>0</v>
      </c>
      <c r="N115" s="28" cm="1">
        <f t="array" ref="N115">N$104+IF($C115&lt;&gt;0,SUMPRODUCT((N$105:N$106)*TRANSPOSE(($D115:$E115))),0)</f>
        <v>0</v>
      </c>
      <c r="O115" s="28" cm="1">
        <f t="array" ref="O115">O$104+IF($C115&lt;&gt;0,SUMPRODUCT((O$105:O$106)*TRANSPOSE(($D115:$E115))),0)</f>
        <v>0</v>
      </c>
      <c r="P115" s="28" cm="1">
        <f t="array" ref="P115">P$104+IF($C115&lt;&gt;0,SUMPRODUCT((P$105:P$106)*TRANSPOSE(($D115:$E115))),0)</f>
        <v>0</v>
      </c>
      <c r="Q115" s="28" cm="1">
        <f t="array" ref="Q115">Q$104+IF($C115&lt;&gt;0,SUMPRODUCT((Q$105:Q$106)*TRANSPOSE(($D115:$E115))),0)</f>
        <v>0</v>
      </c>
      <c r="R115" s="28" cm="1">
        <f t="array" ref="R115">R$104+IF($C115&lt;&gt;0,SUMPRODUCT((R$105:R$106)*TRANSPOSE(($D115:$E115))),0)</f>
        <v>0</v>
      </c>
      <c r="S115" s="28" cm="1">
        <f t="array" ref="S115">S$104+IF($C115&lt;&gt;0,SUMPRODUCT((S$105:S$106)*TRANSPOSE(($D115:$E115))),0)</f>
        <v>0</v>
      </c>
      <c r="T115" s="28" cm="1">
        <f t="array" ref="T115">T$104+IF($C115&lt;&gt;0,SUMPRODUCT((T$105:T$106)*TRANSPOSE(($D115:$E115))),0)</f>
        <v>0</v>
      </c>
      <c r="U115" s="28" cm="1">
        <f t="array" ref="U115">U$104+IF($C115&lt;&gt;0,SUMPRODUCT((U$105:U$106)*TRANSPOSE(($D115:$E115))),0)</f>
        <v>0</v>
      </c>
      <c r="V115" s="28" cm="1">
        <f t="array" ref="V115">V$104+IF($C115&lt;&gt;0,SUMPRODUCT((V$105:V$106)*TRANSPOSE(($D115:$E115))),0)</f>
        <v>0</v>
      </c>
      <c r="W115" s="28" cm="1">
        <f t="array" ref="W115">W$104+IF($C115&lt;&gt;0,SUMPRODUCT((W$105:W$106)*TRANSPOSE(($D115:$E115))),0)</f>
        <v>0</v>
      </c>
      <c r="X115" s="28" cm="1">
        <f t="array" ref="X115">X$104+IF($C115&lt;&gt;0,SUMPRODUCT((X$105:X$106)*TRANSPOSE(($D115:$E115))),0)</f>
        <v>0</v>
      </c>
      <c r="Y115" s="28" cm="1">
        <f t="array" ref="Y115">Y$104+IF($C115&lt;&gt;0,SUMPRODUCT((Y$105:Y$106)*TRANSPOSE(($D115:$E115))),0)</f>
        <v>0</v>
      </c>
      <c r="Z115" s="28" cm="1">
        <f t="array" ref="Z115">Z$104+IF($C115&lt;&gt;0,SUMPRODUCT((Z$105:Z$106)*TRANSPOSE(($D115:$E115))),0)</f>
        <v>0</v>
      </c>
      <c r="AA115" s="28" cm="1">
        <f t="array" ref="AA115">AA$104+IF($C115&lt;&gt;0,SUMPRODUCT((AA$105:AA$106)*TRANSPOSE(($D115:$E115))),0)</f>
        <v>0</v>
      </c>
      <c r="AB115" s="28" cm="1">
        <f t="array" ref="AB115">AB$104+IF($C115&lt;&gt;0,SUMPRODUCT((AB$105:AB$106)*TRANSPOSE(($D115:$E115))),0)</f>
        <v>0</v>
      </c>
      <c r="AC115" s="28" cm="1">
        <f t="array" ref="AC115">AC$104+IF($C115&lt;&gt;0,SUMPRODUCT((AC$105:AC$106)*TRANSPOSE(($D115:$E115))),0)</f>
        <v>0</v>
      </c>
      <c r="AD115" s="28" cm="1">
        <f t="array" ref="AD115">AD$104+IF($C115&lt;&gt;0,SUMPRODUCT((AD$105:AD$106)*TRANSPOSE(($D115:$E115))),0)</f>
        <v>0</v>
      </c>
      <c r="AE115" s="28" cm="1">
        <f t="array" ref="AE115">AE$104+IF($C115&lt;&gt;0,SUMPRODUCT((AE$105:AE$106)*TRANSPOSE(($D115:$E115))),0)</f>
        <v>0</v>
      </c>
      <c r="AF115" s="28" cm="1">
        <f t="array" ref="AF115">AF$104+IF($C115&lt;&gt;0,SUMPRODUCT((AF$105:AF$106)*TRANSPOSE(($D115:$E115))),0)</f>
        <v>0</v>
      </c>
      <c r="AG115" s="28" cm="1">
        <f t="array" ref="AG115">AG$104+IF($C115&lt;&gt;0,SUMPRODUCT((AG$105:AG$106)*TRANSPOSE(($D115:$E115))),0)</f>
        <v>0</v>
      </c>
    </row>
  </sheetData>
  <conditionalFormatting sqref="E14:E16">
    <cfRule type="expression" dxfId="1" priority="38">
      <formula>AND(SUM($I14:$AB14)&lt;&gt;0, E14=0)</formula>
    </cfRule>
  </conditionalFormatting>
  <conditionalFormatting sqref="E29">
    <cfRule type="expression" dxfId="0" priority="1">
      <formula>AND(SUM($I$28:$AG$28)&gt;0, $E$29=0)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04" id="{E7BF7EA6-A453-4A58-B216-30C5D81DCA5D}">
            <xm:f>$A$4=Data!$C$8</xm:f>
            <x14:dxf>
              <font>
                <color theme="0" tint="-0.499984740745262"/>
              </font>
            </x14:dxf>
          </x14:cfRule>
          <xm:sqref>C3 A4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E214B-6F38-4BC3-ACB0-5DADD7973A52}">
  <sheetPr codeName="Sheet13">
    <tabColor rgb="FF002060"/>
    <pageSetUpPr fitToPage="1"/>
  </sheetPr>
  <dimension ref="A1:AJ810"/>
  <sheetViews>
    <sheetView showGridLines="0" zoomScale="80" zoomScaleNormal="80" workbookViewId="0">
      <pane xSplit="7" ySplit="10" topLeftCell="H11" activePane="bottomRight" state="frozen"/>
      <selection pane="topRight" activeCell="D33" sqref="D33"/>
      <selection pane="bottomLeft" activeCell="D33" sqref="D33"/>
      <selection pane="bottomRight" activeCell="H11" sqref="H11"/>
    </sheetView>
  </sheetViews>
  <sheetFormatPr defaultColWidth="0" defaultRowHeight="12.75" zeroHeight="1" outlineLevelRow="1" x14ac:dyDescent="0.2"/>
  <cols>
    <col min="1" max="1" width="8.125" style="8" customWidth="1"/>
    <col min="2" max="2" width="5.5" style="8" customWidth="1"/>
    <col min="3" max="3" width="16.875" style="8" bestFit="1" customWidth="1"/>
    <col min="4" max="4" width="12.375" style="8" customWidth="1"/>
    <col min="5" max="5" width="14.25" customWidth="1"/>
    <col min="6" max="6" width="12.375" style="8" customWidth="1"/>
    <col min="7" max="7" width="11.625" style="8" customWidth="1"/>
    <col min="8" max="8" width="8.625" style="8" customWidth="1"/>
    <col min="9" max="33" width="11" style="8" customWidth="1"/>
    <col min="34" max="35" width="9" style="8" customWidth="1"/>
    <col min="36" max="36" width="0" style="8" hidden="1" customWidth="1"/>
    <col min="37" max="16384" width="9" style="8" hidden="1"/>
  </cols>
  <sheetData>
    <row r="1" spans="1:34" s="6" customFormat="1" ht="18.75" x14ac:dyDescent="0.3">
      <c r="A1" s="13" t="str">
        <f>bus</f>
        <v>Powercor</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row>
    <row r="2" spans="1:34" s="6" customFormat="1" ht="18.75" x14ac:dyDescent="0.3">
      <c r="A2" s="50" t="str">
        <f>proj</f>
        <v>TRG024-WBL012 Tie upgrade</v>
      </c>
      <c r="B2" s="50"/>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row>
    <row r="3" spans="1:34" s="2" customFormat="1" ht="18.75" x14ac:dyDescent="0.3">
      <c r="A3" s="176" t="s">
        <v>142</v>
      </c>
      <c r="B3" s="5"/>
      <c r="C3" s="31"/>
      <c r="D3" s="31"/>
      <c r="E3" s="31"/>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row>
    <row r="4" spans="1:34" s="2" customFormat="1" ht="6.75" customHeight="1" x14ac:dyDescent="0.2">
      <c r="A4" s="101"/>
      <c r="B4" s="101"/>
      <c r="C4" s="86"/>
      <c r="D4" s="86"/>
      <c r="E4" s="86"/>
      <c r="F4" s="86"/>
      <c r="G4" s="89"/>
      <c r="H4" s="89"/>
      <c r="I4" s="89"/>
      <c r="J4" s="89"/>
      <c r="K4" s="89"/>
      <c r="L4" s="89"/>
      <c r="M4" s="89"/>
      <c r="N4" s="89"/>
      <c r="O4" s="89"/>
      <c r="P4" s="89"/>
      <c r="Q4" s="89"/>
      <c r="R4" s="89"/>
      <c r="S4" s="89"/>
      <c r="T4" s="89"/>
      <c r="U4" s="89"/>
      <c r="V4" s="89"/>
      <c r="W4" s="89"/>
      <c r="X4" s="89"/>
      <c r="Y4" s="89"/>
      <c r="Z4" s="89"/>
      <c r="AA4" s="89"/>
      <c r="AB4" s="89"/>
      <c r="AC4" s="89"/>
      <c r="AD4" s="89"/>
      <c r="AE4" s="89"/>
      <c r="AF4" s="89"/>
      <c r="AG4" s="89"/>
    </row>
    <row r="5" spans="1:34" s="2" customFormat="1" hidden="1" outlineLevel="1" x14ac:dyDescent="0.2">
      <c r="A5" s="86" t="s">
        <v>143</v>
      </c>
      <c r="B5" s="86"/>
      <c r="C5" s="87"/>
      <c r="D5" s="86"/>
      <c r="E5" s="86"/>
      <c r="F5" s="86"/>
      <c r="G5" s="89"/>
      <c r="H5" s="163">
        <f t="shared" ref="H5:AG5" si="0">IF(H9=start,1/((1+real_disc)^(1/2)),G5/(1+real_disc))</f>
        <v>0</v>
      </c>
      <c r="I5" s="163">
        <f t="shared" si="0"/>
        <v>0.98294637436598087</v>
      </c>
      <c r="J5" s="163">
        <f t="shared" si="0"/>
        <v>0.94970664189949849</v>
      </c>
      <c r="K5" s="163">
        <f t="shared" si="0"/>
        <v>0.91759095835700344</v>
      </c>
      <c r="L5" s="163">
        <f t="shared" si="0"/>
        <v>0.88656131242222558</v>
      </c>
      <c r="M5" s="163">
        <f t="shared" si="0"/>
        <v>0.85658097818572532</v>
      </c>
      <c r="N5" s="163">
        <f t="shared" si="0"/>
        <v>0.8276144716770294</v>
      </c>
      <c r="O5" s="163">
        <f t="shared" si="0"/>
        <v>0.79962750886669509</v>
      </c>
      <c r="P5" s="163">
        <f t="shared" si="0"/>
        <v>0.77258696508859437</v>
      </c>
      <c r="Q5" s="163">
        <f t="shared" si="0"/>
        <v>0.74646083583439071</v>
      </c>
      <c r="R5" s="163">
        <f t="shared" si="0"/>
        <v>0.72121819887380756</v>
      </c>
      <c r="S5" s="163">
        <f t="shared" si="0"/>
        <v>0.69682917765585273</v>
      </c>
      <c r="T5" s="163">
        <f t="shared" si="0"/>
        <v>0.67326490594768384</v>
      </c>
      <c r="U5" s="163">
        <f t="shared" si="0"/>
        <v>0.6504974936692598</v>
      </c>
      <c r="V5" s="163">
        <f t="shared" si="0"/>
        <v>0.62849999388334288</v>
      </c>
      <c r="W5" s="163">
        <f t="shared" si="0"/>
        <v>0.60724637090178057</v>
      </c>
      <c r="X5" s="163">
        <f t="shared" si="0"/>
        <v>0.58671146947031949</v>
      </c>
      <c r="Y5" s="163">
        <f t="shared" si="0"/>
        <v>0.56687098499547783</v>
      </c>
      <c r="Z5" s="163">
        <f t="shared" si="0"/>
        <v>0.54770143477823952</v>
      </c>
      <c r="AA5" s="163">
        <f t="shared" si="0"/>
        <v>0.52918013022052135</v>
      </c>
      <c r="AB5" s="163">
        <f t="shared" si="0"/>
        <v>0.5112851499715183</v>
      </c>
      <c r="AC5" s="163">
        <f t="shared" si="0"/>
        <v>0.4939953139821433</v>
      </c>
      <c r="AD5" s="163">
        <f t="shared" si="0"/>
        <v>0.47729015843685346</v>
      </c>
      <c r="AE5" s="163">
        <f t="shared" si="0"/>
        <v>0.46114991153319179</v>
      </c>
      <c r="AF5" s="163">
        <f t="shared" si="0"/>
        <v>0.4455554700803786</v>
      </c>
      <c r="AG5" s="163">
        <f t="shared" si="0"/>
        <v>0.43048837688925473</v>
      </c>
    </row>
    <row r="6" spans="1:34" s="2" customFormat="1" hidden="1" outlineLevel="1" x14ac:dyDescent="0.2">
      <c r="A6" s="164" t="str">
        <f>'Option1 (base case)'!A6</f>
        <v>Count</v>
      </c>
      <c r="B6" s="86"/>
      <c r="C6" s="87"/>
      <c r="D6" s="86"/>
      <c r="E6" s="86"/>
      <c r="F6" s="86"/>
      <c r="G6" s="89"/>
      <c r="H6" s="164">
        <f>'Option1 (base case)'!H6</f>
        <v>0</v>
      </c>
      <c r="I6" s="164">
        <f>'Option1 (base case)'!I6</f>
        <v>1</v>
      </c>
      <c r="J6" s="164">
        <f>'Option1 (base case)'!J6</f>
        <v>2</v>
      </c>
      <c r="K6" s="164">
        <f>'Option1 (base case)'!K6</f>
        <v>3</v>
      </c>
      <c r="L6" s="164">
        <f>'Option1 (base case)'!L6</f>
        <v>4</v>
      </c>
      <c r="M6" s="164">
        <f>'Option1 (base case)'!M6</f>
        <v>5</v>
      </c>
      <c r="N6" s="164">
        <f>'Option1 (base case)'!N6</f>
        <v>6</v>
      </c>
      <c r="O6" s="164">
        <f>'Option1 (base case)'!O6</f>
        <v>7</v>
      </c>
      <c r="P6" s="164">
        <f>'Option1 (base case)'!P6</f>
        <v>8</v>
      </c>
      <c r="Q6" s="164">
        <f>'Option1 (base case)'!Q6</f>
        <v>9</v>
      </c>
      <c r="R6" s="164">
        <f>'Option1 (base case)'!R6</f>
        <v>10</v>
      </c>
      <c r="S6" s="164">
        <f>'Option1 (base case)'!S6</f>
        <v>11</v>
      </c>
      <c r="T6" s="164">
        <f>'Option1 (base case)'!T6</f>
        <v>12</v>
      </c>
      <c r="U6" s="164">
        <f>'Option1 (base case)'!U6</f>
        <v>13</v>
      </c>
      <c r="V6" s="164">
        <f>'Option1 (base case)'!V6</f>
        <v>14</v>
      </c>
      <c r="W6" s="164">
        <f>'Option1 (base case)'!W6</f>
        <v>15</v>
      </c>
      <c r="X6" s="164">
        <f>'Option1 (base case)'!X6</f>
        <v>16</v>
      </c>
      <c r="Y6" s="164">
        <f>'Option1 (base case)'!Y6</f>
        <v>17</v>
      </c>
      <c r="Z6" s="164">
        <f>'Option1 (base case)'!Z6</f>
        <v>18</v>
      </c>
      <c r="AA6" s="164">
        <f>'Option1 (base case)'!AA6</f>
        <v>19</v>
      </c>
      <c r="AB6" s="164">
        <f>'Option1 (base case)'!AB6</f>
        <v>20</v>
      </c>
      <c r="AC6" s="164">
        <f>'Option1 (base case)'!AC6</f>
        <v>21</v>
      </c>
      <c r="AD6" s="164">
        <f>'Option1 (base case)'!AD6</f>
        <v>22</v>
      </c>
      <c r="AE6" s="164">
        <f>'Option1 (base case)'!AE6</f>
        <v>23</v>
      </c>
      <c r="AF6" s="164">
        <f>'Option1 (base case)'!AF6</f>
        <v>24</v>
      </c>
      <c r="AG6" s="164">
        <f>'Option1 (base case)'!AG6</f>
        <v>25</v>
      </c>
    </row>
    <row r="7" spans="1:34" s="2" customFormat="1" hidden="1" outlineLevel="1" x14ac:dyDescent="0.2">
      <c r="A7" s="86" t="s">
        <v>144</v>
      </c>
      <c r="B7" s="86"/>
      <c r="C7" s="87"/>
      <c r="D7" s="86"/>
      <c r="E7" s="86"/>
      <c r="F7" s="86"/>
      <c r="G7" s="89"/>
      <c r="H7" s="89" t="b">
        <f t="shared" ref="H7:AG7" si="1">H$6&lt;(first_year+years)</f>
        <v>1</v>
      </c>
      <c r="I7" s="89" t="b">
        <f t="shared" si="1"/>
        <v>1</v>
      </c>
      <c r="J7" s="89" t="b">
        <f t="shared" si="1"/>
        <v>1</v>
      </c>
      <c r="K7" s="89" t="b">
        <f t="shared" si="1"/>
        <v>1</v>
      </c>
      <c r="L7" s="89" t="b">
        <f t="shared" si="1"/>
        <v>1</v>
      </c>
      <c r="M7" s="89" t="b">
        <f t="shared" si="1"/>
        <v>1</v>
      </c>
      <c r="N7" s="89" t="b">
        <f t="shared" si="1"/>
        <v>1</v>
      </c>
      <c r="O7" s="89" t="b">
        <f t="shared" si="1"/>
        <v>1</v>
      </c>
      <c r="P7" s="89" t="b">
        <f t="shared" si="1"/>
        <v>1</v>
      </c>
      <c r="Q7" s="89" t="b">
        <f t="shared" si="1"/>
        <v>1</v>
      </c>
      <c r="R7" s="89" t="b">
        <f t="shared" si="1"/>
        <v>1</v>
      </c>
      <c r="S7" s="89" t="b">
        <f t="shared" si="1"/>
        <v>1</v>
      </c>
      <c r="T7" s="89" t="b">
        <f t="shared" si="1"/>
        <v>1</v>
      </c>
      <c r="U7" s="89" t="b">
        <f t="shared" si="1"/>
        <v>1</v>
      </c>
      <c r="V7" s="89" t="b">
        <f t="shared" si="1"/>
        <v>1</v>
      </c>
      <c r="W7" s="89" t="b">
        <f t="shared" si="1"/>
        <v>1</v>
      </c>
      <c r="X7" s="89" t="b">
        <f t="shared" si="1"/>
        <v>1</v>
      </c>
      <c r="Y7" s="89" t="b">
        <f t="shared" si="1"/>
        <v>1</v>
      </c>
      <c r="Z7" s="89" t="b">
        <f t="shared" si="1"/>
        <v>1</v>
      </c>
      <c r="AA7" s="89" t="b">
        <f t="shared" si="1"/>
        <v>1</v>
      </c>
      <c r="AB7" s="89" t="b">
        <f t="shared" si="1"/>
        <v>1</v>
      </c>
      <c r="AC7" s="89" t="b">
        <f t="shared" si="1"/>
        <v>1</v>
      </c>
      <c r="AD7" s="89" t="b">
        <f t="shared" si="1"/>
        <v>0</v>
      </c>
      <c r="AE7" s="89" t="b">
        <f t="shared" si="1"/>
        <v>0</v>
      </c>
      <c r="AF7" s="89" t="b">
        <f t="shared" si="1"/>
        <v>0</v>
      </c>
      <c r="AG7" s="89" t="b">
        <f t="shared" si="1"/>
        <v>0</v>
      </c>
    </row>
    <row r="8" spans="1:34" s="2" customFormat="1" ht="4.5" customHeight="1" collapsed="1" x14ac:dyDescent="0.2"/>
    <row r="9" spans="1:34" s="2" customFormat="1" ht="15" x14ac:dyDescent="0.25">
      <c r="A9" s="17"/>
      <c r="B9" s="17"/>
      <c r="C9" s="17"/>
      <c r="D9" s="17"/>
      <c r="E9" s="73"/>
      <c r="F9" s="17"/>
      <c r="G9" s="18"/>
      <c r="H9" s="270">
        <f>'Option1 (base case)'!H9</f>
        <v>46203</v>
      </c>
      <c r="I9" s="18" t="str">
        <f>'Option1 (base case)'!I9</f>
        <v>2026-27</v>
      </c>
      <c r="J9" s="18" t="str">
        <f>'Option1 (base case)'!J9</f>
        <v>2027-28</v>
      </c>
      <c r="K9" s="18" t="str">
        <f>'Option1 (base case)'!K9</f>
        <v>2028-29</v>
      </c>
      <c r="L9" s="18" t="str">
        <f>'Option1 (base case)'!L9</f>
        <v>2029-30</v>
      </c>
      <c r="M9" s="18" t="str">
        <f>'Option1 (base case)'!M9</f>
        <v>2030-31</v>
      </c>
      <c r="N9" s="18" t="str">
        <f>'Option1 (base case)'!N9</f>
        <v>2031-32</v>
      </c>
      <c r="O9" s="18" t="str">
        <f>'Option1 (base case)'!O9</f>
        <v>2032-33</v>
      </c>
      <c r="P9" s="18" t="str">
        <f>'Option1 (base case)'!P9</f>
        <v>2033-34</v>
      </c>
      <c r="Q9" s="18" t="str">
        <f>'Option1 (base case)'!Q9</f>
        <v>2034-35</v>
      </c>
      <c r="R9" s="18" t="str">
        <f>'Option1 (base case)'!R9</f>
        <v>2035-36</v>
      </c>
      <c r="S9" s="18" t="str">
        <f>'Option1 (base case)'!S9</f>
        <v>2036-37</v>
      </c>
      <c r="T9" s="18" t="str">
        <f>'Option1 (base case)'!T9</f>
        <v>2037-38</v>
      </c>
      <c r="U9" s="18" t="str">
        <f>'Option1 (base case)'!U9</f>
        <v>2038-39</v>
      </c>
      <c r="V9" s="18" t="str">
        <f>'Option1 (base case)'!V9</f>
        <v>2039-40</v>
      </c>
      <c r="W9" s="18" t="str">
        <f>'Option1 (base case)'!W9</f>
        <v>2040-41</v>
      </c>
      <c r="X9" s="18" t="str">
        <f>'Option1 (base case)'!X9</f>
        <v>2041-42</v>
      </c>
      <c r="Y9" s="18" t="str">
        <f>'Option1 (base case)'!Y9</f>
        <v>2042-43</v>
      </c>
      <c r="Z9" s="18" t="str">
        <f>'Option1 (base case)'!Z9</f>
        <v>2043-44</v>
      </c>
      <c r="AA9" s="18" t="str">
        <f>'Option1 (base case)'!AA9</f>
        <v>2044-45</v>
      </c>
      <c r="AB9" s="18" t="str">
        <f>'Option1 (base case)'!AB9</f>
        <v>2045-46</v>
      </c>
      <c r="AC9" s="18" t="str">
        <f>'Option1 (base case)'!AC9</f>
        <v>2046-47</v>
      </c>
      <c r="AD9" s="18" t="str">
        <f>'Option1 (base case)'!AD9</f>
        <v>2047-48</v>
      </c>
      <c r="AE9" s="18" t="str">
        <f>'Option1 (base case)'!AE9</f>
        <v>2048-49</v>
      </c>
      <c r="AF9" s="18" t="str">
        <f>'Option1 (base case)'!AF9</f>
        <v>2049-50</v>
      </c>
      <c r="AG9" s="18" t="str">
        <f>'Option1 (base case)'!AG9</f>
        <v>2050-51</v>
      </c>
    </row>
    <row r="10" spans="1:34" s="2" customFormat="1" x14ac:dyDescent="0.2">
      <c r="C10" s="7"/>
      <c r="D10" s="7"/>
      <c r="F10" s="7"/>
      <c r="G10" s="193"/>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row>
    <row r="11" spans="1:34" s="2" customFormat="1" ht="15" x14ac:dyDescent="0.2">
      <c r="A11" s="78" t="s">
        <v>145</v>
      </c>
      <c r="B11" s="78"/>
      <c r="C11" s="79"/>
      <c r="D11" s="79"/>
      <c r="E11" s="79"/>
      <c r="F11" s="63" t="s">
        <v>146</v>
      </c>
      <c r="G11" s="194"/>
      <c r="H11" s="102" t="str" cm="1">
        <f t="array" ref="H11">IF(H6=$C$4,UPPER($A$4),IF(H6=end, "END", ""))</f>
        <v/>
      </c>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row>
    <row r="12" spans="1:34" s="2" customFormat="1" x14ac:dyDescent="0.2">
      <c r="A12" s="7"/>
      <c r="B12" s="7"/>
      <c r="C12" s="7"/>
      <c r="D12" s="7"/>
      <c r="F12" s="7"/>
      <c r="G12" s="196"/>
      <c r="H12" s="7"/>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row>
    <row r="13" spans="1:34" s="2" customFormat="1" x14ac:dyDescent="0.2">
      <c r="A13" s="52"/>
      <c r="B13" s="52"/>
      <c r="C13" s="52"/>
      <c r="D13" s="7"/>
      <c r="F13" s="7"/>
      <c r="G13" s="193"/>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row>
    <row r="14" spans="1:34" s="2" customFormat="1" x14ac:dyDescent="0.2">
      <c r="A14" s="52" t="str">
        <f>A15</f>
        <v>Option 1 (base case)</v>
      </c>
      <c r="B14" s="52"/>
      <c r="C14" s="52" t="s">
        <v>110</v>
      </c>
      <c r="D14" s="34" t="str">
        <f t="shared" ref="D14:D25" si="2">A14&amp;C14</f>
        <v>Option 1 (base case)Energy at risk value</v>
      </c>
      <c r="F14" s="85">
        <f>SUMPRODUCT($H14:$AG14, $H$5:$AG$5)</f>
        <v>8471434.4836596008</v>
      </c>
      <c r="G14" s="197">
        <f>output_dollars</f>
        <v>46203</v>
      </c>
      <c r="H14" s="28"/>
      <c r="I14" s="28">
        <f>'Option1 (base case)'!I$29*conv_2026</f>
        <v>505230.61850695824</v>
      </c>
      <c r="J14" s="28">
        <f>'Option1 (base case)'!J$29*conv_2026</f>
        <v>505230.61850695824</v>
      </c>
      <c r="K14" s="28">
        <f>'Option1 (base case)'!K$29*conv_2026</f>
        <v>505230.61850695824</v>
      </c>
      <c r="L14" s="28">
        <f>'Option1 (base case)'!L$29*conv_2026</f>
        <v>505230.61850695824</v>
      </c>
      <c r="M14" s="28">
        <f>'Option1 (base case)'!M$29*conv_2026</f>
        <v>505230.61850695824</v>
      </c>
      <c r="N14" s="28">
        <f>'Option1 (base case)'!N$29*conv_2026</f>
        <v>505230.61850695824</v>
      </c>
      <c r="O14" s="28">
        <f>'Option1 (base case)'!O$29*conv_2026</f>
        <v>505230.61850695824</v>
      </c>
      <c r="P14" s="28">
        <f>'Option1 (base case)'!P$29*conv_2026</f>
        <v>505230.61850695824</v>
      </c>
      <c r="Q14" s="28">
        <f>'Option1 (base case)'!Q$29*conv_2026</f>
        <v>505230.61850695824</v>
      </c>
      <c r="R14" s="28">
        <f>'Option1 (base case)'!R$29*conv_2026</f>
        <v>505230.61850695824</v>
      </c>
      <c r="S14" s="28">
        <f>'Option1 (base case)'!S$29*conv_2026</f>
        <v>505230.61850695824</v>
      </c>
      <c r="T14" s="28">
        <f>'Option1 (base case)'!T$29*conv_2026</f>
        <v>505230.61850695824</v>
      </c>
      <c r="U14" s="28">
        <f>'Option1 (base case)'!U$29*conv_2026</f>
        <v>505230.61850695824</v>
      </c>
      <c r="V14" s="28">
        <f>'Option1 (base case)'!V$29*conv_2026</f>
        <v>505230.61850695824</v>
      </c>
      <c r="W14" s="28">
        <f>'Option1 (base case)'!W$29*conv_2026</f>
        <v>505230.61850695824</v>
      </c>
      <c r="X14" s="28">
        <f>'Option1 (base case)'!X$29*conv_2026</f>
        <v>505230.61850695824</v>
      </c>
      <c r="Y14" s="28">
        <f>'Option1 (base case)'!Y$29*conv_2026</f>
        <v>505230.61850695824</v>
      </c>
      <c r="Z14" s="28">
        <f>'Option1 (base case)'!Z$29*conv_2026</f>
        <v>505230.61850695824</v>
      </c>
      <c r="AA14" s="28">
        <f>'Option1 (base case)'!AA$29*conv_2026</f>
        <v>505230.61850695824</v>
      </c>
      <c r="AB14" s="28">
        <f>'Option1 (base case)'!AB$29*conv_2026</f>
        <v>505230.61850695824</v>
      </c>
      <c r="AC14" s="28">
        <f>'Option1 (base case)'!AC$29*conv_2026</f>
        <v>505230.61850695824</v>
      </c>
      <c r="AD14" s="28">
        <f>'Option1 (base case)'!AD$29*conv_2026</f>
        <v>505230.61850695824</v>
      </c>
      <c r="AE14" s="28">
        <f>'Option1 (base case)'!AE$29*conv_2026</f>
        <v>505230.61850695824</v>
      </c>
      <c r="AF14" s="28">
        <f>'Option1 (base case)'!AF$29*conv_2026</f>
        <v>505230.61850695824</v>
      </c>
      <c r="AG14" s="28">
        <f>'Option1 (base case)'!AG$29*conv_2026</f>
        <v>505230.61850695824</v>
      </c>
    </row>
    <row r="15" spans="1:34" s="1" customFormat="1" x14ac:dyDescent="0.2">
      <c r="A15" s="114" t="str">
        <f>Data!B9</f>
        <v>Option 1 (base case)</v>
      </c>
      <c r="B15" s="114"/>
      <c r="C15" s="52" t="str">
        <f>'Option1 (base case)'!C$64</f>
        <v>Capital expenditure</v>
      </c>
      <c r="D15" s="34" t="str">
        <f t="shared" si="2"/>
        <v>Option 1 (base case)Capital expenditure</v>
      </c>
      <c r="F15" s="85">
        <f>SUMPRODUCT($H15:$AG15, $H$5:$AG$5)</f>
        <v>0</v>
      </c>
      <c r="G15" s="197">
        <f>output_dollars</f>
        <v>46203</v>
      </c>
      <c r="H15" s="28"/>
      <c r="I15" s="28">
        <f>SUM('Option1 (base case)'!I$65:I$67)*conv_2026</f>
        <v>0</v>
      </c>
      <c r="J15" s="28">
        <f>SUM('Option1 (base case)'!J$65:J$67)</f>
        <v>0</v>
      </c>
      <c r="K15" s="28">
        <f>SUM('Option1 (base case)'!K$65:K$67)</f>
        <v>0</v>
      </c>
      <c r="L15" s="28">
        <f>SUM('Option1 (base case)'!L$65:L$67)</f>
        <v>0</v>
      </c>
      <c r="M15" s="28">
        <f>SUM('Option1 (base case)'!M$65:M$67)</f>
        <v>0</v>
      </c>
      <c r="N15" s="28">
        <f>SUM('Option1 (base case)'!N$65:N$67)</f>
        <v>0</v>
      </c>
      <c r="O15" s="28">
        <f>SUM('Option1 (base case)'!O$65:O$67)</f>
        <v>0</v>
      </c>
      <c r="P15" s="28">
        <f>SUM('Option1 (base case)'!P$65:P$67)</f>
        <v>0</v>
      </c>
      <c r="Q15" s="28">
        <f>SUM('Option1 (base case)'!Q$65:Q$67)</f>
        <v>0</v>
      </c>
      <c r="R15" s="28">
        <f>SUM('Option1 (base case)'!R$65:R$67)</f>
        <v>0</v>
      </c>
      <c r="S15" s="28">
        <f>SUM('Option1 (base case)'!S$65:S$67)</f>
        <v>0</v>
      </c>
      <c r="T15" s="28">
        <f>SUM('Option1 (base case)'!T$65:T$67)</f>
        <v>0</v>
      </c>
      <c r="U15" s="28">
        <f>SUM('Option1 (base case)'!U$65:U$67)</f>
        <v>0</v>
      </c>
      <c r="V15" s="28">
        <f>SUM('Option1 (base case)'!V$65:V$67)</f>
        <v>0</v>
      </c>
      <c r="W15" s="28">
        <f>SUM('Option1 (base case)'!W$65:W$67)</f>
        <v>0</v>
      </c>
      <c r="X15" s="28">
        <f>SUM('Option1 (base case)'!X$65:X$67)</f>
        <v>0</v>
      </c>
      <c r="Y15" s="28">
        <f>SUM('Option1 (base case)'!Y$65:Y$67)</f>
        <v>0</v>
      </c>
      <c r="Z15" s="28">
        <f>SUM('Option1 (base case)'!Z$65:Z$67)</f>
        <v>0</v>
      </c>
      <c r="AA15" s="28">
        <f>SUM('Option1 (base case)'!AA$65:AA$67)</f>
        <v>0</v>
      </c>
      <c r="AB15" s="28">
        <f>SUM('Option1 (base case)'!AB$65:AB$67)</f>
        <v>0</v>
      </c>
      <c r="AC15" s="28">
        <f>SUM('Option1 (base case)'!AC$65:AC$67)</f>
        <v>0</v>
      </c>
      <c r="AD15" s="28">
        <f>SUM('Option1 (base case)'!AD$65:AD$67)</f>
        <v>0</v>
      </c>
      <c r="AE15" s="28">
        <f>SUM('Option1 (base case)'!AE$65:AE$67)</f>
        <v>0</v>
      </c>
      <c r="AF15" s="28">
        <f>SUM('Option1 (base case)'!AF$65:AF$67)</f>
        <v>0</v>
      </c>
      <c r="AG15" s="28">
        <f>SUM('Option1 (base case)'!AG$65:AG$67)</f>
        <v>0</v>
      </c>
    </row>
    <row r="16" spans="1:34" s="1" customFormat="1" x14ac:dyDescent="0.2">
      <c r="A16" s="114" t="str">
        <f t="shared" ref="A16:A25" si="3">A15</f>
        <v>Option 1 (base case)</v>
      </c>
      <c r="B16" s="114"/>
      <c r="C16" s="52" t="str">
        <f>'Option1 (base case)'!C$37</f>
        <v>Total risk cost</v>
      </c>
      <c r="D16" s="34" t="str">
        <f t="shared" si="2"/>
        <v>Option 1 (base case)Total risk cost</v>
      </c>
      <c r="F16" s="96" cm="1">
        <f t="array" ref="F16">SUMPRODUCT(($H16:$AG16)*($H$5:$AG$5)*($H$7:$AG$7))</f>
        <v>7554701.6520332396</v>
      </c>
      <c r="G16" s="197">
        <f>output_dollars</f>
        <v>46203</v>
      </c>
      <c r="H16" s="28"/>
      <c r="I16" s="28">
        <f>'Option1 (base case)'!I$37*conv_2026</f>
        <v>505230.61850695824</v>
      </c>
      <c r="J16" s="28">
        <f>'Option1 (base case)'!J$37*conv_2026</f>
        <v>505230.61850695824</v>
      </c>
      <c r="K16" s="28">
        <f>'Option1 (base case)'!K$37*conv_2026</f>
        <v>505230.61850695824</v>
      </c>
      <c r="L16" s="28">
        <f>'Option1 (base case)'!L$37*conv_2026</f>
        <v>505230.61850695824</v>
      </c>
      <c r="M16" s="28">
        <f>'Option1 (base case)'!M$37*conv_2026</f>
        <v>505230.61850695824</v>
      </c>
      <c r="N16" s="28">
        <f>'Option1 (base case)'!N$37*conv_2026</f>
        <v>505230.61850695824</v>
      </c>
      <c r="O16" s="28">
        <f>'Option1 (base case)'!O$37*conv_2026</f>
        <v>505230.61850695824</v>
      </c>
      <c r="P16" s="28">
        <f>'Option1 (base case)'!P$37*conv_2026</f>
        <v>505230.61850695824</v>
      </c>
      <c r="Q16" s="28">
        <f>'Option1 (base case)'!Q$37*conv_2026</f>
        <v>505230.61850695824</v>
      </c>
      <c r="R16" s="28">
        <f>'Option1 (base case)'!R$37*conv_2026</f>
        <v>505230.61850695824</v>
      </c>
      <c r="S16" s="28">
        <f>'Option1 (base case)'!S$37*conv_2026</f>
        <v>505230.61850695824</v>
      </c>
      <c r="T16" s="28">
        <f>'Option1 (base case)'!T$37*conv_2026</f>
        <v>505230.61850695824</v>
      </c>
      <c r="U16" s="28">
        <f>'Option1 (base case)'!U$37*conv_2026</f>
        <v>505230.61850695824</v>
      </c>
      <c r="V16" s="28">
        <f>'Option1 (base case)'!V$37*conv_2026</f>
        <v>505230.61850695824</v>
      </c>
      <c r="W16" s="28">
        <f>'Option1 (base case)'!W$37*conv_2026</f>
        <v>505230.61850695824</v>
      </c>
      <c r="X16" s="28">
        <f>'Option1 (base case)'!X$37*conv_2026</f>
        <v>505230.61850695824</v>
      </c>
      <c r="Y16" s="28">
        <f>'Option1 (base case)'!Y$37*conv_2026</f>
        <v>505230.61850695824</v>
      </c>
      <c r="Z16" s="28">
        <f>'Option1 (base case)'!Z$37*conv_2026</f>
        <v>505230.61850695824</v>
      </c>
      <c r="AA16" s="28">
        <f>'Option1 (base case)'!AA$37*conv_2026</f>
        <v>505230.61850695824</v>
      </c>
      <c r="AB16" s="28">
        <f>'Option1 (base case)'!AB$37*conv_2026</f>
        <v>505230.61850695824</v>
      </c>
      <c r="AC16" s="28">
        <f>'Option1 (base case)'!AC$37*conv_2026</f>
        <v>505230.61850695824</v>
      </c>
      <c r="AD16" s="28">
        <f>'Option1 (base case)'!AD$37*conv_2026</f>
        <v>505230.61850695824</v>
      </c>
      <c r="AE16" s="28">
        <f>'Option1 (base case)'!AE$37*conv_2026</f>
        <v>505230.61850695824</v>
      </c>
      <c r="AF16" s="28">
        <f>'Option1 (base case)'!AF$37*conv_2026</f>
        <v>505230.61850695824</v>
      </c>
      <c r="AG16" s="28">
        <f>'Option1 (base case)'!AG$37*conv_2026</f>
        <v>505230.61850695824</v>
      </c>
    </row>
    <row r="17" spans="1:33" s="1" customFormat="1" x14ac:dyDescent="0.2">
      <c r="A17" s="114" t="str">
        <f t="shared" si="3"/>
        <v>Option 1 (base case)</v>
      </c>
      <c r="B17" s="114"/>
      <c r="C17" s="12"/>
      <c r="D17" s="34" t="str">
        <f t="shared" si="2"/>
        <v>Option 1 (base case)</v>
      </c>
      <c r="F17"/>
      <c r="G17" s="198"/>
      <c r="H17"/>
      <c r="I17"/>
      <c r="J17"/>
      <c r="K17"/>
      <c r="L17"/>
      <c r="M17"/>
      <c r="N17"/>
      <c r="O17"/>
      <c r="P17"/>
      <c r="Q17"/>
      <c r="R17"/>
      <c r="S17"/>
      <c r="T17"/>
      <c r="U17"/>
      <c r="V17"/>
      <c r="W17"/>
      <c r="X17"/>
      <c r="Y17"/>
      <c r="Z17"/>
      <c r="AA17"/>
      <c r="AB17"/>
      <c r="AC17"/>
      <c r="AD17"/>
      <c r="AE17"/>
      <c r="AF17"/>
      <c r="AG17"/>
    </row>
    <row r="18" spans="1:33" s="1" customFormat="1" x14ac:dyDescent="0.2">
      <c r="A18" s="114" t="str">
        <f t="shared" si="3"/>
        <v>Option 1 (base case)</v>
      </c>
      <c r="B18" s="114"/>
      <c r="C18" s="52" t="str">
        <f>'Option1 (base case)'!C$80</f>
        <v>Annualised capex</v>
      </c>
      <c r="D18" s="34" t="str">
        <f t="shared" si="2"/>
        <v>Option 1 (base case)Annualised capex</v>
      </c>
      <c r="F18" s="85">
        <f>SUMPRODUCT($H18:$AG18, $H$5:$AG$5)</f>
        <v>0</v>
      </c>
      <c r="G18" s="197">
        <f t="shared" ref="G18:G25" si="4">output_dollars</f>
        <v>46203</v>
      </c>
      <c r="H18" s="28"/>
      <c r="I18" s="28">
        <f>'Option1 (base case)'!I$80*conv_2026</f>
        <v>0</v>
      </c>
      <c r="J18" s="28">
        <f>'Option1 (base case)'!J$80*conv_2026</f>
        <v>0</v>
      </c>
      <c r="K18" s="28">
        <f>'Option1 (base case)'!K$80*conv_2026</f>
        <v>0</v>
      </c>
      <c r="L18" s="28">
        <f>'Option1 (base case)'!L$80*conv_2026</f>
        <v>0</v>
      </c>
      <c r="M18" s="28">
        <f>'Option1 (base case)'!M$80*conv_2026</f>
        <v>0</v>
      </c>
      <c r="N18" s="28">
        <f>'Option1 (base case)'!N$80*conv_2026</f>
        <v>0</v>
      </c>
      <c r="O18" s="28">
        <f>'Option1 (base case)'!O$80*conv_2026</f>
        <v>0</v>
      </c>
      <c r="P18" s="28">
        <f>'Option1 (base case)'!P$80*conv_2026</f>
        <v>0</v>
      </c>
      <c r="Q18" s="28">
        <f>'Option1 (base case)'!Q$80*conv_2026</f>
        <v>0</v>
      </c>
      <c r="R18" s="28">
        <f>'Option1 (base case)'!R$80*conv_2026</f>
        <v>0</v>
      </c>
      <c r="S18" s="28">
        <f>'Option1 (base case)'!S$80*conv_2026</f>
        <v>0</v>
      </c>
      <c r="T18" s="28">
        <f>'Option1 (base case)'!T$80*conv_2026</f>
        <v>0</v>
      </c>
      <c r="U18" s="28">
        <f>'Option1 (base case)'!U$80*conv_2026</f>
        <v>0</v>
      </c>
      <c r="V18" s="28">
        <f>'Option1 (base case)'!V$80*conv_2026</f>
        <v>0</v>
      </c>
      <c r="W18" s="28">
        <f>'Option1 (base case)'!W$80*conv_2026</f>
        <v>0</v>
      </c>
      <c r="X18" s="28">
        <f>'Option1 (base case)'!X$80*conv_2026</f>
        <v>0</v>
      </c>
      <c r="Y18" s="28">
        <f>'Option1 (base case)'!Y$80*conv_2026</f>
        <v>0</v>
      </c>
      <c r="Z18" s="28">
        <f>'Option1 (base case)'!Z$80*conv_2026</f>
        <v>0</v>
      </c>
      <c r="AA18" s="28">
        <f>'Option1 (base case)'!AA$80*conv_2026</f>
        <v>0</v>
      </c>
      <c r="AB18" s="28">
        <f>'Option1 (base case)'!AB$80*conv_2026</f>
        <v>0</v>
      </c>
      <c r="AC18" s="28">
        <f>'Option1 (base case)'!AC$80*conv_2026</f>
        <v>0</v>
      </c>
      <c r="AD18" s="28">
        <f>'Option1 (base case)'!AD$80*conv_2026</f>
        <v>0</v>
      </c>
      <c r="AE18" s="28">
        <f>'Option1 (base case)'!AE$80*conv_2026</f>
        <v>0</v>
      </c>
      <c r="AF18" s="28">
        <f>'Option1 (base case)'!AF$80*conv_2026</f>
        <v>0</v>
      </c>
      <c r="AG18" s="28">
        <f>'Option1 (base case)'!AG$80*conv_2026</f>
        <v>0</v>
      </c>
    </row>
    <row r="19" spans="1:33" s="1" customFormat="1" x14ac:dyDescent="0.2">
      <c r="A19" s="114" t="str">
        <f t="shared" si="3"/>
        <v>Option 1 (base case)</v>
      </c>
      <c r="B19" s="114"/>
      <c r="C19" s="52" t="str">
        <f>'Option1 (base case)'!C$81</f>
        <v>Operating expenditure</v>
      </c>
      <c r="D19" s="34" t="str">
        <f t="shared" si="2"/>
        <v>Option 1 (base case)Operating expenditure</v>
      </c>
      <c r="F19" s="85">
        <f>SUMPRODUCT($H19:$AG19, $H$5:$AG$5)</f>
        <v>0</v>
      </c>
      <c r="G19" s="197">
        <f t="shared" si="4"/>
        <v>46203</v>
      </c>
      <c r="H19" s="28"/>
      <c r="I19" s="28">
        <f>'Option1 (base case)'!I$81*conv_2026</f>
        <v>0</v>
      </c>
      <c r="J19" s="28">
        <f>'Option1 (base case)'!J$81*conv_2026</f>
        <v>0</v>
      </c>
      <c r="K19" s="28">
        <f>'Option1 (base case)'!K$81*conv_2026</f>
        <v>0</v>
      </c>
      <c r="L19" s="28">
        <f>'Option1 (base case)'!L$81*conv_2026</f>
        <v>0</v>
      </c>
      <c r="M19" s="28">
        <f>'Option1 (base case)'!M$81*conv_2026</f>
        <v>0</v>
      </c>
      <c r="N19" s="28">
        <f>'Option1 (base case)'!N$81*conv_2026</f>
        <v>0</v>
      </c>
      <c r="O19" s="28">
        <f>'Option1 (base case)'!O$81*conv_2026</f>
        <v>0</v>
      </c>
      <c r="P19" s="28">
        <f>'Option1 (base case)'!P$81*conv_2026</f>
        <v>0</v>
      </c>
      <c r="Q19" s="28">
        <f>'Option1 (base case)'!Q$81*conv_2026</f>
        <v>0</v>
      </c>
      <c r="R19" s="28">
        <f>'Option1 (base case)'!R$81*conv_2026</f>
        <v>0</v>
      </c>
      <c r="S19" s="28">
        <f>'Option1 (base case)'!S$81*conv_2026</f>
        <v>0</v>
      </c>
      <c r="T19" s="28">
        <f>'Option1 (base case)'!T$81*conv_2026</f>
        <v>0</v>
      </c>
      <c r="U19" s="28">
        <f>'Option1 (base case)'!U$81*conv_2026</f>
        <v>0</v>
      </c>
      <c r="V19" s="28">
        <f>'Option1 (base case)'!V$81*conv_2026</f>
        <v>0</v>
      </c>
      <c r="W19" s="28">
        <f>'Option1 (base case)'!W$81*conv_2026</f>
        <v>0</v>
      </c>
      <c r="X19" s="28">
        <f>'Option1 (base case)'!X$81*conv_2026</f>
        <v>0</v>
      </c>
      <c r="Y19" s="28">
        <f>'Option1 (base case)'!Y$81*conv_2026</f>
        <v>0</v>
      </c>
      <c r="Z19" s="28">
        <f>'Option1 (base case)'!Z$81*conv_2026</f>
        <v>0</v>
      </c>
      <c r="AA19" s="28">
        <f>'Option1 (base case)'!AA$81*conv_2026</f>
        <v>0</v>
      </c>
      <c r="AB19" s="28">
        <f>'Option1 (base case)'!AB$81*conv_2026</f>
        <v>0</v>
      </c>
      <c r="AC19" s="28">
        <f>'Option1 (base case)'!AC$81*conv_2026</f>
        <v>0</v>
      </c>
      <c r="AD19" s="28">
        <f>'Option1 (base case)'!AD$81*conv_2026</f>
        <v>0</v>
      </c>
      <c r="AE19" s="28">
        <f>'Option1 (base case)'!AE$81*conv_2026</f>
        <v>0</v>
      </c>
      <c r="AF19" s="28">
        <f>'Option1 (base case)'!AF$81*conv_2026</f>
        <v>0</v>
      </c>
      <c r="AG19" s="28">
        <f>'Option1 (base case)'!AG$81*conv_2026</f>
        <v>0</v>
      </c>
    </row>
    <row r="20" spans="1:33" s="1" customFormat="1" x14ac:dyDescent="0.2">
      <c r="A20" s="114" t="str">
        <f t="shared" si="3"/>
        <v>Option 1 (base case)</v>
      </c>
      <c r="B20" s="114"/>
      <c r="C20" s="52" t="str">
        <f>'Option1 (base case)'!C$82</f>
        <v>Risk mitigated</v>
      </c>
      <c r="D20" s="34" t="str">
        <f t="shared" si="2"/>
        <v>Option 1 (base case)Risk mitigated</v>
      </c>
      <c r="F20" s="85">
        <f>SUMPRODUCT($H20:$AG20, $H$5:$AG$5)</f>
        <v>0</v>
      </c>
      <c r="G20" s="197">
        <f t="shared" si="4"/>
        <v>46203</v>
      </c>
      <c r="H20" s="28"/>
      <c r="I20" s="28">
        <f>'Option1 (base case)'!I$82*conv_2026</f>
        <v>0</v>
      </c>
      <c r="J20" s="28">
        <f>'Option1 (base case)'!J$82*conv_2026</f>
        <v>0</v>
      </c>
      <c r="K20" s="28">
        <f>'Option1 (base case)'!K$82*conv_2026</f>
        <v>0</v>
      </c>
      <c r="L20" s="28">
        <f>'Option1 (base case)'!L$82*conv_2026</f>
        <v>0</v>
      </c>
      <c r="M20" s="28">
        <f>'Option1 (base case)'!M$82*conv_2026</f>
        <v>0</v>
      </c>
      <c r="N20" s="28">
        <f>'Option1 (base case)'!N$82*conv_2026</f>
        <v>0</v>
      </c>
      <c r="O20" s="28">
        <f>'Option1 (base case)'!O$82*conv_2026</f>
        <v>0</v>
      </c>
      <c r="P20" s="28">
        <f>'Option1 (base case)'!P$82*conv_2026</f>
        <v>0</v>
      </c>
      <c r="Q20" s="28">
        <f>'Option1 (base case)'!Q$82*conv_2026</f>
        <v>0</v>
      </c>
      <c r="R20" s="28">
        <f>'Option1 (base case)'!R$82*conv_2026</f>
        <v>0</v>
      </c>
      <c r="S20" s="28">
        <f>'Option1 (base case)'!S$82*conv_2026</f>
        <v>0</v>
      </c>
      <c r="T20" s="28">
        <f>'Option1 (base case)'!T$82*conv_2026</f>
        <v>0</v>
      </c>
      <c r="U20" s="28">
        <f>'Option1 (base case)'!U$82*conv_2026</f>
        <v>0</v>
      </c>
      <c r="V20" s="28">
        <f>'Option1 (base case)'!V$82*conv_2026</f>
        <v>0</v>
      </c>
      <c r="W20" s="28">
        <f>'Option1 (base case)'!W$82*conv_2026</f>
        <v>0</v>
      </c>
      <c r="X20" s="28">
        <f>'Option1 (base case)'!X$82*conv_2026</f>
        <v>0</v>
      </c>
      <c r="Y20" s="28">
        <f>'Option1 (base case)'!Y$82*conv_2026</f>
        <v>0</v>
      </c>
      <c r="Z20" s="28">
        <f>'Option1 (base case)'!Z$82*conv_2026</f>
        <v>0</v>
      </c>
      <c r="AA20" s="28">
        <f>'Option1 (base case)'!AA$82*conv_2026</f>
        <v>0</v>
      </c>
      <c r="AB20" s="28">
        <f>'Option1 (base case)'!AB$82*conv_2026</f>
        <v>0</v>
      </c>
      <c r="AC20" s="28">
        <f>'Option1 (base case)'!AC$82*conv_2026</f>
        <v>0</v>
      </c>
      <c r="AD20" s="28">
        <f>'Option1 (base case)'!AD$82*conv_2026</f>
        <v>0</v>
      </c>
      <c r="AE20" s="28">
        <f>'Option1 (base case)'!AE$82*conv_2026</f>
        <v>0</v>
      </c>
      <c r="AF20" s="28">
        <f>'Option1 (base case)'!AF$82*conv_2026</f>
        <v>0</v>
      </c>
      <c r="AG20" s="28">
        <f>'Option1 (base case)'!AG$82*conv_2026</f>
        <v>0</v>
      </c>
    </row>
    <row r="21" spans="1:33" s="1" customFormat="1" x14ac:dyDescent="0.2">
      <c r="A21" s="114" t="str">
        <f t="shared" si="3"/>
        <v>Option 1 (base case)</v>
      </c>
      <c r="B21" s="114"/>
      <c r="C21" s="52" t="str">
        <f>'Option1 (base case)'!C$83</f>
        <v>Other benefits value</v>
      </c>
      <c r="D21" s="34" t="str">
        <f t="shared" si="2"/>
        <v>Option 1 (base case)Other benefits value</v>
      </c>
      <c r="F21" s="85">
        <f>SUMPRODUCT($H21:$AG21, $H$5:$AG$5)</f>
        <v>0</v>
      </c>
      <c r="G21" s="197">
        <f t="shared" si="4"/>
        <v>46203</v>
      </c>
      <c r="H21" s="28"/>
      <c r="I21" s="28">
        <f>'Option1 (base case)'!I$83*conv_2026</f>
        <v>0</v>
      </c>
      <c r="J21" s="28">
        <f>'Option1 (base case)'!J$83*conv_2026</f>
        <v>0</v>
      </c>
      <c r="K21" s="28">
        <f>'Option1 (base case)'!K$83*conv_2026</f>
        <v>0</v>
      </c>
      <c r="L21" s="28">
        <f>'Option1 (base case)'!L$83*conv_2026</f>
        <v>0</v>
      </c>
      <c r="M21" s="28">
        <f>'Option1 (base case)'!M$83*conv_2026</f>
        <v>0</v>
      </c>
      <c r="N21" s="28">
        <f>'Option1 (base case)'!N$83*conv_2026</f>
        <v>0</v>
      </c>
      <c r="O21" s="28">
        <f>'Option1 (base case)'!O$83*conv_2026</f>
        <v>0</v>
      </c>
      <c r="P21" s="28">
        <f>'Option1 (base case)'!P$83*conv_2026</f>
        <v>0</v>
      </c>
      <c r="Q21" s="28">
        <f>'Option1 (base case)'!Q$83*conv_2026</f>
        <v>0</v>
      </c>
      <c r="R21" s="28">
        <f>'Option1 (base case)'!R$83*conv_2026</f>
        <v>0</v>
      </c>
      <c r="S21" s="28">
        <f>'Option1 (base case)'!S$83*conv_2026</f>
        <v>0</v>
      </c>
      <c r="T21" s="28">
        <f>'Option1 (base case)'!T$83*conv_2026</f>
        <v>0</v>
      </c>
      <c r="U21" s="28">
        <f>'Option1 (base case)'!U$83*conv_2026</f>
        <v>0</v>
      </c>
      <c r="V21" s="28">
        <f>'Option1 (base case)'!V$83*conv_2026</f>
        <v>0</v>
      </c>
      <c r="W21" s="28">
        <f>'Option1 (base case)'!W$83*conv_2026</f>
        <v>0</v>
      </c>
      <c r="X21" s="28">
        <f>'Option1 (base case)'!X$83*conv_2026</f>
        <v>0</v>
      </c>
      <c r="Y21" s="28">
        <f>'Option1 (base case)'!Y$83*conv_2026</f>
        <v>0</v>
      </c>
      <c r="Z21" s="28">
        <f>'Option1 (base case)'!Z$83*conv_2026</f>
        <v>0</v>
      </c>
      <c r="AA21" s="28">
        <f>'Option1 (base case)'!AA$83*conv_2026</f>
        <v>0</v>
      </c>
      <c r="AB21" s="28">
        <f>'Option1 (base case)'!AB$83*conv_2026</f>
        <v>0</v>
      </c>
      <c r="AC21" s="28">
        <f>'Option1 (base case)'!AC$83*conv_2026</f>
        <v>0</v>
      </c>
      <c r="AD21" s="28">
        <f>'Option1 (base case)'!AD$83*conv_2026</f>
        <v>0</v>
      </c>
      <c r="AE21" s="28">
        <f>'Option1 (base case)'!AE$83*conv_2026</f>
        <v>0</v>
      </c>
      <c r="AF21" s="28">
        <f>'Option1 (base case)'!AF$83*conv_2026</f>
        <v>0</v>
      </c>
      <c r="AG21" s="28">
        <f>'Option1 (base case)'!AG$83*conv_2026</f>
        <v>0</v>
      </c>
    </row>
    <row r="22" spans="1:33" s="1" customFormat="1" x14ac:dyDescent="0.2">
      <c r="A22" s="114" t="str">
        <f t="shared" si="3"/>
        <v>Option 1 (base case)</v>
      </c>
      <c r="B22" s="114"/>
      <c r="C22" s="122" t="str">
        <f>'Option1 (base case)'!C$85</f>
        <v>Net benefits</v>
      </c>
      <c r="D22" s="97" t="str">
        <f t="shared" si="2"/>
        <v>Option 1 (base case)Net benefits</v>
      </c>
      <c r="E22" s="98"/>
      <c r="F22" s="121"/>
      <c r="G22" s="199">
        <f t="shared" si="4"/>
        <v>46203</v>
      </c>
      <c r="H22" s="46"/>
      <c r="I22" s="46">
        <f t="shared" ref="I22:AG22" si="5">SUM(I18:I21)</f>
        <v>0</v>
      </c>
      <c r="J22" s="46">
        <f t="shared" si="5"/>
        <v>0</v>
      </c>
      <c r="K22" s="46">
        <f t="shared" si="5"/>
        <v>0</v>
      </c>
      <c r="L22" s="46">
        <f t="shared" si="5"/>
        <v>0</v>
      </c>
      <c r="M22" s="46">
        <f t="shared" si="5"/>
        <v>0</v>
      </c>
      <c r="N22" s="46">
        <f t="shared" si="5"/>
        <v>0</v>
      </c>
      <c r="O22" s="46">
        <f t="shared" si="5"/>
        <v>0</v>
      </c>
      <c r="P22" s="46">
        <f t="shared" si="5"/>
        <v>0</v>
      </c>
      <c r="Q22" s="46">
        <f t="shared" si="5"/>
        <v>0</v>
      </c>
      <c r="R22" s="46">
        <f t="shared" si="5"/>
        <v>0</v>
      </c>
      <c r="S22" s="46">
        <f t="shared" si="5"/>
        <v>0</v>
      </c>
      <c r="T22" s="46">
        <f t="shared" si="5"/>
        <v>0</v>
      </c>
      <c r="U22" s="46">
        <f t="shared" si="5"/>
        <v>0</v>
      </c>
      <c r="V22" s="46">
        <f t="shared" si="5"/>
        <v>0</v>
      </c>
      <c r="W22" s="46">
        <f t="shared" si="5"/>
        <v>0</v>
      </c>
      <c r="X22" s="46">
        <f t="shared" si="5"/>
        <v>0</v>
      </c>
      <c r="Y22" s="46">
        <f t="shared" si="5"/>
        <v>0</v>
      </c>
      <c r="Z22" s="46">
        <f t="shared" si="5"/>
        <v>0</v>
      </c>
      <c r="AA22" s="46">
        <f t="shared" si="5"/>
        <v>0</v>
      </c>
      <c r="AB22" s="46">
        <f t="shared" si="5"/>
        <v>0</v>
      </c>
      <c r="AC22" s="46">
        <f t="shared" si="5"/>
        <v>0</v>
      </c>
      <c r="AD22" s="46">
        <f t="shared" si="5"/>
        <v>0</v>
      </c>
      <c r="AE22" s="46">
        <f t="shared" si="5"/>
        <v>0</v>
      </c>
      <c r="AF22" s="46">
        <f t="shared" si="5"/>
        <v>0</v>
      </c>
      <c r="AG22" s="46">
        <f t="shared" si="5"/>
        <v>0</v>
      </c>
    </row>
    <row r="23" spans="1:33" s="1" customFormat="1" x14ac:dyDescent="0.2">
      <c r="A23" s="114" t="str">
        <f t="shared" si="3"/>
        <v>Option 1 (base case)</v>
      </c>
      <c r="B23" s="114"/>
      <c r="C23" s="6" t="s">
        <v>7</v>
      </c>
      <c r="D23" s="34" t="str">
        <f t="shared" si="2"/>
        <v>Option 1 (base case)NPV</v>
      </c>
      <c r="F23" s="96" cm="1">
        <f t="array" ref="F23">SUMPRODUCT(($H22:$AG22)*($H$5:$AG$5)*($H$7:$AG$7))</f>
        <v>0</v>
      </c>
      <c r="G23" s="197">
        <f t="shared" si="4"/>
        <v>46203</v>
      </c>
      <c r="H23" s="6"/>
      <c r="I23" s="6"/>
      <c r="J23" s="6"/>
      <c r="K23" s="6"/>
      <c r="L23" s="6"/>
      <c r="M23" s="6"/>
      <c r="N23" s="6"/>
      <c r="O23" s="6"/>
      <c r="P23" s="6"/>
      <c r="Q23" s="6"/>
      <c r="R23" s="6"/>
      <c r="S23" s="6"/>
      <c r="T23" s="6"/>
      <c r="U23" s="6"/>
      <c r="V23" s="6"/>
      <c r="W23" s="6"/>
      <c r="X23" s="6"/>
      <c r="Y23" s="6"/>
      <c r="Z23" s="6"/>
      <c r="AA23" s="6"/>
      <c r="AB23" s="6"/>
      <c r="AC23" s="6"/>
      <c r="AD23" s="6"/>
      <c r="AE23" s="6"/>
      <c r="AF23" s="6"/>
      <c r="AG23" s="6"/>
    </row>
    <row r="24" spans="1:33" s="1" customFormat="1" x14ac:dyDescent="0.2">
      <c r="A24" s="114" t="str">
        <f t="shared" si="3"/>
        <v>Option 1 (base case)</v>
      </c>
      <c r="B24" s="114"/>
      <c r="C24" s="6" t="s">
        <v>5</v>
      </c>
      <c r="D24" s="34" t="str">
        <f t="shared" si="2"/>
        <v>Option 1 (base case)PV of costs</v>
      </c>
      <c r="F24" s="96">
        <f>SUM(F18:F19)</f>
        <v>0</v>
      </c>
      <c r="G24" s="197">
        <f t="shared" si="4"/>
        <v>46203</v>
      </c>
      <c r="H24" s="6"/>
      <c r="I24" s="6"/>
      <c r="J24" s="6"/>
      <c r="K24" s="6"/>
      <c r="L24" s="6"/>
      <c r="M24" s="6"/>
      <c r="N24" s="6"/>
      <c r="O24" s="6"/>
      <c r="P24" s="6"/>
      <c r="Q24" s="6"/>
      <c r="R24" s="6"/>
      <c r="S24" s="6"/>
      <c r="T24" s="6"/>
      <c r="U24" s="6"/>
      <c r="V24" s="6"/>
      <c r="W24" s="6"/>
      <c r="X24" s="6"/>
      <c r="Y24" s="6"/>
      <c r="Z24" s="6"/>
      <c r="AA24" s="6"/>
      <c r="AB24" s="6"/>
      <c r="AC24" s="6"/>
      <c r="AD24" s="6"/>
      <c r="AE24" s="6"/>
      <c r="AF24" s="6"/>
      <c r="AG24" s="6"/>
    </row>
    <row r="25" spans="1:33" s="1" customFormat="1" x14ac:dyDescent="0.2">
      <c r="A25" s="114" t="str">
        <f t="shared" si="3"/>
        <v>Option 1 (base case)</v>
      </c>
      <c r="B25" s="114"/>
      <c r="C25" s="6" t="s">
        <v>6</v>
      </c>
      <c r="D25" s="34" t="str">
        <f t="shared" si="2"/>
        <v>Option 1 (base case)PV of benefits</v>
      </c>
      <c r="F25" s="96">
        <f>SUM(F20:F21)</f>
        <v>0</v>
      </c>
      <c r="G25" s="197">
        <f t="shared" si="4"/>
        <v>46203</v>
      </c>
      <c r="H25" s="6"/>
      <c r="I25" s="6"/>
      <c r="J25" s="6"/>
      <c r="K25" s="6"/>
      <c r="L25" s="6"/>
      <c r="M25" s="6"/>
      <c r="N25" s="6"/>
      <c r="O25" s="6"/>
      <c r="P25" s="6"/>
      <c r="Q25" s="6"/>
      <c r="R25" s="6"/>
      <c r="S25" s="6"/>
      <c r="T25" s="6"/>
      <c r="U25" s="6"/>
      <c r="V25" s="6"/>
      <c r="W25" s="6"/>
      <c r="X25" s="6"/>
      <c r="Y25" s="6"/>
      <c r="Z25" s="6"/>
      <c r="AA25" s="6"/>
      <c r="AB25" s="6"/>
      <c r="AC25" s="6"/>
      <c r="AD25" s="6"/>
      <c r="AE25" s="6"/>
      <c r="AF25" s="6"/>
      <c r="AG25" s="6"/>
    </row>
    <row r="26" spans="1:33" s="1" customFormat="1" x14ac:dyDescent="0.2">
      <c r="D26" s="34" t="str">
        <f t="shared" ref="D26:D39" si="6">A26&amp;C26</f>
        <v/>
      </c>
      <c r="G26" s="200"/>
    </row>
    <row r="27" spans="1:33" s="2" customFormat="1" x14ac:dyDescent="0.2">
      <c r="A27" s="52"/>
      <c r="B27" s="52"/>
      <c r="C27" s="52"/>
      <c r="D27" s="34" t="str">
        <f t="shared" si="6"/>
        <v/>
      </c>
      <c r="F27" s="7"/>
      <c r="G27" s="193"/>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row>
    <row r="28" spans="1:33" s="2" customFormat="1" x14ac:dyDescent="0.2">
      <c r="A28" s="52" t="str">
        <f>A29</f>
        <v>Option 2</v>
      </c>
      <c r="B28" s="52"/>
      <c r="C28" s="52" t="s">
        <v>110</v>
      </c>
      <c r="D28" s="34" t="str">
        <f t="shared" si="6"/>
        <v>Option 2Energy at risk value</v>
      </c>
      <c r="F28" s="85">
        <f>SUMPRODUCT($H28:$AG28, $H$5:$AG$5)</f>
        <v>6903020.0231022341</v>
      </c>
      <c r="G28" s="197">
        <f>output_dollars</f>
        <v>46203</v>
      </c>
      <c r="H28" s="28"/>
      <c r="I28" s="28">
        <f>Option2!I$29*conv_2026</f>
        <v>505230.61850695824</v>
      </c>
      <c r="J28" s="28">
        <f>Option2!J$29*conv_2026</f>
        <v>505230.61850695824</v>
      </c>
      <c r="K28" s="28">
        <f>Option2!K$29*conv_2026</f>
        <v>505230.61850695824</v>
      </c>
      <c r="L28" s="28">
        <f>Option2!L$29*conv_2026</f>
        <v>505230.61850695824</v>
      </c>
      <c r="M28" s="28">
        <f>Option2!M$29*conv_2026</f>
        <v>384867.18134014314</v>
      </c>
      <c r="N28" s="28">
        <f>Option2!N$29*conv_2026</f>
        <v>384867.18134014314</v>
      </c>
      <c r="O28" s="28">
        <f>Option2!O$29*conv_2026</f>
        <v>384867.18134014314</v>
      </c>
      <c r="P28" s="28">
        <f>Option2!P$29*conv_2026</f>
        <v>384867.18134014314</v>
      </c>
      <c r="Q28" s="28">
        <f>Option2!Q$29*conv_2026</f>
        <v>384867.18134014314</v>
      </c>
      <c r="R28" s="28">
        <f>Option2!R$29*conv_2026</f>
        <v>384867.18134014314</v>
      </c>
      <c r="S28" s="28">
        <f>Option2!S$29*conv_2026</f>
        <v>384867.18134014314</v>
      </c>
      <c r="T28" s="28">
        <f>Option2!T$29*conv_2026</f>
        <v>384867.18134014314</v>
      </c>
      <c r="U28" s="28">
        <f>Option2!U$29*conv_2026</f>
        <v>384867.18134014314</v>
      </c>
      <c r="V28" s="28">
        <f>Option2!V$29*conv_2026</f>
        <v>384867.18134014314</v>
      </c>
      <c r="W28" s="28">
        <f>Option2!W$29*conv_2026</f>
        <v>384867.18134014314</v>
      </c>
      <c r="X28" s="28">
        <f>Option2!X$29*conv_2026</f>
        <v>384867.18134014314</v>
      </c>
      <c r="Y28" s="28">
        <f>Option2!Y$29*conv_2026</f>
        <v>384867.18134014314</v>
      </c>
      <c r="Z28" s="28">
        <f>Option2!Z$29*conv_2026</f>
        <v>384867.18134014314</v>
      </c>
      <c r="AA28" s="28">
        <f>Option2!AA$29*conv_2026</f>
        <v>384867.18134014314</v>
      </c>
      <c r="AB28" s="28">
        <f>Option2!AB$29*conv_2026</f>
        <v>384867.18134014314</v>
      </c>
      <c r="AC28" s="28">
        <f>Option2!AC$29*conv_2026</f>
        <v>384867.18134014314</v>
      </c>
      <c r="AD28" s="28">
        <f>Option2!AD$29*conv_2026</f>
        <v>384867.18134014314</v>
      </c>
      <c r="AE28" s="28">
        <f>Option2!AE$29*conv_2026</f>
        <v>384867.18134014314</v>
      </c>
      <c r="AF28" s="28">
        <f>Option2!AF$29*conv_2026</f>
        <v>384867.18134014314</v>
      </c>
      <c r="AG28" s="28">
        <f>Option2!AG$29*conv_2026</f>
        <v>384867.18134014314</v>
      </c>
    </row>
    <row r="29" spans="1:33" s="2" customFormat="1" x14ac:dyDescent="0.2">
      <c r="A29" s="114" t="str">
        <f>Data!B10</f>
        <v>Option 2</v>
      </c>
      <c r="B29" s="114"/>
      <c r="C29" s="52" t="str">
        <f>Option2!C$64</f>
        <v>Capital expenditure</v>
      </c>
      <c r="D29" s="34" t="str">
        <f t="shared" si="6"/>
        <v>Option 2Capital expenditure</v>
      </c>
      <c r="F29" s="85" cm="1">
        <f t="array" ref="F29">SUMPRODUCT(($H29:$AG29)*($H$5:$AG$5)*($H$7:$AG$7))</f>
        <v>-2341208.496807294</v>
      </c>
      <c r="G29" s="197">
        <f>output_dollars</f>
        <v>46203</v>
      </c>
      <c r="H29" s="28"/>
      <c r="I29" s="28">
        <f>SUM(Option2!I$65:I$67)*conv_2026*I$7</f>
        <v>0</v>
      </c>
      <c r="J29" s="28">
        <f>SUM(Option2!J$65:J$67)*conv_2026*J$7</f>
        <v>-370743.29751117225</v>
      </c>
      <c r="K29" s="28">
        <f>SUM(Option2!K$65:K$67)*conv_2026*K$7</f>
        <v>-863776.54838050727</v>
      </c>
      <c r="L29" s="28">
        <f>SUM(Option2!L$65:L$67)*conv_2026*L$7</f>
        <v>-1349616.2725817151</v>
      </c>
      <c r="M29" s="28">
        <f>SUM(Option2!M$65:M$67)*conv_2026*M$7</f>
        <v>0</v>
      </c>
      <c r="N29" s="28">
        <f>SUM(Option2!N$65:N$67)*conv_2026*N$7</f>
        <v>0</v>
      </c>
      <c r="O29" s="28">
        <f>SUM(Option2!O$65:O$67)*conv_2026*O$7</f>
        <v>0</v>
      </c>
      <c r="P29" s="28">
        <f>SUM(Option2!P$65:P$67)*conv_2026*P$7</f>
        <v>0</v>
      </c>
      <c r="Q29" s="28">
        <f>SUM(Option2!Q$65:Q$67)*conv_2026*Q$7</f>
        <v>0</v>
      </c>
      <c r="R29" s="28">
        <f>SUM(Option2!R$65:R$67)*conv_2026*R$7</f>
        <v>0</v>
      </c>
      <c r="S29" s="28">
        <f>SUM(Option2!S$65:S$67)*conv_2026*S$7</f>
        <v>0</v>
      </c>
      <c r="T29" s="28">
        <f>SUM(Option2!T$65:T$67)*conv_2026*T$7</f>
        <v>0</v>
      </c>
      <c r="U29" s="28">
        <f>SUM(Option2!U$65:U$67)*conv_2026*U$7</f>
        <v>0</v>
      </c>
      <c r="V29" s="28">
        <f>SUM(Option2!V$65:V$67)*conv_2026*V$7</f>
        <v>0</v>
      </c>
      <c r="W29" s="28">
        <f>SUM(Option2!W$65:W$67)*conv_2026*W$7</f>
        <v>0</v>
      </c>
      <c r="X29" s="28">
        <f>SUM(Option2!X$65:X$67)*conv_2026*X$7</f>
        <v>0</v>
      </c>
      <c r="Y29" s="28">
        <f>SUM(Option2!Y$65:Y$67)*conv_2026*Y$7</f>
        <v>0</v>
      </c>
      <c r="Z29" s="28">
        <f>SUM(Option2!Z$65:Z$67)*conv_2026*Z$7</f>
        <v>0</v>
      </c>
      <c r="AA29" s="28">
        <f>SUM(Option2!AA$65:AA$67)*conv_2026*AA$7</f>
        <v>0</v>
      </c>
      <c r="AB29" s="28">
        <f>SUM(Option2!AB$65:AB$67)*conv_2026*AB$7</f>
        <v>0</v>
      </c>
      <c r="AC29" s="28">
        <f>SUM(Option2!AC$65:AC$67)*conv_2026*AC$7</f>
        <v>0</v>
      </c>
      <c r="AD29" s="28">
        <f>SUM(Option2!AD$65:AD$67)*conv_2026*AD$7</f>
        <v>0</v>
      </c>
      <c r="AE29" s="28">
        <f>SUM(Option2!AE$65:AE$67)*conv_2026*AE$7</f>
        <v>0</v>
      </c>
      <c r="AF29" s="28">
        <f>SUM(Option2!AF$65:AF$67)*conv_2026*AF$7</f>
        <v>0</v>
      </c>
      <c r="AG29" s="28">
        <f>SUM(Option2!AG$65:AG$67)*conv_2026*AG$7</f>
        <v>0</v>
      </c>
    </row>
    <row r="30" spans="1:33" s="2" customFormat="1" x14ac:dyDescent="0.2">
      <c r="A30" s="114" t="str">
        <f t="shared" ref="A30:A39" si="7">A29</f>
        <v>Option 2</v>
      </c>
      <c r="B30" s="114"/>
      <c r="C30" s="52" t="str">
        <f>'Option1 (base case)'!C$37</f>
        <v>Total risk cost</v>
      </c>
      <c r="D30" s="34" t="str">
        <f t="shared" si="6"/>
        <v>Option 2Total risk cost</v>
      </c>
      <c r="F30" s="85" cm="1">
        <f t="array" ref="F30">SUMPRODUCT(($H30:$AG30)*($H$5:$AG$5)*($H$7:$AG$7))</f>
        <v>6204684.712402638</v>
      </c>
      <c r="G30" s="197">
        <f>output_dollars</f>
        <v>46203</v>
      </c>
      <c r="H30" s="28"/>
      <c r="I30" s="28">
        <f>Option2!I$37*conv_2026*I$7</f>
        <v>505230.61850695824</v>
      </c>
      <c r="J30" s="28">
        <f>Option2!J$37*conv_2026*J$7</f>
        <v>505230.61850695824</v>
      </c>
      <c r="K30" s="28">
        <f>Option2!K$37*conv_2026*K$7</f>
        <v>505230.61850695824</v>
      </c>
      <c r="L30" s="28">
        <f>Option2!L$37*conv_2026*L$7</f>
        <v>505230.61850695824</v>
      </c>
      <c r="M30" s="28">
        <f>Option2!M$37*conv_2026*M$7</f>
        <v>384867.18134014314</v>
      </c>
      <c r="N30" s="28">
        <f>Option2!N$37*conv_2026*N$7</f>
        <v>384867.18134014314</v>
      </c>
      <c r="O30" s="28">
        <f>Option2!O$37*conv_2026*O$7</f>
        <v>384867.18134014314</v>
      </c>
      <c r="P30" s="28">
        <f>Option2!P$37*conv_2026*P$7</f>
        <v>384867.18134014314</v>
      </c>
      <c r="Q30" s="28">
        <f>Option2!Q$37*conv_2026*Q$7</f>
        <v>384867.18134014314</v>
      </c>
      <c r="R30" s="28">
        <f>Option2!R$37*conv_2026*R$7</f>
        <v>384867.18134014314</v>
      </c>
      <c r="S30" s="28">
        <f>Option2!S$37*conv_2026*S$7</f>
        <v>384867.18134014314</v>
      </c>
      <c r="T30" s="28">
        <f>Option2!T$37*conv_2026*T$7</f>
        <v>384867.18134014314</v>
      </c>
      <c r="U30" s="28">
        <f>Option2!U$37*conv_2026*U$7</f>
        <v>384867.18134014314</v>
      </c>
      <c r="V30" s="28">
        <f>Option2!V$37*conv_2026*V$7</f>
        <v>384867.18134014314</v>
      </c>
      <c r="W30" s="28">
        <f>Option2!W$37*conv_2026*W$7</f>
        <v>384867.18134014314</v>
      </c>
      <c r="X30" s="28">
        <f>Option2!X$37*conv_2026*X$7</f>
        <v>384867.18134014314</v>
      </c>
      <c r="Y30" s="28">
        <f>Option2!Y$37*conv_2026*Y$7</f>
        <v>384867.18134014314</v>
      </c>
      <c r="Z30" s="28">
        <f>Option2!Z$37*conv_2026*Z$7</f>
        <v>384867.18134014314</v>
      </c>
      <c r="AA30" s="28">
        <f>Option2!AA$37*conv_2026*AA$7</f>
        <v>384867.18134014314</v>
      </c>
      <c r="AB30" s="28">
        <f>Option2!AB$37*conv_2026*AB$7</f>
        <v>384867.18134014314</v>
      </c>
      <c r="AC30" s="28">
        <f>Option2!AC$37*conv_2026*AC$7</f>
        <v>384867.18134014314</v>
      </c>
      <c r="AD30" s="28">
        <f>Option2!AD$37*conv_2026*AD$7</f>
        <v>0</v>
      </c>
      <c r="AE30" s="28">
        <f>Option2!AE$37*conv_2026*AE$7</f>
        <v>0</v>
      </c>
      <c r="AF30" s="28">
        <f>Option2!AF$37*conv_2026*AF$7</f>
        <v>0</v>
      </c>
      <c r="AG30" s="28">
        <f>Option2!AG$37*conv_2026*AG$7</f>
        <v>0</v>
      </c>
    </row>
    <row r="31" spans="1:33" s="2" customFormat="1" x14ac:dyDescent="0.2">
      <c r="A31" s="114" t="str">
        <f t="shared" si="7"/>
        <v>Option 2</v>
      </c>
      <c r="B31" s="114"/>
      <c r="C31" s="12"/>
      <c r="D31" s="34" t="str">
        <f t="shared" si="6"/>
        <v>Option 2</v>
      </c>
      <c r="E31" s="1"/>
      <c r="F31" s="85"/>
      <c r="G31" s="198"/>
      <c r="H31"/>
      <c r="I31"/>
      <c r="J31"/>
      <c r="K31"/>
      <c r="L31"/>
      <c r="M31"/>
      <c r="N31"/>
      <c r="O31"/>
      <c r="P31"/>
      <c r="Q31"/>
      <c r="R31"/>
      <c r="S31"/>
      <c r="T31"/>
      <c r="U31"/>
      <c r="V31"/>
      <c r="W31"/>
      <c r="X31"/>
      <c r="Y31"/>
      <c r="Z31"/>
      <c r="AA31"/>
      <c r="AB31"/>
      <c r="AC31"/>
      <c r="AD31"/>
      <c r="AE31"/>
      <c r="AF31"/>
      <c r="AG31"/>
    </row>
    <row r="32" spans="1:33" s="2" customFormat="1" x14ac:dyDescent="0.2">
      <c r="A32" s="114" t="str">
        <f t="shared" si="7"/>
        <v>Option 2</v>
      </c>
      <c r="B32" s="114"/>
      <c r="C32" s="52" t="str">
        <f>Option2!C$80</f>
        <v>Annualised capex</v>
      </c>
      <c r="D32" s="34" t="str">
        <f t="shared" si="6"/>
        <v>Option 2Annualised capex</v>
      </c>
      <c r="F32" s="85" cm="1">
        <f t="array" ref="F32">SUMPRODUCT(($H32:$AG32)*($H$5:$AG$5)*($H$7:$AG$7))</f>
        <v>-1296865.5093473902</v>
      </c>
      <c r="G32" s="197">
        <f t="shared" ref="G32:G39" si="8">output_dollars</f>
        <v>46203</v>
      </c>
      <c r="H32" s="28"/>
      <c r="I32" s="28">
        <f>Option2!I$80*conv_2026*I$7</f>
        <v>0</v>
      </c>
      <c r="J32" s="28">
        <f>Option2!J$80*conv_2026*J$7</f>
        <v>0</v>
      </c>
      <c r="K32" s="28">
        <f>Option2!K$80*conv_2026*K$7</f>
        <v>-15806.162069835609</v>
      </c>
      <c r="L32" s="28">
        <f>Option2!L$80*conv_2026*L$7</f>
        <v>-52632.160563885438</v>
      </c>
      <c r="M32" s="28">
        <f>Option2!M$80*conv_2026*M$7</f>
        <v>-110171.30875542133</v>
      </c>
      <c r="N32" s="28">
        <f>Option2!N$80*conv_2026*N$7</f>
        <v>-110171.30875542133</v>
      </c>
      <c r="O32" s="28">
        <f>Option2!O$80*conv_2026*O$7</f>
        <v>-110171.30875542133</v>
      </c>
      <c r="P32" s="28">
        <f>Option2!P$80*conv_2026*P$7</f>
        <v>-110171.30875542133</v>
      </c>
      <c r="Q32" s="28">
        <f>Option2!Q$80*conv_2026*Q$7</f>
        <v>-110171.30875542133</v>
      </c>
      <c r="R32" s="28">
        <f>Option2!R$80*conv_2026*R$7</f>
        <v>-110171.30875542133</v>
      </c>
      <c r="S32" s="28">
        <f>Option2!S$80*conv_2026*S$7</f>
        <v>-110171.30875542133</v>
      </c>
      <c r="T32" s="28">
        <f>Option2!T$80*conv_2026*T$7</f>
        <v>-110171.30875542133</v>
      </c>
      <c r="U32" s="28">
        <f>Option2!U$80*conv_2026*U$7</f>
        <v>-110171.30875542133</v>
      </c>
      <c r="V32" s="28">
        <f>Option2!V$80*conv_2026*V$7</f>
        <v>-110171.30875542133</v>
      </c>
      <c r="W32" s="28">
        <f>Option2!W$80*conv_2026*W$7</f>
        <v>-110171.30875542133</v>
      </c>
      <c r="X32" s="28">
        <f>Option2!X$80*conv_2026*X$7</f>
        <v>-110171.30875542133</v>
      </c>
      <c r="Y32" s="28">
        <f>Option2!Y$80*conv_2026*Y$7</f>
        <v>-110171.30875542133</v>
      </c>
      <c r="Z32" s="28">
        <f>Option2!Z$80*conv_2026*Z$7</f>
        <v>-110171.30875542133</v>
      </c>
      <c r="AA32" s="28">
        <f>Option2!AA$80*conv_2026*AA$7</f>
        <v>-110171.30875542133</v>
      </c>
      <c r="AB32" s="28">
        <f>Option2!AB$80*conv_2026*AB$7</f>
        <v>-110171.30875542133</v>
      </c>
      <c r="AC32" s="28">
        <f>Option2!AC$80*conv_2026*AC$7</f>
        <v>-110171.30875542133</v>
      </c>
      <c r="AD32" s="28">
        <f>Option2!AD$80*conv_2026*AD$7</f>
        <v>0</v>
      </c>
      <c r="AE32" s="28">
        <f>Option2!AE$80*conv_2026*AE$7</f>
        <v>0</v>
      </c>
      <c r="AF32" s="28">
        <f>Option2!AF$80*conv_2026*AF$7</f>
        <v>0</v>
      </c>
      <c r="AG32" s="28">
        <f>Option2!AG$80*conv_2026*AG$7</f>
        <v>0</v>
      </c>
    </row>
    <row r="33" spans="1:33" s="2" customFormat="1" x14ac:dyDescent="0.2">
      <c r="A33" s="114" t="str">
        <f t="shared" si="7"/>
        <v>Option 2</v>
      </c>
      <c r="B33" s="114"/>
      <c r="C33" s="52" t="str">
        <f>Option2!C$81</f>
        <v>Operating expenditure</v>
      </c>
      <c r="D33" s="34" t="str">
        <f t="shared" si="6"/>
        <v>Option 2Operating expenditure</v>
      </c>
      <c r="F33" s="85" cm="1">
        <f t="array" ref="F33">SUMPRODUCT(($H33:$AG33)*($H$5:$AG$5)*($H$7:$AG$7))</f>
        <v>0</v>
      </c>
      <c r="G33" s="197">
        <f t="shared" si="8"/>
        <v>46203</v>
      </c>
      <c r="H33" s="28"/>
      <c r="I33" s="28">
        <f>Option2!I$81*conv_2026*I$7</f>
        <v>0</v>
      </c>
      <c r="J33" s="28">
        <f>Option2!J$81*conv_2026*J$7</f>
        <v>0</v>
      </c>
      <c r="K33" s="28">
        <f>Option2!K$81*conv_2026*K$7</f>
        <v>0</v>
      </c>
      <c r="L33" s="28">
        <f>Option2!L$81*conv_2026*L$7</f>
        <v>0</v>
      </c>
      <c r="M33" s="28">
        <f>Option2!M$81*conv_2026*M$7</f>
        <v>0</v>
      </c>
      <c r="N33" s="28">
        <f>Option2!N$81*conv_2026*N$7</f>
        <v>0</v>
      </c>
      <c r="O33" s="28">
        <f>Option2!O$81*conv_2026*O$7</f>
        <v>0</v>
      </c>
      <c r="P33" s="28">
        <f>Option2!P$81*conv_2026*P$7</f>
        <v>0</v>
      </c>
      <c r="Q33" s="28">
        <f>Option2!Q$81*conv_2026*Q$7</f>
        <v>0</v>
      </c>
      <c r="R33" s="28">
        <f>Option2!R$81*conv_2026*R$7</f>
        <v>0</v>
      </c>
      <c r="S33" s="28">
        <f>Option2!S$81*conv_2026*S$7</f>
        <v>0</v>
      </c>
      <c r="T33" s="28">
        <f>Option2!T$81*conv_2026*T$7</f>
        <v>0</v>
      </c>
      <c r="U33" s="28">
        <f>Option2!U$81*conv_2026*U$7</f>
        <v>0</v>
      </c>
      <c r="V33" s="28">
        <f>Option2!V$81*conv_2026*V$7</f>
        <v>0</v>
      </c>
      <c r="W33" s="28">
        <f>Option2!W$81*conv_2026*W$7</f>
        <v>0</v>
      </c>
      <c r="X33" s="28">
        <f>Option2!X$81*conv_2026*X$7</f>
        <v>0</v>
      </c>
      <c r="Y33" s="28">
        <f>Option2!Y$81*conv_2026*Y$7</f>
        <v>0</v>
      </c>
      <c r="Z33" s="28">
        <f>Option2!Z$81*conv_2026*Z$7</f>
        <v>0</v>
      </c>
      <c r="AA33" s="28">
        <f>Option2!AA$81*conv_2026*AA$7</f>
        <v>0</v>
      </c>
      <c r="AB33" s="28">
        <f>Option2!AB$81*conv_2026*AB$7</f>
        <v>0</v>
      </c>
      <c r="AC33" s="28">
        <f>Option2!AC$81*conv_2026*AC$7</f>
        <v>0</v>
      </c>
      <c r="AD33" s="28">
        <f>Option2!AD$81*conv_2026*AD$7</f>
        <v>0</v>
      </c>
      <c r="AE33" s="28">
        <f>Option2!AE$81*conv_2026*AE$7</f>
        <v>0</v>
      </c>
      <c r="AF33" s="28">
        <f>Option2!AF$81*conv_2026*AF$7</f>
        <v>0</v>
      </c>
      <c r="AG33" s="28">
        <f>Option2!AG$81*conv_2026*AG$7</f>
        <v>0</v>
      </c>
    </row>
    <row r="34" spans="1:33" s="2" customFormat="1" x14ac:dyDescent="0.2">
      <c r="A34" s="114" t="str">
        <f t="shared" si="7"/>
        <v>Option 2</v>
      </c>
      <c r="B34" s="114"/>
      <c r="C34" s="52" t="str">
        <f>Option2!C$82</f>
        <v>Risk mitigated</v>
      </c>
      <c r="D34" s="34" t="str">
        <f t="shared" si="6"/>
        <v>Option 2Risk mitigated</v>
      </c>
      <c r="F34" s="85" cm="1">
        <f t="array" ref="F34">SUMPRODUCT(($H34:$AG34)*($H$5:$AG$5)*($H$7:$AG$7))</f>
        <v>1350016.9396306004</v>
      </c>
      <c r="G34" s="197">
        <f t="shared" si="8"/>
        <v>46203</v>
      </c>
      <c r="H34" s="28"/>
      <c r="I34" s="28">
        <f>Option2!I$82*conv_2026*I$7</f>
        <v>0</v>
      </c>
      <c r="J34" s="28">
        <f>Option2!J$82*conv_2026*J$7</f>
        <v>0</v>
      </c>
      <c r="K34" s="28">
        <f>Option2!K$82*conv_2026*K$7</f>
        <v>0</v>
      </c>
      <c r="L34" s="28">
        <f>Option2!L$82*conv_2026*L$7</f>
        <v>0</v>
      </c>
      <c r="M34" s="28">
        <f>Option2!M$82*conv_2026*M$7</f>
        <v>120363.43716681511</v>
      </c>
      <c r="N34" s="28">
        <f>Option2!N$82*conv_2026*N$7</f>
        <v>120363.43716681511</v>
      </c>
      <c r="O34" s="28">
        <f>Option2!O$82*conv_2026*O$7</f>
        <v>120363.43716681511</v>
      </c>
      <c r="P34" s="28">
        <f>Option2!P$82*conv_2026*P$7</f>
        <v>120363.43716681511</v>
      </c>
      <c r="Q34" s="28">
        <f>Option2!Q$82*conv_2026*Q$7</f>
        <v>120363.43716681511</v>
      </c>
      <c r="R34" s="28">
        <f>Option2!R$82*conv_2026*R$7</f>
        <v>120363.43716681511</v>
      </c>
      <c r="S34" s="28">
        <f>Option2!S$82*conv_2026*S$7</f>
        <v>120363.43716681511</v>
      </c>
      <c r="T34" s="28">
        <f>Option2!T$82*conv_2026*T$7</f>
        <v>120363.43716681511</v>
      </c>
      <c r="U34" s="28">
        <f>Option2!U$82*conv_2026*U$7</f>
        <v>120363.43716681511</v>
      </c>
      <c r="V34" s="28">
        <f>Option2!V$82*conv_2026*V$7</f>
        <v>120363.43716681511</v>
      </c>
      <c r="W34" s="28">
        <f>Option2!W$82*conv_2026*W$7</f>
        <v>120363.43716681511</v>
      </c>
      <c r="X34" s="28">
        <f>Option2!X$82*conv_2026*X$7</f>
        <v>120363.43716681511</v>
      </c>
      <c r="Y34" s="28">
        <f>Option2!Y$82*conv_2026*Y$7</f>
        <v>120363.43716681511</v>
      </c>
      <c r="Z34" s="28">
        <f>Option2!Z$82*conv_2026*Z$7</f>
        <v>120363.43716681511</v>
      </c>
      <c r="AA34" s="28">
        <f>Option2!AA$82*conv_2026*AA$7</f>
        <v>120363.43716681511</v>
      </c>
      <c r="AB34" s="28">
        <f>Option2!AB$82*conv_2026*AB$7</f>
        <v>120363.43716681511</v>
      </c>
      <c r="AC34" s="28">
        <f>Option2!AC$82*conv_2026*AC$7</f>
        <v>120363.43716681511</v>
      </c>
      <c r="AD34" s="28">
        <f>Option2!AD$82*conv_2026*AD$7</f>
        <v>0</v>
      </c>
      <c r="AE34" s="28">
        <f>Option2!AE$82*conv_2026*AE$7</f>
        <v>0</v>
      </c>
      <c r="AF34" s="28">
        <f>Option2!AF$82*conv_2026*AF$7</f>
        <v>0</v>
      </c>
      <c r="AG34" s="28">
        <f>Option2!AG$82*conv_2026*AG$7</f>
        <v>0</v>
      </c>
    </row>
    <row r="35" spans="1:33" s="2" customFormat="1" x14ac:dyDescent="0.2">
      <c r="A35" s="114" t="str">
        <f t="shared" si="7"/>
        <v>Option 2</v>
      </c>
      <c r="B35" s="114"/>
      <c r="C35" s="52" t="str">
        <f>Option2!C$83</f>
        <v>Other benefits value</v>
      </c>
      <c r="D35" s="34" t="str">
        <f t="shared" si="6"/>
        <v>Option 2Other benefits value</v>
      </c>
      <c r="E35" s="1"/>
      <c r="F35" s="85" cm="1">
        <f t="array" ref="F35">SUMPRODUCT(($H35:$AG35)*($H$5:$AG$5)*($H$7:$AG$7))</f>
        <v>2933633.8231348731</v>
      </c>
      <c r="G35" s="197">
        <f t="shared" si="8"/>
        <v>46203</v>
      </c>
      <c r="H35" s="28"/>
      <c r="I35" s="28">
        <f>Option2!I$83*conv_2026*I$7</f>
        <v>0</v>
      </c>
      <c r="J35" s="28">
        <f>Option2!J$83*conv_2026*J$7</f>
        <v>0</v>
      </c>
      <c r="K35" s="28">
        <f>Option2!K$83*conv_2026*K$7</f>
        <v>0</v>
      </c>
      <c r="L35" s="28">
        <f>Option2!L$83*conv_2026*L$7</f>
        <v>0</v>
      </c>
      <c r="M35" s="28">
        <f>Option2!M$83*conv_2026*M$7</f>
        <v>261553.94052903945</v>
      </c>
      <c r="N35" s="28">
        <f>Option2!N$83*conv_2026*N$7</f>
        <v>261553.94052903945</v>
      </c>
      <c r="O35" s="28">
        <f>Option2!O$83*conv_2026*O$7</f>
        <v>261553.94052903945</v>
      </c>
      <c r="P35" s="28">
        <f>Option2!P$83*conv_2026*P$7</f>
        <v>261553.94052903945</v>
      </c>
      <c r="Q35" s="28">
        <f>Option2!Q$83*conv_2026*Q$7</f>
        <v>261553.94052903945</v>
      </c>
      <c r="R35" s="28">
        <f>Option2!R$83*conv_2026*R$7</f>
        <v>261553.94052903945</v>
      </c>
      <c r="S35" s="28">
        <f>Option2!S$83*conv_2026*S$7</f>
        <v>261553.94052903945</v>
      </c>
      <c r="T35" s="28">
        <f>Option2!T$83*conv_2026*T$7</f>
        <v>261553.94052903945</v>
      </c>
      <c r="U35" s="28">
        <f>Option2!U$83*conv_2026*U$7</f>
        <v>261553.94052903945</v>
      </c>
      <c r="V35" s="28">
        <f>Option2!V$83*conv_2026*V$7</f>
        <v>261553.94052903945</v>
      </c>
      <c r="W35" s="28">
        <f>Option2!W$83*conv_2026*W$7</f>
        <v>261553.94052903945</v>
      </c>
      <c r="X35" s="28">
        <f>Option2!X$83*conv_2026*X$7</f>
        <v>261553.94052903945</v>
      </c>
      <c r="Y35" s="28">
        <f>Option2!Y$83*conv_2026*Y$7</f>
        <v>261553.94052903945</v>
      </c>
      <c r="Z35" s="28">
        <f>Option2!Z$83*conv_2026*Z$7</f>
        <v>261553.94052903945</v>
      </c>
      <c r="AA35" s="28">
        <f>Option2!AA$83*conv_2026*AA$7</f>
        <v>261553.94052903945</v>
      </c>
      <c r="AB35" s="28">
        <f>Option2!AB$83*conv_2026*AB$7</f>
        <v>261553.94052903945</v>
      </c>
      <c r="AC35" s="28">
        <f>Option2!AC$83*conv_2026*AC$7</f>
        <v>261553.94052903945</v>
      </c>
      <c r="AD35" s="28">
        <f>Option2!AD$83*conv_2026*AD$7</f>
        <v>0</v>
      </c>
      <c r="AE35" s="28">
        <f>Option2!AE$83*conv_2026*AE$7</f>
        <v>0</v>
      </c>
      <c r="AF35" s="28">
        <f>Option2!AF$83*conv_2026*AF$7</f>
        <v>0</v>
      </c>
      <c r="AG35" s="28">
        <f>Option2!AG$83*conv_2026*AG$7</f>
        <v>0</v>
      </c>
    </row>
    <row r="36" spans="1:33" s="2" customFormat="1" x14ac:dyDescent="0.2">
      <c r="A36" s="114" t="str">
        <f t="shared" si="7"/>
        <v>Option 2</v>
      </c>
      <c r="B36" s="114"/>
      <c r="C36" s="104" t="str">
        <f>Option2!C85</f>
        <v>Net benefits</v>
      </c>
      <c r="D36" s="97" t="str">
        <f t="shared" si="6"/>
        <v>Option 2Net benefits</v>
      </c>
      <c r="E36" s="98"/>
      <c r="F36" s="121"/>
      <c r="G36" s="199">
        <f t="shared" si="8"/>
        <v>46203</v>
      </c>
      <c r="H36" s="46"/>
      <c r="I36" s="46">
        <f>SUM(I32:I35)</f>
        <v>0</v>
      </c>
      <c r="J36" s="46">
        <f t="shared" ref="J36:AG36" si="9">SUM(J32:J35)</f>
        <v>0</v>
      </c>
      <c r="K36" s="46">
        <f t="shared" si="9"/>
        <v>-15806.162069835609</v>
      </c>
      <c r="L36" s="46">
        <f t="shared" si="9"/>
        <v>-52632.160563885438</v>
      </c>
      <c r="M36" s="46">
        <f t="shared" si="9"/>
        <v>271746.06894043321</v>
      </c>
      <c r="N36" s="46">
        <f t="shared" si="9"/>
        <v>271746.06894043321</v>
      </c>
      <c r="O36" s="46">
        <f t="shared" si="9"/>
        <v>271746.06894043321</v>
      </c>
      <c r="P36" s="46">
        <f t="shared" si="9"/>
        <v>271746.06894043321</v>
      </c>
      <c r="Q36" s="46">
        <f t="shared" si="9"/>
        <v>271746.06894043321</v>
      </c>
      <c r="R36" s="46">
        <f t="shared" si="9"/>
        <v>271746.06894043321</v>
      </c>
      <c r="S36" s="46">
        <f t="shared" si="9"/>
        <v>271746.06894043321</v>
      </c>
      <c r="T36" s="46">
        <f t="shared" si="9"/>
        <v>271746.06894043321</v>
      </c>
      <c r="U36" s="46">
        <f t="shared" si="9"/>
        <v>271746.06894043321</v>
      </c>
      <c r="V36" s="46">
        <f t="shared" si="9"/>
        <v>271746.06894043321</v>
      </c>
      <c r="W36" s="46">
        <f t="shared" si="9"/>
        <v>271746.06894043321</v>
      </c>
      <c r="X36" s="46">
        <f t="shared" si="9"/>
        <v>271746.06894043321</v>
      </c>
      <c r="Y36" s="46">
        <f t="shared" si="9"/>
        <v>271746.06894043321</v>
      </c>
      <c r="Z36" s="46">
        <f t="shared" si="9"/>
        <v>271746.06894043321</v>
      </c>
      <c r="AA36" s="46">
        <f t="shared" si="9"/>
        <v>271746.06894043321</v>
      </c>
      <c r="AB36" s="46">
        <f t="shared" si="9"/>
        <v>271746.06894043321</v>
      </c>
      <c r="AC36" s="46">
        <f t="shared" si="9"/>
        <v>271746.06894043321</v>
      </c>
      <c r="AD36" s="46">
        <f t="shared" si="9"/>
        <v>0</v>
      </c>
      <c r="AE36" s="46">
        <f t="shared" si="9"/>
        <v>0</v>
      </c>
      <c r="AF36" s="46">
        <f t="shared" si="9"/>
        <v>0</v>
      </c>
      <c r="AG36" s="46">
        <f t="shared" si="9"/>
        <v>0</v>
      </c>
    </row>
    <row r="37" spans="1:33" s="2" customFormat="1" x14ac:dyDescent="0.2">
      <c r="A37" s="114" t="str">
        <f t="shared" si="7"/>
        <v>Option 2</v>
      </c>
      <c r="B37" s="114"/>
      <c r="C37" s="6" t="s">
        <v>7</v>
      </c>
      <c r="D37" s="34" t="str">
        <f t="shared" si="6"/>
        <v>Option 2NPV</v>
      </c>
      <c r="E37" s="1"/>
      <c r="F37" s="96" cm="1">
        <f t="array" ref="F37">SUMPRODUCT(($H36:$AG36)*($H$5:$AG$5)*($H$7:$AG$7))</f>
        <v>2986785.2534180838</v>
      </c>
      <c r="G37" s="197">
        <f t="shared" si="8"/>
        <v>46203</v>
      </c>
      <c r="H37" s="6"/>
      <c r="I37" s="6"/>
      <c r="J37" s="6"/>
      <c r="K37" s="6"/>
      <c r="L37" s="6"/>
      <c r="M37" s="6"/>
      <c r="N37" s="6"/>
      <c r="O37" s="6"/>
      <c r="P37" s="6"/>
      <c r="Q37" s="6"/>
      <c r="R37" s="6"/>
      <c r="S37" s="6"/>
      <c r="T37" s="6"/>
      <c r="U37" s="6"/>
      <c r="V37" s="6"/>
      <c r="W37" s="6"/>
      <c r="X37" s="6"/>
      <c r="Y37" s="6"/>
      <c r="Z37" s="6"/>
      <c r="AA37" s="6"/>
      <c r="AB37" s="6"/>
      <c r="AC37" s="6"/>
      <c r="AD37" s="6"/>
      <c r="AE37" s="6"/>
      <c r="AF37" s="6"/>
      <c r="AG37" s="6"/>
    </row>
    <row r="38" spans="1:33" s="2" customFormat="1" x14ac:dyDescent="0.2">
      <c r="A38" s="114" t="str">
        <f t="shared" si="7"/>
        <v>Option 2</v>
      </c>
      <c r="B38" s="114"/>
      <c r="C38" s="6" t="s">
        <v>5</v>
      </c>
      <c r="D38" s="34" t="str">
        <f t="shared" si="6"/>
        <v>Option 2PV of costs</v>
      </c>
      <c r="E38" s="1"/>
      <c r="F38" s="96">
        <f>SUM(F32:F33)</f>
        <v>-1296865.5093473902</v>
      </c>
      <c r="G38" s="197">
        <f t="shared" si="8"/>
        <v>46203</v>
      </c>
      <c r="H38" s="6"/>
      <c r="I38" s="6"/>
      <c r="J38" s="6"/>
      <c r="K38" s="6"/>
      <c r="L38" s="6"/>
      <c r="M38" s="6"/>
      <c r="N38" s="6"/>
      <c r="O38" s="6"/>
      <c r="P38" s="6"/>
      <c r="Q38" s="6"/>
      <c r="R38" s="6"/>
      <c r="S38" s="6"/>
      <c r="T38" s="6"/>
      <c r="U38" s="6"/>
      <c r="V38" s="6"/>
      <c r="W38" s="6"/>
      <c r="X38" s="6"/>
      <c r="Y38" s="6"/>
      <c r="Z38" s="6"/>
      <c r="AA38" s="6"/>
      <c r="AB38" s="6"/>
      <c r="AC38" s="6"/>
      <c r="AD38" s="6"/>
      <c r="AE38" s="6"/>
      <c r="AF38" s="6"/>
      <c r="AG38" s="6"/>
    </row>
    <row r="39" spans="1:33" s="2" customFormat="1" x14ac:dyDescent="0.2">
      <c r="A39" s="114" t="str">
        <f t="shared" si="7"/>
        <v>Option 2</v>
      </c>
      <c r="B39" s="114"/>
      <c r="C39" s="6" t="s">
        <v>6</v>
      </c>
      <c r="D39" s="34" t="str">
        <f t="shared" si="6"/>
        <v>Option 2PV of benefits</v>
      </c>
      <c r="E39" s="1"/>
      <c r="F39" s="96">
        <f>SUM(F34:F35)</f>
        <v>4283650.7627654737</v>
      </c>
      <c r="G39" s="197">
        <f t="shared" si="8"/>
        <v>46203</v>
      </c>
      <c r="H39" s="6"/>
      <c r="I39" s="6"/>
      <c r="J39" s="6"/>
      <c r="K39" s="6"/>
      <c r="L39" s="6"/>
      <c r="M39" s="6"/>
      <c r="N39" s="6"/>
      <c r="O39" s="6"/>
      <c r="P39" s="6"/>
      <c r="Q39" s="6"/>
      <c r="R39" s="6"/>
      <c r="S39" s="6"/>
      <c r="T39" s="6"/>
      <c r="U39" s="6"/>
      <c r="V39" s="6"/>
      <c r="W39" s="6"/>
      <c r="X39" s="6"/>
      <c r="Y39" s="6"/>
      <c r="Z39" s="6"/>
      <c r="AA39" s="6"/>
      <c r="AB39" s="6"/>
      <c r="AC39" s="6"/>
      <c r="AD39" s="6"/>
      <c r="AE39" s="6"/>
      <c r="AF39" s="6"/>
      <c r="AG39" s="6"/>
    </row>
    <row r="40" spans="1:33" s="2" customFormat="1" x14ac:dyDescent="0.2">
      <c r="A40" s="114"/>
      <c r="B40" s="114"/>
      <c r="C40" s="1"/>
      <c r="D40" s="34"/>
      <c r="E40" s="1"/>
      <c r="F40" s="96"/>
      <c r="G40" s="200"/>
      <c r="H40" s="1"/>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row>
    <row r="41" spans="1:33" s="2" customFormat="1" x14ac:dyDescent="0.2">
      <c r="A41" s="52"/>
      <c r="B41" s="52"/>
      <c r="C41" s="52"/>
      <c r="D41" s="34" t="str">
        <f>A41&amp;C41</f>
        <v/>
      </c>
      <c r="F41" s="7"/>
      <c r="G41" s="193"/>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row>
    <row r="42" spans="1:33" s="2" customFormat="1" x14ac:dyDescent="0.2">
      <c r="A42" s="52" t="str">
        <f>A43</f>
        <v>Option 3</v>
      </c>
      <c r="B42" s="52"/>
      <c r="C42" s="52" t="s">
        <v>110</v>
      </c>
      <c r="D42" s="34" t="str">
        <f>A42&amp;C42</f>
        <v>Option 3Energy at risk value</v>
      </c>
      <c r="F42" s="85">
        <f>SUMPRODUCT($H42:$AG42, $H$5:$AG$5)</f>
        <v>0</v>
      </c>
      <c r="G42" s="197">
        <f>output_dollars</f>
        <v>46203</v>
      </c>
      <c r="H42" s="28"/>
      <c r="I42" s="28">
        <f>Option3!I$29*conv_2026</f>
        <v>0</v>
      </c>
      <c r="J42" s="28">
        <f>Option3!J$29*conv_2026</f>
        <v>0</v>
      </c>
      <c r="K42" s="28">
        <f>Option3!K$29*conv_2026</f>
        <v>0</v>
      </c>
      <c r="L42" s="28">
        <f>Option3!L$29*conv_2026</f>
        <v>0</v>
      </c>
      <c r="M42" s="28">
        <f>Option3!M$29*conv_2026</f>
        <v>0</v>
      </c>
      <c r="N42" s="28">
        <f>Option3!N$29*conv_2026</f>
        <v>0</v>
      </c>
      <c r="O42" s="28">
        <f>Option3!O$29*conv_2026</f>
        <v>0</v>
      </c>
      <c r="P42" s="28">
        <f>Option3!P$29*conv_2026</f>
        <v>0</v>
      </c>
      <c r="Q42" s="28">
        <f>Option3!Q$29*conv_2026</f>
        <v>0</v>
      </c>
      <c r="R42" s="28">
        <f>Option3!R$29*conv_2026</f>
        <v>0</v>
      </c>
      <c r="S42" s="28">
        <f>Option3!S$29*conv_2026</f>
        <v>0</v>
      </c>
      <c r="T42" s="28">
        <f>Option3!T$29*conv_2026</f>
        <v>0</v>
      </c>
      <c r="U42" s="28">
        <f>Option3!U$29*conv_2026</f>
        <v>0</v>
      </c>
      <c r="V42" s="28">
        <f>Option3!V$29*conv_2026</f>
        <v>0</v>
      </c>
      <c r="W42" s="28">
        <f>Option3!W$29*conv_2026</f>
        <v>0</v>
      </c>
      <c r="X42" s="28">
        <f>Option3!X$29*conv_2026</f>
        <v>0</v>
      </c>
      <c r="Y42" s="28">
        <f>Option3!Y$29*conv_2026</f>
        <v>0</v>
      </c>
      <c r="Z42" s="28">
        <f>Option3!Z$29*conv_2026</f>
        <v>0</v>
      </c>
      <c r="AA42" s="28">
        <f>Option3!AA$29*conv_2026</f>
        <v>0</v>
      </c>
      <c r="AB42" s="28">
        <f>Option3!AB$29*conv_2026</f>
        <v>0</v>
      </c>
      <c r="AC42" s="28">
        <f>Option3!AC$29*conv_2026</f>
        <v>0</v>
      </c>
      <c r="AD42" s="28">
        <f>Option3!AD$29*conv_2026</f>
        <v>0</v>
      </c>
      <c r="AE42" s="28">
        <f>Option3!AE$29*conv_2026</f>
        <v>0</v>
      </c>
      <c r="AF42" s="28">
        <f>Option3!AF$29*conv_2026</f>
        <v>0</v>
      </c>
      <c r="AG42" s="28">
        <f>Option3!AG$29*conv_2026</f>
        <v>0</v>
      </c>
    </row>
    <row r="43" spans="1:33" s="2" customFormat="1" x14ac:dyDescent="0.2">
      <c r="A43" s="114" t="str">
        <f>Data!B11</f>
        <v>Option 3</v>
      </c>
      <c r="B43" s="114"/>
      <c r="C43" s="52" t="str">
        <f>Option3!C$64</f>
        <v>Capital expenditure</v>
      </c>
      <c r="D43" s="34" t="str">
        <f>A43&amp;C43</f>
        <v>Option 3Capital expenditure</v>
      </c>
      <c r="E43" s="1"/>
      <c r="F43" s="85">
        <f>SUMPRODUCT($H43:$AG43, $H$5:$AG$5)</f>
        <v>0</v>
      </c>
      <c r="G43" s="197">
        <f>output_dollars</f>
        <v>46203</v>
      </c>
      <c r="H43" s="28"/>
      <c r="I43" s="28">
        <f>SUM(Option3!I$65:I$67)*conv_2026*I$7</f>
        <v>0</v>
      </c>
      <c r="J43" s="28">
        <f>SUM(Option3!J$65:J$67)*conv_2026*J$7</f>
        <v>0</v>
      </c>
      <c r="K43" s="28">
        <f>SUM(Option3!K$65:K$67)*conv_2026*K$7</f>
        <v>0</v>
      </c>
      <c r="L43" s="28">
        <f>SUM(Option3!L$65:L$67)*conv_2026*L$7</f>
        <v>0</v>
      </c>
      <c r="M43" s="28">
        <f>SUM(Option3!M$65:M$67)*conv_2026*M$7</f>
        <v>0</v>
      </c>
      <c r="N43" s="28">
        <f>SUM(Option3!N$65:N$67)*conv_2026*N$7</f>
        <v>0</v>
      </c>
      <c r="O43" s="28">
        <f>SUM(Option3!O$65:O$67)*conv_2026*O$7</f>
        <v>0</v>
      </c>
      <c r="P43" s="28">
        <f>SUM(Option3!P$65:P$67)*conv_2026*P$7</f>
        <v>0</v>
      </c>
      <c r="Q43" s="28">
        <f>SUM(Option3!Q$65:Q$67)*conv_2026*Q$7</f>
        <v>0</v>
      </c>
      <c r="R43" s="28">
        <f>SUM(Option3!R$65:R$67)*conv_2026*R$7</f>
        <v>0</v>
      </c>
      <c r="S43" s="28">
        <f>SUM(Option3!S$65:S$67)*conv_2026*S$7</f>
        <v>0</v>
      </c>
      <c r="T43" s="28">
        <f>SUM(Option3!T$65:T$67)*conv_2026*T$7</f>
        <v>0</v>
      </c>
      <c r="U43" s="28">
        <f>SUM(Option3!U$65:U$67)*conv_2026*U$7</f>
        <v>0</v>
      </c>
      <c r="V43" s="28">
        <f>SUM(Option3!V$65:V$67)*conv_2026*V$7</f>
        <v>0</v>
      </c>
      <c r="W43" s="28">
        <f>SUM(Option3!W$65:W$67)*conv_2026*W$7</f>
        <v>0</v>
      </c>
      <c r="X43" s="28">
        <f>SUM(Option3!X$65:X$67)*conv_2026*X$7</f>
        <v>0</v>
      </c>
      <c r="Y43" s="28">
        <f>SUM(Option3!Y$65:Y$67)*conv_2026*Y$7</f>
        <v>0</v>
      </c>
      <c r="Z43" s="28">
        <f>SUM(Option3!Z$65:Z$67)*conv_2026*Z$7</f>
        <v>0</v>
      </c>
      <c r="AA43" s="28">
        <f>SUM(Option3!AA$65:AA$67)*conv_2026*AA$7</f>
        <v>0</v>
      </c>
      <c r="AB43" s="28">
        <f>SUM(Option3!AB$65:AB$67)*conv_2026*AB$7</f>
        <v>0</v>
      </c>
      <c r="AC43" s="28">
        <f>SUM(Option3!AC$65:AC$67)*conv_2026*AC$7</f>
        <v>0</v>
      </c>
      <c r="AD43" s="28">
        <f>SUM(Option3!AD$65:AD$67)*conv_2026*AD$7</f>
        <v>0</v>
      </c>
      <c r="AE43" s="28">
        <f>SUM(Option3!AE$65:AE$67)*conv_2026*AE$7</f>
        <v>0</v>
      </c>
      <c r="AF43" s="28">
        <f>SUM(Option3!AF$65:AF$67)*conv_2026*AF$7</f>
        <v>0</v>
      </c>
      <c r="AG43" s="28">
        <f>SUM(Option3!AG$65:AG$67)*conv_2026*AG$7</f>
        <v>0</v>
      </c>
    </row>
    <row r="44" spans="1:33" s="2" customFormat="1" x14ac:dyDescent="0.2">
      <c r="A44" s="114" t="str">
        <f t="shared" ref="A44:A53" si="10">A43</f>
        <v>Option 3</v>
      </c>
      <c r="B44" s="114"/>
      <c r="C44" s="52" t="str">
        <f>'Option1 (base case)'!C$37</f>
        <v>Total risk cost</v>
      </c>
      <c r="D44" s="34" t="str">
        <f>A44&amp;C44</f>
        <v>Option 3Total risk cost</v>
      </c>
      <c r="E44" s="1"/>
      <c r="F44" s="85">
        <f>SUMPRODUCT($H44:$AG44, $H$5:$AG$5)</f>
        <v>0</v>
      </c>
      <c r="G44" s="197">
        <f>output_dollars</f>
        <v>46203</v>
      </c>
      <c r="H44" s="28"/>
      <c r="I44" s="28">
        <f>Option3!I$37*conv_2026*I$7</f>
        <v>0</v>
      </c>
      <c r="J44" s="28">
        <f>Option3!J$37*conv_2026*J$7</f>
        <v>0</v>
      </c>
      <c r="K44" s="28">
        <f>Option3!K$37*conv_2026*K$7</f>
        <v>0</v>
      </c>
      <c r="L44" s="28">
        <f>Option3!L$37*conv_2026*L$7</f>
        <v>0</v>
      </c>
      <c r="M44" s="28">
        <f>Option3!M$37*conv_2026*M$7</f>
        <v>0</v>
      </c>
      <c r="N44" s="28">
        <f>Option3!N$37*conv_2026*N$7</f>
        <v>0</v>
      </c>
      <c r="O44" s="28">
        <f>Option3!O$37*conv_2026*O$7</f>
        <v>0</v>
      </c>
      <c r="P44" s="28">
        <f>Option3!P$37*conv_2026*P$7</f>
        <v>0</v>
      </c>
      <c r="Q44" s="28">
        <f>Option3!Q$37*conv_2026*Q$7</f>
        <v>0</v>
      </c>
      <c r="R44" s="28">
        <f>Option3!R$37*conv_2026*R$7</f>
        <v>0</v>
      </c>
      <c r="S44" s="28">
        <f>Option3!S$37*conv_2026*S$7</f>
        <v>0</v>
      </c>
      <c r="T44" s="28">
        <f>Option3!T$37*conv_2026*T$7</f>
        <v>0</v>
      </c>
      <c r="U44" s="28">
        <f>Option3!U$37*conv_2026*U$7</f>
        <v>0</v>
      </c>
      <c r="V44" s="28">
        <f>Option3!V$37*conv_2026*V$7</f>
        <v>0</v>
      </c>
      <c r="W44" s="28">
        <f>Option3!W$37*conv_2026*W$7</f>
        <v>0</v>
      </c>
      <c r="X44" s="28">
        <f>Option3!X$37*conv_2026*X$7</f>
        <v>0</v>
      </c>
      <c r="Y44" s="28">
        <f>Option3!Y$37*conv_2026*Y$7</f>
        <v>0</v>
      </c>
      <c r="Z44" s="28">
        <f>Option3!Z$37*conv_2026*Z$7</f>
        <v>0</v>
      </c>
      <c r="AA44" s="28">
        <f>Option3!AA$37*conv_2026*AA$7</f>
        <v>0</v>
      </c>
      <c r="AB44" s="28">
        <f>Option3!AB$37*conv_2026*AB$7</f>
        <v>0</v>
      </c>
      <c r="AC44" s="28">
        <f>Option3!AC$37*conv_2026*AC$7</f>
        <v>0</v>
      </c>
      <c r="AD44" s="28">
        <f>Option3!AD$37*conv_2026*AD$7</f>
        <v>0</v>
      </c>
      <c r="AE44" s="28">
        <f>Option3!AE$37*conv_2026*AE$7</f>
        <v>0</v>
      </c>
      <c r="AF44" s="28">
        <f>Option3!AF$37*conv_2026*AF$7</f>
        <v>0</v>
      </c>
      <c r="AG44" s="28">
        <f>Option3!AG$37*conv_2026*AG$7</f>
        <v>0</v>
      </c>
    </row>
    <row r="45" spans="1:33" s="2" customFormat="1" x14ac:dyDescent="0.2">
      <c r="A45" s="114" t="str">
        <f t="shared" si="10"/>
        <v>Option 3</v>
      </c>
      <c r="B45" s="114"/>
      <c r="C45" s="52"/>
      <c r="D45" s="34"/>
      <c r="E45" s="1"/>
      <c r="F45" s="85"/>
      <c r="G45" s="197"/>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row>
    <row r="46" spans="1:33" s="2" customFormat="1" x14ac:dyDescent="0.2">
      <c r="A46" s="114" t="str">
        <f t="shared" si="10"/>
        <v>Option 3</v>
      </c>
      <c r="B46" s="114"/>
      <c r="C46" s="52" t="str">
        <f>Option3!C$80</f>
        <v>Annualised capex</v>
      </c>
      <c r="D46" s="34" t="str">
        <f t="shared" ref="D46:D53" si="11">A46&amp;C46</f>
        <v>Option 3Annualised capex</v>
      </c>
      <c r="E46" s="1"/>
      <c r="F46" s="85">
        <f>SUMPRODUCT($H46:$AG46, $H$5:$AG$5)</f>
        <v>0</v>
      </c>
      <c r="G46" s="197">
        <f t="shared" ref="G46:G53" si="12">output_dollars</f>
        <v>46203</v>
      </c>
      <c r="H46" s="28"/>
      <c r="I46" s="28">
        <f>Option3!I$80*conv_2026*I$7</f>
        <v>0</v>
      </c>
      <c r="J46" s="28">
        <f>Option3!J$80*conv_2026*J$7</f>
        <v>0</v>
      </c>
      <c r="K46" s="28">
        <f>Option3!K$80*conv_2026*K$7</f>
        <v>0</v>
      </c>
      <c r="L46" s="28">
        <f>Option3!L$80*conv_2026*L$7</f>
        <v>0</v>
      </c>
      <c r="M46" s="28">
        <f>Option3!M$80*conv_2026*M$7</f>
        <v>0</v>
      </c>
      <c r="N46" s="28">
        <f>Option3!N$80*conv_2026*N$7</f>
        <v>0</v>
      </c>
      <c r="O46" s="28">
        <f>Option3!O$80*conv_2026*O$7</f>
        <v>0</v>
      </c>
      <c r="P46" s="28">
        <f>Option3!P$80*conv_2026*P$7</f>
        <v>0</v>
      </c>
      <c r="Q46" s="28">
        <f>Option3!Q$80*conv_2026*Q$7</f>
        <v>0</v>
      </c>
      <c r="R46" s="28">
        <f>Option3!R$80*conv_2026*R$7</f>
        <v>0</v>
      </c>
      <c r="S46" s="28">
        <f>Option3!S$80*conv_2026*S$7</f>
        <v>0</v>
      </c>
      <c r="T46" s="28">
        <f>Option3!T$80*conv_2026*T$7</f>
        <v>0</v>
      </c>
      <c r="U46" s="28">
        <f>Option3!U$80*conv_2026*U$7</f>
        <v>0</v>
      </c>
      <c r="V46" s="28">
        <f>Option3!V$80*conv_2026*V$7</f>
        <v>0</v>
      </c>
      <c r="W46" s="28">
        <f>Option3!W$80*conv_2026*W$7</f>
        <v>0</v>
      </c>
      <c r="X46" s="28">
        <f>Option3!X$80*conv_2026*X$7</f>
        <v>0</v>
      </c>
      <c r="Y46" s="28">
        <f>Option3!Y$80*conv_2026*Y$7</f>
        <v>0</v>
      </c>
      <c r="Z46" s="28">
        <f>Option3!Z$80*conv_2026*Z$7</f>
        <v>0</v>
      </c>
      <c r="AA46" s="28">
        <f>Option3!AA$80*conv_2026*AA$7</f>
        <v>0</v>
      </c>
      <c r="AB46" s="28">
        <f>Option3!AB$80*conv_2026*AB$7</f>
        <v>0</v>
      </c>
      <c r="AC46" s="28">
        <f>Option3!AC$80*conv_2026*AC$7</f>
        <v>0</v>
      </c>
      <c r="AD46" s="28">
        <f>Option3!AD$80*conv_2026*AD$7</f>
        <v>0</v>
      </c>
      <c r="AE46" s="28">
        <f>Option3!AE$80*conv_2026*AE$7</f>
        <v>0</v>
      </c>
      <c r="AF46" s="28">
        <f>Option3!AF$80*conv_2026*AF$7</f>
        <v>0</v>
      </c>
      <c r="AG46" s="28">
        <f>Option3!AG$80*conv_2026*AG$7</f>
        <v>0</v>
      </c>
    </row>
    <row r="47" spans="1:33" s="2" customFormat="1" x14ac:dyDescent="0.2">
      <c r="A47" s="114" t="str">
        <f t="shared" si="10"/>
        <v>Option 3</v>
      </c>
      <c r="B47" s="114"/>
      <c r="C47" s="52" t="str">
        <f>Option3!C$81</f>
        <v>Operating expenditure</v>
      </c>
      <c r="D47" s="34" t="str">
        <f t="shared" si="11"/>
        <v>Option 3Operating expenditure</v>
      </c>
      <c r="E47" s="1"/>
      <c r="F47" s="85">
        <f>SUMPRODUCT($H47:$AG47, $H$5:$AG$5)</f>
        <v>0</v>
      </c>
      <c r="G47" s="197">
        <f t="shared" si="12"/>
        <v>46203</v>
      </c>
      <c r="H47" s="28"/>
      <c r="I47" s="28">
        <f>Option3!I$81*conv_2026*I$7</f>
        <v>0</v>
      </c>
      <c r="J47" s="28">
        <f>Option3!J$81*conv_2026*J$7</f>
        <v>0</v>
      </c>
      <c r="K47" s="28">
        <f>Option3!K$81*conv_2026*K$7</f>
        <v>0</v>
      </c>
      <c r="L47" s="28">
        <f>Option3!L$81*conv_2026*L$7</f>
        <v>0</v>
      </c>
      <c r="M47" s="28">
        <f>Option3!M$81*conv_2026*M$7</f>
        <v>0</v>
      </c>
      <c r="N47" s="28">
        <f>Option3!N$81*conv_2026*N$7</f>
        <v>0</v>
      </c>
      <c r="O47" s="28">
        <f>Option3!O$81*conv_2026*O$7</f>
        <v>0</v>
      </c>
      <c r="P47" s="28">
        <f>Option3!P$81*conv_2026*P$7</f>
        <v>0</v>
      </c>
      <c r="Q47" s="28">
        <f>Option3!Q$81*conv_2026*Q$7</f>
        <v>0</v>
      </c>
      <c r="R47" s="28">
        <f>Option3!R$81*conv_2026*R$7</f>
        <v>0</v>
      </c>
      <c r="S47" s="28">
        <f>Option3!S$81*conv_2026*S$7</f>
        <v>0</v>
      </c>
      <c r="T47" s="28">
        <f>Option3!T$81*conv_2026*T$7</f>
        <v>0</v>
      </c>
      <c r="U47" s="28">
        <f>Option3!U$81*conv_2026*U$7</f>
        <v>0</v>
      </c>
      <c r="V47" s="28">
        <f>Option3!V$81*conv_2026*V$7</f>
        <v>0</v>
      </c>
      <c r="W47" s="28">
        <f>Option3!W$81*conv_2026*W$7</f>
        <v>0</v>
      </c>
      <c r="X47" s="28">
        <f>Option3!X$81*conv_2026*X$7</f>
        <v>0</v>
      </c>
      <c r="Y47" s="28">
        <f>Option3!Y$81*conv_2026*Y$7</f>
        <v>0</v>
      </c>
      <c r="Z47" s="28">
        <f>Option3!Z$81*conv_2026*Z$7</f>
        <v>0</v>
      </c>
      <c r="AA47" s="28">
        <f>Option3!AA$81*conv_2026*AA$7</f>
        <v>0</v>
      </c>
      <c r="AB47" s="28">
        <f>Option3!AB$81*conv_2026*AB$7</f>
        <v>0</v>
      </c>
      <c r="AC47" s="28">
        <f>Option3!AC$81*conv_2026*AC$7</f>
        <v>0</v>
      </c>
      <c r="AD47" s="28">
        <f>Option3!AD$81*conv_2026*AD$7</f>
        <v>0</v>
      </c>
      <c r="AE47" s="28">
        <f>Option3!AE$81*conv_2026*AE$7</f>
        <v>0</v>
      </c>
      <c r="AF47" s="28">
        <f>Option3!AF$81*conv_2026*AF$7</f>
        <v>0</v>
      </c>
      <c r="AG47" s="28">
        <f>Option3!AG$81*conv_2026*AG$7</f>
        <v>0</v>
      </c>
    </row>
    <row r="48" spans="1:33" s="2" customFormat="1" x14ac:dyDescent="0.2">
      <c r="A48" s="114" t="str">
        <f t="shared" si="10"/>
        <v>Option 3</v>
      </c>
      <c r="B48" s="114"/>
      <c r="C48" s="52" t="str">
        <f>Option3!C$82</f>
        <v>Risk mitigated</v>
      </c>
      <c r="D48" s="34" t="str">
        <f t="shared" si="11"/>
        <v>Option 3Risk mitigated</v>
      </c>
      <c r="E48" s="1"/>
      <c r="F48" s="85">
        <f>SUMPRODUCT($H48:$AG48, $H$5:$AG$5)</f>
        <v>0</v>
      </c>
      <c r="G48" s="197">
        <f t="shared" si="12"/>
        <v>46203</v>
      </c>
      <c r="H48" s="28"/>
      <c r="I48" s="28">
        <f>Option3!I$82*conv_2026*I$7</f>
        <v>0</v>
      </c>
      <c r="J48" s="28">
        <f>Option3!J$82*conv_2026*J$7</f>
        <v>0</v>
      </c>
      <c r="K48" s="28">
        <f>Option3!K$82*conv_2026*K$7</f>
        <v>0</v>
      </c>
      <c r="L48" s="28">
        <f>Option3!L$82*conv_2026*L$7</f>
        <v>0</v>
      </c>
      <c r="M48" s="28">
        <f>Option3!M$82*conv_2026*M$7</f>
        <v>0</v>
      </c>
      <c r="N48" s="28">
        <f>Option3!N$82*conv_2026*N$7</f>
        <v>0</v>
      </c>
      <c r="O48" s="28">
        <f>Option3!O$82*conv_2026*O$7</f>
        <v>0</v>
      </c>
      <c r="P48" s="28">
        <f>Option3!P$82*conv_2026*P$7</f>
        <v>0</v>
      </c>
      <c r="Q48" s="28">
        <f>Option3!Q$82*conv_2026*Q$7</f>
        <v>0</v>
      </c>
      <c r="R48" s="28">
        <f>Option3!R$82*conv_2026*R$7</f>
        <v>0</v>
      </c>
      <c r="S48" s="28">
        <f>Option3!S$82*conv_2026*S$7</f>
        <v>0</v>
      </c>
      <c r="T48" s="28">
        <f>Option3!T$82*conv_2026*T$7</f>
        <v>0</v>
      </c>
      <c r="U48" s="28">
        <f>Option3!U$82*conv_2026*U$7</f>
        <v>0</v>
      </c>
      <c r="V48" s="28">
        <f>Option3!V$82*conv_2026*V$7</f>
        <v>0</v>
      </c>
      <c r="W48" s="28">
        <f>Option3!W$82*conv_2026*W$7</f>
        <v>0</v>
      </c>
      <c r="X48" s="28">
        <f>Option3!X$82*conv_2026*X$7</f>
        <v>0</v>
      </c>
      <c r="Y48" s="28">
        <f>Option3!Y$82*conv_2026*Y$7</f>
        <v>0</v>
      </c>
      <c r="Z48" s="28">
        <f>Option3!Z$82*conv_2026*Z$7</f>
        <v>0</v>
      </c>
      <c r="AA48" s="28">
        <f>Option3!AA$82*conv_2026*AA$7</f>
        <v>0</v>
      </c>
      <c r="AB48" s="28">
        <f>Option3!AB$82*conv_2026*AB$7</f>
        <v>0</v>
      </c>
      <c r="AC48" s="28">
        <f>Option3!AC$82*conv_2026*AC$7</f>
        <v>0</v>
      </c>
      <c r="AD48" s="28">
        <f>Option3!AD$82*conv_2026*AD$7</f>
        <v>0</v>
      </c>
      <c r="AE48" s="28">
        <f>Option3!AE$82*conv_2026*AE$7</f>
        <v>0</v>
      </c>
      <c r="AF48" s="28">
        <f>Option3!AF$82*conv_2026*AF$7</f>
        <v>0</v>
      </c>
      <c r="AG48" s="28">
        <f>Option3!AG$82*conv_2026*AG$7</f>
        <v>0</v>
      </c>
    </row>
    <row r="49" spans="1:33" s="2" customFormat="1" x14ac:dyDescent="0.2">
      <c r="A49" s="114" t="str">
        <f t="shared" si="10"/>
        <v>Option 3</v>
      </c>
      <c r="B49" s="114"/>
      <c r="C49" s="52" t="str">
        <f>Option3!C$83</f>
        <v>Other benefits value</v>
      </c>
      <c r="D49" s="34" t="str">
        <f t="shared" si="11"/>
        <v>Option 3Other benefits value</v>
      </c>
      <c r="E49" s="1"/>
      <c r="F49" s="85">
        <f>SUMPRODUCT($H49:$AG49, $H$5:$AG$5)</f>
        <v>0</v>
      </c>
      <c r="G49" s="197">
        <f t="shared" si="12"/>
        <v>46203</v>
      </c>
      <c r="H49" s="28"/>
      <c r="I49" s="28">
        <f>Option3!I$83*conv_2026*I$7</f>
        <v>0</v>
      </c>
      <c r="J49" s="28">
        <f>Option3!J$83*conv_2026*J$7</f>
        <v>0</v>
      </c>
      <c r="K49" s="28">
        <f>Option3!K$83*conv_2026*K$7</f>
        <v>0</v>
      </c>
      <c r="L49" s="28">
        <f>Option3!L$83*conv_2026*L$7</f>
        <v>0</v>
      </c>
      <c r="M49" s="28">
        <f>Option3!M$83*conv_2026*M$7</f>
        <v>0</v>
      </c>
      <c r="N49" s="28">
        <f>Option3!N$83*conv_2026*N$7</f>
        <v>0</v>
      </c>
      <c r="O49" s="28">
        <f>Option3!O$83*conv_2026*O$7</f>
        <v>0</v>
      </c>
      <c r="P49" s="28">
        <f>Option3!P$83*conv_2026*P$7</f>
        <v>0</v>
      </c>
      <c r="Q49" s="28">
        <f>Option3!Q$83*conv_2026*Q$7</f>
        <v>0</v>
      </c>
      <c r="R49" s="28">
        <f>Option3!R$83*conv_2026*R$7</f>
        <v>0</v>
      </c>
      <c r="S49" s="28">
        <f>Option3!S$83*conv_2026*S$7</f>
        <v>0</v>
      </c>
      <c r="T49" s="28">
        <f>Option3!T$83*conv_2026*T$7</f>
        <v>0</v>
      </c>
      <c r="U49" s="28">
        <f>Option3!U$83*conv_2026*U$7</f>
        <v>0</v>
      </c>
      <c r="V49" s="28">
        <f>Option3!V$83*conv_2026*V$7</f>
        <v>0</v>
      </c>
      <c r="W49" s="28">
        <f>Option3!W$83*conv_2026*W$7</f>
        <v>0</v>
      </c>
      <c r="X49" s="28">
        <f>Option3!X$83*conv_2026*X$7</f>
        <v>0</v>
      </c>
      <c r="Y49" s="28">
        <f>Option3!Y$83*conv_2026*Y$7</f>
        <v>0</v>
      </c>
      <c r="Z49" s="28">
        <f>Option3!Z$83*conv_2026*Z$7</f>
        <v>0</v>
      </c>
      <c r="AA49" s="28">
        <f>Option3!AA$83*conv_2026*AA$7</f>
        <v>0</v>
      </c>
      <c r="AB49" s="28">
        <f>Option3!AB$83*conv_2026*AB$7</f>
        <v>0</v>
      </c>
      <c r="AC49" s="28">
        <f>Option3!AC$83*conv_2026*AC$7</f>
        <v>0</v>
      </c>
      <c r="AD49" s="28">
        <f>Option3!AD$83*conv_2026*AD$7</f>
        <v>0</v>
      </c>
      <c r="AE49" s="28">
        <f>Option3!AE$83*conv_2026*AE$7</f>
        <v>0</v>
      </c>
      <c r="AF49" s="28">
        <f>Option3!AF$83*conv_2026*AF$7</f>
        <v>0</v>
      </c>
      <c r="AG49" s="28">
        <f>Option3!AG$83*conv_2026*AG$7</f>
        <v>0</v>
      </c>
    </row>
    <row r="50" spans="1:33" s="2" customFormat="1" x14ac:dyDescent="0.2">
      <c r="A50" s="114" t="str">
        <f t="shared" si="10"/>
        <v>Option 3</v>
      </c>
      <c r="B50" s="114"/>
      <c r="C50" s="104" t="str">
        <f>Option3!C85</f>
        <v>Net benefits</v>
      </c>
      <c r="D50" s="97" t="str">
        <f t="shared" si="11"/>
        <v>Option 3Net benefits</v>
      </c>
      <c r="E50" s="98"/>
      <c r="F50" s="121"/>
      <c r="G50" s="199">
        <f t="shared" si="12"/>
        <v>46203</v>
      </c>
      <c r="H50" s="46"/>
      <c r="I50" s="46">
        <f t="shared" ref="I50:AB50" si="13">SUM(I46:I49)</f>
        <v>0</v>
      </c>
      <c r="J50" s="46">
        <f t="shared" si="13"/>
        <v>0</v>
      </c>
      <c r="K50" s="46">
        <f t="shared" si="13"/>
        <v>0</v>
      </c>
      <c r="L50" s="46">
        <f t="shared" si="13"/>
        <v>0</v>
      </c>
      <c r="M50" s="46">
        <f t="shared" si="13"/>
        <v>0</v>
      </c>
      <c r="N50" s="46">
        <f t="shared" si="13"/>
        <v>0</v>
      </c>
      <c r="O50" s="46">
        <f t="shared" si="13"/>
        <v>0</v>
      </c>
      <c r="P50" s="46">
        <f t="shared" si="13"/>
        <v>0</v>
      </c>
      <c r="Q50" s="46">
        <f t="shared" si="13"/>
        <v>0</v>
      </c>
      <c r="R50" s="46">
        <f t="shared" si="13"/>
        <v>0</v>
      </c>
      <c r="S50" s="46">
        <f t="shared" si="13"/>
        <v>0</v>
      </c>
      <c r="T50" s="46">
        <f t="shared" si="13"/>
        <v>0</v>
      </c>
      <c r="U50" s="46">
        <f t="shared" si="13"/>
        <v>0</v>
      </c>
      <c r="V50" s="46">
        <f t="shared" si="13"/>
        <v>0</v>
      </c>
      <c r="W50" s="46">
        <f t="shared" si="13"/>
        <v>0</v>
      </c>
      <c r="X50" s="46">
        <f t="shared" si="13"/>
        <v>0</v>
      </c>
      <c r="Y50" s="46">
        <f t="shared" si="13"/>
        <v>0</v>
      </c>
      <c r="Z50" s="46">
        <f t="shared" si="13"/>
        <v>0</v>
      </c>
      <c r="AA50" s="46">
        <f t="shared" si="13"/>
        <v>0</v>
      </c>
      <c r="AB50" s="46">
        <f t="shared" si="13"/>
        <v>0</v>
      </c>
      <c r="AC50" s="46">
        <f>SUM(AC46:AC49)</f>
        <v>0</v>
      </c>
      <c r="AD50" s="46">
        <f>SUM(AD46:AD49)</f>
        <v>0</v>
      </c>
      <c r="AE50" s="46">
        <f>SUM(AE46:AE49)</f>
        <v>0</v>
      </c>
      <c r="AF50" s="46">
        <f>SUM(AF46:AF49)</f>
        <v>0</v>
      </c>
      <c r="AG50" s="46">
        <f>SUM(AG46:AG49)</f>
        <v>0</v>
      </c>
    </row>
    <row r="51" spans="1:33" s="2" customFormat="1" x14ac:dyDescent="0.2">
      <c r="A51" s="114" t="str">
        <f t="shared" si="10"/>
        <v>Option 3</v>
      </c>
      <c r="B51" s="114"/>
      <c r="C51" s="6" t="s">
        <v>7</v>
      </c>
      <c r="D51" s="34" t="str">
        <f t="shared" si="11"/>
        <v>Option 3NPV</v>
      </c>
      <c r="E51" s="1"/>
      <c r="F51" s="96" cm="1">
        <f t="array" ref="F51">SUMPRODUCT(($H50:$AG50)*($H$5:$AG$5)*($H$7:$AG$7))</f>
        <v>0</v>
      </c>
      <c r="G51" s="197">
        <f t="shared" si="12"/>
        <v>46203</v>
      </c>
      <c r="H51" s="6"/>
      <c r="I51" s="6"/>
      <c r="J51" s="6"/>
      <c r="K51" s="6"/>
      <c r="L51" s="6"/>
      <c r="M51" s="6"/>
      <c r="N51" s="6"/>
      <c r="O51" s="6"/>
      <c r="P51" s="6"/>
      <c r="Q51" s="6"/>
      <c r="R51" s="6"/>
      <c r="S51" s="6"/>
      <c r="T51" s="6"/>
      <c r="U51" s="6"/>
      <c r="V51" s="6"/>
      <c r="W51" s="6"/>
      <c r="X51" s="6"/>
      <c r="Y51" s="6"/>
      <c r="Z51" s="6"/>
      <c r="AA51" s="6"/>
      <c r="AB51" s="6"/>
      <c r="AC51" s="6"/>
      <c r="AD51" s="6"/>
      <c r="AE51" s="6"/>
      <c r="AF51" s="6"/>
      <c r="AG51" s="6"/>
    </row>
    <row r="52" spans="1:33" s="2" customFormat="1" x14ac:dyDescent="0.2">
      <c r="A52" s="114" t="str">
        <f t="shared" si="10"/>
        <v>Option 3</v>
      </c>
      <c r="B52" s="114"/>
      <c r="C52" s="6" t="s">
        <v>5</v>
      </c>
      <c r="D52" s="34" t="str">
        <f t="shared" si="11"/>
        <v>Option 3PV of costs</v>
      </c>
      <c r="E52" s="1"/>
      <c r="F52" s="96">
        <f>SUM(F46:F47)</f>
        <v>0</v>
      </c>
      <c r="G52" s="197">
        <f t="shared" si="12"/>
        <v>46203</v>
      </c>
      <c r="H52" s="6"/>
      <c r="I52" s="6"/>
      <c r="J52" s="6"/>
      <c r="K52" s="6"/>
      <c r="L52" s="6"/>
      <c r="M52" s="6"/>
      <c r="N52" s="6"/>
      <c r="O52" s="6"/>
      <c r="P52" s="6"/>
      <c r="Q52" s="6"/>
      <c r="R52" s="6"/>
      <c r="S52" s="6"/>
      <c r="T52" s="6"/>
      <c r="U52" s="6"/>
      <c r="V52" s="6"/>
      <c r="W52" s="6"/>
      <c r="X52" s="6"/>
      <c r="Y52" s="6"/>
      <c r="Z52" s="6"/>
      <c r="AA52" s="6"/>
      <c r="AB52" s="6"/>
      <c r="AC52" s="6"/>
      <c r="AD52" s="6"/>
      <c r="AE52" s="6"/>
      <c r="AF52" s="6"/>
      <c r="AG52" s="6"/>
    </row>
    <row r="53" spans="1:33" s="2" customFormat="1" x14ac:dyDescent="0.2">
      <c r="A53" s="114" t="str">
        <f t="shared" si="10"/>
        <v>Option 3</v>
      </c>
      <c r="B53" s="114"/>
      <c r="C53" s="6" t="s">
        <v>6</v>
      </c>
      <c r="D53" s="34" t="str">
        <f t="shared" si="11"/>
        <v>Option 3PV of benefits</v>
      </c>
      <c r="E53" s="1"/>
      <c r="F53" s="96">
        <f>SUM(F48:F49)</f>
        <v>0</v>
      </c>
      <c r="G53" s="197">
        <f t="shared" si="12"/>
        <v>46203</v>
      </c>
      <c r="H53" s="6"/>
      <c r="I53" s="6"/>
      <c r="J53" s="6"/>
      <c r="K53" s="6"/>
      <c r="L53" s="6"/>
      <c r="M53" s="6"/>
      <c r="N53" s="6"/>
      <c r="O53" s="6"/>
      <c r="P53" s="6"/>
      <c r="Q53" s="6"/>
      <c r="R53" s="6"/>
      <c r="S53" s="6"/>
      <c r="T53" s="6"/>
      <c r="U53" s="6"/>
      <c r="V53" s="6"/>
      <c r="W53" s="6"/>
      <c r="X53" s="6"/>
      <c r="Y53" s="6"/>
      <c r="Z53" s="6"/>
      <c r="AA53" s="6"/>
      <c r="AB53" s="6"/>
      <c r="AC53" s="6"/>
      <c r="AD53" s="6"/>
      <c r="AE53" s="6"/>
      <c r="AF53" s="6"/>
      <c r="AG53" s="6"/>
    </row>
    <row r="54" spans="1:33" s="2" customFormat="1" x14ac:dyDescent="0.2">
      <c r="A54" s="114"/>
      <c r="B54" s="114"/>
      <c r="C54" s="1"/>
      <c r="D54" s="34"/>
      <c r="E54" s="1"/>
      <c r="F54" s="96"/>
      <c r="G54" s="200"/>
      <c r="H54" s="1"/>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row>
    <row r="55" spans="1:33" s="2" customFormat="1" x14ac:dyDescent="0.2">
      <c r="A55" s="52"/>
      <c r="B55" s="52"/>
      <c r="C55" s="52"/>
      <c r="D55" s="34"/>
      <c r="F55" s="7"/>
      <c r="G55" s="193"/>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row>
    <row r="56" spans="1:33" s="2" customFormat="1" x14ac:dyDescent="0.2">
      <c r="A56" s="52" t="str">
        <f>A57</f>
        <v>Option 4</v>
      </c>
      <c r="B56" s="52"/>
      <c r="C56" s="52" t="s">
        <v>110</v>
      </c>
      <c r="D56" s="34" t="str">
        <f>A56&amp;C56</f>
        <v>Option 4Energy at risk value</v>
      </c>
      <c r="F56" s="85">
        <f>SUMPRODUCT($H56:$AG56, $H$5:$AG$5)</f>
        <v>0</v>
      </c>
      <c r="G56" s="197">
        <f>output_dollars</f>
        <v>46203</v>
      </c>
      <c r="H56" s="28"/>
      <c r="I56" s="28">
        <f>Option4!I$29*conv_2026</f>
        <v>0</v>
      </c>
      <c r="J56" s="28">
        <f>Option4!J$29*conv_2026</f>
        <v>0</v>
      </c>
      <c r="K56" s="28">
        <f>Option4!K$29*conv_2026</f>
        <v>0</v>
      </c>
      <c r="L56" s="28">
        <f>Option4!L$29*conv_2026</f>
        <v>0</v>
      </c>
      <c r="M56" s="28">
        <f>Option4!M$29*conv_2026</f>
        <v>0</v>
      </c>
      <c r="N56" s="28">
        <f>Option4!N$29*conv_2026</f>
        <v>0</v>
      </c>
      <c r="O56" s="28">
        <f>Option4!O$29*conv_2026</f>
        <v>0</v>
      </c>
      <c r="P56" s="28">
        <f>Option4!P$29*conv_2026</f>
        <v>0</v>
      </c>
      <c r="Q56" s="28">
        <f>Option4!Q$29*conv_2026</f>
        <v>0</v>
      </c>
      <c r="R56" s="28">
        <f>Option4!R$29*conv_2026</f>
        <v>0</v>
      </c>
      <c r="S56" s="28">
        <f>Option4!S$29*conv_2026</f>
        <v>0</v>
      </c>
      <c r="T56" s="28">
        <f>Option4!T$29*conv_2026</f>
        <v>0</v>
      </c>
      <c r="U56" s="28">
        <f>Option4!U$29*conv_2026</f>
        <v>0</v>
      </c>
      <c r="V56" s="28">
        <f>Option4!V$29*conv_2026</f>
        <v>0</v>
      </c>
      <c r="W56" s="28">
        <f>Option4!W$29*conv_2026</f>
        <v>0</v>
      </c>
      <c r="X56" s="28">
        <f>Option4!X$29*conv_2026</f>
        <v>0</v>
      </c>
      <c r="Y56" s="28">
        <f>Option4!Y$29*conv_2026</f>
        <v>0</v>
      </c>
      <c r="Z56" s="28">
        <f>Option4!Z$29*conv_2026</f>
        <v>0</v>
      </c>
      <c r="AA56" s="28">
        <f>Option4!AA$29*conv_2026</f>
        <v>0</v>
      </c>
      <c r="AB56" s="28">
        <f>Option4!AB$29*conv_2026</f>
        <v>0</v>
      </c>
      <c r="AC56" s="28">
        <f>Option4!AC$29*conv_2026</f>
        <v>0</v>
      </c>
      <c r="AD56" s="28">
        <f>Option4!AD$29*conv_2026</f>
        <v>0</v>
      </c>
      <c r="AE56" s="28">
        <f>Option4!AE$29*conv_2026</f>
        <v>0</v>
      </c>
      <c r="AF56" s="28">
        <f>Option4!AF$29*conv_2026</f>
        <v>0</v>
      </c>
      <c r="AG56" s="28">
        <f>Option4!AG$29*conv_2026</f>
        <v>0</v>
      </c>
    </row>
    <row r="57" spans="1:33" s="2" customFormat="1" x14ac:dyDescent="0.2">
      <c r="A57" s="114" t="str">
        <f>Data!B12</f>
        <v>Option 4</v>
      </c>
      <c r="B57" s="114"/>
      <c r="C57" s="52" t="str">
        <f>Option4!C$64</f>
        <v>Capital expenditure</v>
      </c>
      <c r="D57" s="34" t="str">
        <f t="shared" ref="D57:D67" si="14">A57&amp;C57</f>
        <v>Option 4Capital expenditure</v>
      </c>
      <c r="E57" s="1"/>
      <c r="F57" s="85">
        <f>SUMPRODUCT($H57:$AG57, $H$5:$AG$5)</f>
        <v>0</v>
      </c>
      <c r="G57" s="197">
        <f>output_dollars</f>
        <v>46203</v>
      </c>
      <c r="H57" s="28"/>
      <c r="I57" s="28">
        <f>SUM(Option4!I$65:I$67)*conv_2026*I$7</f>
        <v>0</v>
      </c>
      <c r="J57" s="28">
        <f>SUM(Option4!J$65:J$67)*conv_2026*J$7</f>
        <v>0</v>
      </c>
      <c r="K57" s="28">
        <f>SUM(Option4!K$65:K$67)*conv_2026*K$7</f>
        <v>0</v>
      </c>
      <c r="L57" s="28">
        <f>SUM(Option4!L$65:L$67)*conv_2026*L$7</f>
        <v>0</v>
      </c>
      <c r="M57" s="28">
        <f>SUM(Option4!M$65:M$67)*conv_2026*M$7</f>
        <v>0</v>
      </c>
      <c r="N57" s="28">
        <f>SUM(Option4!N$65:N$67)*conv_2026*N$7</f>
        <v>0</v>
      </c>
      <c r="O57" s="28">
        <f>SUM(Option4!O$65:O$67)*conv_2026*O$7</f>
        <v>0</v>
      </c>
      <c r="P57" s="28">
        <f>SUM(Option4!P$65:P$67)*conv_2026*P$7</f>
        <v>0</v>
      </c>
      <c r="Q57" s="28">
        <f>SUM(Option4!Q$65:Q$67)*conv_2026*Q$7</f>
        <v>0</v>
      </c>
      <c r="R57" s="28">
        <f>SUM(Option4!R$65:R$67)*conv_2026*R$7</f>
        <v>0</v>
      </c>
      <c r="S57" s="28">
        <f>SUM(Option4!S$65:S$67)*conv_2026*S$7</f>
        <v>0</v>
      </c>
      <c r="T57" s="28">
        <f>SUM(Option4!T$65:T$67)*conv_2026*T$7</f>
        <v>0</v>
      </c>
      <c r="U57" s="28">
        <f>SUM(Option4!U$65:U$67)*conv_2026*U$7</f>
        <v>0</v>
      </c>
      <c r="V57" s="28">
        <f>SUM(Option4!V$65:V$67)*conv_2026*V$7</f>
        <v>0</v>
      </c>
      <c r="W57" s="28">
        <f>SUM(Option4!W$65:W$67)*conv_2026*W$7</f>
        <v>0</v>
      </c>
      <c r="X57" s="28">
        <f>SUM(Option4!X$65:X$67)*conv_2026*X$7</f>
        <v>0</v>
      </c>
      <c r="Y57" s="28">
        <f>SUM(Option4!Y$65:Y$67)*conv_2026*Y$7</f>
        <v>0</v>
      </c>
      <c r="Z57" s="28">
        <f>SUM(Option4!Z$65:Z$67)*conv_2026*Z$7</f>
        <v>0</v>
      </c>
      <c r="AA57" s="28">
        <f>SUM(Option4!AA$65:AA$67)*conv_2026*AA$7</f>
        <v>0</v>
      </c>
      <c r="AB57" s="28">
        <f>SUM(Option4!AB$65:AB$67)*conv_2026*AB$7</f>
        <v>0</v>
      </c>
      <c r="AC57" s="28">
        <f>SUM(Option4!AC$65:AC$67)*conv_2026*AC$7</f>
        <v>0</v>
      </c>
      <c r="AD57" s="28">
        <f>SUM(Option4!AD$65:AD$67)*conv_2026*AD$7</f>
        <v>0</v>
      </c>
      <c r="AE57" s="28">
        <f>SUM(Option4!AE$65:AE$67)*conv_2026*AE$7</f>
        <v>0</v>
      </c>
      <c r="AF57" s="28">
        <f>SUM(Option4!AF$65:AF$67)*conv_2026*AF$7</f>
        <v>0</v>
      </c>
      <c r="AG57" s="28">
        <f>SUM(Option4!AG$65:AG$67)*conv_2026*AG$7</f>
        <v>0</v>
      </c>
    </row>
    <row r="58" spans="1:33" s="2" customFormat="1" x14ac:dyDescent="0.2">
      <c r="A58" s="114" t="str">
        <f t="shared" ref="A58:A67" si="15">A57</f>
        <v>Option 4</v>
      </c>
      <c r="B58" s="114"/>
      <c r="C58" s="52" t="str">
        <f>'Option1 (base case)'!C$37</f>
        <v>Total risk cost</v>
      </c>
      <c r="D58" s="34" t="str">
        <f t="shared" si="14"/>
        <v>Option 4Total risk cost</v>
      </c>
      <c r="E58" s="1"/>
      <c r="F58" s="85">
        <f>SUMPRODUCT($H58:$AG58, $H$5:$AG$5)</f>
        <v>0</v>
      </c>
      <c r="G58" s="197">
        <f>output_dollars</f>
        <v>46203</v>
      </c>
      <c r="H58" s="28"/>
      <c r="I58" s="28">
        <f>Option4!I$37*conv_2026*I$7</f>
        <v>0</v>
      </c>
      <c r="J58" s="28">
        <f>Option4!J$37*conv_2026*J$7</f>
        <v>0</v>
      </c>
      <c r="K58" s="28">
        <f>Option4!K$37*conv_2026*K$7</f>
        <v>0</v>
      </c>
      <c r="L58" s="28">
        <f>Option4!L$37*conv_2026*L$7</f>
        <v>0</v>
      </c>
      <c r="M58" s="28">
        <f>Option4!M$37*conv_2026*M$7</f>
        <v>0</v>
      </c>
      <c r="N58" s="28">
        <f>Option4!N$37*conv_2026*N$7</f>
        <v>0</v>
      </c>
      <c r="O58" s="28">
        <f>Option4!O$37*conv_2026*O$7</f>
        <v>0</v>
      </c>
      <c r="P58" s="28">
        <f>Option4!P$37*conv_2026*P$7</f>
        <v>0</v>
      </c>
      <c r="Q58" s="28">
        <f>Option4!Q$37*conv_2026*Q$7</f>
        <v>0</v>
      </c>
      <c r="R58" s="28">
        <f>Option4!R$37*conv_2026*R$7</f>
        <v>0</v>
      </c>
      <c r="S58" s="28">
        <f>Option4!S$37*conv_2026*S$7</f>
        <v>0</v>
      </c>
      <c r="T58" s="28">
        <f>Option4!T$37*conv_2026*T$7</f>
        <v>0</v>
      </c>
      <c r="U58" s="28">
        <f>Option4!U$37*conv_2026*U$7</f>
        <v>0</v>
      </c>
      <c r="V58" s="28">
        <f>Option4!V$37*conv_2026*V$7</f>
        <v>0</v>
      </c>
      <c r="W58" s="28">
        <f>Option4!W$37*conv_2026*W$7</f>
        <v>0</v>
      </c>
      <c r="X58" s="28">
        <f>Option4!X$37*conv_2026*X$7</f>
        <v>0</v>
      </c>
      <c r="Y58" s="28">
        <f>Option4!Y$37*conv_2026*Y$7</f>
        <v>0</v>
      </c>
      <c r="Z58" s="28">
        <f>Option4!Z$37*conv_2026*Z$7</f>
        <v>0</v>
      </c>
      <c r="AA58" s="28">
        <f>Option4!AA$37*conv_2026*AA$7</f>
        <v>0</v>
      </c>
      <c r="AB58" s="28">
        <f>Option4!AB$37*conv_2026*AB$7</f>
        <v>0</v>
      </c>
      <c r="AC58" s="28">
        <f>Option4!AC$37*conv_2026*AC$7</f>
        <v>0</v>
      </c>
      <c r="AD58" s="28">
        <f>Option4!AD$37*conv_2026*AD$7</f>
        <v>0</v>
      </c>
      <c r="AE58" s="28">
        <f>Option4!AE$37*conv_2026*AE$7</f>
        <v>0</v>
      </c>
      <c r="AF58" s="28">
        <f>Option4!AF$37*conv_2026*AF$7</f>
        <v>0</v>
      </c>
      <c r="AG58" s="28">
        <f>Option4!AG$37*conv_2026*AG$7</f>
        <v>0</v>
      </c>
    </row>
    <row r="59" spans="1:33" s="2" customFormat="1" x14ac:dyDescent="0.2">
      <c r="A59" s="114" t="str">
        <f t="shared" si="15"/>
        <v>Option 4</v>
      </c>
      <c r="B59" s="114"/>
      <c r="C59" s="12"/>
      <c r="D59" s="34" t="str">
        <f t="shared" si="14"/>
        <v>Option 4</v>
      </c>
      <c r="E59" s="1"/>
      <c r="F59"/>
      <c r="G59" s="198"/>
      <c r="H59"/>
      <c r="I59"/>
      <c r="J59"/>
      <c r="K59"/>
      <c r="L59"/>
      <c r="M59"/>
      <c r="N59"/>
      <c r="O59"/>
      <c r="P59"/>
      <c r="Q59"/>
      <c r="R59"/>
      <c r="S59"/>
      <c r="T59"/>
      <c r="U59"/>
      <c r="V59"/>
      <c r="W59"/>
      <c r="X59"/>
      <c r="Y59"/>
      <c r="Z59"/>
      <c r="AA59"/>
      <c r="AB59"/>
      <c r="AC59"/>
      <c r="AD59"/>
      <c r="AE59"/>
      <c r="AF59"/>
      <c r="AG59"/>
    </row>
    <row r="60" spans="1:33" s="2" customFormat="1" x14ac:dyDescent="0.2">
      <c r="A60" s="114" t="str">
        <f t="shared" si="15"/>
        <v>Option 4</v>
      </c>
      <c r="B60" s="114"/>
      <c r="C60" s="52" t="str">
        <f>Option4!C$80</f>
        <v>Annualised capex</v>
      </c>
      <c r="D60" s="34" t="str">
        <f t="shared" si="14"/>
        <v>Option 4Annualised capex</v>
      </c>
      <c r="E60" s="1"/>
      <c r="F60" s="85">
        <f>SUMPRODUCT($H60:$AG60, $H$5:$AG$5)</f>
        <v>0</v>
      </c>
      <c r="G60" s="197">
        <f t="shared" ref="G60:G67" si="16">output_dollars</f>
        <v>46203</v>
      </c>
      <c r="H60" s="28"/>
      <c r="I60" s="28">
        <f>Option4!I$80*conv_2026*I$7</f>
        <v>0</v>
      </c>
      <c r="J60" s="28">
        <f>Option4!J$80*conv_2026*J$7</f>
        <v>0</v>
      </c>
      <c r="K60" s="28">
        <f>Option4!K$80*conv_2026*K$7</f>
        <v>0</v>
      </c>
      <c r="L60" s="28">
        <f>Option4!L$80*conv_2026*L$7</f>
        <v>0</v>
      </c>
      <c r="M60" s="28">
        <f>Option4!M$80*conv_2026*M$7</f>
        <v>0</v>
      </c>
      <c r="N60" s="28">
        <f>Option4!N$80*conv_2026*N$7</f>
        <v>0</v>
      </c>
      <c r="O60" s="28">
        <f>Option4!O$80*conv_2026*O$7</f>
        <v>0</v>
      </c>
      <c r="P60" s="28">
        <f>Option4!P$80*conv_2026*P$7</f>
        <v>0</v>
      </c>
      <c r="Q60" s="28">
        <f>Option4!Q$80*conv_2026*Q$7</f>
        <v>0</v>
      </c>
      <c r="R60" s="28">
        <f>Option4!R$80*conv_2026*R$7</f>
        <v>0</v>
      </c>
      <c r="S60" s="28">
        <f>Option4!S$80*conv_2026*S$7</f>
        <v>0</v>
      </c>
      <c r="T60" s="28">
        <f>Option4!T$80*conv_2026*T$7</f>
        <v>0</v>
      </c>
      <c r="U60" s="28">
        <f>Option4!U$80*conv_2026*U$7</f>
        <v>0</v>
      </c>
      <c r="V60" s="28">
        <f>Option4!V$80*conv_2026*V$7</f>
        <v>0</v>
      </c>
      <c r="W60" s="28">
        <f>Option4!W$80*conv_2026*W$7</f>
        <v>0</v>
      </c>
      <c r="X60" s="28">
        <f>Option4!X$80*conv_2026*X$7</f>
        <v>0</v>
      </c>
      <c r="Y60" s="28">
        <f>Option4!Y$80*conv_2026*Y$7</f>
        <v>0</v>
      </c>
      <c r="Z60" s="28">
        <f>Option4!Z$80*conv_2026*Z$7</f>
        <v>0</v>
      </c>
      <c r="AA60" s="28">
        <f>Option4!AA$80*conv_2026*AA$7</f>
        <v>0</v>
      </c>
      <c r="AB60" s="28">
        <f>Option4!AB$80*conv_2026*AB$7</f>
        <v>0</v>
      </c>
      <c r="AC60" s="28">
        <f>Option4!AC$80*conv_2026*AC$7</f>
        <v>0</v>
      </c>
      <c r="AD60" s="28">
        <f>Option4!AD$80*conv_2026*AD$7</f>
        <v>0</v>
      </c>
      <c r="AE60" s="28">
        <f>Option4!AE$80*conv_2026*AE$7</f>
        <v>0</v>
      </c>
      <c r="AF60" s="28">
        <f>Option4!AF$80*conv_2026*AF$7</f>
        <v>0</v>
      </c>
      <c r="AG60" s="28">
        <f>Option4!AG$80*conv_2026*AG$7</f>
        <v>0</v>
      </c>
    </row>
    <row r="61" spans="1:33" s="2" customFormat="1" x14ac:dyDescent="0.2">
      <c r="A61" s="114" t="str">
        <f t="shared" si="15"/>
        <v>Option 4</v>
      </c>
      <c r="B61" s="114"/>
      <c r="C61" s="52" t="str">
        <f>Option4!C$81</f>
        <v>Operating expenditure</v>
      </c>
      <c r="D61" s="34" t="str">
        <f t="shared" si="14"/>
        <v>Option 4Operating expenditure</v>
      </c>
      <c r="E61" s="1"/>
      <c r="F61" s="85">
        <f>SUMPRODUCT($H61:$AG61, $H$5:$AG$5)</f>
        <v>0</v>
      </c>
      <c r="G61" s="197">
        <f t="shared" si="16"/>
        <v>46203</v>
      </c>
      <c r="H61" s="28"/>
      <c r="I61" s="28">
        <f>Option4!I$81*conv_2026*I$7</f>
        <v>0</v>
      </c>
      <c r="J61" s="28">
        <f>Option4!J$81*conv_2026*J$7</f>
        <v>0</v>
      </c>
      <c r="K61" s="28">
        <f>Option4!K$81*conv_2026*K$7</f>
        <v>0</v>
      </c>
      <c r="L61" s="28">
        <f>Option4!L$81*conv_2026*L$7</f>
        <v>0</v>
      </c>
      <c r="M61" s="28">
        <f>Option4!M$81*conv_2026*M$7</f>
        <v>0</v>
      </c>
      <c r="N61" s="28">
        <f>Option4!N$81*conv_2026*N$7</f>
        <v>0</v>
      </c>
      <c r="O61" s="28">
        <f>Option4!O$81*conv_2026*O$7</f>
        <v>0</v>
      </c>
      <c r="P61" s="28">
        <f>Option4!P$81*conv_2026*P$7</f>
        <v>0</v>
      </c>
      <c r="Q61" s="28">
        <f>Option4!Q$81*conv_2026*Q$7</f>
        <v>0</v>
      </c>
      <c r="R61" s="28">
        <f>Option4!R$81*conv_2026*R$7</f>
        <v>0</v>
      </c>
      <c r="S61" s="28">
        <f>Option4!S$81*conv_2026*S$7</f>
        <v>0</v>
      </c>
      <c r="T61" s="28">
        <f>Option4!T$81*conv_2026*T$7</f>
        <v>0</v>
      </c>
      <c r="U61" s="28">
        <f>Option4!U$81*conv_2026*U$7</f>
        <v>0</v>
      </c>
      <c r="V61" s="28">
        <f>Option4!V$81*conv_2026*V$7</f>
        <v>0</v>
      </c>
      <c r="W61" s="28">
        <f>Option4!W$81*conv_2026*W$7</f>
        <v>0</v>
      </c>
      <c r="X61" s="28">
        <f>Option4!X$81*conv_2026*X$7</f>
        <v>0</v>
      </c>
      <c r="Y61" s="28">
        <f>Option4!Y$81*conv_2026*Y$7</f>
        <v>0</v>
      </c>
      <c r="Z61" s="28">
        <f>Option4!Z$81*conv_2026*Z$7</f>
        <v>0</v>
      </c>
      <c r="AA61" s="28">
        <f>Option4!AA$81*conv_2026*AA$7</f>
        <v>0</v>
      </c>
      <c r="AB61" s="28">
        <f>Option4!AB$81*conv_2026*AB$7</f>
        <v>0</v>
      </c>
      <c r="AC61" s="28">
        <f>Option4!AC$81*conv_2026*AC$7</f>
        <v>0</v>
      </c>
      <c r="AD61" s="28">
        <f>Option4!AD$81*conv_2026*AD$7</f>
        <v>0</v>
      </c>
      <c r="AE61" s="28">
        <f>Option4!AE$81*conv_2026*AE$7</f>
        <v>0</v>
      </c>
      <c r="AF61" s="28">
        <f>Option4!AF$81*conv_2026*AF$7</f>
        <v>0</v>
      </c>
      <c r="AG61" s="28">
        <f>Option4!AG$81*conv_2026*AG$7</f>
        <v>0</v>
      </c>
    </row>
    <row r="62" spans="1:33" s="2" customFormat="1" x14ac:dyDescent="0.2">
      <c r="A62" s="114" t="str">
        <f t="shared" si="15"/>
        <v>Option 4</v>
      </c>
      <c r="B62" s="114"/>
      <c r="C62" s="52" t="str">
        <f>Option4!C$82</f>
        <v>Risk mitigated</v>
      </c>
      <c r="D62" s="34" t="str">
        <f t="shared" si="14"/>
        <v>Option 4Risk mitigated</v>
      </c>
      <c r="E62" s="1"/>
      <c r="F62" s="85">
        <f>SUMPRODUCT($H62:$AG62, $H$5:$AG$5)</f>
        <v>0</v>
      </c>
      <c r="G62" s="197">
        <f t="shared" si="16"/>
        <v>46203</v>
      </c>
      <c r="H62" s="28"/>
      <c r="I62" s="28">
        <f>Option4!I$82*conv_2026*I$7</f>
        <v>0</v>
      </c>
      <c r="J62" s="28">
        <f>Option4!J$82*conv_2026*J$7</f>
        <v>0</v>
      </c>
      <c r="K62" s="28">
        <f>Option4!K$82*conv_2026*K$7</f>
        <v>0</v>
      </c>
      <c r="L62" s="28">
        <f>Option4!L$82*conv_2026*L$7</f>
        <v>0</v>
      </c>
      <c r="M62" s="28">
        <f>Option4!M$82*conv_2026*M$7</f>
        <v>0</v>
      </c>
      <c r="N62" s="28">
        <f>Option4!N$82*conv_2026*N$7</f>
        <v>0</v>
      </c>
      <c r="O62" s="28">
        <f>Option4!O$82*conv_2026*O$7</f>
        <v>0</v>
      </c>
      <c r="P62" s="28">
        <f>Option4!P$82*conv_2026*P$7</f>
        <v>0</v>
      </c>
      <c r="Q62" s="28">
        <f>Option4!Q$82*conv_2026*Q$7</f>
        <v>0</v>
      </c>
      <c r="R62" s="28">
        <f>Option4!R$82*conv_2026*R$7</f>
        <v>0</v>
      </c>
      <c r="S62" s="28">
        <f>Option4!S$82*conv_2026*S$7</f>
        <v>0</v>
      </c>
      <c r="T62" s="28">
        <f>Option4!T$82*conv_2026*T$7</f>
        <v>0</v>
      </c>
      <c r="U62" s="28">
        <f>Option4!U$82*conv_2026*U$7</f>
        <v>0</v>
      </c>
      <c r="V62" s="28">
        <f>Option4!V$82*conv_2026*V$7</f>
        <v>0</v>
      </c>
      <c r="W62" s="28">
        <f>Option4!W$82*conv_2026*W$7</f>
        <v>0</v>
      </c>
      <c r="X62" s="28">
        <f>Option4!X$82*conv_2026*X$7</f>
        <v>0</v>
      </c>
      <c r="Y62" s="28">
        <f>Option4!Y$82*conv_2026*Y$7</f>
        <v>0</v>
      </c>
      <c r="Z62" s="28">
        <f>Option4!Z$82*conv_2026*Z$7</f>
        <v>0</v>
      </c>
      <c r="AA62" s="28">
        <f>Option4!AA$82*conv_2026*AA$7</f>
        <v>0</v>
      </c>
      <c r="AB62" s="28">
        <f>Option4!AB$82*conv_2026*AB$7</f>
        <v>0</v>
      </c>
      <c r="AC62" s="28">
        <f>Option4!AC$82*conv_2026*AC$7</f>
        <v>0</v>
      </c>
      <c r="AD62" s="28">
        <f>Option4!AD$82*conv_2026*AD$7</f>
        <v>0</v>
      </c>
      <c r="AE62" s="28">
        <f>Option4!AE$82*conv_2026*AE$7</f>
        <v>0</v>
      </c>
      <c r="AF62" s="28">
        <f>Option4!AF$82*conv_2026*AF$7</f>
        <v>0</v>
      </c>
      <c r="AG62" s="28">
        <f>Option4!AG$82*conv_2026*AG$7</f>
        <v>0</v>
      </c>
    </row>
    <row r="63" spans="1:33" s="2" customFormat="1" x14ac:dyDescent="0.2">
      <c r="A63" s="114" t="str">
        <f t="shared" si="15"/>
        <v>Option 4</v>
      </c>
      <c r="B63" s="114"/>
      <c r="C63" s="52" t="str">
        <f>Option4!C$83</f>
        <v>Other benefits value</v>
      </c>
      <c r="D63" s="34" t="str">
        <f t="shared" si="14"/>
        <v>Option 4Other benefits value</v>
      </c>
      <c r="E63" s="1"/>
      <c r="F63" s="85">
        <f>SUMPRODUCT($H63:$AG63, $H$5:$AG$5)</f>
        <v>0</v>
      </c>
      <c r="G63" s="197">
        <f t="shared" si="16"/>
        <v>46203</v>
      </c>
      <c r="H63" s="28"/>
      <c r="I63" s="28">
        <f>Option4!I$83*conv_2026*I$7</f>
        <v>0</v>
      </c>
      <c r="J63" s="28">
        <f>Option4!J$83*conv_2026*J$7</f>
        <v>0</v>
      </c>
      <c r="K63" s="28">
        <f>Option4!K$83*conv_2026*K$7</f>
        <v>0</v>
      </c>
      <c r="L63" s="28">
        <f>Option4!L$83*conv_2026*L$7</f>
        <v>0</v>
      </c>
      <c r="M63" s="28">
        <f>Option4!M$83*conv_2026*M$7</f>
        <v>0</v>
      </c>
      <c r="N63" s="28">
        <f>Option4!N$83*conv_2026*N$7</f>
        <v>0</v>
      </c>
      <c r="O63" s="28">
        <f>Option4!O$83*conv_2026*O$7</f>
        <v>0</v>
      </c>
      <c r="P63" s="28">
        <f>Option4!P$83*conv_2026*P$7</f>
        <v>0</v>
      </c>
      <c r="Q63" s="28">
        <f>Option4!Q$83*conv_2026*Q$7</f>
        <v>0</v>
      </c>
      <c r="R63" s="28">
        <f>Option4!R$83*conv_2026*R$7</f>
        <v>0</v>
      </c>
      <c r="S63" s="28">
        <f>Option4!S$83*conv_2026*S$7</f>
        <v>0</v>
      </c>
      <c r="T63" s="28">
        <f>Option4!T$83*conv_2026*T$7</f>
        <v>0</v>
      </c>
      <c r="U63" s="28">
        <f>Option4!U$83*conv_2026*U$7</f>
        <v>0</v>
      </c>
      <c r="V63" s="28">
        <f>Option4!V$83*conv_2026*V$7</f>
        <v>0</v>
      </c>
      <c r="W63" s="28">
        <f>Option4!W$83*conv_2026*W$7</f>
        <v>0</v>
      </c>
      <c r="X63" s="28">
        <f>Option4!X$83*conv_2026*X$7</f>
        <v>0</v>
      </c>
      <c r="Y63" s="28">
        <f>Option4!Y$83*conv_2026*Y$7</f>
        <v>0</v>
      </c>
      <c r="Z63" s="28">
        <f>Option4!Z$83*conv_2026*Z$7</f>
        <v>0</v>
      </c>
      <c r="AA63" s="28">
        <f>Option4!AA$83*conv_2026*AA$7</f>
        <v>0</v>
      </c>
      <c r="AB63" s="28">
        <f>Option4!AB$83*conv_2026*AB$7</f>
        <v>0</v>
      </c>
      <c r="AC63" s="28">
        <f>Option4!AC$83*conv_2026*AC$7</f>
        <v>0</v>
      </c>
      <c r="AD63" s="28">
        <f>Option4!AD$83*conv_2026*AD$7</f>
        <v>0</v>
      </c>
      <c r="AE63" s="28">
        <f>Option4!AE$83*conv_2026*AE$7</f>
        <v>0</v>
      </c>
      <c r="AF63" s="28">
        <f>Option4!AF$83*conv_2026*AF$7</f>
        <v>0</v>
      </c>
      <c r="AG63" s="28">
        <f>Option4!AG$83*conv_2026*AG$7</f>
        <v>0</v>
      </c>
    </row>
    <row r="64" spans="1:33" s="2" customFormat="1" x14ac:dyDescent="0.2">
      <c r="A64" s="114" t="str">
        <f t="shared" si="15"/>
        <v>Option 4</v>
      </c>
      <c r="B64" s="114"/>
      <c r="C64" s="104" t="str">
        <f>Option4!C85</f>
        <v>Net benefits</v>
      </c>
      <c r="D64" s="97" t="str">
        <f t="shared" si="14"/>
        <v>Option 4Net benefits</v>
      </c>
      <c r="E64" s="98"/>
      <c r="F64" s="121"/>
      <c r="G64" s="199">
        <f t="shared" si="16"/>
        <v>46203</v>
      </c>
      <c r="H64" s="46"/>
      <c r="I64" s="46">
        <f t="shared" ref="I64:AB64" si="17">SUM(I60:I63)</f>
        <v>0</v>
      </c>
      <c r="J64" s="46">
        <f t="shared" si="17"/>
        <v>0</v>
      </c>
      <c r="K64" s="46">
        <f t="shared" si="17"/>
        <v>0</v>
      </c>
      <c r="L64" s="46">
        <f t="shared" si="17"/>
        <v>0</v>
      </c>
      <c r="M64" s="46">
        <f t="shared" si="17"/>
        <v>0</v>
      </c>
      <c r="N64" s="46">
        <f t="shared" si="17"/>
        <v>0</v>
      </c>
      <c r="O64" s="46">
        <f t="shared" si="17"/>
        <v>0</v>
      </c>
      <c r="P64" s="46">
        <f t="shared" si="17"/>
        <v>0</v>
      </c>
      <c r="Q64" s="46">
        <f t="shared" si="17"/>
        <v>0</v>
      </c>
      <c r="R64" s="46">
        <f t="shared" si="17"/>
        <v>0</v>
      </c>
      <c r="S64" s="46">
        <f t="shared" si="17"/>
        <v>0</v>
      </c>
      <c r="T64" s="46">
        <f t="shared" si="17"/>
        <v>0</v>
      </c>
      <c r="U64" s="46">
        <f t="shared" si="17"/>
        <v>0</v>
      </c>
      <c r="V64" s="46">
        <f t="shared" si="17"/>
        <v>0</v>
      </c>
      <c r="W64" s="46">
        <f t="shared" si="17"/>
        <v>0</v>
      </c>
      <c r="X64" s="46">
        <f t="shared" si="17"/>
        <v>0</v>
      </c>
      <c r="Y64" s="46">
        <f t="shared" si="17"/>
        <v>0</v>
      </c>
      <c r="Z64" s="46">
        <f t="shared" si="17"/>
        <v>0</v>
      </c>
      <c r="AA64" s="46">
        <f t="shared" si="17"/>
        <v>0</v>
      </c>
      <c r="AB64" s="46">
        <f t="shared" si="17"/>
        <v>0</v>
      </c>
      <c r="AC64" s="46">
        <f>SUM(AC60:AC63)</f>
        <v>0</v>
      </c>
      <c r="AD64" s="46">
        <f>SUM(AD60:AD63)</f>
        <v>0</v>
      </c>
      <c r="AE64" s="46">
        <f>SUM(AE60:AE63)</f>
        <v>0</v>
      </c>
      <c r="AF64" s="46">
        <f>SUM(AF60:AF63)</f>
        <v>0</v>
      </c>
      <c r="AG64" s="46">
        <f>SUM(AG60:AG63)</f>
        <v>0</v>
      </c>
    </row>
    <row r="65" spans="1:33" s="2" customFormat="1" x14ac:dyDescent="0.2">
      <c r="A65" s="114" t="str">
        <f t="shared" si="15"/>
        <v>Option 4</v>
      </c>
      <c r="B65" s="114"/>
      <c r="C65" s="6" t="s">
        <v>7</v>
      </c>
      <c r="D65" s="34" t="str">
        <f t="shared" si="14"/>
        <v>Option 4NPV</v>
      </c>
      <c r="E65" s="1"/>
      <c r="F65" s="96" cm="1">
        <f t="array" ref="F65">SUMPRODUCT(($H64:$AG64)*($H$5:$AG$5)*($H$7:$AG$7))</f>
        <v>0</v>
      </c>
      <c r="G65" s="197">
        <f t="shared" si="16"/>
        <v>46203</v>
      </c>
      <c r="H65" s="6"/>
      <c r="I65" s="6"/>
      <c r="J65" s="6"/>
      <c r="K65" s="6"/>
      <c r="L65" s="6"/>
      <c r="M65" s="6"/>
      <c r="N65" s="6"/>
      <c r="O65" s="6"/>
      <c r="P65" s="6"/>
      <c r="Q65" s="6"/>
      <c r="R65" s="6"/>
      <c r="S65" s="6"/>
      <c r="T65" s="6"/>
      <c r="U65" s="6"/>
      <c r="V65" s="6"/>
      <c r="W65" s="6"/>
      <c r="X65" s="6"/>
      <c r="Y65" s="6"/>
      <c r="Z65" s="6"/>
      <c r="AA65" s="6"/>
      <c r="AB65" s="6"/>
      <c r="AC65" s="6"/>
      <c r="AD65" s="6"/>
      <c r="AE65" s="6"/>
      <c r="AF65" s="6"/>
      <c r="AG65" s="6"/>
    </row>
    <row r="66" spans="1:33" s="2" customFormat="1" x14ac:dyDescent="0.2">
      <c r="A66" s="114" t="str">
        <f t="shared" si="15"/>
        <v>Option 4</v>
      </c>
      <c r="B66" s="114"/>
      <c r="C66" s="6" t="s">
        <v>5</v>
      </c>
      <c r="D66" s="34" t="str">
        <f t="shared" si="14"/>
        <v>Option 4PV of costs</v>
      </c>
      <c r="E66" s="1"/>
      <c r="F66" s="96">
        <f>SUM(F60:F61)</f>
        <v>0</v>
      </c>
      <c r="G66" s="197">
        <f t="shared" si="16"/>
        <v>46203</v>
      </c>
      <c r="H66" s="6"/>
      <c r="I66" s="6"/>
      <c r="J66" s="6"/>
      <c r="K66" s="6"/>
      <c r="L66" s="6"/>
      <c r="M66" s="6"/>
      <c r="N66" s="6"/>
      <c r="O66" s="6"/>
      <c r="P66" s="6"/>
      <c r="Q66" s="6"/>
      <c r="R66" s="6"/>
      <c r="S66" s="6"/>
      <c r="T66" s="6"/>
      <c r="U66" s="6"/>
      <c r="V66" s="6"/>
      <c r="W66" s="6"/>
      <c r="X66" s="6"/>
      <c r="Y66" s="6"/>
      <c r="Z66" s="6"/>
      <c r="AA66" s="6"/>
      <c r="AB66" s="6"/>
      <c r="AC66" s="6"/>
      <c r="AD66" s="6"/>
      <c r="AE66" s="6"/>
      <c r="AF66" s="6"/>
      <c r="AG66" s="6"/>
    </row>
    <row r="67" spans="1:33" s="2" customFormat="1" x14ac:dyDescent="0.2">
      <c r="A67" s="114" t="str">
        <f t="shared" si="15"/>
        <v>Option 4</v>
      </c>
      <c r="B67" s="114"/>
      <c r="C67" s="6" t="s">
        <v>6</v>
      </c>
      <c r="D67" s="34" t="str">
        <f t="shared" si="14"/>
        <v>Option 4PV of benefits</v>
      </c>
      <c r="E67" s="1"/>
      <c r="F67" s="96">
        <f>SUM(F62:F63)</f>
        <v>0</v>
      </c>
      <c r="G67" s="197">
        <f t="shared" si="16"/>
        <v>46203</v>
      </c>
      <c r="H67" s="6"/>
      <c r="I67" s="6"/>
      <c r="J67" s="6"/>
      <c r="K67" s="6"/>
      <c r="L67" s="6"/>
      <c r="M67" s="6"/>
      <c r="N67" s="6"/>
      <c r="O67" s="6"/>
      <c r="P67" s="6"/>
      <c r="Q67" s="6"/>
      <c r="R67" s="6"/>
      <c r="S67" s="6"/>
      <c r="T67" s="6"/>
      <c r="U67" s="6"/>
      <c r="V67" s="6"/>
      <c r="W67" s="6"/>
      <c r="X67" s="6"/>
      <c r="Y67" s="6"/>
      <c r="Z67" s="6"/>
      <c r="AA67" s="6"/>
      <c r="AB67" s="6"/>
      <c r="AC67" s="6"/>
      <c r="AD67" s="6"/>
      <c r="AE67" s="6"/>
      <c r="AF67" s="6"/>
      <c r="AG67" s="6"/>
    </row>
    <row r="68" spans="1:33" s="2" customFormat="1" x14ac:dyDescent="0.2">
      <c r="A68" s="114"/>
      <c r="B68" s="114"/>
      <c r="C68" s="1"/>
      <c r="D68" s="34"/>
      <c r="E68" s="1"/>
      <c r="F68" s="96"/>
      <c r="G68" s="200"/>
      <c r="H68" s="1"/>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row>
    <row r="69" spans="1:33" s="2" customFormat="1" x14ac:dyDescent="0.2">
      <c r="A69" s="52"/>
      <c r="B69" s="52"/>
      <c r="C69" s="52"/>
      <c r="D69" s="34" t="str">
        <f t="shared" ref="D69:D81" si="18">A69&amp;C69</f>
        <v/>
      </c>
      <c r="F69" s="7"/>
      <c r="G69" s="193"/>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s="2" customFormat="1" x14ac:dyDescent="0.2">
      <c r="A70" s="52" t="str">
        <f>A71</f>
        <v>Option 5</v>
      </c>
      <c r="B70" s="52"/>
      <c r="C70" s="52" t="s">
        <v>110</v>
      </c>
      <c r="D70" s="34" t="str">
        <f t="shared" si="18"/>
        <v>Option 5Energy at risk value</v>
      </c>
      <c r="F70" s="85">
        <f>SUMPRODUCT($H70:$AG70, $H$5:$AG$5)</f>
        <v>0</v>
      </c>
      <c r="G70" s="197">
        <f>output_dollars</f>
        <v>46203</v>
      </c>
      <c r="H70" s="28"/>
      <c r="I70" s="28">
        <f>Option5!I$29*conv_2026</f>
        <v>0</v>
      </c>
      <c r="J70" s="28">
        <f>Option5!J$29*conv_2026</f>
        <v>0</v>
      </c>
      <c r="K70" s="28">
        <f>Option5!K$29*conv_2026</f>
        <v>0</v>
      </c>
      <c r="L70" s="28">
        <f>Option5!L$29*conv_2026</f>
        <v>0</v>
      </c>
      <c r="M70" s="28">
        <f>Option5!M$29*conv_2026</f>
        <v>0</v>
      </c>
      <c r="N70" s="28">
        <f>Option5!N$29*conv_2026</f>
        <v>0</v>
      </c>
      <c r="O70" s="28">
        <f>Option5!O$29*conv_2026</f>
        <v>0</v>
      </c>
      <c r="P70" s="28">
        <f>Option5!P$29*conv_2026</f>
        <v>0</v>
      </c>
      <c r="Q70" s="28">
        <f>Option5!Q$29*conv_2026</f>
        <v>0</v>
      </c>
      <c r="R70" s="28">
        <f>Option5!R$29*conv_2026</f>
        <v>0</v>
      </c>
      <c r="S70" s="28">
        <f>Option5!S$29*conv_2026</f>
        <v>0</v>
      </c>
      <c r="T70" s="28">
        <f>Option5!T$29*conv_2026</f>
        <v>0</v>
      </c>
      <c r="U70" s="28">
        <f>Option5!U$29*conv_2026</f>
        <v>0</v>
      </c>
      <c r="V70" s="28">
        <f>Option5!V$29*conv_2026</f>
        <v>0</v>
      </c>
      <c r="W70" s="28">
        <f>Option5!W$29*conv_2026</f>
        <v>0</v>
      </c>
      <c r="X70" s="28">
        <f>Option5!X$29*conv_2026</f>
        <v>0</v>
      </c>
      <c r="Y70" s="28">
        <f>Option5!Y$29*conv_2026</f>
        <v>0</v>
      </c>
      <c r="Z70" s="28">
        <f>Option5!Z$29*conv_2026</f>
        <v>0</v>
      </c>
      <c r="AA70" s="28">
        <f>Option5!AA$29*conv_2026</f>
        <v>0</v>
      </c>
      <c r="AB70" s="28">
        <f>Option5!AB$29*conv_2026</f>
        <v>0</v>
      </c>
      <c r="AC70" s="28">
        <f>Option5!AC$29*conv_2026</f>
        <v>0</v>
      </c>
      <c r="AD70" s="28">
        <f>Option5!AD$29*conv_2026</f>
        <v>0</v>
      </c>
      <c r="AE70" s="28">
        <f>Option5!AE$29*conv_2026</f>
        <v>0</v>
      </c>
      <c r="AF70" s="28">
        <f>Option5!AF$29*conv_2026</f>
        <v>0</v>
      </c>
      <c r="AG70" s="28">
        <f>Option5!AG$29*conv_2026</f>
        <v>0</v>
      </c>
    </row>
    <row r="71" spans="1:33" s="2" customFormat="1" x14ac:dyDescent="0.2">
      <c r="A71" s="114" t="str">
        <f>Data!B13</f>
        <v>Option 5</v>
      </c>
      <c r="B71" s="114"/>
      <c r="C71" s="52" t="str">
        <f>Option5!C$64</f>
        <v>Capital expenditure</v>
      </c>
      <c r="D71" s="34" t="str">
        <f t="shared" si="18"/>
        <v>Option 5Capital expenditure</v>
      </c>
      <c r="E71" s="1"/>
      <c r="F71" s="85">
        <f>SUMPRODUCT($H71:$AG71, $H$5:$AG$5)</f>
        <v>0</v>
      </c>
      <c r="G71" s="197">
        <f>output_dollars</f>
        <v>46203</v>
      </c>
      <c r="H71" s="28"/>
      <c r="I71" s="28">
        <f>SUM(Option5!I$65:I$67)*conv_2026*I$7</f>
        <v>0</v>
      </c>
      <c r="J71" s="28">
        <f>SUM(Option5!J$65:J$67)*conv_2026*J$7</f>
        <v>0</v>
      </c>
      <c r="K71" s="28">
        <f>SUM(Option5!K$65:K$67)*conv_2026*K$7</f>
        <v>0</v>
      </c>
      <c r="L71" s="28">
        <f>SUM(Option5!L$65:L$67)*conv_2026*L$7</f>
        <v>0</v>
      </c>
      <c r="M71" s="28">
        <f>SUM(Option5!M$65:M$67)*conv_2026*M$7</f>
        <v>0</v>
      </c>
      <c r="N71" s="28">
        <f>SUM(Option5!N$65:N$67)*conv_2026*N$7</f>
        <v>0</v>
      </c>
      <c r="O71" s="28">
        <f>SUM(Option5!O$65:O$67)*conv_2026*O$7</f>
        <v>0</v>
      </c>
      <c r="P71" s="28">
        <f>SUM(Option5!P$65:P$67)*conv_2026*P$7</f>
        <v>0</v>
      </c>
      <c r="Q71" s="28">
        <f>SUM(Option5!Q$65:Q$67)*conv_2026*Q$7</f>
        <v>0</v>
      </c>
      <c r="R71" s="28">
        <f>SUM(Option5!R$65:R$67)*conv_2026*R$7</f>
        <v>0</v>
      </c>
      <c r="S71" s="28">
        <f>SUM(Option5!S$65:S$67)*conv_2026*S$7</f>
        <v>0</v>
      </c>
      <c r="T71" s="28">
        <f>SUM(Option5!T$65:T$67)*conv_2026*T$7</f>
        <v>0</v>
      </c>
      <c r="U71" s="28">
        <f>SUM(Option5!U$65:U$67)*conv_2026*U$7</f>
        <v>0</v>
      </c>
      <c r="V71" s="28">
        <f>SUM(Option5!V$65:V$67)*conv_2026*V$7</f>
        <v>0</v>
      </c>
      <c r="W71" s="28">
        <f>SUM(Option5!W$65:W$67)*conv_2026*W$7</f>
        <v>0</v>
      </c>
      <c r="X71" s="28">
        <f>SUM(Option5!X$65:X$67)*conv_2026*X$7</f>
        <v>0</v>
      </c>
      <c r="Y71" s="28">
        <f>SUM(Option5!Y$65:Y$67)*conv_2026*Y$7</f>
        <v>0</v>
      </c>
      <c r="Z71" s="28">
        <f>SUM(Option5!Z$65:Z$67)*conv_2026*Z$7</f>
        <v>0</v>
      </c>
      <c r="AA71" s="28">
        <f>SUM(Option5!AA$65:AA$67)*conv_2026*AA$7</f>
        <v>0</v>
      </c>
      <c r="AB71" s="28">
        <f>SUM(Option5!AB$65:AB$67)*conv_2026*AB$7</f>
        <v>0</v>
      </c>
      <c r="AC71" s="28">
        <f>SUM(Option5!AC$65:AC$67)*conv_2026*AC$7</f>
        <v>0</v>
      </c>
      <c r="AD71" s="28">
        <f>SUM(Option5!AD$65:AD$67)*conv_2026*AD$7</f>
        <v>0</v>
      </c>
      <c r="AE71" s="28">
        <f>SUM(Option5!AE$65:AE$67)*conv_2026*AE$7</f>
        <v>0</v>
      </c>
      <c r="AF71" s="28">
        <f>SUM(Option5!AF$65:AF$67)*conv_2026*AF$7</f>
        <v>0</v>
      </c>
      <c r="AG71" s="28">
        <f>SUM(Option5!AG$65:AG$67)*conv_2026*AG$7</f>
        <v>0</v>
      </c>
    </row>
    <row r="72" spans="1:33" s="2" customFormat="1" x14ac:dyDescent="0.2">
      <c r="A72" s="114" t="str">
        <f t="shared" ref="A72:A81" si="19">A71</f>
        <v>Option 5</v>
      </c>
      <c r="B72" s="114"/>
      <c r="C72" s="52" t="str">
        <f>'Option1 (base case)'!C$37</f>
        <v>Total risk cost</v>
      </c>
      <c r="D72" s="34" t="str">
        <f t="shared" si="18"/>
        <v>Option 5Total risk cost</v>
      </c>
      <c r="E72" s="1"/>
      <c r="F72" s="85">
        <f>SUMPRODUCT($H72:$AG72, $H$5:$AG$5)</f>
        <v>0</v>
      </c>
      <c r="G72" s="197">
        <f>output_dollars</f>
        <v>46203</v>
      </c>
      <c r="H72" s="28"/>
      <c r="I72" s="28">
        <f>Option5!I$37*conv_2026*I$7</f>
        <v>0</v>
      </c>
      <c r="J72" s="28">
        <f>Option5!J$37*conv_2026*J$7</f>
        <v>0</v>
      </c>
      <c r="K72" s="28">
        <f>Option5!K$37*conv_2026*K$7</f>
        <v>0</v>
      </c>
      <c r="L72" s="28">
        <f>Option5!L$37*conv_2026*L$7</f>
        <v>0</v>
      </c>
      <c r="M72" s="28">
        <f>Option5!M$37*conv_2026*M$7</f>
        <v>0</v>
      </c>
      <c r="N72" s="28">
        <f>Option5!N$37*conv_2026*N$7</f>
        <v>0</v>
      </c>
      <c r="O72" s="28">
        <f>Option5!O$37*conv_2026*O$7</f>
        <v>0</v>
      </c>
      <c r="P72" s="28">
        <f>Option5!P$37*conv_2026*P$7</f>
        <v>0</v>
      </c>
      <c r="Q72" s="28">
        <f>Option5!Q$37*conv_2026*Q$7</f>
        <v>0</v>
      </c>
      <c r="R72" s="28">
        <f>Option5!R$37*conv_2026*R$7</f>
        <v>0</v>
      </c>
      <c r="S72" s="28">
        <f>Option5!S$37*conv_2026*S$7</f>
        <v>0</v>
      </c>
      <c r="T72" s="28">
        <f>Option5!T$37*conv_2026*T$7</f>
        <v>0</v>
      </c>
      <c r="U72" s="28">
        <f>Option5!U$37*conv_2026*U$7</f>
        <v>0</v>
      </c>
      <c r="V72" s="28">
        <f>Option5!V$37*conv_2026*V$7</f>
        <v>0</v>
      </c>
      <c r="W72" s="28">
        <f>Option5!W$37*conv_2026*W$7</f>
        <v>0</v>
      </c>
      <c r="X72" s="28">
        <f>Option5!X$37*conv_2026*X$7</f>
        <v>0</v>
      </c>
      <c r="Y72" s="28">
        <f>Option5!Y$37*conv_2026*Y$7</f>
        <v>0</v>
      </c>
      <c r="Z72" s="28">
        <f>Option5!Z$37*conv_2026*Z$7</f>
        <v>0</v>
      </c>
      <c r="AA72" s="28">
        <f>Option5!AA$37*conv_2026*AA$7</f>
        <v>0</v>
      </c>
      <c r="AB72" s="28">
        <f>Option5!AB$37*conv_2026*AB$7</f>
        <v>0</v>
      </c>
      <c r="AC72" s="28">
        <f>Option5!AC$37*conv_2026*AC$7</f>
        <v>0</v>
      </c>
      <c r="AD72" s="28">
        <f>Option5!AD$37*conv_2026*AD$7</f>
        <v>0</v>
      </c>
      <c r="AE72" s="28">
        <f>Option5!AE$37*conv_2026*AE$7</f>
        <v>0</v>
      </c>
      <c r="AF72" s="28">
        <f>Option5!AF$37*conv_2026*AF$7</f>
        <v>0</v>
      </c>
      <c r="AG72" s="28">
        <f>Option5!AG$37*conv_2026*AG$7</f>
        <v>0</v>
      </c>
    </row>
    <row r="73" spans="1:33" s="2" customFormat="1" x14ac:dyDescent="0.2">
      <c r="A73" s="114" t="str">
        <f t="shared" si="19"/>
        <v>Option 5</v>
      </c>
      <c r="B73" s="114"/>
      <c r="C73" s="12"/>
      <c r="D73" s="34" t="str">
        <f t="shared" si="18"/>
        <v>Option 5</v>
      </c>
      <c r="E73" s="1"/>
      <c r="F73"/>
      <c r="G73" s="198"/>
      <c r="H73"/>
      <c r="I73"/>
      <c r="J73"/>
      <c r="K73"/>
      <c r="L73"/>
      <c r="M73"/>
      <c r="N73"/>
      <c r="O73"/>
      <c r="P73"/>
      <c r="Q73"/>
      <c r="R73"/>
      <c r="S73"/>
      <c r="T73"/>
      <c r="U73"/>
      <c r="V73"/>
      <c r="W73"/>
      <c r="X73"/>
      <c r="Y73"/>
      <c r="Z73"/>
      <c r="AA73"/>
      <c r="AB73"/>
      <c r="AC73"/>
      <c r="AD73"/>
      <c r="AE73"/>
      <c r="AF73"/>
      <c r="AG73"/>
    </row>
    <row r="74" spans="1:33" s="2" customFormat="1" x14ac:dyDescent="0.2">
      <c r="A74" s="114" t="str">
        <f t="shared" si="19"/>
        <v>Option 5</v>
      </c>
      <c r="B74" s="114"/>
      <c r="C74" s="52" t="str">
        <f>Option5!C$80</f>
        <v>Annualised capex</v>
      </c>
      <c r="D74" s="34" t="str">
        <f t="shared" si="18"/>
        <v>Option 5Annualised capex</v>
      </c>
      <c r="E74" s="1"/>
      <c r="F74" s="96" cm="1">
        <f t="array" ref="F74">SUMPRODUCT(($H74:$AG74)*($H$5:$AG$5)*($H$7:$AG$7))</f>
        <v>0</v>
      </c>
      <c r="G74" s="197">
        <f t="shared" ref="G74:G81" si="20">output_dollars</f>
        <v>46203</v>
      </c>
      <c r="H74" s="28"/>
      <c r="I74" s="28">
        <f>Option5!I$80*conv_2026*I$7</f>
        <v>0</v>
      </c>
      <c r="J74" s="28">
        <f>Option5!J$80*conv_2026*J$7</f>
        <v>0</v>
      </c>
      <c r="K74" s="28">
        <f>Option5!K$80*conv_2026*K$7</f>
        <v>0</v>
      </c>
      <c r="L74" s="28">
        <f>Option5!L$80*conv_2026*L$7</f>
        <v>0</v>
      </c>
      <c r="M74" s="28">
        <f>Option5!M$80*conv_2026*M$7</f>
        <v>0</v>
      </c>
      <c r="N74" s="28">
        <f>Option5!N$80*conv_2026*N$7</f>
        <v>0</v>
      </c>
      <c r="O74" s="28">
        <f>Option5!O$80*conv_2026*O$7</f>
        <v>0</v>
      </c>
      <c r="P74" s="28">
        <f>Option5!P$80*conv_2026*P$7</f>
        <v>0</v>
      </c>
      <c r="Q74" s="28">
        <f>Option5!Q$80*conv_2026*Q$7</f>
        <v>0</v>
      </c>
      <c r="R74" s="28">
        <f>Option5!R$80*conv_2026*R$7</f>
        <v>0</v>
      </c>
      <c r="S74" s="28">
        <f>Option5!S$80*conv_2026*S$7</f>
        <v>0</v>
      </c>
      <c r="T74" s="28">
        <f>Option5!T$80*conv_2026*T$7</f>
        <v>0</v>
      </c>
      <c r="U74" s="28">
        <f>Option5!U$80*conv_2026*U$7</f>
        <v>0</v>
      </c>
      <c r="V74" s="28">
        <f>Option5!V$80*conv_2026*V$7</f>
        <v>0</v>
      </c>
      <c r="W74" s="28">
        <f>Option5!W$80*conv_2026*W$7</f>
        <v>0</v>
      </c>
      <c r="X74" s="28">
        <f>Option5!X$80*conv_2026*X$7</f>
        <v>0</v>
      </c>
      <c r="Y74" s="28">
        <f>Option5!Y$80*conv_2026*Y$7</f>
        <v>0</v>
      </c>
      <c r="Z74" s="28">
        <f>Option5!Z$80*conv_2026*Z$7</f>
        <v>0</v>
      </c>
      <c r="AA74" s="28">
        <f>Option5!AA$80*conv_2026*AA$7</f>
        <v>0</v>
      </c>
      <c r="AB74" s="28">
        <f>Option5!AB$80*conv_2026*AB$7</f>
        <v>0</v>
      </c>
      <c r="AC74" s="28">
        <f>Option5!AC$80*conv_2026*AC$7</f>
        <v>0</v>
      </c>
      <c r="AD74" s="28">
        <f>Option5!AD$80*conv_2026*AD$7</f>
        <v>0</v>
      </c>
      <c r="AE74" s="28">
        <f>Option5!AE$80*conv_2026*AE$7</f>
        <v>0</v>
      </c>
      <c r="AF74" s="28">
        <f>Option5!AF$80*conv_2026*AF$7</f>
        <v>0</v>
      </c>
      <c r="AG74" s="28">
        <f>Option5!AG$80*conv_2026*AG$7</f>
        <v>0</v>
      </c>
    </row>
    <row r="75" spans="1:33" s="2" customFormat="1" x14ac:dyDescent="0.2">
      <c r="A75" s="114" t="str">
        <f t="shared" si="19"/>
        <v>Option 5</v>
      </c>
      <c r="B75" s="114"/>
      <c r="C75" s="52" t="str">
        <f>Option5!C$81</f>
        <v>Operating expenditure</v>
      </c>
      <c r="D75" s="34" t="str">
        <f t="shared" si="18"/>
        <v>Option 5Operating expenditure</v>
      </c>
      <c r="E75" s="1"/>
      <c r="F75" s="96" cm="1">
        <f t="array" ref="F75">SUMPRODUCT(($H75:$AG75)*($H$5:$AG$5)*($H$7:$AG$7))</f>
        <v>0</v>
      </c>
      <c r="G75" s="197">
        <f t="shared" si="20"/>
        <v>46203</v>
      </c>
      <c r="H75" s="28"/>
      <c r="I75" s="28">
        <f>Option5!I$81*conv_2026*I$7</f>
        <v>0</v>
      </c>
      <c r="J75" s="28">
        <f>Option5!J$81*conv_2026*J$7</f>
        <v>0</v>
      </c>
      <c r="K75" s="28">
        <f>Option5!K$81*conv_2026*K$7</f>
        <v>0</v>
      </c>
      <c r="L75" s="28">
        <f>Option5!L$81*conv_2026*L$7</f>
        <v>0</v>
      </c>
      <c r="M75" s="28">
        <f>Option5!M$81*conv_2026*M$7</f>
        <v>0</v>
      </c>
      <c r="N75" s="28">
        <f>Option5!N$81*conv_2026*N$7</f>
        <v>0</v>
      </c>
      <c r="O75" s="28">
        <f>Option5!O$81*conv_2026*O$7</f>
        <v>0</v>
      </c>
      <c r="P75" s="28">
        <f>Option5!P$81*conv_2026*P$7</f>
        <v>0</v>
      </c>
      <c r="Q75" s="28">
        <f>Option5!Q$81*conv_2026*Q$7</f>
        <v>0</v>
      </c>
      <c r="R75" s="28">
        <f>Option5!R$81*conv_2026*R$7</f>
        <v>0</v>
      </c>
      <c r="S75" s="28">
        <f>Option5!S$81*conv_2026*S$7</f>
        <v>0</v>
      </c>
      <c r="T75" s="28">
        <f>Option5!T$81*conv_2026*T$7</f>
        <v>0</v>
      </c>
      <c r="U75" s="28">
        <f>Option5!U$81*conv_2026*U$7</f>
        <v>0</v>
      </c>
      <c r="V75" s="28">
        <f>Option5!V$81*conv_2026*V$7</f>
        <v>0</v>
      </c>
      <c r="W75" s="28">
        <f>Option5!W$81*conv_2026*W$7</f>
        <v>0</v>
      </c>
      <c r="X75" s="28">
        <f>Option5!X$81*conv_2026*X$7</f>
        <v>0</v>
      </c>
      <c r="Y75" s="28">
        <f>Option5!Y$81*conv_2026*Y$7</f>
        <v>0</v>
      </c>
      <c r="Z75" s="28">
        <f>Option5!Z$81*conv_2026*Z$7</f>
        <v>0</v>
      </c>
      <c r="AA75" s="28">
        <f>Option5!AA$81*conv_2026*AA$7</f>
        <v>0</v>
      </c>
      <c r="AB75" s="28">
        <f>Option5!AB$81*conv_2026*AB$7</f>
        <v>0</v>
      </c>
      <c r="AC75" s="28">
        <f>Option5!AC$81*conv_2026*AC$7</f>
        <v>0</v>
      </c>
      <c r="AD75" s="28">
        <f>Option5!AD$81*conv_2026*AD$7</f>
        <v>0</v>
      </c>
      <c r="AE75" s="28">
        <f>Option5!AE$81*conv_2026*AE$7</f>
        <v>0</v>
      </c>
      <c r="AF75" s="28">
        <f>Option5!AF$81*conv_2026*AF$7</f>
        <v>0</v>
      </c>
      <c r="AG75" s="28">
        <f>Option5!AG$81*conv_2026*AG$7</f>
        <v>0</v>
      </c>
    </row>
    <row r="76" spans="1:33" s="2" customFormat="1" x14ac:dyDescent="0.2">
      <c r="A76" s="114" t="str">
        <f t="shared" si="19"/>
        <v>Option 5</v>
      </c>
      <c r="B76" s="114"/>
      <c r="C76" s="52" t="str">
        <f>Option5!C$82</f>
        <v>Risk mitigated</v>
      </c>
      <c r="D76" s="34" t="str">
        <f t="shared" si="18"/>
        <v>Option 5Risk mitigated</v>
      </c>
      <c r="E76" s="1"/>
      <c r="F76" s="85">
        <f>SUMPRODUCT($H76:$AG76, $H$5:$AG$5)</f>
        <v>0</v>
      </c>
      <c r="G76" s="197">
        <f t="shared" si="20"/>
        <v>46203</v>
      </c>
      <c r="H76" s="28"/>
      <c r="I76" s="28">
        <f>Option5!I$82*conv_2026*I$7</f>
        <v>0</v>
      </c>
      <c r="J76" s="28">
        <f>Option5!J$82*conv_2026*J$7</f>
        <v>0</v>
      </c>
      <c r="K76" s="28">
        <f>Option5!K$82*conv_2026*K$7</f>
        <v>0</v>
      </c>
      <c r="L76" s="28">
        <f>Option5!L$82*conv_2026*L$7</f>
        <v>0</v>
      </c>
      <c r="M76" s="28">
        <f>Option5!M$82*conv_2026*M$7</f>
        <v>0</v>
      </c>
      <c r="N76" s="28">
        <f>Option5!N$82*conv_2026*N$7</f>
        <v>0</v>
      </c>
      <c r="O76" s="28">
        <f>Option5!O$82*conv_2026*O$7</f>
        <v>0</v>
      </c>
      <c r="P76" s="28">
        <f>Option5!P$82*conv_2026*P$7</f>
        <v>0</v>
      </c>
      <c r="Q76" s="28">
        <f>Option5!Q$82*conv_2026*Q$7</f>
        <v>0</v>
      </c>
      <c r="R76" s="28">
        <f>Option5!R$82*conv_2026*R$7</f>
        <v>0</v>
      </c>
      <c r="S76" s="28">
        <f>Option5!S$82*conv_2026*S$7</f>
        <v>0</v>
      </c>
      <c r="T76" s="28">
        <f>Option5!T$82*conv_2026*T$7</f>
        <v>0</v>
      </c>
      <c r="U76" s="28">
        <f>Option5!U$82*conv_2026*U$7</f>
        <v>0</v>
      </c>
      <c r="V76" s="28">
        <f>Option5!V$82*conv_2026*V$7</f>
        <v>0</v>
      </c>
      <c r="W76" s="28">
        <f>Option5!W$82*conv_2026*W$7</f>
        <v>0</v>
      </c>
      <c r="X76" s="28">
        <f>Option5!X$82*conv_2026*X$7</f>
        <v>0</v>
      </c>
      <c r="Y76" s="28">
        <f>Option5!Y$82*conv_2026*Y$7</f>
        <v>0</v>
      </c>
      <c r="Z76" s="28">
        <f>Option5!Z$82*conv_2026*Z$7</f>
        <v>0</v>
      </c>
      <c r="AA76" s="28">
        <f>Option5!AA$82*conv_2026*AA$7</f>
        <v>0</v>
      </c>
      <c r="AB76" s="28">
        <f>Option5!AB$82*conv_2026*AB$7</f>
        <v>0</v>
      </c>
      <c r="AC76" s="28">
        <f>Option5!AC$82*conv_2026*AC$7</f>
        <v>0</v>
      </c>
      <c r="AD76" s="28">
        <f>Option5!AD$82*conv_2026*AD$7</f>
        <v>0</v>
      </c>
      <c r="AE76" s="28">
        <f>Option5!AE$82*conv_2026*AE$7</f>
        <v>0</v>
      </c>
      <c r="AF76" s="28">
        <f>Option5!AF$82*conv_2026*AF$7</f>
        <v>0</v>
      </c>
      <c r="AG76" s="28">
        <f>Option5!AG$82*conv_2026*AG$7</f>
        <v>0</v>
      </c>
    </row>
    <row r="77" spans="1:33" s="2" customFormat="1" x14ac:dyDescent="0.2">
      <c r="A77" s="114" t="str">
        <f t="shared" si="19"/>
        <v>Option 5</v>
      </c>
      <c r="B77" s="114"/>
      <c r="C77" s="52" t="str">
        <f>Option5!C$83</f>
        <v>Other benefits value</v>
      </c>
      <c r="D77" s="34" t="str">
        <f t="shared" si="18"/>
        <v>Option 5Other benefits value</v>
      </c>
      <c r="E77" s="1"/>
      <c r="F77" s="85">
        <f>SUMPRODUCT($H77:$AG77, $H$5:$AG$5)</f>
        <v>0</v>
      </c>
      <c r="G77" s="197">
        <f t="shared" si="20"/>
        <v>46203</v>
      </c>
      <c r="H77" s="28"/>
      <c r="I77" s="28">
        <f>Option5!I$83*conv_2026*I$7</f>
        <v>0</v>
      </c>
      <c r="J77" s="28">
        <f>Option5!J$83*conv_2026*J$7</f>
        <v>0</v>
      </c>
      <c r="K77" s="28">
        <f>Option5!K$83*conv_2026*K$7</f>
        <v>0</v>
      </c>
      <c r="L77" s="28">
        <f>Option5!L$83*conv_2026*L$7</f>
        <v>0</v>
      </c>
      <c r="M77" s="28">
        <f>Option5!M$83*conv_2026*M$7</f>
        <v>0</v>
      </c>
      <c r="N77" s="28">
        <f>Option5!N$83*conv_2026*N$7</f>
        <v>0</v>
      </c>
      <c r="O77" s="28">
        <f>Option5!O$83*conv_2026*O$7</f>
        <v>0</v>
      </c>
      <c r="P77" s="28">
        <f>Option5!P$83*conv_2026*P$7</f>
        <v>0</v>
      </c>
      <c r="Q77" s="28">
        <f>Option5!Q$83*conv_2026*Q$7</f>
        <v>0</v>
      </c>
      <c r="R77" s="28">
        <f>Option5!R$83*conv_2026*R$7</f>
        <v>0</v>
      </c>
      <c r="S77" s="28">
        <f>Option5!S$83*conv_2026*S$7</f>
        <v>0</v>
      </c>
      <c r="T77" s="28">
        <f>Option5!T$83*conv_2026*T$7</f>
        <v>0</v>
      </c>
      <c r="U77" s="28">
        <f>Option5!U$83*conv_2026*U$7</f>
        <v>0</v>
      </c>
      <c r="V77" s="28">
        <f>Option5!V$83*conv_2026*V$7</f>
        <v>0</v>
      </c>
      <c r="W77" s="28">
        <f>Option5!W$83*conv_2026*W$7</f>
        <v>0</v>
      </c>
      <c r="X77" s="28">
        <f>Option5!X$83*conv_2026*X$7</f>
        <v>0</v>
      </c>
      <c r="Y77" s="28">
        <f>Option5!Y$83*conv_2026*Y$7</f>
        <v>0</v>
      </c>
      <c r="Z77" s="28">
        <f>Option5!Z$83*conv_2026*Z$7</f>
        <v>0</v>
      </c>
      <c r="AA77" s="28">
        <f>Option5!AA$83*conv_2026*AA$7</f>
        <v>0</v>
      </c>
      <c r="AB77" s="28">
        <f>Option5!AB$83*conv_2026*AB$7</f>
        <v>0</v>
      </c>
      <c r="AC77" s="28">
        <f>Option5!AC$83*conv_2026*AC$7</f>
        <v>0</v>
      </c>
      <c r="AD77" s="28">
        <f>Option5!AD$83*conv_2026*AD$7</f>
        <v>0</v>
      </c>
      <c r="AE77" s="28">
        <f>Option5!AE$83*conv_2026*AE$7</f>
        <v>0</v>
      </c>
      <c r="AF77" s="28">
        <f>Option5!AF$83*conv_2026*AF$7</f>
        <v>0</v>
      </c>
      <c r="AG77" s="28">
        <f>Option5!AG$83*conv_2026*AG$7</f>
        <v>0</v>
      </c>
    </row>
    <row r="78" spans="1:33" s="2" customFormat="1" x14ac:dyDescent="0.2">
      <c r="A78" s="114" t="str">
        <f t="shared" si="19"/>
        <v>Option 5</v>
      </c>
      <c r="B78" s="114"/>
      <c r="C78" s="104" t="str">
        <f>Option5!C85</f>
        <v>Net benefits</v>
      </c>
      <c r="D78" s="97" t="str">
        <f t="shared" si="18"/>
        <v>Option 5Net benefits</v>
      </c>
      <c r="E78" s="98"/>
      <c r="F78" s="121"/>
      <c r="G78" s="199">
        <f t="shared" si="20"/>
        <v>46203</v>
      </c>
      <c r="H78" s="46"/>
      <c r="I78" s="46">
        <f t="shared" ref="I78:AB78" si="21">SUM(I74:I77)</f>
        <v>0</v>
      </c>
      <c r="J78" s="46">
        <f t="shared" si="21"/>
        <v>0</v>
      </c>
      <c r="K78" s="46">
        <f t="shared" si="21"/>
        <v>0</v>
      </c>
      <c r="L78" s="46">
        <f t="shared" si="21"/>
        <v>0</v>
      </c>
      <c r="M78" s="46">
        <f t="shared" si="21"/>
        <v>0</v>
      </c>
      <c r="N78" s="46">
        <f t="shared" si="21"/>
        <v>0</v>
      </c>
      <c r="O78" s="46">
        <f t="shared" si="21"/>
        <v>0</v>
      </c>
      <c r="P78" s="46">
        <f t="shared" si="21"/>
        <v>0</v>
      </c>
      <c r="Q78" s="46">
        <f t="shared" si="21"/>
        <v>0</v>
      </c>
      <c r="R78" s="46">
        <f t="shared" si="21"/>
        <v>0</v>
      </c>
      <c r="S78" s="46">
        <f t="shared" si="21"/>
        <v>0</v>
      </c>
      <c r="T78" s="46">
        <f t="shared" si="21"/>
        <v>0</v>
      </c>
      <c r="U78" s="46">
        <f t="shared" si="21"/>
        <v>0</v>
      </c>
      <c r="V78" s="46">
        <f t="shared" si="21"/>
        <v>0</v>
      </c>
      <c r="W78" s="46">
        <f t="shared" si="21"/>
        <v>0</v>
      </c>
      <c r="X78" s="46">
        <f t="shared" si="21"/>
        <v>0</v>
      </c>
      <c r="Y78" s="46">
        <f t="shared" si="21"/>
        <v>0</v>
      </c>
      <c r="Z78" s="46">
        <f t="shared" si="21"/>
        <v>0</v>
      </c>
      <c r="AA78" s="46">
        <f t="shared" si="21"/>
        <v>0</v>
      </c>
      <c r="AB78" s="46">
        <f t="shared" si="21"/>
        <v>0</v>
      </c>
      <c r="AC78" s="46">
        <f>SUM(AC74:AC77)</f>
        <v>0</v>
      </c>
      <c r="AD78" s="46">
        <f>SUM(AD74:AD77)</f>
        <v>0</v>
      </c>
      <c r="AE78" s="46">
        <f>SUM(AE74:AE77)</f>
        <v>0</v>
      </c>
      <c r="AF78" s="46">
        <f>SUM(AF74:AF77)</f>
        <v>0</v>
      </c>
      <c r="AG78" s="46">
        <f>SUM(AG74:AG77)</f>
        <v>0</v>
      </c>
    </row>
    <row r="79" spans="1:33" s="2" customFormat="1" x14ac:dyDescent="0.2">
      <c r="A79" s="114" t="str">
        <f t="shared" si="19"/>
        <v>Option 5</v>
      </c>
      <c r="B79" s="114"/>
      <c r="C79" s="6" t="s">
        <v>7</v>
      </c>
      <c r="D79" s="34" t="str">
        <f t="shared" si="18"/>
        <v>Option 5NPV</v>
      </c>
      <c r="E79" s="1"/>
      <c r="F79" s="96" cm="1">
        <f t="array" ref="F79">SUMPRODUCT(($H78:$AG78)*($H$5:$AG$5)*($H$7:$AG$7))</f>
        <v>0</v>
      </c>
      <c r="G79" s="197">
        <f t="shared" si="20"/>
        <v>46203</v>
      </c>
      <c r="H79" s="6"/>
      <c r="I79" s="6"/>
      <c r="J79" s="6"/>
      <c r="K79" s="6"/>
      <c r="L79" s="6"/>
      <c r="M79" s="6"/>
      <c r="N79" s="6"/>
      <c r="O79" s="6"/>
      <c r="P79" s="6"/>
      <c r="Q79" s="6"/>
      <c r="R79" s="6"/>
      <c r="S79" s="6"/>
      <c r="T79" s="6"/>
      <c r="U79" s="6"/>
      <c r="V79" s="6"/>
      <c r="W79" s="6"/>
      <c r="X79" s="6"/>
      <c r="Y79" s="6"/>
      <c r="Z79" s="6"/>
      <c r="AA79" s="6"/>
      <c r="AB79" s="6"/>
      <c r="AC79" s="6"/>
      <c r="AD79" s="6"/>
      <c r="AE79" s="6"/>
      <c r="AF79" s="6"/>
      <c r="AG79" s="6"/>
    </row>
    <row r="80" spans="1:33" s="2" customFormat="1" x14ac:dyDescent="0.2">
      <c r="A80" s="114" t="str">
        <f t="shared" si="19"/>
        <v>Option 5</v>
      </c>
      <c r="B80" s="114"/>
      <c r="C80" s="6" t="s">
        <v>5</v>
      </c>
      <c r="D80" s="34" t="str">
        <f t="shared" si="18"/>
        <v>Option 5PV of costs</v>
      </c>
      <c r="E80" s="1"/>
      <c r="F80" s="96">
        <f>SUM(F74:F75)</f>
        <v>0</v>
      </c>
      <c r="G80" s="197">
        <f t="shared" si="20"/>
        <v>46203</v>
      </c>
      <c r="H80" s="6"/>
      <c r="I80" s="6"/>
      <c r="J80" s="6"/>
      <c r="K80" s="6"/>
      <c r="L80" s="6"/>
      <c r="M80" s="6"/>
      <c r="N80" s="6"/>
      <c r="O80" s="6"/>
      <c r="P80" s="6"/>
      <c r="Q80" s="6"/>
      <c r="R80" s="6"/>
      <c r="S80" s="6"/>
      <c r="T80" s="6"/>
      <c r="U80" s="6"/>
      <c r="V80" s="6"/>
      <c r="W80" s="6"/>
      <c r="X80" s="6"/>
      <c r="Y80" s="6"/>
      <c r="Z80" s="6"/>
      <c r="AA80" s="6"/>
      <c r="AB80" s="6"/>
      <c r="AC80" s="6"/>
      <c r="AD80" s="6"/>
      <c r="AE80" s="6"/>
      <c r="AF80" s="6"/>
      <c r="AG80" s="6"/>
    </row>
    <row r="81" spans="1:33" s="2" customFormat="1" x14ac:dyDescent="0.2">
      <c r="A81" s="114" t="str">
        <f t="shared" si="19"/>
        <v>Option 5</v>
      </c>
      <c r="B81" s="114"/>
      <c r="C81" s="6" t="s">
        <v>6</v>
      </c>
      <c r="D81" s="34" t="str">
        <f t="shared" si="18"/>
        <v>Option 5PV of benefits</v>
      </c>
      <c r="E81" s="1"/>
      <c r="F81" s="96">
        <f>SUM(F76:F77)</f>
        <v>0</v>
      </c>
      <c r="G81" s="197">
        <f t="shared" si="20"/>
        <v>46203</v>
      </c>
      <c r="H81" s="6"/>
      <c r="I81" s="6"/>
      <c r="J81" s="6"/>
      <c r="K81" s="6"/>
      <c r="L81" s="6"/>
      <c r="M81" s="6"/>
      <c r="N81" s="6"/>
      <c r="O81" s="6"/>
      <c r="P81" s="6"/>
      <c r="Q81" s="6"/>
      <c r="R81" s="6"/>
      <c r="S81" s="6"/>
      <c r="T81" s="6"/>
      <c r="U81" s="6"/>
      <c r="V81" s="6"/>
      <c r="W81" s="6"/>
      <c r="X81" s="6"/>
      <c r="Y81" s="6"/>
      <c r="Z81" s="6"/>
      <c r="AA81" s="6"/>
      <c r="AB81" s="6"/>
      <c r="AC81" s="6"/>
      <c r="AD81" s="6"/>
      <c r="AE81" s="6"/>
      <c r="AF81" s="6"/>
      <c r="AG81" s="6"/>
    </row>
    <row r="82" spans="1:33" s="2" customFormat="1" x14ac:dyDescent="0.2">
      <c r="A82" s="103"/>
      <c r="B82" s="103"/>
      <c r="C82" s="103"/>
      <c r="D82" s="34" t="str">
        <f>A82&amp;C82</f>
        <v/>
      </c>
      <c r="F82" s="7"/>
      <c r="G82" s="193"/>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row>
    <row r="83" spans="1:33" ht="12" x14ac:dyDescent="0.2">
      <c r="E83" s="74"/>
      <c r="G83" s="201"/>
    </row>
    <row r="84" spans="1:33" ht="12" x14ac:dyDescent="0.2">
      <c r="E84" s="74"/>
      <c r="G84" s="201"/>
    </row>
    <row r="85" spans="1:33" ht="12" x14ac:dyDescent="0.2">
      <c r="E85" s="74"/>
      <c r="G85" s="201"/>
    </row>
    <row r="86" spans="1:33" ht="12" x14ac:dyDescent="0.2">
      <c r="E86" s="74"/>
      <c r="G86" s="201"/>
    </row>
    <row r="87" spans="1:33" ht="12" x14ac:dyDescent="0.2">
      <c r="E87" s="8"/>
      <c r="G87" s="201"/>
    </row>
    <row r="88" spans="1:33" ht="15" x14ac:dyDescent="0.25">
      <c r="A88" s="175" t="s">
        <v>147</v>
      </c>
      <c r="B88" s="48"/>
      <c r="C88" s="17"/>
      <c r="D88" s="17"/>
      <c r="E88" s="73"/>
      <c r="F88" s="17"/>
      <c r="G88" s="195"/>
      <c r="H88" s="195"/>
      <c r="I88" s="174" t="str">
        <f>"FY"&amp;RIGHT(I$9,2)</f>
        <v>FY27</v>
      </c>
      <c r="J88" s="174" t="str">
        <f t="shared" ref="J88:AG88" si="22">"FY"&amp;RIGHT(J$9,2)</f>
        <v>FY28</v>
      </c>
      <c r="K88" s="174" t="str">
        <f t="shared" si="22"/>
        <v>FY29</v>
      </c>
      <c r="L88" s="174" t="str">
        <f t="shared" si="22"/>
        <v>FY30</v>
      </c>
      <c r="M88" s="174" t="str">
        <f t="shared" si="22"/>
        <v>FY31</v>
      </c>
      <c r="N88" s="174" t="str">
        <f t="shared" si="22"/>
        <v>FY32</v>
      </c>
      <c r="O88" s="174" t="str">
        <f t="shared" si="22"/>
        <v>FY33</v>
      </c>
      <c r="P88" s="174" t="str">
        <f t="shared" si="22"/>
        <v>FY34</v>
      </c>
      <c r="Q88" s="174" t="str">
        <f t="shared" si="22"/>
        <v>FY35</v>
      </c>
      <c r="R88" s="174" t="str">
        <f t="shared" si="22"/>
        <v>FY36</v>
      </c>
      <c r="S88" s="174" t="str">
        <f t="shared" si="22"/>
        <v>FY37</v>
      </c>
      <c r="T88" s="174" t="str">
        <f t="shared" si="22"/>
        <v>FY38</v>
      </c>
      <c r="U88" s="174" t="str">
        <f t="shared" si="22"/>
        <v>FY39</v>
      </c>
      <c r="V88" s="174" t="str">
        <f t="shared" si="22"/>
        <v>FY40</v>
      </c>
      <c r="W88" s="174" t="str">
        <f t="shared" si="22"/>
        <v>FY41</v>
      </c>
      <c r="X88" s="174" t="str">
        <f t="shared" si="22"/>
        <v>FY42</v>
      </c>
      <c r="Y88" s="174" t="str">
        <f t="shared" si="22"/>
        <v>FY43</v>
      </c>
      <c r="Z88" s="174" t="str">
        <f t="shared" si="22"/>
        <v>FY44</v>
      </c>
      <c r="AA88" s="174" t="str">
        <f t="shared" si="22"/>
        <v>FY45</v>
      </c>
      <c r="AB88" s="174" t="str">
        <f t="shared" si="22"/>
        <v>FY46</v>
      </c>
      <c r="AC88" s="174" t="str">
        <f t="shared" si="22"/>
        <v>FY47</v>
      </c>
      <c r="AD88" s="174" t="str">
        <f t="shared" si="22"/>
        <v>FY48</v>
      </c>
      <c r="AE88" s="174" t="str">
        <f t="shared" si="22"/>
        <v>FY49</v>
      </c>
      <c r="AF88" s="174" t="str">
        <f t="shared" si="22"/>
        <v>FY50</v>
      </c>
      <c r="AG88" s="174" t="str">
        <f t="shared" si="22"/>
        <v>FY51</v>
      </c>
    </row>
    <row r="89" spans="1:33" ht="12" x14ac:dyDescent="0.2">
      <c r="E89" s="74"/>
      <c r="G89" s="201"/>
    </row>
    <row r="90" spans="1:33" ht="12" x14ac:dyDescent="0.2">
      <c r="E90" s="74"/>
    </row>
    <row r="91" spans="1:33" x14ac:dyDescent="0.2">
      <c r="A91" s="173" t="str">
        <f>Summary!$C$26</f>
        <v>Option 2</v>
      </c>
      <c r="B91" s="117"/>
      <c r="C91" s="171" t="s">
        <v>131</v>
      </c>
      <c r="D91" s="7">
        <f>INDEX(Data!$C$30:$C$36, MATCH(C91, Data!$B$30:$B$36,0))</f>
        <v>-1</v>
      </c>
      <c r="E91" s="2"/>
      <c r="F91" s="7"/>
      <c r="G91" s="28"/>
      <c r="H91" s="28" t="str">
        <f>A91&amp;" "&amp;LOWER(C91)</f>
        <v>Option 2 annualised capex</v>
      </c>
      <c r="I91" s="93" cm="1">
        <f t="array" ref="I91">MAX($D91*INDEX(I$15:W$81, MATCH($A91&amp;$C91, $D$15:$D$81,0),))/mill_conv</f>
        <v>0.11017130875542133</v>
      </c>
      <c r="J91" s="93" cm="1">
        <f t="array" ref="J91">MAX($D91*INDEX(J$15:X$81, MATCH($A91&amp;$C91, $D$15:$D$81,0),))/mill_conv</f>
        <v>0.11017130875542133</v>
      </c>
      <c r="K91" s="93" cm="1">
        <f t="array" ref="K91">MAX($D91*INDEX(K$15:Y$81, MATCH($A91&amp;$C91, $D$15:$D$81,0),))/mill_conv</f>
        <v>0.11017130875542133</v>
      </c>
      <c r="L91" s="93" cm="1">
        <f t="array" ref="L91">MAX($D91*INDEX(L$15:Z$81, MATCH($A91&amp;$C91, $D$15:$D$81,0),))/mill_conv</f>
        <v>0.11017130875542133</v>
      </c>
      <c r="M91" s="93" cm="1">
        <f t="array" ref="M91">MAX($D91*INDEX(M$15:AA$81, MATCH($A91&amp;$C91, $D$15:$D$81,0),))/mill_conv</f>
        <v>0.11017130875542133</v>
      </c>
      <c r="N91" s="93" cm="1">
        <f t="array" ref="N91">MAX($D91*INDEX(N$15:AB$81, MATCH($A91&amp;$C91, $D$15:$D$81,0),))/mill_conv</f>
        <v>0.11017130875542133</v>
      </c>
      <c r="O91" s="93" cm="1">
        <f t="array" ref="O91">MAX($D91*INDEX(O$15:AC$81, MATCH($A91&amp;$C91, $D$15:$D$81,0),))/mill_conv</f>
        <v>0.11017130875542133</v>
      </c>
      <c r="P91" s="93" cm="1">
        <f t="array" ref="P91">MAX($D91*INDEX(P$15:AD$81, MATCH($A91&amp;$C91, $D$15:$D$81,0),))/mill_conv</f>
        <v>0.11017130875542133</v>
      </c>
      <c r="Q91" s="93" cm="1">
        <f t="array" ref="Q91">MAX($D91*INDEX(Q$15:AE$81, MATCH($A91&amp;$C91, $D$15:$D$81,0),))/mill_conv</f>
        <v>0.11017130875542133</v>
      </c>
      <c r="R91" s="93" cm="1">
        <f t="array" ref="R91">MAX($D91*INDEX(R$15:AF$81, MATCH($A91&amp;$C91, $D$15:$D$81,0),))/mill_conv</f>
        <v>0.11017130875542133</v>
      </c>
      <c r="S91" s="93" cm="1">
        <f t="array" ref="S91">MAX($D91*INDEX(S$15:AG$81, MATCH($A91&amp;$C91, $D$15:$D$81,0),))/mill_conv</f>
        <v>0.11017130875542133</v>
      </c>
      <c r="T91" s="93" cm="1">
        <f t="array" ref="T91">MAX($D91*INDEX(T$15:AH$81, MATCH($A91&amp;$C91, $D$15:$D$81,0),))/mill_conv</f>
        <v>0.11017130875542133</v>
      </c>
      <c r="U91" s="93" cm="1">
        <f t="array" ref="U91">MAX($D91*INDEX(U$15:AI$81, MATCH($A91&amp;$C91, $D$15:$D$81,0),))/mill_conv</f>
        <v>0.11017130875542133</v>
      </c>
      <c r="V91" s="93" cm="1">
        <f t="array" ref="V91">MAX($D91*INDEX(V$15:AJ$81, MATCH($A91&amp;$C91, $D$15:$D$81,0),))/mill_conv</f>
        <v>0.11017130875542133</v>
      </c>
      <c r="W91" s="93" cm="1">
        <f t="array" ref="W91">MAX($D91*INDEX(W$15:AK$81, MATCH($A91&amp;$C91, $D$15:$D$81,0),))/mill_conv</f>
        <v>0.11017130875542133</v>
      </c>
      <c r="X91" s="93" cm="1">
        <f t="array" ref="X91">MAX($D91*INDEX(X$15:AL$81, MATCH($A91&amp;$C91, $D$15:$D$81,0),))/mill_conv</f>
        <v>0.11017130875542133</v>
      </c>
      <c r="Y91" s="93" cm="1">
        <f t="array" ref="Y91">MAX($D91*INDEX(Y$15:AM$81, MATCH($A91&amp;$C91, $D$15:$D$81,0),))/mill_conv</f>
        <v>0.11017130875542133</v>
      </c>
      <c r="Z91" s="93" cm="1">
        <f t="array" ref="Z91">MAX($D91*INDEX(Z$15:AN$81, MATCH($A91&amp;$C91, $D$15:$D$81,0),))/mill_conv</f>
        <v>0.11017130875542133</v>
      </c>
      <c r="AA91" s="93" cm="1">
        <f t="array" ref="AA91">MAX($D91*INDEX(AA$15:AO$81, MATCH($A91&amp;$C91, $D$15:$D$81,0),))/mill_conv</f>
        <v>0.11017130875542133</v>
      </c>
      <c r="AB91" s="93" cm="1">
        <f t="array" ref="AB91">MAX($D91*INDEX(AB$15:AP$81, MATCH($A91&amp;$C91, $D$15:$D$81,0),))/mill_conv</f>
        <v>0.11017130875542133</v>
      </c>
      <c r="AC91" s="93" cm="1">
        <f t="array" ref="AC91">MAX($D91*INDEX(AC$15:AQ$81, MATCH($A91&amp;$C91, $D$15:$D$81,0),))/mill_conv</f>
        <v>0.11017130875542133</v>
      </c>
      <c r="AD91" s="93" cm="1">
        <f t="array" ref="AD91">MAX($D91*INDEX(AD$15:AR$81, MATCH($A91&amp;$C91, $D$15:$D$81,0),))/mill_conv</f>
        <v>0</v>
      </c>
      <c r="AE91" s="93" cm="1">
        <f t="array" ref="AE91">MAX($D91*INDEX(AE$15:AS$81, MATCH($A91&amp;$C91, $D$15:$D$81,0),))/mill_conv</f>
        <v>0</v>
      </c>
      <c r="AF91" s="93" cm="1">
        <f t="array" ref="AF91">MAX($D91*INDEX(AF$15:AT$81, MATCH($A91&amp;$C91, $D$15:$D$81,0),))/mill_conv</f>
        <v>0</v>
      </c>
      <c r="AG91" s="93" cm="1">
        <f t="array" ref="AG91">MAX($D91*INDEX(AG$15:AU$81, MATCH($A91&amp;$C91, $D$15:$D$81,0),))/mill_conv</f>
        <v>0</v>
      </c>
    </row>
    <row r="92" spans="1:33" x14ac:dyDescent="0.2">
      <c r="A92" s="172" t="str">
        <f>A16</f>
        <v>Option 1 (base case)</v>
      </c>
      <c r="B92" s="117"/>
      <c r="C92" s="172" t="s">
        <v>116</v>
      </c>
      <c r="D92" s="7">
        <f>INDEX(Data!$C$30:$C$36, MATCH(C92, Data!$B$30:$B$36,0))</f>
        <v>1</v>
      </c>
      <c r="E92" s="74"/>
      <c r="H92" s="28" t="str">
        <f>A92&amp;" risk cost"</f>
        <v>Option 1 (base case) risk cost</v>
      </c>
      <c r="I92" s="93">
        <f t="shared" ref="I92:R92" si="23">$D92*INDEX(I$15:I$81, MATCH($A92&amp;$C92, $D$15:$D$81,0))/mill_conv</f>
        <v>0.50523061850695827</v>
      </c>
      <c r="J92" s="93">
        <f t="shared" si="23"/>
        <v>0.50523061850695827</v>
      </c>
      <c r="K92" s="93">
        <f t="shared" si="23"/>
        <v>0.50523061850695827</v>
      </c>
      <c r="L92" s="93">
        <f t="shared" si="23"/>
        <v>0.50523061850695827</v>
      </c>
      <c r="M92" s="93">
        <f t="shared" si="23"/>
        <v>0.50523061850695827</v>
      </c>
      <c r="N92" s="93">
        <f t="shared" si="23"/>
        <v>0.50523061850695827</v>
      </c>
      <c r="O92" s="93">
        <f t="shared" si="23"/>
        <v>0.50523061850695827</v>
      </c>
      <c r="P92" s="93">
        <f t="shared" si="23"/>
        <v>0.50523061850695827</v>
      </c>
      <c r="Q92" s="93">
        <f t="shared" si="23"/>
        <v>0.50523061850695827</v>
      </c>
      <c r="R92" s="93">
        <f t="shared" si="23"/>
        <v>0.50523061850695827</v>
      </c>
      <c r="S92" s="93">
        <f t="shared" ref="S92:AG92" si="24">$D92*INDEX(S$15:S$81, MATCH($A92&amp;$C92, $D$15:$D$81,0))/mill_conv</f>
        <v>0.50523061850695827</v>
      </c>
      <c r="T92" s="93">
        <f t="shared" si="24"/>
        <v>0.50523061850695827</v>
      </c>
      <c r="U92" s="93">
        <f t="shared" si="24"/>
        <v>0.50523061850695827</v>
      </c>
      <c r="V92" s="93">
        <f t="shared" si="24"/>
        <v>0.50523061850695827</v>
      </c>
      <c r="W92" s="93">
        <f t="shared" si="24"/>
        <v>0.50523061850695827</v>
      </c>
      <c r="X92" s="93">
        <f t="shared" si="24"/>
        <v>0.50523061850695827</v>
      </c>
      <c r="Y92" s="93">
        <f t="shared" si="24"/>
        <v>0.50523061850695827</v>
      </c>
      <c r="Z92" s="93">
        <f t="shared" si="24"/>
        <v>0.50523061850695827</v>
      </c>
      <c r="AA92" s="93">
        <f t="shared" si="24"/>
        <v>0.50523061850695827</v>
      </c>
      <c r="AB92" s="93">
        <f t="shared" si="24"/>
        <v>0.50523061850695827</v>
      </c>
      <c r="AC92" s="93">
        <f t="shared" si="24"/>
        <v>0.50523061850695827</v>
      </c>
      <c r="AD92" s="93">
        <f t="shared" si="24"/>
        <v>0.50523061850695827</v>
      </c>
      <c r="AE92" s="93">
        <f t="shared" si="24"/>
        <v>0.50523061850695827</v>
      </c>
      <c r="AF92" s="93">
        <f t="shared" si="24"/>
        <v>0.50523061850695827</v>
      </c>
      <c r="AG92" s="93">
        <f t="shared" si="24"/>
        <v>0.50523061850695827</v>
      </c>
    </row>
    <row r="93" spans="1:33" ht="12" x14ac:dyDescent="0.2">
      <c r="E93" s="74"/>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row>
    <row r="94" spans="1:33" ht="12" x14ac:dyDescent="0.2">
      <c r="E94" s="74"/>
    </row>
    <row r="95" spans="1:33" ht="12" x14ac:dyDescent="0.2">
      <c r="E95" s="74"/>
    </row>
    <row r="96" spans="1:33" ht="12" x14ac:dyDescent="0.2">
      <c r="E96" s="74"/>
    </row>
    <row r="97" spans="1:33" ht="12" x14ac:dyDescent="0.2">
      <c r="E97" s="74"/>
      <c r="I97" s="248" t="str">
        <f>I88</f>
        <v>FY27</v>
      </c>
      <c r="J97" s="248" t="str">
        <f t="shared" ref="J97:AG97" si="25">J88</f>
        <v>FY28</v>
      </c>
      <c r="K97" s="248" t="str">
        <f t="shared" si="25"/>
        <v>FY29</v>
      </c>
      <c r="L97" s="248" t="str">
        <f t="shared" si="25"/>
        <v>FY30</v>
      </c>
      <c r="M97" s="248" t="str">
        <f t="shared" si="25"/>
        <v>FY31</v>
      </c>
      <c r="N97" s="248" t="str">
        <f t="shared" si="25"/>
        <v>FY32</v>
      </c>
      <c r="O97" s="248" t="str">
        <f t="shared" si="25"/>
        <v>FY33</v>
      </c>
      <c r="P97" s="248" t="str">
        <f t="shared" si="25"/>
        <v>FY34</v>
      </c>
      <c r="Q97" s="248" t="str">
        <f t="shared" si="25"/>
        <v>FY35</v>
      </c>
      <c r="R97" s="248" t="str">
        <f t="shared" si="25"/>
        <v>FY36</v>
      </c>
      <c r="S97" s="248" t="str">
        <f t="shared" si="25"/>
        <v>FY37</v>
      </c>
      <c r="T97" s="248" t="str">
        <f t="shared" si="25"/>
        <v>FY38</v>
      </c>
      <c r="U97" s="248" t="str">
        <f t="shared" si="25"/>
        <v>FY39</v>
      </c>
      <c r="V97" s="248" t="str">
        <f t="shared" si="25"/>
        <v>FY40</v>
      </c>
      <c r="W97" s="248" t="str">
        <f t="shared" si="25"/>
        <v>FY41</v>
      </c>
      <c r="X97" s="248" t="str">
        <f t="shared" si="25"/>
        <v>FY42</v>
      </c>
      <c r="Y97" s="248" t="str">
        <f t="shared" si="25"/>
        <v>FY43</v>
      </c>
      <c r="Z97" s="248" t="str">
        <f t="shared" si="25"/>
        <v>FY44</v>
      </c>
      <c r="AA97" s="248" t="str">
        <f t="shared" si="25"/>
        <v>FY45</v>
      </c>
      <c r="AB97" s="248" t="str">
        <f t="shared" si="25"/>
        <v>FY46</v>
      </c>
      <c r="AC97" s="248" t="str">
        <f t="shared" si="25"/>
        <v>FY47</v>
      </c>
      <c r="AD97" s="248" t="str">
        <f t="shared" si="25"/>
        <v>FY48</v>
      </c>
      <c r="AE97" s="248" t="str">
        <f t="shared" si="25"/>
        <v>FY49</v>
      </c>
      <c r="AF97" s="248" t="str">
        <f t="shared" si="25"/>
        <v>FY50</v>
      </c>
      <c r="AG97" s="248" t="str">
        <f t="shared" si="25"/>
        <v>FY51</v>
      </c>
    </row>
    <row r="98" spans="1:33" x14ac:dyDescent="0.2">
      <c r="A98" s="173" t="s">
        <v>148</v>
      </c>
      <c r="B98" s="117"/>
      <c r="C98" s="171" t="s">
        <v>108</v>
      </c>
      <c r="D98" s="165">
        <f>MAX(H98:AG98)</f>
        <v>14.556887127774912</v>
      </c>
      <c r="E98" s="247"/>
      <c r="F98" s="7"/>
      <c r="G98" s="28"/>
      <c r="H98" s="28" t="str">
        <f>A98&amp;" "&amp;LOWER(C98)</f>
        <v>Energy at risk energy at risk (weighted)</v>
      </c>
      <c r="I98" s="28">
        <f>INDEX('Option1 (base case)'!I$14:I$85, MATCH($C98, 'Option1 (base case)'!$C$14:$C$85,0))</f>
        <v>14.556887127774912</v>
      </c>
      <c r="J98" s="28">
        <f>INDEX('Option1 (base case)'!J$14:J$85, MATCH($C98, 'Option1 (base case)'!$C$14:$C$85,0))</f>
        <v>14.556887127774912</v>
      </c>
      <c r="K98" s="28">
        <f>INDEX('Option1 (base case)'!K$14:K$85, MATCH($C98, 'Option1 (base case)'!$C$14:$C$85,0))</f>
        <v>14.556887127774912</v>
      </c>
      <c r="L98" s="28">
        <f>INDEX('Option1 (base case)'!L$14:L$85, MATCH($C98, 'Option1 (base case)'!$C$14:$C$85,0))</f>
        <v>14.556887127774912</v>
      </c>
      <c r="M98" s="28">
        <f>INDEX('Option1 (base case)'!M$14:M$85, MATCH($C98, 'Option1 (base case)'!$C$14:$C$85,0))</f>
        <v>14.556887127774912</v>
      </c>
      <c r="N98" s="28">
        <f>INDEX('Option1 (base case)'!N$14:N$85, MATCH($C98, 'Option1 (base case)'!$C$14:$C$85,0))</f>
        <v>14.556887127774912</v>
      </c>
      <c r="O98" s="28">
        <f>INDEX('Option1 (base case)'!O$14:O$85, MATCH($C98, 'Option1 (base case)'!$C$14:$C$85,0))</f>
        <v>14.556887127774912</v>
      </c>
      <c r="P98" s="28">
        <f>INDEX('Option1 (base case)'!P$14:P$85, MATCH($C98, 'Option1 (base case)'!$C$14:$C$85,0))</f>
        <v>14.556887127774912</v>
      </c>
      <c r="Q98" s="28">
        <f>INDEX('Option1 (base case)'!Q$14:Q$85, MATCH($C98, 'Option1 (base case)'!$C$14:$C$85,0))</f>
        <v>14.556887127774912</v>
      </c>
      <c r="R98" s="28">
        <f>INDEX('Option1 (base case)'!R$14:R$85, MATCH($C98, 'Option1 (base case)'!$C$14:$C$85,0))</f>
        <v>14.556887127774912</v>
      </c>
      <c r="S98" s="28">
        <f>INDEX('Option1 (base case)'!S$14:S$85, MATCH($C98, 'Option1 (base case)'!$C$14:$C$85,0))</f>
        <v>14.556887127774912</v>
      </c>
      <c r="T98" s="28">
        <f>INDEX('Option1 (base case)'!T$14:T$85, MATCH($C98, 'Option1 (base case)'!$C$14:$C$85,0))</f>
        <v>14.556887127774912</v>
      </c>
      <c r="U98" s="28">
        <f>INDEX('Option1 (base case)'!U$14:U$85, MATCH($C98, 'Option1 (base case)'!$C$14:$C$85,0))</f>
        <v>14.556887127774912</v>
      </c>
      <c r="V98" s="28">
        <f>INDEX('Option1 (base case)'!V$14:V$85, MATCH($C98, 'Option1 (base case)'!$C$14:$C$85,0))</f>
        <v>14.556887127774912</v>
      </c>
      <c r="W98" s="28">
        <f>INDEX('Option1 (base case)'!W$14:W$85, MATCH($C98, 'Option1 (base case)'!$C$14:$C$85,0))</f>
        <v>14.556887127774912</v>
      </c>
      <c r="X98" s="28">
        <f>INDEX('Option1 (base case)'!X$14:X$85, MATCH($C98, 'Option1 (base case)'!$C$14:$C$85,0))</f>
        <v>14.556887127774912</v>
      </c>
      <c r="Y98" s="28">
        <f>INDEX('Option1 (base case)'!Y$14:Y$85, MATCH($C98, 'Option1 (base case)'!$C$14:$C$85,0))</f>
        <v>14.556887127774912</v>
      </c>
      <c r="Z98" s="28">
        <f>INDEX('Option1 (base case)'!Z$14:Z$85, MATCH($C98, 'Option1 (base case)'!$C$14:$C$85,0))</f>
        <v>14.556887127774912</v>
      </c>
      <c r="AA98" s="28">
        <f>INDEX('Option1 (base case)'!AA$14:AA$85, MATCH($C98, 'Option1 (base case)'!$C$14:$C$85,0))</f>
        <v>14.556887127774912</v>
      </c>
      <c r="AB98" s="28">
        <f>INDEX('Option1 (base case)'!AB$14:AB$85, MATCH($C98, 'Option1 (base case)'!$C$14:$C$85,0))</f>
        <v>14.556887127774912</v>
      </c>
      <c r="AC98" s="28">
        <f>INDEX('Option1 (base case)'!AC$14:AC$85, MATCH($C98, 'Option1 (base case)'!$C$14:$C$85,0))</f>
        <v>14.556887127774912</v>
      </c>
      <c r="AD98" s="28">
        <f>INDEX('Option1 (base case)'!AD$14:AD$85, MATCH($C98, 'Option1 (base case)'!$C$14:$C$85,0))</f>
        <v>14.556887127774912</v>
      </c>
      <c r="AE98" s="28">
        <f>INDEX('Option1 (base case)'!AE$14:AE$85, MATCH($C98, 'Option1 (base case)'!$C$14:$C$85,0))</f>
        <v>14.556887127774912</v>
      </c>
      <c r="AF98" s="28">
        <f>INDEX('Option1 (base case)'!AF$14:AF$85, MATCH($C98, 'Option1 (base case)'!$C$14:$C$85,0))</f>
        <v>14.556887127774912</v>
      </c>
      <c r="AG98" s="28">
        <f>INDEX('Option1 (base case)'!AG$14:AG$85, MATCH($C98, 'Option1 (base case)'!$C$14:$C$85,0))</f>
        <v>14.556887127774912</v>
      </c>
    </row>
    <row r="99" spans="1:33" x14ac:dyDescent="0.2">
      <c r="A99" s="172" t="str">
        <f>A23</f>
        <v>Option 1 (base case)</v>
      </c>
      <c r="B99" s="117"/>
      <c r="C99" s="172" t="s">
        <v>110</v>
      </c>
      <c r="D99" s="165">
        <f>MAX(H99:AG99)</f>
        <v>0.45652142152274683</v>
      </c>
      <c r="E99" s="247"/>
      <c r="H99" s="28" t="str">
        <f>A99&amp;" risk cost"</f>
        <v>Option 1 (base case) risk cost</v>
      </c>
      <c r="I99" s="28">
        <f>INDEX('Option1 (base case)'!I$14:I$85, MATCH($C99, 'Option1 (base case)'!$C$14:$C$85,0))/10^6</f>
        <v>0.45652142152274683</v>
      </c>
      <c r="J99" s="28">
        <f>INDEX('Option1 (base case)'!J$14:J$85, MATCH($C99, 'Option1 (base case)'!$C$14:$C$85,0))/10^6</f>
        <v>0.45652142152274683</v>
      </c>
      <c r="K99" s="28">
        <f>INDEX('Option1 (base case)'!K$14:K$85, MATCH($C99, 'Option1 (base case)'!$C$14:$C$85,0))/10^6</f>
        <v>0.45652142152274683</v>
      </c>
      <c r="L99" s="28">
        <f>INDEX('Option1 (base case)'!L$14:L$85, MATCH($C99, 'Option1 (base case)'!$C$14:$C$85,0))/10^6</f>
        <v>0.45652142152274683</v>
      </c>
      <c r="M99" s="28">
        <f>INDEX('Option1 (base case)'!M$14:M$85, MATCH($C99, 'Option1 (base case)'!$C$14:$C$85,0))/10^6</f>
        <v>0.45652142152274683</v>
      </c>
      <c r="N99" s="28">
        <f>INDEX('Option1 (base case)'!N$14:N$85, MATCH($C99, 'Option1 (base case)'!$C$14:$C$85,0))/10^6</f>
        <v>0.45652142152274683</v>
      </c>
      <c r="O99" s="28">
        <f>INDEX('Option1 (base case)'!O$14:O$85, MATCH($C99, 'Option1 (base case)'!$C$14:$C$85,0))/10^6</f>
        <v>0.45652142152274683</v>
      </c>
      <c r="P99" s="28">
        <f>INDEX('Option1 (base case)'!P$14:P$85, MATCH($C99, 'Option1 (base case)'!$C$14:$C$85,0))/10^6</f>
        <v>0.45652142152274683</v>
      </c>
      <c r="Q99" s="28">
        <f>INDEX('Option1 (base case)'!Q$14:Q$85, MATCH($C99, 'Option1 (base case)'!$C$14:$C$85,0))/10^6</f>
        <v>0.45652142152274683</v>
      </c>
      <c r="R99" s="28">
        <f>INDEX('Option1 (base case)'!R$14:R$85, MATCH($C99, 'Option1 (base case)'!$C$14:$C$85,0))/10^6</f>
        <v>0.45652142152274683</v>
      </c>
      <c r="S99" s="28">
        <f>INDEX('Option1 (base case)'!S$14:S$85, MATCH($C99, 'Option1 (base case)'!$C$14:$C$85,0))/10^6</f>
        <v>0.45652142152274683</v>
      </c>
      <c r="T99" s="28">
        <f>INDEX('Option1 (base case)'!T$14:T$85, MATCH($C99, 'Option1 (base case)'!$C$14:$C$85,0))/10^6</f>
        <v>0.45652142152274683</v>
      </c>
      <c r="U99" s="28">
        <f>INDEX('Option1 (base case)'!U$14:U$85, MATCH($C99, 'Option1 (base case)'!$C$14:$C$85,0))/10^6</f>
        <v>0.45652142152274683</v>
      </c>
      <c r="V99" s="28">
        <f>INDEX('Option1 (base case)'!V$14:V$85, MATCH($C99, 'Option1 (base case)'!$C$14:$C$85,0))/10^6</f>
        <v>0.45652142152274683</v>
      </c>
      <c r="W99" s="28">
        <f>INDEX('Option1 (base case)'!W$14:W$85, MATCH($C99, 'Option1 (base case)'!$C$14:$C$85,0))/10^6</f>
        <v>0.45652142152274683</v>
      </c>
      <c r="X99" s="28">
        <f>INDEX('Option1 (base case)'!X$14:X$85, MATCH($C99, 'Option1 (base case)'!$C$14:$C$85,0))/10^6</f>
        <v>0.45652142152274683</v>
      </c>
      <c r="Y99" s="28">
        <f>INDEX('Option1 (base case)'!Y$14:Y$85, MATCH($C99, 'Option1 (base case)'!$C$14:$C$85,0))/10^6</f>
        <v>0.45652142152274683</v>
      </c>
      <c r="Z99" s="28">
        <f>INDEX('Option1 (base case)'!Z$14:Z$85, MATCH($C99, 'Option1 (base case)'!$C$14:$C$85,0))/10^6</f>
        <v>0.45652142152274683</v>
      </c>
      <c r="AA99" s="28">
        <f>INDEX('Option1 (base case)'!AA$14:AA$85, MATCH($C99, 'Option1 (base case)'!$C$14:$C$85,0))/10^6</f>
        <v>0.45652142152274683</v>
      </c>
      <c r="AB99" s="28">
        <f>INDEX('Option1 (base case)'!AB$14:AB$85, MATCH($C99, 'Option1 (base case)'!$C$14:$C$85,0))/10^6</f>
        <v>0.45652142152274683</v>
      </c>
      <c r="AC99" s="28">
        <f>INDEX('Option1 (base case)'!AC$14:AC$85, MATCH($C99, 'Option1 (base case)'!$C$14:$C$85,0))/10^6</f>
        <v>0.45652142152274683</v>
      </c>
      <c r="AD99" s="28">
        <f>INDEX('Option1 (base case)'!AD$14:AD$85, MATCH($C99, 'Option1 (base case)'!$C$14:$C$85,0))/10^6</f>
        <v>0.45652142152274683</v>
      </c>
      <c r="AE99" s="28">
        <f>INDEX('Option1 (base case)'!AE$14:AE$85, MATCH($C99, 'Option1 (base case)'!$C$14:$C$85,0))/10^6</f>
        <v>0.45652142152274683</v>
      </c>
      <c r="AF99" s="28">
        <f>INDEX('Option1 (base case)'!AF$14:AF$85, MATCH($C99, 'Option1 (base case)'!$C$14:$C$85,0))/10^6</f>
        <v>0.45652142152274683</v>
      </c>
      <c r="AG99" s="28">
        <f>INDEX('Option1 (base case)'!AG$14:AG$85, MATCH($C99, 'Option1 (base case)'!$C$14:$C$85,0))/10^6</f>
        <v>0.45652142152274683</v>
      </c>
    </row>
    <row r="100" spans="1:33" ht="12" x14ac:dyDescent="0.2">
      <c r="E100" s="8"/>
    </row>
    <row r="101" spans="1:33" s="249" customFormat="1" ht="12" x14ac:dyDescent="0.2"/>
    <row r="102" spans="1:33" ht="12" x14ac:dyDescent="0.2">
      <c r="E102" s="8"/>
    </row>
    <row r="103" spans="1:33" ht="12" x14ac:dyDescent="0.2">
      <c r="E103" s="8"/>
      <c r="I103" s="249"/>
    </row>
    <row r="104" spans="1:33" ht="12" x14ac:dyDescent="0.2">
      <c r="E104" s="8"/>
      <c r="H104" s="128"/>
    </row>
    <row r="105" spans="1:33" ht="12" x14ac:dyDescent="0.2">
      <c r="E105" s="8"/>
      <c r="H105" s="128"/>
    </row>
    <row r="106" spans="1:33" ht="12" x14ac:dyDescent="0.2">
      <c r="D106" s="165"/>
      <c r="E106" s="8"/>
    </row>
    <row r="107" spans="1:33" ht="12" x14ac:dyDescent="0.2">
      <c r="D107" s="165"/>
      <c r="E107" s="8"/>
    </row>
    <row r="108" spans="1:33" ht="12" x14ac:dyDescent="0.2">
      <c r="D108" s="165"/>
      <c r="E108" s="74"/>
    </row>
    <row r="109" spans="1:33" ht="12" x14ac:dyDescent="0.2">
      <c r="C109" s="103"/>
      <c r="D109" s="165"/>
      <c r="E109" s="165"/>
    </row>
    <row r="110" spans="1:33" ht="12" x14ac:dyDescent="0.2">
      <c r="D110" s="165"/>
      <c r="E110" s="74"/>
    </row>
    <row r="111" spans="1:33" ht="12" x14ac:dyDescent="0.2">
      <c r="D111" s="165"/>
      <c r="E111" s="74"/>
    </row>
    <row r="112" spans="1:33" ht="12" x14ac:dyDescent="0.2">
      <c r="D112" s="165"/>
      <c r="E112" s="74"/>
    </row>
    <row r="113" spans="4:5" ht="12" x14ac:dyDescent="0.2">
      <c r="D113" s="165"/>
      <c r="E113" s="74"/>
    </row>
    <row r="114" spans="4:5" ht="12" x14ac:dyDescent="0.2">
      <c r="D114" s="165"/>
      <c r="E114" s="74"/>
    </row>
    <row r="115" spans="4:5" ht="12" x14ac:dyDescent="0.2">
      <c r="D115" s="165"/>
      <c r="E115" s="74"/>
    </row>
    <row r="116" spans="4:5" ht="12" x14ac:dyDescent="0.2">
      <c r="D116" s="165"/>
      <c r="E116" s="74"/>
    </row>
    <row r="117" spans="4:5" ht="12" x14ac:dyDescent="0.2">
      <c r="D117" s="165"/>
      <c r="E117" s="74"/>
    </row>
    <row r="118" spans="4:5" ht="12" x14ac:dyDescent="0.2">
      <c r="D118" s="165"/>
      <c r="E118" s="74"/>
    </row>
    <row r="119" spans="4:5" ht="12" x14ac:dyDescent="0.2">
      <c r="D119" s="165"/>
      <c r="E119" s="74"/>
    </row>
    <row r="120" spans="4:5" ht="12" x14ac:dyDescent="0.2">
      <c r="D120" s="165"/>
      <c r="E120" s="74"/>
    </row>
    <row r="121" spans="4:5" ht="12" x14ac:dyDescent="0.2">
      <c r="D121" s="165"/>
      <c r="E121" s="74"/>
    </row>
    <row r="122" spans="4:5" ht="12" x14ac:dyDescent="0.2">
      <c r="D122" s="165"/>
      <c r="E122" s="74"/>
    </row>
    <row r="123" spans="4:5" ht="12" x14ac:dyDescent="0.2">
      <c r="D123" s="165"/>
      <c r="E123" s="74"/>
    </row>
    <row r="124" spans="4:5" ht="12" x14ac:dyDescent="0.2">
      <c r="D124" s="165"/>
      <c r="E124" s="74"/>
    </row>
    <row r="125" spans="4:5" ht="12" x14ac:dyDescent="0.2">
      <c r="D125" s="165"/>
      <c r="E125" s="74"/>
    </row>
    <row r="126" spans="4:5" ht="12" x14ac:dyDescent="0.2">
      <c r="D126" s="165"/>
      <c r="E126" s="74"/>
    </row>
    <row r="127" spans="4:5" ht="12" x14ac:dyDescent="0.2">
      <c r="D127" s="165"/>
      <c r="E127" s="74"/>
    </row>
    <row r="128" spans="4:5" ht="12" x14ac:dyDescent="0.2">
      <c r="D128" s="165"/>
      <c r="E128" s="74"/>
    </row>
    <row r="129" spans="4:5" ht="12" x14ac:dyDescent="0.2">
      <c r="D129" s="165"/>
      <c r="E129" s="74"/>
    </row>
    <row r="130" spans="4:5" ht="12" x14ac:dyDescent="0.2">
      <c r="D130" s="165"/>
      <c r="E130" s="74"/>
    </row>
    <row r="131" spans="4:5" ht="12" x14ac:dyDescent="0.2">
      <c r="D131" s="165"/>
      <c r="E131" s="74"/>
    </row>
    <row r="132" spans="4:5" ht="12" x14ac:dyDescent="0.2">
      <c r="D132" s="165"/>
      <c r="E132" s="74"/>
    </row>
    <row r="133" spans="4:5" ht="12" x14ac:dyDescent="0.2">
      <c r="D133" s="165"/>
      <c r="E133" s="74"/>
    </row>
    <row r="134" spans="4:5" ht="12" x14ac:dyDescent="0.2">
      <c r="D134" s="165"/>
      <c r="E134" s="74"/>
    </row>
    <row r="135" spans="4:5" ht="12" x14ac:dyDescent="0.2">
      <c r="D135" s="165"/>
      <c r="E135" s="74"/>
    </row>
    <row r="136" spans="4:5" ht="12" x14ac:dyDescent="0.2">
      <c r="D136" s="165"/>
      <c r="E136" s="74"/>
    </row>
    <row r="137" spans="4:5" ht="12" x14ac:dyDescent="0.2">
      <c r="D137" s="165"/>
      <c r="E137" s="74"/>
    </row>
    <row r="138" spans="4:5" ht="12" x14ac:dyDescent="0.2">
      <c r="E138" s="74"/>
    </row>
    <row r="139" spans="4:5" ht="12" x14ac:dyDescent="0.2">
      <c r="E139" s="74"/>
    </row>
    <row r="140" spans="4:5" ht="12" x14ac:dyDescent="0.2">
      <c r="E140" s="74"/>
    </row>
    <row r="141" spans="4:5" ht="12" x14ac:dyDescent="0.2">
      <c r="E141" s="74"/>
    </row>
    <row r="142" spans="4:5" ht="12" x14ac:dyDescent="0.2">
      <c r="E142" s="74"/>
    </row>
    <row r="143" spans="4:5" ht="12" x14ac:dyDescent="0.2">
      <c r="E143" s="74"/>
    </row>
    <row r="144" spans="4:5" ht="12" x14ac:dyDescent="0.2">
      <c r="E144" s="74"/>
    </row>
    <row r="145" spans="5:5" ht="12" x14ac:dyDescent="0.2">
      <c r="E145" s="74"/>
    </row>
    <row r="146" spans="5:5" ht="12" x14ac:dyDescent="0.2">
      <c r="E146" s="74"/>
    </row>
    <row r="147" spans="5:5" ht="12" x14ac:dyDescent="0.2">
      <c r="E147" s="74"/>
    </row>
    <row r="148" spans="5:5" ht="12" x14ac:dyDescent="0.2">
      <c r="E148" s="74"/>
    </row>
    <row r="149" spans="5:5" ht="12" x14ac:dyDescent="0.2">
      <c r="E149" s="74"/>
    </row>
    <row r="150" spans="5:5" ht="12" x14ac:dyDescent="0.2">
      <c r="E150" s="74"/>
    </row>
    <row r="151" spans="5:5" ht="12" x14ac:dyDescent="0.2">
      <c r="E151" s="74"/>
    </row>
    <row r="152" spans="5:5" ht="12" x14ac:dyDescent="0.2">
      <c r="E152" s="74"/>
    </row>
    <row r="153" spans="5:5" ht="12" x14ac:dyDescent="0.2">
      <c r="E153" s="74"/>
    </row>
    <row r="154" spans="5:5" ht="12" x14ac:dyDescent="0.2">
      <c r="E154" s="74"/>
    </row>
    <row r="155" spans="5:5" ht="12" x14ac:dyDescent="0.2">
      <c r="E155" s="74"/>
    </row>
    <row r="156" spans="5:5" ht="12" x14ac:dyDescent="0.2">
      <c r="E156" s="74"/>
    </row>
    <row r="157" spans="5:5" ht="12" x14ac:dyDescent="0.2">
      <c r="E157" s="74"/>
    </row>
    <row r="158" spans="5:5" ht="12" x14ac:dyDescent="0.2">
      <c r="E158" s="74"/>
    </row>
    <row r="159" spans="5:5" ht="12" x14ac:dyDescent="0.2">
      <c r="E159" s="74"/>
    </row>
    <row r="160" spans="5:5" ht="12" x14ac:dyDescent="0.2">
      <c r="E160" s="74"/>
    </row>
    <row r="161" spans="5:5" ht="12" x14ac:dyDescent="0.2">
      <c r="E161" s="74"/>
    </row>
    <row r="162" spans="5:5" ht="12" x14ac:dyDescent="0.2">
      <c r="E162" s="74"/>
    </row>
    <row r="163" spans="5:5" ht="12" x14ac:dyDescent="0.2">
      <c r="E163" s="74"/>
    </row>
    <row r="164" spans="5:5" ht="12" x14ac:dyDescent="0.2">
      <c r="E164" s="74"/>
    </row>
    <row r="165" spans="5:5" ht="12" x14ac:dyDescent="0.2">
      <c r="E165" s="74"/>
    </row>
    <row r="166" spans="5:5" ht="12" x14ac:dyDescent="0.2">
      <c r="E166" s="74"/>
    </row>
    <row r="167" spans="5:5" ht="12" x14ac:dyDescent="0.2">
      <c r="E167" s="74"/>
    </row>
    <row r="168" spans="5:5" ht="12" x14ac:dyDescent="0.2">
      <c r="E168" s="74"/>
    </row>
    <row r="169" spans="5:5" ht="12" x14ac:dyDescent="0.2">
      <c r="E169" s="74"/>
    </row>
    <row r="170" spans="5:5" ht="12" x14ac:dyDescent="0.2">
      <c r="E170" s="74"/>
    </row>
    <row r="171" spans="5:5" ht="12" x14ac:dyDescent="0.2">
      <c r="E171" s="74"/>
    </row>
    <row r="172" spans="5:5" ht="12" x14ac:dyDescent="0.2">
      <c r="E172" s="74"/>
    </row>
    <row r="173" spans="5:5" ht="12" x14ac:dyDescent="0.2">
      <c r="E173" s="74"/>
    </row>
    <row r="174" spans="5:5" ht="12" x14ac:dyDescent="0.2">
      <c r="E174" s="74"/>
    </row>
    <row r="175" spans="5:5" ht="12" x14ac:dyDescent="0.2">
      <c r="E175" s="74"/>
    </row>
    <row r="176" spans="5:5" ht="12" x14ac:dyDescent="0.2">
      <c r="E176" s="74"/>
    </row>
    <row r="177" spans="5:5" ht="12" x14ac:dyDescent="0.2">
      <c r="E177" s="74"/>
    </row>
    <row r="178" spans="5:5" ht="12" x14ac:dyDescent="0.2">
      <c r="E178" s="74"/>
    </row>
    <row r="179" spans="5:5" ht="12" x14ac:dyDescent="0.2">
      <c r="E179" s="74"/>
    </row>
    <row r="180" spans="5:5" ht="12" x14ac:dyDescent="0.2">
      <c r="E180" s="74"/>
    </row>
    <row r="181" spans="5:5" ht="12" x14ac:dyDescent="0.2">
      <c r="E181" s="74"/>
    </row>
    <row r="182" spans="5:5" ht="12" x14ac:dyDescent="0.2">
      <c r="E182" s="74"/>
    </row>
    <row r="183" spans="5:5" ht="12" x14ac:dyDescent="0.2">
      <c r="E183" s="74"/>
    </row>
    <row r="184" spans="5:5" ht="12" x14ac:dyDescent="0.2">
      <c r="E184" s="74"/>
    </row>
    <row r="185" spans="5:5" ht="12" x14ac:dyDescent="0.2">
      <c r="E185" s="74"/>
    </row>
    <row r="186" spans="5:5" ht="12" x14ac:dyDescent="0.2">
      <c r="E186" s="74"/>
    </row>
    <row r="187" spans="5:5" ht="12" x14ac:dyDescent="0.2">
      <c r="E187" s="74"/>
    </row>
    <row r="188" spans="5:5" ht="12" x14ac:dyDescent="0.2">
      <c r="E188" s="74"/>
    </row>
    <row r="189" spans="5:5" ht="12" x14ac:dyDescent="0.2">
      <c r="E189" s="74"/>
    </row>
    <row r="190" spans="5:5" ht="12" x14ac:dyDescent="0.2">
      <c r="E190" s="74"/>
    </row>
    <row r="191" spans="5:5" ht="12" x14ac:dyDescent="0.2">
      <c r="E191" s="74"/>
    </row>
    <row r="192" spans="5:5" ht="12" x14ac:dyDescent="0.2">
      <c r="E192" s="74"/>
    </row>
    <row r="193" spans="5:5" ht="12" x14ac:dyDescent="0.2">
      <c r="E193" s="74"/>
    </row>
    <row r="194" spans="5:5" ht="12" x14ac:dyDescent="0.2">
      <c r="E194" s="74"/>
    </row>
    <row r="195" spans="5:5" ht="12" x14ac:dyDescent="0.2">
      <c r="E195" s="74"/>
    </row>
    <row r="196" spans="5:5" ht="12" x14ac:dyDescent="0.2">
      <c r="E196" s="74"/>
    </row>
    <row r="197" spans="5:5" ht="12" x14ac:dyDescent="0.2">
      <c r="E197" s="74"/>
    </row>
    <row r="198" spans="5:5" ht="12" x14ac:dyDescent="0.2">
      <c r="E198" s="74"/>
    </row>
    <row r="199" spans="5:5" ht="12" x14ac:dyDescent="0.2">
      <c r="E199" s="74"/>
    </row>
    <row r="200" spans="5:5" ht="12" x14ac:dyDescent="0.2">
      <c r="E200" s="74"/>
    </row>
    <row r="201" spans="5:5" ht="12" x14ac:dyDescent="0.2">
      <c r="E201" s="74"/>
    </row>
    <row r="202" spans="5:5" ht="12" x14ac:dyDescent="0.2">
      <c r="E202" s="74"/>
    </row>
    <row r="203" spans="5:5" ht="12" x14ac:dyDescent="0.2">
      <c r="E203" s="74"/>
    </row>
    <row r="204" spans="5:5" ht="12" x14ac:dyDescent="0.2">
      <c r="E204" s="74"/>
    </row>
    <row r="205" spans="5:5" ht="12" x14ac:dyDescent="0.2">
      <c r="E205" s="74"/>
    </row>
    <row r="206" spans="5:5" ht="12" x14ac:dyDescent="0.2">
      <c r="E206" s="74"/>
    </row>
    <row r="207" spans="5:5" ht="12" x14ac:dyDescent="0.2">
      <c r="E207" s="74"/>
    </row>
    <row r="208" spans="5:5" ht="12" x14ac:dyDescent="0.2">
      <c r="E208" s="74"/>
    </row>
    <row r="209" spans="5:5" ht="12" x14ac:dyDescent="0.2">
      <c r="E209" s="74"/>
    </row>
    <row r="210" spans="5:5" ht="12" x14ac:dyDescent="0.2">
      <c r="E210" s="74"/>
    </row>
    <row r="211" spans="5:5" ht="12" x14ac:dyDescent="0.2">
      <c r="E211" s="74"/>
    </row>
    <row r="212" spans="5:5" ht="12" x14ac:dyDescent="0.2">
      <c r="E212" s="74"/>
    </row>
    <row r="213" spans="5:5" ht="12" x14ac:dyDescent="0.2">
      <c r="E213" s="74"/>
    </row>
    <row r="214" spans="5:5" ht="12" x14ac:dyDescent="0.2">
      <c r="E214" s="74"/>
    </row>
    <row r="215" spans="5:5" ht="12" x14ac:dyDescent="0.2">
      <c r="E215" s="74"/>
    </row>
    <row r="216" spans="5:5" ht="12" x14ac:dyDescent="0.2">
      <c r="E216" s="74"/>
    </row>
    <row r="217" spans="5:5" ht="12" x14ac:dyDescent="0.2">
      <c r="E217" s="74"/>
    </row>
    <row r="218" spans="5:5" ht="12" x14ac:dyDescent="0.2">
      <c r="E218" s="74"/>
    </row>
    <row r="219" spans="5:5" ht="12" x14ac:dyDescent="0.2">
      <c r="E219" s="74"/>
    </row>
    <row r="220" spans="5:5" ht="12" x14ac:dyDescent="0.2">
      <c r="E220" s="74"/>
    </row>
    <row r="221" spans="5:5" ht="12" x14ac:dyDescent="0.2">
      <c r="E221" s="74"/>
    </row>
    <row r="222" spans="5:5" ht="12" x14ac:dyDescent="0.2">
      <c r="E222" s="74"/>
    </row>
    <row r="223" spans="5:5" ht="12" x14ac:dyDescent="0.2">
      <c r="E223" s="74"/>
    </row>
    <row r="224" spans="5:5" ht="12" x14ac:dyDescent="0.2">
      <c r="E224" s="74"/>
    </row>
    <row r="225" spans="5:5" ht="12" x14ac:dyDescent="0.2">
      <c r="E225" s="74"/>
    </row>
    <row r="226" spans="5:5" ht="12" x14ac:dyDescent="0.2">
      <c r="E226" s="74"/>
    </row>
    <row r="227" spans="5:5" ht="12" x14ac:dyDescent="0.2">
      <c r="E227" s="74"/>
    </row>
    <row r="228" spans="5:5" ht="12" x14ac:dyDescent="0.2">
      <c r="E228" s="74"/>
    </row>
    <row r="229" spans="5:5" ht="12" x14ac:dyDescent="0.2">
      <c r="E229" s="74"/>
    </row>
    <row r="230" spans="5:5" ht="12" x14ac:dyDescent="0.2">
      <c r="E230" s="74"/>
    </row>
    <row r="231" spans="5:5" ht="12" x14ac:dyDescent="0.2">
      <c r="E231" s="74"/>
    </row>
    <row r="232" spans="5:5" ht="12" x14ac:dyDescent="0.2">
      <c r="E232" s="74"/>
    </row>
    <row r="233" spans="5:5" ht="12" x14ac:dyDescent="0.2">
      <c r="E233" s="74"/>
    </row>
    <row r="234" spans="5:5" ht="12" x14ac:dyDescent="0.2">
      <c r="E234" s="74"/>
    </row>
    <row r="235" spans="5:5" ht="12" x14ac:dyDescent="0.2">
      <c r="E235" s="74"/>
    </row>
    <row r="236" spans="5:5" ht="12" x14ac:dyDescent="0.2">
      <c r="E236" s="74"/>
    </row>
    <row r="237" spans="5:5" ht="12" x14ac:dyDescent="0.2">
      <c r="E237" s="74"/>
    </row>
    <row r="238" spans="5:5" ht="12" x14ac:dyDescent="0.2">
      <c r="E238" s="74"/>
    </row>
    <row r="239" spans="5:5" ht="12" x14ac:dyDescent="0.2">
      <c r="E239" s="74"/>
    </row>
    <row r="240" spans="5:5" ht="12" x14ac:dyDescent="0.2">
      <c r="E240" s="74"/>
    </row>
    <row r="241" spans="5:5" ht="12" x14ac:dyDescent="0.2">
      <c r="E241" s="74"/>
    </row>
    <row r="242" spans="5:5" ht="12" x14ac:dyDescent="0.2">
      <c r="E242" s="74"/>
    </row>
    <row r="243" spans="5:5" ht="12" x14ac:dyDescent="0.2">
      <c r="E243" s="74"/>
    </row>
    <row r="244" spans="5:5" ht="12" x14ac:dyDescent="0.2">
      <c r="E244" s="74"/>
    </row>
    <row r="245" spans="5:5" ht="12" x14ac:dyDescent="0.2">
      <c r="E245" s="74"/>
    </row>
    <row r="246" spans="5:5" ht="12" x14ac:dyDescent="0.2">
      <c r="E246" s="74"/>
    </row>
    <row r="247" spans="5:5" ht="12" x14ac:dyDescent="0.2">
      <c r="E247" s="74"/>
    </row>
    <row r="248" spans="5:5" ht="12" x14ac:dyDescent="0.2">
      <c r="E248" s="74"/>
    </row>
    <row r="249" spans="5:5" ht="12" x14ac:dyDescent="0.2">
      <c r="E249" s="74"/>
    </row>
    <row r="250" spans="5:5" ht="12" x14ac:dyDescent="0.2">
      <c r="E250" s="74"/>
    </row>
    <row r="251" spans="5:5" ht="12" x14ac:dyDescent="0.2">
      <c r="E251" s="74"/>
    </row>
    <row r="252" spans="5:5" x14ac:dyDescent="0.2"/>
    <row r="253" spans="5:5" x14ac:dyDescent="0.2"/>
    <row r="254" spans="5:5" x14ac:dyDescent="0.2"/>
    <row r="255" spans="5:5" x14ac:dyDescent="0.2"/>
    <row r="256" spans="5:5"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sheetData>
  <pageMargins left="0.25" right="0.25" top="0.75" bottom="0.75" header="0.3" footer="0.3"/>
  <pageSetup paperSize="9" scale="3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24</vt:i4>
      </vt:variant>
    </vt:vector>
  </HeadingPairs>
  <TitlesOfParts>
    <vt:vector size="39" baseType="lpstr">
      <vt:lpstr>Cover</vt:lpstr>
      <vt:lpstr>Summary</vt:lpstr>
      <vt:lpstr>Assumptions</vt:lpstr>
      <vt:lpstr>Option1 (base case)</vt:lpstr>
      <vt:lpstr>Option2</vt:lpstr>
      <vt:lpstr>Option3</vt:lpstr>
      <vt:lpstr>Option4</vt:lpstr>
      <vt:lpstr>Option5</vt:lpstr>
      <vt:lpstr>Consol</vt:lpstr>
      <vt:lpstr>Sensitivity_calcs</vt:lpstr>
      <vt:lpstr>Workings_costs</vt:lpstr>
      <vt:lpstr>Workings_risks</vt:lpstr>
      <vt:lpstr>Workings_benefits</vt:lpstr>
      <vt:lpstr>Misc_calcs</vt:lpstr>
      <vt:lpstr>Data</vt:lpstr>
      <vt:lpstr>bus</vt:lpstr>
      <vt:lpstr>compliance</vt:lpstr>
      <vt:lpstr>conv_2026</vt:lpstr>
      <vt:lpstr>custval_date</vt:lpstr>
      <vt:lpstr>CY_years</vt:lpstr>
      <vt:lpstr>first_year</vt:lpstr>
      <vt:lpstr>hy_dates</vt:lpstr>
      <vt:lpstr>hy_escalation</vt:lpstr>
      <vt:lpstr>input_dollars</vt:lpstr>
      <vt:lpstr>mill_conv</vt:lpstr>
      <vt:lpstr>options</vt:lpstr>
      <vt:lpstr>output_dollars</vt:lpstr>
      <vt:lpstr>preferred</vt:lpstr>
      <vt:lpstr>Assumptions!Print_Area</vt:lpstr>
      <vt:lpstr>proj</vt:lpstr>
      <vt:lpstr>real_disc</vt:lpstr>
      <vt:lpstr>sheets</vt:lpstr>
      <vt:lpstr>start</vt:lpstr>
      <vt:lpstr>start_year</vt:lpstr>
      <vt:lpstr>thous_conv</vt:lpstr>
      <vt:lpstr>update</vt:lpstr>
      <vt:lpstr>vcr_date</vt:lpstr>
      <vt:lpstr>vcr_esc</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2025-11-29T22:16:35Z</dcterms:created>
  <dcterms:modified xsi:type="dcterms:W3CDTF">2025-11-29T22:36:25Z</dcterms:modified>
  <cp:category/>
  <cp:contentStatus/>
</cp:coreProperties>
</file>