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13_ncr:1_{0FF5DC2E-B086-4D3E-91BC-8D1D0A6EEFB4}" xr6:coauthVersionLast="47" xr6:coauthVersionMax="47" xr10:uidLastSave="{00000000-0000-0000-0000-000000000000}"/>
  <bookViews>
    <workbookView xWindow="30" yWindow="390" windowWidth="28770" windowHeight="15075" tabRatio="891" xr2:uid="{247115B4-6332-4C0A-AB3C-D119B83CED39}"/>
  </bookViews>
  <sheets>
    <sheet name="Cover" sheetId="86" r:id="rId1"/>
    <sheet name="Summary" sheetId="33" r:id="rId2"/>
    <sheet name="Assumptions" sheetId="43" r:id="rId3"/>
    <sheet name="Option1 (base case)" sheetId="68" r:id="rId4"/>
    <sheet name="Option2" sheetId="81" r:id="rId5"/>
    <sheet name="Option3" sheetId="72" r:id="rId6"/>
    <sheet name="Option4" sheetId="73" r:id="rId7"/>
    <sheet name="Option5" sheetId="82" r:id="rId8"/>
    <sheet name="Consol" sheetId="75" r:id="rId9"/>
    <sheet name="Sensitivity_calcs" sheetId="85" r:id="rId10"/>
    <sheet name="Workings_risks" sheetId="88" r:id="rId11"/>
    <sheet name="Workings_costs" sheetId="87" r:id="rId12"/>
    <sheet name="Cost_inputs" sheetId="90" r:id="rId13"/>
    <sheet name="Misc_calcs" sheetId="62" r:id="rId14"/>
    <sheet name="Data" sheetId="47" r:id="rId15"/>
  </sheets>
  <definedNames>
    <definedName name="bus">Assumptions!$E$6</definedName>
    <definedName name="compliance">Data!$E$16</definedName>
    <definedName name="conv_2026">Misc_calcs!$D$19</definedName>
    <definedName name="custval_date">Assumptions!$G$34</definedName>
    <definedName name="CY_years">Misc_calcs!$H$6:$M$6</definedName>
    <definedName name="first_year">Misc_calcs!$C$38</definedName>
    <definedName name="hy_dates">Misc_calcs!$H$11:$R$11</definedName>
    <definedName name="hy_escalation">Misc_calcs!$H$15:$R$15</definedName>
    <definedName name="input_dollars">Assumptions!$G$27</definedName>
    <definedName name="mill_conv">Data!$C$71</definedName>
    <definedName name="options">Data!$B$9:$B$13</definedName>
    <definedName name="output_dollars">Assumptions!$G$33</definedName>
    <definedName name="preferred">Summary!$C$18</definedName>
    <definedName name="_xlnm.Print_Area" localSheetId="2">Assumptions!$A$1:$P$107</definedName>
    <definedName name="proj">Assumptions!$E$8</definedName>
    <definedName name="real_disc">Assumptions!$G$28</definedName>
    <definedName name="sheets">Cover!$A$40</definedName>
    <definedName name="start">Assumptions!$E$22</definedName>
    <definedName name="start_year">Misc_calcs!$C$25</definedName>
    <definedName name="thous_conv">Data!$C$70</definedName>
    <definedName name="update">Cover!$A$41</definedName>
    <definedName name="vcr_date">Assumptions!$G$29</definedName>
    <definedName name="vcr_esc">Misc_calcs!$D$23</definedName>
    <definedName name="years">Assumptions!$G$31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6" i="90" l="1"/>
  <c r="E96" i="90" s="1"/>
  <c r="E58" i="90" s="1"/>
  <c r="G95" i="90"/>
  <c r="G94" i="90"/>
  <c r="C91" i="90"/>
  <c r="D91" i="90" s="1"/>
  <c r="D57" i="90" s="1"/>
  <c r="G90" i="90"/>
  <c r="G89" i="90"/>
  <c r="G88" i="90"/>
  <c r="G87" i="90"/>
  <c r="G86" i="90"/>
  <c r="G85" i="90"/>
  <c r="G82" i="90"/>
  <c r="G81" i="90"/>
  <c r="G80" i="90"/>
  <c r="G79" i="90"/>
  <c r="G78" i="90"/>
  <c r="G77" i="90"/>
  <c r="G76" i="90"/>
  <c r="G75" i="90"/>
  <c r="G74" i="90"/>
  <c r="G73" i="90"/>
  <c r="G72" i="90"/>
  <c r="G71" i="90"/>
  <c r="G70" i="90"/>
  <c r="G69" i="90"/>
  <c r="G68" i="90"/>
  <c r="G67" i="90"/>
  <c r="G66" i="90"/>
  <c r="G65" i="90"/>
  <c r="G64" i="90"/>
  <c r="F54" i="90"/>
  <c r="E54" i="90"/>
  <c r="D54" i="90"/>
  <c r="G54" i="90" s="1"/>
  <c r="F53" i="90"/>
  <c r="E53" i="90"/>
  <c r="D53" i="90"/>
  <c r="F52" i="90"/>
  <c r="E52" i="90"/>
  <c r="D52" i="90"/>
  <c r="F51" i="90"/>
  <c r="E51" i="90"/>
  <c r="D51" i="90"/>
  <c r="F50" i="90"/>
  <c r="E50" i="90"/>
  <c r="D50" i="90"/>
  <c r="F49" i="90"/>
  <c r="E49" i="90"/>
  <c r="D49" i="90"/>
  <c r="F48" i="90"/>
  <c r="E48" i="90"/>
  <c r="D48" i="90"/>
  <c r="F47" i="90"/>
  <c r="E47" i="90"/>
  <c r="D47" i="90"/>
  <c r="G47" i="90" s="1"/>
  <c r="F46" i="90"/>
  <c r="E46" i="90"/>
  <c r="D46" i="90"/>
  <c r="F45" i="90"/>
  <c r="E45" i="90"/>
  <c r="D45" i="90"/>
  <c r="F44" i="90"/>
  <c r="E44" i="90"/>
  <c r="D44" i="90"/>
  <c r="F43" i="90"/>
  <c r="E43" i="90"/>
  <c r="D43" i="90"/>
  <c r="F42" i="90"/>
  <c r="E42" i="90"/>
  <c r="D42" i="90"/>
  <c r="F41" i="90"/>
  <c r="E41" i="90"/>
  <c r="D41" i="90"/>
  <c r="G41" i="90" s="1"/>
  <c r="F40" i="90"/>
  <c r="E40" i="90"/>
  <c r="D40" i="90"/>
  <c r="F39" i="90"/>
  <c r="E39" i="90"/>
  <c r="D39" i="90"/>
  <c r="F38" i="90"/>
  <c r="E38" i="90"/>
  <c r="D38" i="90"/>
  <c r="F37" i="90"/>
  <c r="E37" i="90"/>
  <c r="D37" i="90"/>
  <c r="F36" i="90"/>
  <c r="E36" i="90"/>
  <c r="D36" i="90"/>
  <c r="G32" i="90"/>
  <c r="G31" i="90"/>
  <c r="G28" i="90"/>
  <c r="G27" i="90"/>
  <c r="G24" i="90"/>
  <c r="G23" i="90"/>
  <c r="G20" i="90"/>
  <c r="G19" i="90"/>
  <c r="F30" i="90"/>
  <c r="E30" i="90"/>
  <c r="D30" i="90"/>
  <c r="F26" i="90"/>
  <c r="E26" i="90"/>
  <c r="D26" i="90"/>
  <c r="F22" i="90"/>
  <c r="E22" i="90"/>
  <c r="D22" i="90"/>
  <c r="F18" i="90"/>
  <c r="E18" i="90"/>
  <c r="D18" i="90"/>
  <c r="D15" i="90"/>
  <c r="E15" i="90"/>
  <c r="F15" i="90"/>
  <c r="G14" i="90"/>
  <c r="G13" i="90"/>
  <c r="G10" i="90"/>
  <c r="G9" i="90"/>
  <c r="G52" i="90" l="1"/>
  <c r="G30" i="90"/>
  <c r="G39" i="90"/>
  <c r="G46" i="90"/>
  <c r="G49" i="90"/>
  <c r="G43" i="90"/>
  <c r="G53" i="90"/>
  <c r="G42" i="90"/>
  <c r="G26" i="90"/>
  <c r="G38" i="90"/>
  <c r="G51" i="90"/>
  <c r="F55" i="90"/>
  <c r="G91" i="90"/>
  <c r="G22" i="90"/>
  <c r="G37" i="90"/>
  <c r="G96" i="90"/>
  <c r="G44" i="90"/>
  <c r="D55" i="90"/>
  <c r="G50" i="90"/>
  <c r="G45" i="90"/>
  <c r="E91" i="90"/>
  <c r="E57" i="90" s="1"/>
  <c r="E59" i="90" s="1"/>
  <c r="F91" i="90"/>
  <c r="F57" i="90" s="1"/>
  <c r="E55" i="90"/>
  <c r="G40" i="90"/>
  <c r="D96" i="90"/>
  <c r="D58" i="90" s="1"/>
  <c r="D59" i="90" s="1"/>
  <c r="G48" i="90"/>
  <c r="F96" i="90"/>
  <c r="F58" i="90" s="1"/>
  <c r="G36" i="90"/>
  <c r="G18" i="90"/>
  <c r="G15" i="90"/>
  <c r="D61" i="90" l="1"/>
  <c r="G58" i="90"/>
  <c r="F59" i="90"/>
  <c r="E61" i="90"/>
  <c r="F61" i="90"/>
  <c r="G57" i="90"/>
  <c r="G59" i="90" s="1"/>
  <c r="G55" i="90"/>
  <c r="G61" i="90" s="1"/>
  <c r="V17" i="81" l="1"/>
  <c r="N17" i="81"/>
  <c r="O17" i="81"/>
  <c r="P17" i="81"/>
  <c r="Q17" i="81"/>
  <c r="R17" i="81"/>
  <c r="S17" i="81"/>
  <c r="T17" i="81"/>
  <c r="U17" i="81"/>
  <c r="W17" i="81"/>
  <c r="X17" i="81"/>
  <c r="Y17" i="81"/>
  <c r="Z17" i="81"/>
  <c r="AA17" i="81"/>
  <c r="AB17" i="81"/>
  <c r="AC17" i="81"/>
  <c r="AD17" i="81"/>
  <c r="AE17" i="81"/>
  <c r="AF17" i="81"/>
  <c r="AG17" i="81"/>
  <c r="A2" i="90"/>
  <c r="A1" i="90"/>
  <c r="H50" i="88"/>
  <c r="F50" i="88" l="1"/>
  <c r="D50" i="88"/>
  <c r="F66" i="88" l="1"/>
  <c r="F38" i="88"/>
  <c r="E17" i="87" l="1"/>
  <c r="I14" i="81"/>
  <c r="J14" i="81"/>
  <c r="E42" i="87" l="1"/>
  <c r="E43" i="87" s="1"/>
  <c r="I47" i="87" s="1"/>
  <c r="M14" i="73" s="1"/>
  <c r="A40" i="86"/>
  <c r="J14" i="72"/>
  <c r="K14" i="72"/>
  <c r="I14" i="72"/>
  <c r="K14" i="81"/>
  <c r="J14" i="73"/>
  <c r="K14" i="73"/>
  <c r="I14" i="73"/>
  <c r="G68" i="88"/>
  <c r="H68" i="88" s="1"/>
  <c r="I68" i="88" s="1"/>
  <c r="J68" i="88" s="1"/>
  <c r="K68" i="88" s="1"/>
  <c r="L68" i="88" s="1"/>
  <c r="M68" i="88" s="1"/>
  <c r="N68" i="88" s="1"/>
  <c r="O68" i="88" s="1"/>
  <c r="P68" i="88" s="1"/>
  <c r="Q68" i="88" s="1"/>
  <c r="R68" i="88" s="1"/>
  <c r="S68" i="88" s="1"/>
  <c r="T68" i="88" s="1"/>
  <c r="U68" i="88" s="1"/>
  <c r="V68" i="88" s="1"/>
  <c r="W68" i="88" s="1"/>
  <c r="X68" i="88" s="1"/>
  <c r="Y68" i="88" s="1"/>
  <c r="Z68" i="88" s="1"/>
  <c r="AA68" i="88" s="1"/>
  <c r="AB68" i="88" s="1"/>
  <c r="AC68" i="88" s="1"/>
  <c r="AD68" i="88" s="1"/>
  <c r="G54" i="88"/>
  <c r="H54" i="88" s="1"/>
  <c r="I54" i="88" s="1"/>
  <c r="J54" i="88" s="1"/>
  <c r="K54" i="88" s="1"/>
  <c r="L54" i="88" s="1"/>
  <c r="M54" i="88" s="1"/>
  <c r="N54" i="88" s="1"/>
  <c r="O54" i="88" s="1"/>
  <c r="P54" i="88" s="1"/>
  <c r="Q54" i="88" s="1"/>
  <c r="R54" i="88" s="1"/>
  <c r="S54" i="88" s="1"/>
  <c r="T54" i="88" s="1"/>
  <c r="U54" i="88" s="1"/>
  <c r="V54" i="88" s="1"/>
  <c r="W54" i="88" s="1"/>
  <c r="X54" i="88" s="1"/>
  <c r="Y54" i="88" s="1"/>
  <c r="Z54" i="88" s="1"/>
  <c r="AA54" i="88" s="1"/>
  <c r="AB54" i="88" s="1"/>
  <c r="AC54" i="88" s="1"/>
  <c r="AD54" i="88" s="1"/>
  <c r="G40" i="88"/>
  <c r="H40" i="88" s="1"/>
  <c r="I40" i="88" s="1"/>
  <c r="J40" i="88" s="1"/>
  <c r="K40" i="88" s="1"/>
  <c r="L40" i="88" s="1"/>
  <c r="M40" i="88" s="1"/>
  <c r="N40" i="88" s="1"/>
  <c r="O40" i="88" s="1"/>
  <c r="P40" i="88" s="1"/>
  <c r="Q40" i="88" s="1"/>
  <c r="R40" i="88" s="1"/>
  <c r="S40" i="88" s="1"/>
  <c r="T40" i="88" s="1"/>
  <c r="U40" i="88" s="1"/>
  <c r="V40" i="88" s="1"/>
  <c r="W40" i="88" s="1"/>
  <c r="X40" i="88" s="1"/>
  <c r="Y40" i="88" s="1"/>
  <c r="Z40" i="88" s="1"/>
  <c r="AA40" i="88" s="1"/>
  <c r="AB40" i="88" s="1"/>
  <c r="AC40" i="88" s="1"/>
  <c r="AD40" i="88" s="1"/>
  <c r="G27" i="88"/>
  <c r="H27" i="88" s="1"/>
  <c r="I27" i="88" s="1"/>
  <c r="J27" i="88" s="1"/>
  <c r="K27" i="88" s="1"/>
  <c r="L27" i="88" s="1"/>
  <c r="M27" i="88" s="1"/>
  <c r="N27" i="88" s="1"/>
  <c r="O27" i="88" s="1"/>
  <c r="P27" i="88" s="1"/>
  <c r="Q27" i="88" s="1"/>
  <c r="R27" i="88" s="1"/>
  <c r="S27" i="88" s="1"/>
  <c r="T27" i="88" s="1"/>
  <c r="U27" i="88" s="1"/>
  <c r="V27" i="88" s="1"/>
  <c r="W27" i="88" s="1"/>
  <c r="X27" i="88" s="1"/>
  <c r="Y27" i="88" s="1"/>
  <c r="Z27" i="88" s="1"/>
  <c r="AA27" i="88" s="1"/>
  <c r="AB27" i="88" s="1"/>
  <c r="AC27" i="88" s="1"/>
  <c r="AD27" i="88" s="1"/>
  <c r="F24" i="88"/>
  <c r="A2" i="88"/>
  <c r="A1" i="88"/>
  <c r="F46" i="87"/>
  <c r="G46" i="87" s="1"/>
  <c r="H46" i="87" s="1"/>
  <c r="I46" i="87" s="1"/>
  <c r="F34" i="87"/>
  <c r="G34" i="87" s="1"/>
  <c r="H34" i="87" s="1"/>
  <c r="I34" i="87" s="1"/>
  <c r="E31" i="87"/>
  <c r="F22" i="87"/>
  <c r="G22" i="87" s="1"/>
  <c r="H22" i="87" s="1"/>
  <c r="I22" i="87" s="1"/>
  <c r="A2" i="87"/>
  <c r="A1" i="87"/>
  <c r="E18" i="87" l="1"/>
  <c r="E19" i="87" s="1"/>
  <c r="I35" i="87"/>
  <c r="H35" i="87"/>
  <c r="H47" i="87"/>
  <c r="L14" i="73" s="1"/>
  <c r="M14" i="72"/>
  <c r="L14" i="72"/>
  <c r="I9" i="68"/>
  <c r="H9" i="68" s="1"/>
  <c r="H9" i="75" s="1"/>
  <c r="H5" i="75" s="1"/>
  <c r="C25" i="62" l="1"/>
  <c r="A2" i="43"/>
  <c r="C100" i="43" l="1"/>
  <c r="C101" i="43"/>
  <c r="C102" i="43"/>
  <c r="C103" i="43"/>
  <c r="C104" i="43"/>
  <c r="A92" i="85" l="1"/>
  <c r="A93" i="85"/>
  <c r="A94" i="85"/>
  <c r="A95" i="85"/>
  <c r="A96" i="85"/>
  <c r="A97" i="85"/>
  <c r="A98" i="85"/>
  <c r="A91" i="85"/>
  <c r="B92" i="85"/>
  <c r="B93" i="85"/>
  <c r="B94" i="85"/>
  <c r="B95" i="85"/>
  <c r="B96" i="85"/>
  <c r="B97" i="85"/>
  <c r="B98" i="85"/>
  <c r="B91" i="85"/>
  <c r="G106" i="82"/>
  <c r="G106" i="73"/>
  <c r="G106" i="72"/>
  <c r="G106" i="81"/>
  <c r="G106" i="68"/>
  <c r="E117" i="82"/>
  <c r="D117" i="82"/>
  <c r="C117" i="82"/>
  <c r="A117" i="82"/>
  <c r="G117" i="82" s="1"/>
  <c r="E116" i="82"/>
  <c r="D116" i="82"/>
  <c r="C116" i="82"/>
  <c r="A116" i="82"/>
  <c r="G116" i="82" s="1"/>
  <c r="E115" i="82"/>
  <c r="D115" i="82"/>
  <c r="C115" i="82"/>
  <c r="A115" i="82"/>
  <c r="G115" i="82" s="1"/>
  <c r="E114" i="82"/>
  <c r="D114" i="82"/>
  <c r="C114" i="82"/>
  <c r="A114" i="82"/>
  <c r="G114" i="82" s="1"/>
  <c r="E113" i="82"/>
  <c r="D113" i="82"/>
  <c r="C113" i="82"/>
  <c r="A113" i="82"/>
  <c r="G113" i="82" s="1"/>
  <c r="E112" i="82"/>
  <c r="D112" i="82"/>
  <c r="C112" i="82"/>
  <c r="A112" i="82"/>
  <c r="G112" i="82" s="1"/>
  <c r="E111" i="82"/>
  <c r="D111" i="82"/>
  <c r="C111" i="82"/>
  <c r="A111" i="82"/>
  <c r="G111" i="82" s="1"/>
  <c r="E110" i="82"/>
  <c r="D110" i="82"/>
  <c r="C110" i="82"/>
  <c r="A110" i="82"/>
  <c r="G110" i="82" s="1"/>
  <c r="E109" i="82"/>
  <c r="D109" i="82"/>
  <c r="E117" i="73"/>
  <c r="D117" i="73"/>
  <c r="C117" i="73"/>
  <c r="A117" i="73"/>
  <c r="G117" i="73" s="1"/>
  <c r="E116" i="73"/>
  <c r="D116" i="73"/>
  <c r="C116" i="73"/>
  <c r="A116" i="73"/>
  <c r="G116" i="73" s="1"/>
  <c r="E115" i="73"/>
  <c r="D115" i="73"/>
  <c r="C115" i="73"/>
  <c r="A115" i="73"/>
  <c r="G115" i="73" s="1"/>
  <c r="E114" i="73"/>
  <c r="D114" i="73"/>
  <c r="C114" i="73"/>
  <c r="A114" i="73"/>
  <c r="G114" i="73" s="1"/>
  <c r="E113" i="73"/>
  <c r="D113" i="73"/>
  <c r="C113" i="73"/>
  <c r="A113" i="73"/>
  <c r="G113" i="73" s="1"/>
  <c r="E112" i="73"/>
  <c r="D112" i="73"/>
  <c r="C112" i="73"/>
  <c r="A112" i="73"/>
  <c r="G112" i="73" s="1"/>
  <c r="E111" i="73"/>
  <c r="D111" i="73"/>
  <c r="C111" i="73"/>
  <c r="A111" i="73"/>
  <c r="G111" i="73" s="1"/>
  <c r="E110" i="73"/>
  <c r="D110" i="73"/>
  <c r="C110" i="73"/>
  <c r="A110" i="73"/>
  <c r="G110" i="73" s="1"/>
  <c r="E109" i="73"/>
  <c r="D109" i="73"/>
  <c r="E117" i="72"/>
  <c r="D117" i="72"/>
  <c r="C117" i="72"/>
  <c r="A117" i="72"/>
  <c r="G117" i="72" s="1"/>
  <c r="E116" i="72"/>
  <c r="D116" i="72"/>
  <c r="C116" i="72"/>
  <c r="A116" i="72"/>
  <c r="G116" i="72" s="1"/>
  <c r="E115" i="72"/>
  <c r="D115" i="72"/>
  <c r="C115" i="72"/>
  <c r="A115" i="72"/>
  <c r="G115" i="72" s="1"/>
  <c r="E114" i="72"/>
  <c r="D114" i="72"/>
  <c r="C114" i="72"/>
  <c r="A114" i="72"/>
  <c r="G114" i="72" s="1"/>
  <c r="E113" i="72"/>
  <c r="D113" i="72"/>
  <c r="C113" i="72"/>
  <c r="A113" i="72"/>
  <c r="G113" i="72" s="1"/>
  <c r="E112" i="72"/>
  <c r="D112" i="72"/>
  <c r="C112" i="72"/>
  <c r="A112" i="72"/>
  <c r="G112" i="72" s="1"/>
  <c r="E111" i="72"/>
  <c r="D111" i="72"/>
  <c r="C111" i="72"/>
  <c r="A111" i="72"/>
  <c r="G111" i="72" s="1"/>
  <c r="E110" i="72"/>
  <c r="D110" i="72"/>
  <c r="C110" i="72"/>
  <c r="A110" i="72"/>
  <c r="G110" i="72" s="1"/>
  <c r="E109" i="72"/>
  <c r="D109" i="72"/>
  <c r="E117" i="68"/>
  <c r="D117" i="68"/>
  <c r="C117" i="68"/>
  <c r="A117" i="68"/>
  <c r="G117" i="68" s="1"/>
  <c r="E116" i="68"/>
  <c r="D116" i="68"/>
  <c r="C116" i="68"/>
  <c r="A116" i="68"/>
  <c r="G116" i="68" s="1"/>
  <c r="E115" i="68"/>
  <c r="D115" i="68"/>
  <c r="C115" i="68"/>
  <c r="A115" i="68"/>
  <c r="G115" i="68" s="1"/>
  <c r="E114" i="68"/>
  <c r="D114" i="68"/>
  <c r="C114" i="68"/>
  <c r="A114" i="68"/>
  <c r="G114" i="68" s="1"/>
  <c r="E113" i="68"/>
  <c r="D113" i="68"/>
  <c r="C113" i="68"/>
  <c r="A113" i="68"/>
  <c r="G113" i="68" s="1"/>
  <c r="E112" i="68"/>
  <c r="D112" i="68"/>
  <c r="C112" i="68"/>
  <c r="A112" i="68"/>
  <c r="G112" i="68" s="1"/>
  <c r="E111" i="68"/>
  <c r="D111" i="68"/>
  <c r="C111" i="68"/>
  <c r="A111" i="68"/>
  <c r="G111" i="68" s="1"/>
  <c r="E110" i="68"/>
  <c r="D110" i="68"/>
  <c r="C110" i="68"/>
  <c r="A110" i="68"/>
  <c r="G110" i="68" s="1"/>
  <c r="E109" i="68"/>
  <c r="D109" i="68"/>
  <c r="A111" i="81"/>
  <c r="A112" i="81"/>
  <c r="A113" i="81"/>
  <c r="A114" i="81"/>
  <c r="A115" i="81"/>
  <c r="A116" i="81"/>
  <c r="A117" i="81"/>
  <c r="A110" i="81"/>
  <c r="E109" i="81"/>
  <c r="D109" i="81"/>
  <c r="C117" i="81"/>
  <c r="C116" i="81"/>
  <c r="C115" i="81"/>
  <c r="D115" i="81"/>
  <c r="E115" i="81"/>
  <c r="D116" i="81"/>
  <c r="E116" i="81"/>
  <c r="D117" i="81"/>
  <c r="E117" i="81"/>
  <c r="E114" i="81"/>
  <c r="D114" i="81"/>
  <c r="E113" i="81"/>
  <c r="D113" i="81"/>
  <c r="E112" i="81"/>
  <c r="D112" i="81"/>
  <c r="E111" i="81"/>
  <c r="D111" i="81"/>
  <c r="E110" i="81"/>
  <c r="D110" i="81"/>
  <c r="J77" i="68" l="1"/>
  <c r="K77" i="68"/>
  <c r="L77" i="68"/>
  <c r="M77" i="68"/>
  <c r="N77" i="68"/>
  <c r="O77" i="68"/>
  <c r="P77" i="68"/>
  <c r="Q77" i="68"/>
  <c r="R77" i="68"/>
  <c r="S77" i="68"/>
  <c r="T77" i="68"/>
  <c r="U77" i="68"/>
  <c r="V77" i="68"/>
  <c r="W77" i="68"/>
  <c r="X77" i="68"/>
  <c r="Y77" i="68"/>
  <c r="Z77" i="68"/>
  <c r="AA77" i="68"/>
  <c r="AB77" i="68"/>
  <c r="AC77" i="68"/>
  <c r="AD77" i="68"/>
  <c r="AE77" i="68"/>
  <c r="AF77" i="68"/>
  <c r="AG77" i="68"/>
  <c r="J78" i="68"/>
  <c r="K78" i="68"/>
  <c r="L78" i="68"/>
  <c r="M78" i="68"/>
  <c r="N78" i="68"/>
  <c r="O78" i="68"/>
  <c r="P78" i="68"/>
  <c r="Q78" i="68"/>
  <c r="R78" i="68"/>
  <c r="S78" i="68"/>
  <c r="T78" i="68"/>
  <c r="U78" i="68"/>
  <c r="V78" i="68"/>
  <c r="W78" i="68"/>
  <c r="X78" i="68"/>
  <c r="Y78" i="68"/>
  <c r="Z78" i="68"/>
  <c r="AA78" i="68"/>
  <c r="AB78" i="68"/>
  <c r="AC78" i="68"/>
  <c r="AD78" i="68"/>
  <c r="AE78" i="68"/>
  <c r="AF78" i="68"/>
  <c r="AG78" i="68"/>
  <c r="J79" i="68"/>
  <c r="K79" i="68"/>
  <c r="L79" i="68"/>
  <c r="M79" i="68"/>
  <c r="N79" i="68"/>
  <c r="O79" i="68"/>
  <c r="P79" i="68"/>
  <c r="Q79" i="68"/>
  <c r="R79" i="68"/>
  <c r="S79" i="68"/>
  <c r="T79" i="68"/>
  <c r="U79" i="68"/>
  <c r="V79" i="68"/>
  <c r="W79" i="68"/>
  <c r="X79" i="68"/>
  <c r="Y79" i="68"/>
  <c r="Z79" i="68"/>
  <c r="AA79" i="68"/>
  <c r="AB79" i="68"/>
  <c r="AC79" i="68"/>
  <c r="AD79" i="68"/>
  <c r="AE79" i="68"/>
  <c r="AF79" i="68"/>
  <c r="AG79" i="68"/>
  <c r="I79" i="68"/>
  <c r="I78" i="68"/>
  <c r="I77" i="68"/>
  <c r="J77" i="82"/>
  <c r="K77" i="82"/>
  <c r="L77" i="82"/>
  <c r="M77" i="82"/>
  <c r="N77" i="82"/>
  <c r="O77" i="82"/>
  <c r="P77" i="82"/>
  <c r="Q77" i="82"/>
  <c r="R77" i="82"/>
  <c r="S77" i="82"/>
  <c r="T77" i="82"/>
  <c r="U77" i="82"/>
  <c r="V77" i="82"/>
  <c r="W77" i="82"/>
  <c r="X77" i="82"/>
  <c r="Y77" i="82"/>
  <c r="Z77" i="82"/>
  <c r="AA77" i="82"/>
  <c r="AB77" i="82"/>
  <c r="AC77" i="82"/>
  <c r="AD77" i="82"/>
  <c r="AE77" i="82"/>
  <c r="AF77" i="82"/>
  <c r="AG77" i="82"/>
  <c r="J78" i="82"/>
  <c r="K78" i="82"/>
  <c r="L78" i="82"/>
  <c r="M78" i="82"/>
  <c r="N78" i="82"/>
  <c r="O78" i="82"/>
  <c r="P78" i="82"/>
  <c r="Q78" i="82"/>
  <c r="R78" i="82"/>
  <c r="S78" i="82"/>
  <c r="T78" i="82"/>
  <c r="U78" i="82"/>
  <c r="V78" i="82"/>
  <c r="W78" i="82"/>
  <c r="X78" i="82"/>
  <c r="Y78" i="82"/>
  <c r="Z78" i="82"/>
  <c r="AA78" i="82"/>
  <c r="AB78" i="82"/>
  <c r="AC78" i="82"/>
  <c r="AD78" i="82"/>
  <c r="AE78" i="82"/>
  <c r="AF78" i="82"/>
  <c r="AG78" i="82"/>
  <c r="J79" i="82"/>
  <c r="K79" i="82"/>
  <c r="L79" i="82"/>
  <c r="M79" i="82"/>
  <c r="N79" i="82"/>
  <c r="O79" i="82"/>
  <c r="P79" i="82"/>
  <c r="Q79" i="82"/>
  <c r="R79" i="82"/>
  <c r="S79" i="82"/>
  <c r="T79" i="82"/>
  <c r="U79" i="82"/>
  <c r="V79" i="82"/>
  <c r="W79" i="82"/>
  <c r="X79" i="82"/>
  <c r="Y79" i="82"/>
  <c r="Z79" i="82"/>
  <c r="AA79" i="82"/>
  <c r="AB79" i="82"/>
  <c r="AC79" i="82"/>
  <c r="AD79" i="82"/>
  <c r="AE79" i="82"/>
  <c r="AF79" i="82"/>
  <c r="AG79" i="82"/>
  <c r="I79" i="82"/>
  <c r="I78" i="82"/>
  <c r="I77" i="82"/>
  <c r="J78" i="73"/>
  <c r="K78" i="73"/>
  <c r="L78" i="73"/>
  <c r="M78" i="73"/>
  <c r="N78" i="73"/>
  <c r="O78" i="73"/>
  <c r="P78" i="73"/>
  <c r="Q78" i="73"/>
  <c r="R78" i="73"/>
  <c r="S78" i="73"/>
  <c r="T78" i="73"/>
  <c r="U78" i="73"/>
  <c r="V78" i="73"/>
  <c r="W78" i="73"/>
  <c r="X78" i="73"/>
  <c r="Y78" i="73"/>
  <c r="Z78" i="73"/>
  <c r="AA78" i="73"/>
  <c r="AB78" i="73"/>
  <c r="AC78" i="73"/>
  <c r="AD78" i="73"/>
  <c r="AE78" i="73"/>
  <c r="AF78" i="73"/>
  <c r="AG78" i="73"/>
  <c r="J79" i="73"/>
  <c r="K79" i="73"/>
  <c r="L79" i="73"/>
  <c r="M79" i="73"/>
  <c r="N79" i="73"/>
  <c r="O79" i="73"/>
  <c r="P79" i="73"/>
  <c r="Q79" i="73"/>
  <c r="R79" i="73"/>
  <c r="S79" i="73"/>
  <c r="T79" i="73"/>
  <c r="U79" i="73"/>
  <c r="V79" i="73"/>
  <c r="W79" i="73"/>
  <c r="X79" i="73"/>
  <c r="Y79" i="73"/>
  <c r="Z79" i="73"/>
  <c r="AA79" i="73"/>
  <c r="AB79" i="73"/>
  <c r="AC79" i="73"/>
  <c r="AD79" i="73"/>
  <c r="AE79" i="73"/>
  <c r="AF79" i="73"/>
  <c r="AG79" i="73"/>
  <c r="I79" i="73"/>
  <c r="I78" i="73"/>
  <c r="I77" i="73"/>
  <c r="J79" i="72"/>
  <c r="K79" i="72"/>
  <c r="L79" i="72"/>
  <c r="M79" i="72"/>
  <c r="N79" i="72"/>
  <c r="O79" i="72"/>
  <c r="P79" i="72"/>
  <c r="Q79" i="72"/>
  <c r="R79" i="72"/>
  <c r="S79" i="72"/>
  <c r="T79" i="72"/>
  <c r="U79" i="72"/>
  <c r="V79" i="72"/>
  <c r="W79" i="72"/>
  <c r="X79" i="72"/>
  <c r="Y79" i="72"/>
  <c r="Z79" i="72"/>
  <c r="AA79" i="72"/>
  <c r="AB79" i="72"/>
  <c r="AC79" i="72"/>
  <c r="AD79" i="72"/>
  <c r="AE79" i="72"/>
  <c r="AF79" i="72"/>
  <c r="AG79" i="72"/>
  <c r="I79" i="72"/>
  <c r="I78" i="72"/>
  <c r="I77" i="72"/>
  <c r="J79" i="81"/>
  <c r="K79" i="81"/>
  <c r="L79" i="81"/>
  <c r="M79" i="81"/>
  <c r="N79" i="81"/>
  <c r="O79" i="81"/>
  <c r="P79" i="81"/>
  <c r="Q79" i="81"/>
  <c r="R79" i="81"/>
  <c r="S79" i="81"/>
  <c r="T79" i="81"/>
  <c r="U79" i="81"/>
  <c r="V79" i="81"/>
  <c r="W79" i="81"/>
  <c r="X79" i="81"/>
  <c r="Y79" i="81"/>
  <c r="Z79" i="81"/>
  <c r="AA79" i="81"/>
  <c r="AB79" i="81"/>
  <c r="AC79" i="81"/>
  <c r="AD79" i="81"/>
  <c r="AE79" i="81"/>
  <c r="AF79" i="81"/>
  <c r="AG79" i="81"/>
  <c r="I79" i="81"/>
  <c r="I78" i="81"/>
  <c r="I77" i="81"/>
  <c r="H9" i="85"/>
  <c r="H98" i="75"/>
  <c r="P108" i="47"/>
  <c r="P109" i="47" s="1"/>
  <c r="P110" i="47" s="1"/>
  <c r="P111" i="47" s="1"/>
  <c r="P112" i="47" s="1"/>
  <c r="P113" i="47" s="1"/>
  <c r="D66" i="33" l="1"/>
  <c r="E16" i="47"/>
  <c r="F9" i="47" s="1"/>
  <c r="C22" i="85" l="1"/>
  <c r="C20" i="85"/>
  <c r="C18" i="85"/>
  <c r="C16" i="85"/>
  <c r="D76" i="33"/>
  <c r="C67" i="33"/>
  <c r="C89" i="85" a="1"/>
  <c r="C89" i="85" s="1"/>
  <c r="F66" i="33" s="1"/>
  <c r="C72" i="33"/>
  <c r="C74" i="33"/>
  <c r="H40" i="85"/>
  <c r="G37" i="75"/>
  <c r="D14" i="85"/>
  <c r="D70" i="85"/>
  <c r="D56" i="85"/>
  <c r="C78" i="85"/>
  <c r="C76" i="85"/>
  <c r="C74" i="85"/>
  <c r="C72" i="85"/>
  <c r="C64" i="85"/>
  <c r="C62" i="85"/>
  <c r="C60" i="85"/>
  <c r="C58" i="85"/>
  <c r="C50" i="85"/>
  <c r="C48" i="85"/>
  <c r="C46" i="85"/>
  <c r="C44" i="85"/>
  <c r="D42" i="85"/>
  <c r="B65" i="85" l="1"/>
  <c r="D65" i="85" s="1"/>
  <c r="B59" i="85"/>
  <c r="D59" i="85" s="1"/>
  <c r="B75" i="85"/>
  <c r="D75" i="85" s="1"/>
  <c r="B61" i="85"/>
  <c r="D61" i="85" s="1"/>
  <c r="B62" i="85"/>
  <c r="D62" i="85" s="1"/>
  <c r="K74" i="33"/>
  <c r="D75" i="33"/>
  <c r="H66" i="33"/>
  <c r="I66" i="33"/>
  <c r="J66" i="33"/>
  <c r="G66" i="33"/>
  <c r="B76" i="85"/>
  <c r="D76" i="85" s="1"/>
  <c r="B73" i="85"/>
  <c r="D73" i="85" s="1"/>
  <c r="B63" i="85"/>
  <c r="D63" i="85" s="1"/>
  <c r="B60" i="85"/>
  <c r="D60" i="85" s="1"/>
  <c r="B64" i="85"/>
  <c r="D64" i="85" s="1"/>
  <c r="B77" i="85"/>
  <c r="D77" i="85" s="1"/>
  <c r="B74" i="85"/>
  <c r="D74" i="85" s="1"/>
  <c r="B78" i="85"/>
  <c r="D78" i="85" s="1"/>
  <c r="B79" i="85"/>
  <c r="D79" i="85" s="1"/>
  <c r="B58" i="85"/>
  <c r="D58" i="85" s="1"/>
  <c r="B72" i="85"/>
  <c r="D72" i="85" s="1"/>
  <c r="C112" i="81"/>
  <c r="C114" i="81"/>
  <c r="C36" i="85"/>
  <c r="C110" i="81"/>
  <c r="C23" i="85"/>
  <c r="C21" i="85"/>
  <c r="C30" i="85" l="1"/>
  <c r="C32" i="85"/>
  <c r="C34" i="85"/>
  <c r="C19" i="85"/>
  <c r="C111" i="81"/>
  <c r="C17" i="85"/>
  <c r="C68" i="33"/>
  <c r="C70" i="33"/>
  <c r="C113" i="81"/>
  <c r="C61" i="85"/>
  <c r="C47" i="85"/>
  <c r="C75" i="85"/>
  <c r="C63" i="85"/>
  <c r="C49" i="85"/>
  <c r="C77" i="85"/>
  <c r="C45" i="85"/>
  <c r="C73" i="85"/>
  <c r="C59" i="85"/>
  <c r="C35" i="85"/>
  <c r="C51" i="85"/>
  <c r="C65" i="85"/>
  <c r="C79" i="85"/>
  <c r="C37" i="85"/>
  <c r="G70" i="75"/>
  <c r="G56" i="75"/>
  <c r="G42" i="75"/>
  <c r="G28" i="75"/>
  <c r="G14" i="75"/>
  <c r="C31" i="85" l="1"/>
  <c r="C33" i="85"/>
  <c r="C73" i="33"/>
  <c r="A6" i="85"/>
  <c r="A2" i="85"/>
  <c r="A1" i="85"/>
  <c r="C71" i="33" l="1"/>
  <c r="C69" i="33"/>
  <c r="C21" i="62"/>
  <c r="A1" i="81"/>
  <c r="A2" i="81"/>
  <c r="A1" i="68"/>
  <c r="A2" i="68"/>
  <c r="A2" i="72"/>
  <c r="A2" i="73"/>
  <c r="A2" i="82"/>
  <c r="A1" i="72"/>
  <c r="A1" i="73"/>
  <c r="A1" i="82"/>
  <c r="A1" i="75"/>
  <c r="A2" i="75"/>
  <c r="E9" i="47"/>
  <c r="I6" i="68"/>
  <c r="C9" i="33" a="1"/>
  <c r="C9" i="33" s="1"/>
  <c r="D92" i="75" l="1"/>
  <c r="D9" i="47" l="1"/>
  <c r="A6" i="75"/>
  <c r="I6" i="75" l="1"/>
  <c r="I6" i="85" s="1"/>
  <c r="H6" i="75"/>
  <c r="H6" i="85" s="1"/>
  <c r="H11" i="85" s="1" a="1"/>
  <c r="H11" i="85" s="1"/>
  <c r="G17" i="33"/>
  <c r="D29" i="33"/>
  <c r="I8" i="33"/>
  <c r="H8" i="33"/>
  <c r="A15" i="75"/>
  <c r="A29" i="75"/>
  <c r="A43" i="75"/>
  <c r="A57" i="75"/>
  <c r="A71" i="75"/>
  <c r="K17" i="81"/>
  <c r="J17" i="81"/>
  <c r="I17" i="81"/>
  <c r="AG31" i="82" a="1"/>
  <c r="AG31" i="82" s="1"/>
  <c r="AF31" i="82" a="1"/>
  <c r="AF31" i="82" s="1"/>
  <c r="AE31" i="82" a="1"/>
  <c r="AE31" i="82" s="1"/>
  <c r="AD31" i="82" a="1"/>
  <c r="AD31" i="82" s="1"/>
  <c r="AC31" i="82" a="1"/>
  <c r="AC31" i="82" s="1"/>
  <c r="AB31" i="82" a="1"/>
  <c r="AB31" i="82" s="1"/>
  <c r="AA31" i="82" a="1"/>
  <c r="AA31" i="82" s="1"/>
  <c r="Z31" i="82" a="1"/>
  <c r="Z31" i="82" s="1"/>
  <c r="Y31" i="82" a="1"/>
  <c r="Y31" i="82" s="1"/>
  <c r="X31" i="82" a="1"/>
  <c r="X31" i="82" s="1"/>
  <c r="W31" i="82" a="1"/>
  <c r="W31" i="82" s="1"/>
  <c r="V31" i="82" a="1"/>
  <c r="V31" i="82" s="1"/>
  <c r="U31" i="82" a="1"/>
  <c r="U31" i="82" s="1"/>
  <c r="T31" i="82" a="1"/>
  <c r="T31" i="82" s="1"/>
  <c r="S31" i="82" a="1"/>
  <c r="S31" i="82" s="1"/>
  <c r="R31" i="82" a="1"/>
  <c r="R31" i="82" s="1"/>
  <c r="Q31" i="82" a="1"/>
  <c r="Q31" i="82" s="1"/>
  <c r="P31" i="82" a="1"/>
  <c r="P31" i="82" s="1"/>
  <c r="O31" i="82" a="1"/>
  <c r="O31" i="82" s="1"/>
  <c r="N31" i="82" a="1"/>
  <c r="N31" i="82" s="1"/>
  <c r="M31" i="82" a="1"/>
  <c r="M31" i="82" s="1"/>
  <c r="L31" i="82" a="1"/>
  <c r="L31" i="82" s="1"/>
  <c r="K31" i="82" a="1"/>
  <c r="K31" i="82" s="1"/>
  <c r="J31" i="82" a="1"/>
  <c r="J31" i="82" s="1"/>
  <c r="I31" i="82" a="1"/>
  <c r="I31" i="82" s="1"/>
  <c r="AG17" i="82"/>
  <c r="AF17" i="82"/>
  <c r="AE17" i="82"/>
  <c r="AD17" i="82"/>
  <c r="AC17" i="82"/>
  <c r="AB17" i="82"/>
  <c r="AA17" i="82"/>
  <c r="Z17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AG17" i="73"/>
  <c r="AF17" i="73"/>
  <c r="AE17" i="73"/>
  <c r="AD17" i="73"/>
  <c r="AC17" i="73"/>
  <c r="AB17" i="73"/>
  <c r="AA17" i="73"/>
  <c r="Z17" i="73"/>
  <c r="Y17" i="73"/>
  <c r="X17" i="73"/>
  <c r="W17" i="73"/>
  <c r="V17" i="73"/>
  <c r="U17" i="73"/>
  <c r="T17" i="73"/>
  <c r="S17" i="73"/>
  <c r="R17" i="73"/>
  <c r="Q17" i="73"/>
  <c r="P17" i="73"/>
  <c r="O17" i="73"/>
  <c r="N17" i="73"/>
  <c r="M17" i="73"/>
  <c r="L17" i="73"/>
  <c r="K17" i="73"/>
  <c r="J17" i="73"/>
  <c r="I17" i="73"/>
  <c r="AG83" i="81"/>
  <c r="AG69" i="81"/>
  <c r="AG68" i="81"/>
  <c r="AG67" i="81"/>
  <c r="AG83" i="72"/>
  <c r="AG69" i="72"/>
  <c r="AG68" i="72"/>
  <c r="AG67" i="72"/>
  <c r="AG17" i="72"/>
  <c r="AG83" i="73"/>
  <c r="AG69" i="73"/>
  <c r="AG68" i="73"/>
  <c r="AG67" i="73"/>
  <c r="AG83" i="82"/>
  <c r="AG69" i="82"/>
  <c r="AG68" i="82"/>
  <c r="AG67" i="82"/>
  <c r="AG84" i="68"/>
  <c r="AG83" i="68"/>
  <c r="AG69" i="68"/>
  <c r="AG68" i="68"/>
  <c r="AG67" i="68"/>
  <c r="AG98" i="75"/>
  <c r="AG17" i="68"/>
  <c r="AF83" i="81"/>
  <c r="AF69" i="81"/>
  <c r="AF68" i="81"/>
  <c r="AF67" i="81"/>
  <c r="AF83" i="72"/>
  <c r="AF69" i="72"/>
  <c r="AF68" i="72"/>
  <c r="AF67" i="72"/>
  <c r="AF17" i="72"/>
  <c r="AF83" i="73"/>
  <c r="AF69" i="73"/>
  <c r="AF68" i="73"/>
  <c r="AF67" i="73"/>
  <c r="AF83" i="82"/>
  <c r="AF69" i="82"/>
  <c r="AF68" i="82"/>
  <c r="AF67" i="82"/>
  <c r="AF84" i="68"/>
  <c r="AF83" i="68"/>
  <c r="AF69" i="68"/>
  <c r="AF68" i="68"/>
  <c r="AF67" i="68"/>
  <c r="AF98" i="75"/>
  <c r="AF17" i="68"/>
  <c r="AE83" i="81"/>
  <c r="AE69" i="81"/>
  <c r="AE68" i="81"/>
  <c r="AE67" i="81"/>
  <c r="AE83" i="72"/>
  <c r="AE69" i="72"/>
  <c r="AE68" i="72"/>
  <c r="AE67" i="72"/>
  <c r="AE17" i="72"/>
  <c r="AE83" i="73"/>
  <c r="AE69" i="73"/>
  <c r="AE68" i="73"/>
  <c r="AE67" i="73"/>
  <c r="AE83" i="82"/>
  <c r="AE69" i="82"/>
  <c r="AE68" i="82"/>
  <c r="AE67" i="82"/>
  <c r="AE84" i="68"/>
  <c r="AE83" i="68"/>
  <c r="AE69" i="68"/>
  <c r="AE68" i="68"/>
  <c r="AE67" i="68"/>
  <c r="AE98" i="75"/>
  <c r="AE17" i="68"/>
  <c r="AD83" i="81"/>
  <c r="AD69" i="81"/>
  <c r="AD68" i="81"/>
  <c r="AD67" i="81"/>
  <c r="AD83" i="72"/>
  <c r="AD69" i="72"/>
  <c r="AD68" i="72"/>
  <c r="AD67" i="72"/>
  <c r="AD17" i="72"/>
  <c r="AD83" i="73"/>
  <c r="AD69" i="73"/>
  <c r="AD68" i="73"/>
  <c r="AD67" i="73"/>
  <c r="AD83" i="82"/>
  <c r="AD69" i="82"/>
  <c r="AD68" i="82"/>
  <c r="AD67" i="82"/>
  <c r="AD84" i="68"/>
  <c r="AD83" i="68"/>
  <c r="AD69" i="68"/>
  <c r="AD68" i="68"/>
  <c r="AD67" i="68"/>
  <c r="AD98" i="75"/>
  <c r="AD17" i="68"/>
  <c r="AC83" i="81"/>
  <c r="AC69" i="81"/>
  <c r="AC68" i="81"/>
  <c r="AC67" i="81"/>
  <c r="AC83" i="72"/>
  <c r="AC69" i="72"/>
  <c r="AC68" i="72"/>
  <c r="AC67" i="72"/>
  <c r="AC17" i="72"/>
  <c r="AC83" i="73"/>
  <c r="AC69" i="73"/>
  <c r="AC68" i="73"/>
  <c r="AC67" i="73"/>
  <c r="AC83" i="82"/>
  <c r="AC69" i="82"/>
  <c r="AC68" i="82"/>
  <c r="AC67" i="82"/>
  <c r="AC84" i="68"/>
  <c r="AC83" i="68"/>
  <c r="AC69" i="68"/>
  <c r="AC68" i="68"/>
  <c r="AC67" i="68"/>
  <c r="AC98" i="75"/>
  <c r="AC17" i="68"/>
  <c r="G81" i="75"/>
  <c r="G80" i="75"/>
  <c r="G79" i="75"/>
  <c r="G67" i="75"/>
  <c r="G66" i="75"/>
  <c r="G65" i="75"/>
  <c r="G53" i="75"/>
  <c r="G52" i="75"/>
  <c r="G51" i="75"/>
  <c r="G39" i="75"/>
  <c r="G38" i="75"/>
  <c r="G23" i="75"/>
  <c r="G24" i="75"/>
  <c r="G25" i="75"/>
  <c r="A30" i="75" l="1"/>
  <c r="A31" i="75" s="1"/>
  <c r="A32" i="75" s="1"/>
  <c r="A33" i="75" s="1"/>
  <c r="A34" i="75" s="1"/>
  <c r="A35" i="75" s="1"/>
  <c r="A36" i="75" s="1"/>
  <c r="A37" i="75" s="1"/>
  <c r="A38" i="75" s="1"/>
  <c r="A39" i="75" s="1"/>
  <c r="A28" i="75"/>
  <c r="D28" i="75" s="1"/>
  <c r="A16" i="75"/>
  <c r="A92" i="75" s="1"/>
  <c r="A14" i="75"/>
  <c r="D14" i="75" s="1"/>
  <c r="A72" i="75"/>
  <c r="A73" i="75" s="1"/>
  <c r="A74" i="75" s="1"/>
  <c r="A75" i="75" s="1"/>
  <c r="A76" i="75" s="1"/>
  <c r="A77" i="75" s="1"/>
  <c r="A78" i="75" s="1"/>
  <c r="A79" i="75" s="1"/>
  <c r="A80" i="75" s="1"/>
  <c r="A81" i="75" s="1"/>
  <c r="A70" i="75"/>
  <c r="D70" i="75" s="1"/>
  <c r="A58" i="75"/>
  <c r="A59" i="75" s="1"/>
  <c r="A60" i="75" s="1"/>
  <c r="A61" i="75" s="1"/>
  <c r="A62" i="75" s="1"/>
  <c r="A63" i="75" s="1"/>
  <c r="A64" i="75" s="1"/>
  <c r="A65" i="75" s="1"/>
  <c r="A66" i="75" s="1"/>
  <c r="A67" i="75" s="1"/>
  <c r="A56" i="75"/>
  <c r="D56" i="75" s="1"/>
  <c r="A44" i="75"/>
  <c r="A45" i="75" s="1"/>
  <c r="A46" i="75" s="1"/>
  <c r="A47" i="75" s="1"/>
  <c r="A48" i="75" s="1"/>
  <c r="A49" i="75" s="1"/>
  <c r="A50" i="75" s="1"/>
  <c r="A51" i="75" s="1"/>
  <c r="A52" i="75" s="1"/>
  <c r="A53" i="75" s="1"/>
  <c r="A42" i="75"/>
  <c r="D42" i="75" s="1"/>
  <c r="H5" i="85"/>
  <c r="H11" i="75" a="1"/>
  <c r="H11" i="75" s="1"/>
  <c r="AF15" i="75"/>
  <c r="AG15" i="75"/>
  <c r="AE15" i="75"/>
  <c r="AD15" i="75"/>
  <c r="AC15" i="75"/>
  <c r="AB17" i="72"/>
  <c r="AA17" i="72"/>
  <c r="Z17" i="72"/>
  <c r="Y17" i="72"/>
  <c r="X17" i="72"/>
  <c r="W17" i="72"/>
  <c r="V17" i="72"/>
  <c r="U17" i="72"/>
  <c r="T17" i="72"/>
  <c r="S17" i="72"/>
  <c r="R17" i="72"/>
  <c r="Q17" i="72"/>
  <c r="P17" i="72"/>
  <c r="O17" i="72"/>
  <c r="N17" i="72"/>
  <c r="M17" i="72"/>
  <c r="L17" i="72"/>
  <c r="K17" i="72"/>
  <c r="J17" i="72"/>
  <c r="I17" i="72"/>
  <c r="A17" i="75" l="1"/>
  <c r="A18" i="75" s="1"/>
  <c r="A19" i="75" s="1"/>
  <c r="A20" i="75" s="1"/>
  <c r="A21" i="75" s="1"/>
  <c r="A22" i="75" s="1"/>
  <c r="A23" i="75" s="1"/>
  <c r="C54" i="43"/>
  <c r="G63" i="43"/>
  <c r="G62" i="43"/>
  <c r="G61" i="43"/>
  <c r="G60" i="43"/>
  <c r="G59" i="43"/>
  <c r="F22" i="88" s="1"/>
  <c r="G58" i="43"/>
  <c r="G57" i="43"/>
  <c r="G56" i="43"/>
  <c r="G55" i="43"/>
  <c r="C56" i="43"/>
  <c r="C57" i="43"/>
  <c r="C58" i="43"/>
  <c r="C59" i="43"/>
  <c r="C60" i="43"/>
  <c r="C61" i="43"/>
  <c r="C62" i="43"/>
  <c r="C63" i="43"/>
  <c r="C55" i="43"/>
  <c r="A24" i="75" l="1"/>
  <c r="A25" i="75" s="1"/>
  <c r="A99" i="75"/>
  <c r="H99" i="75" s="1"/>
  <c r="D91" i="75"/>
  <c r="N7" i="68" l="1"/>
  <c r="O7" i="68" s="1"/>
  <c r="P7" i="68" s="1"/>
  <c r="Q7" i="68" s="1"/>
  <c r="R7" i="68" s="1"/>
  <c r="S7" i="68" s="1"/>
  <c r="T7" i="68" s="1"/>
  <c r="U7" i="68" s="1"/>
  <c r="V7" i="68" s="1"/>
  <c r="W7" i="68" s="1"/>
  <c r="X7" i="68" s="1"/>
  <c r="Y7" i="68" s="1"/>
  <c r="Z7" i="68" s="1"/>
  <c r="AA7" i="68" s="1"/>
  <c r="AB7" i="68" s="1"/>
  <c r="AC7" i="68" s="1"/>
  <c r="M7" i="68"/>
  <c r="L7" i="68"/>
  <c r="K7" i="68"/>
  <c r="J7" i="68"/>
  <c r="I7" i="68"/>
  <c r="AC7" i="81" l="1"/>
  <c r="AC42" i="81" s="1"/>
  <c r="AC7" i="73"/>
  <c r="AC42" i="73" s="1"/>
  <c r="AD7" i="68"/>
  <c r="AC7" i="82"/>
  <c r="AC42" i="68"/>
  <c r="AC7" i="72"/>
  <c r="AC42" i="72" s="1"/>
  <c r="AC42" i="82" l="1"/>
  <c r="AD7" i="81"/>
  <c r="AD42" i="81" s="1"/>
  <c r="AD7" i="73"/>
  <c r="AD42" i="73" s="1"/>
  <c r="AD42" i="68"/>
  <c r="AE7" i="68"/>
  <c r="AD7" i="82"/>
  <c r="AD7" i="72"/>
  <c r="AD42" i="72" s="1"/>
  <c r="AE7" i="81" l="1"/>
  <c r="AE42" i="81" s="1"/>
  <c r="AF7" i="68"/>
  <c r="AE7" i="82"/>
  <c r="AE42" i="68"/>
  <c r="AE7" i="73"/>
  <c r="AE7" i="72"/>
  <c r="AE42" i="72" s="1"/>
  <c r="AD42" i="82"/>
  <c r="G44" i="75"/>
  <c r="C44" i="75"/>
  <c r="G58" i="75"/>
  <c r="C58" i="75"/>
  <c r="G72" i="75"/>
  <c r="C72" i="75"/>
  <c r="AE42" i="73" l="1"/>
  <c r="AE42" i="82"/>
  <c r="AF7" i="81"/>
  <c r="AF42" i="81" s="1"/>
  <c r="AG7" i="68"/>
  <c r="AF7" i="73"/>
  <c r="AF42" i="73" s="1"/>
  <c r="AF7" i="82"/>
  <c r="AF42" i="68"/>
  <c r="AF7" i="72"/>
  <c r="AF42" i="72" s="1"/>
  <c r="G30" i="75"/>
  <c r="C30" i="75"/>
  <c r="C16" i="75"/>
  <c r="G16" i="75"/>
  <c r="AG7" i="81" l="1"/>
  <c r="AG42" i="81" s="1"/>
  <c r="AG7" i="73"/>
  <c r="AG7" i="82"/>
  <c r="AG42" i="68"/>
  <c r="AG7" i="72"/>
  <c r="AG42" i="72" s="1"/>
  <c r="AF42" i="82"/>
  <c r="D17" i="75"/>
  <c r="H92" i="75"/>
  <c r="D16" i="75"/>
  <c r="AG42" i="73" l="1"/>
  <c r="AG42" i="82"/>
  <c r="AB84" i="68" l="1"/>
  <c r="AA84" i="68"/>
  <c r="Z84" i="68"/>
  <c r="Y84" i="68"/>
  <c r="X84" i="68"/>
  <c r="W84" i="68"/>
  <c r="V84" i="68"/>
  <c r="U84" i="68"/>
  <c r="T84" i="68"/>
  <c r="S84" i="68"/>
  <c r="R84" i="68"/>
  <c r="Q84" i="68"/>
  <c r="P84" i="68"/>
  <c r="O84" i="68"/>
  <c r="N84" i="68"/>
  <c r="M84" i="68"/>
  <c r="L84" i="68"/>
  <c r="K84" i="68"/>
  <c r="J84" i="68"/>
  <c r="I84" i="68"/>
  <c r="AB83" i="68"/>
  <c r="AA83" i="68"/>
  <c r="Z83" i="68"/>
  <c r="Y83" i="68"/>
  <c r="X83" i="68"/>
  <c r="W83" i="68"/>
  <c r="V83" i="68"/>
  <c r="U83" i="68"/>
  <c r="T83" i="68"/>
  <c r="S83" i="68"/>
  <c r="R83" i="68"/>
  <c r="Q83" i="68"/>
  <c r="P83" i="68"/>
  <c r="O83" i="68"/>
  <c r="N83" i="68"/>
  <c r="M83" i="68"/>
  <c r="L83" i="68"/>
  <c r="K83" i="68"/>
  <c r="J83" i="68"/>
  <c r="I83" i="68"/>
  <c r="AB83" i="81"/>
  <c r="AA83" i="81"/>
  <c r="Z83" i="81"/>
  <c r="Y83" i="81"/>
  <c r="X83" i="81"/>
  <c r="W83" i="81"/>
  <c r="V83" i="81"/>
  <c r="U83" i="81"/>
  <c r="T83" i="81"/>
  <c r="S83" i="81"/>
  <c r="R83" i="81"/>
  <c r="Q83" i="81"/>
  <c r="P83" i="81"/>
  <c r="O83" i="81"/>
  <c r="N83" i="81"/>
  <c r="M83" i="81"/>
  <c r="L83" i="81"/>
  <c r="K83" i="81"/>
  <c r="J83" i="81"/>
  <c r="I83" i="81"/>
  <c r="AB83" i="82"/>
  <c r="AA83" i="82"/>
  <c r="Z83" i="82"/>
  <c r="Y83" i="82"/>
  <c r="X83" i="82"/>
  <c r="W83" i="82"/>
  <c r="V83" i="82"/>
  <c r="U83" i="82"/>
  <c r="T83" i="82"/>
  <c r="S83" i="82"/>
  <c r="R83" i="82"/>
  <c r="Q83" i="82"/>
  <c r="P83" i="82"/>
  <c r="O83" i="82"/>
  <c r="N83" i="82"/>
  <c r="M83" i="82"/>
  <c r="L83" i="82"/>
  <c r="K83" i="82"/>
  <c r="J83" i="82"/>
  <c r="I83" i="82"/>
  <c r="J83" i="73"/>
  <c r="K83" i="73"/>
  <c r="L83" i="73"/>
  <c r="M83" i="73"/>
  <c r="N83" i="73"/>
  <c r="O83" i="73"/>
  <c r="P83" i="73"/>
  <c r="Q83" i="73"/>
  <c r="R83" i="73"/>
  <c r="S83" i="73"/>
  <c r="T83" i="73"/>
  <c r="U83" i="73"/>
  <c r="V83" i="73"/>
  <c r="W83" i="73"/>
  <c r="X83" i="73"/>
  <c r="Y83" i="73"/>
  <c r="Z83" i="73"/>
  <c r="AA83" i="73"/>
  <c r="AB83" i="73"/>
  <c r="I83" i="73"/>
  <c r="J83" i="72"/>
  <c r="K83" i="72"/>
  <c r="L83" i="72"/>
  <c r="M83" i="72"/>
  <c r="N83" i="72"/>
  <c r="O83" i="72"/>
  <c r="P83" i="72"/>
  <c r="Q83" i="72"/>
  <c r="R83" i="72"/>
  <c r="S83" i="72"/>
  <c r="T83" i="72"/>
  <c r="U83" i="72"/>
  <c r="V83" i="72"/>
  <c r="W83" i="72"/>
  <c r="X83" i="72"/>
  <c r="Y83" i="72"/>
  <c r="Z83" i="72"/>
  <c r="AA83" i="72"/>
  <c r="AB83" i="72"/>
  <c r="I83" i="72"/>
  <c r="C78" i="75"/>
  <c r="C77" i="75"/>
  <c r="C76" i="75"/>
  <c r="C75" i="75"/>
  <c r="C74" i="75"/>
  <c r="C71" i="75"/>
  <c r="C64" i="75"/>
  <c r="C57" i="75"/>
  <c r="C63" i="75"/>
  <c r="C62" i="75"/>
  <c r="C61" i="75"/>
  <c r="C60" i="75"/>
  <c r="K67" i="82"/>
  <c r="I67" i="81"/>
  <c r="J67" i="81"/>
  <c r="K67" i="81"/>
  <c r="N67" i="81"/>
  <c r="O67" i="81"/>
  <c r="P67" i="81"/>
  <c r="Q67" i="81"/>
  <c r="R67" i="81"/>
  <c r="S67" i="81"/>
  <c r="T67" i="81"/>
  <c r="U67" i="81"/>
  <c r="V67" i="81"/>
  <c r="W67" i="81"/>
  <c r="X67" i="81"/>
  <c r="Y67" i="81"/>
  <c r="Z67" i="81"/>
  <c r="AA67" i="81"/>
  <c r="AB67" i="81"/>
  <c r="J68" i="81"/>
  <c r="K68" i="81"/>
  <c r="L68" i="81"/>
  <c r="M68" i="81"/>
  <c r="N68" i="81"/>
  <c r="O68" i="81"/>
  <c r="P68" i="81"/>
  <c r="Q68" i="81"/>
  <c r="R68" i="81"/>
  <c r="S68" i="81"/>
  <c r="T68" i="81"/>
  <c r="U68" i="81"/>
  <c r="V68" i="81"/>
  <c r="W68" i="81"/>
  <c r="X68" i="81"/>
  <c r="Y68" i="81"/>
  <c r="Z68" i="81"/>
  <c r="AA68" i="81"/>
  <c r="AB68" i="81"/>
  <c r="J69" i="81"/>
  <c r="K69" i="81"/>
  <c r="L69" i="81"/>
  <c r="M69" i="81"/>
  <c r="N69" i="81"/>
  <c r="O69" i="81"/>
  <c r="P69" i="81"/>
  <c r="Q69" i="81"/>
  <c r="R69" i="81"/>
  <c r="S69" i="81"/>
  <c r="T69" i="81"/>
  <c r="U69" i="81"/>
  <c r="V69" i="81"/>
  <c r="W69" i="81"/>
  <c r="X69" i="81"/>
  <c r="Y69" i="81"/>
  <c r="Z69" i="81"/>
  <c r="AA69" i="81"/>
  <c r="AB69" i="81"/>
  <c r="J67" i="72"/>
  <c r="K67" i="72"/>
  <c r="L67" i="72"/>
  <c r="M67" i="72"/>
  <c r="N67" i="72"/>
  <c r="O67" i="72"/>
  <c r="P67" i="72"/>
  <c r="Q67" i="72"/>
  <c r="R67" i="72"/>
  <c r="S67" i="72"/>
  <c r="T67" i="72"/>
  <c r="U67" i="72"/>
  <c r="V67" i="72"/>
  <c r="W67" i="72"/>
  <c r="X67" i="72"/>
  <c r="Y67" i="72"/>
  <c r="Z67" i="72"/>
  <c r="AA67" i="72"/>
  <c r="AB67" i="72"/>
  <c r="J68" i="72"/>
  <c r="K68" i="72"/>
  <c r="L68" i="72"/>
  <c r="M68" i="72"/>
  <c r="N68" i="72"/>
  <c r="O68" i="72"/>
  <c r="P68" i="72"/>
  <c r="Q68" i="72"/>
  <c r="R68" i="72"/>
  <c r="S68" i="72"/>
  <c r="T68" i="72"/>
  <c r="U68" i="72"/>
  <c r="V68" i="72"/>
  <c r="W68" i="72"/>
  <c r="X68" i="72"/>
  <c r="Y68" i="72"/>
  <c r="Z68" i="72"/>
  <c r="AA68" i="72"/>
  <c r="AB68" i="72"/>
  <c r="J69" i="72"/>
  <c r="K69" i="72"/>
  <c r="L69" i="72"/>
  <c r="M69" i="72"/>
  <c r="N69" i="72"/>
  <c r="O69" i="72"/>
  <c r="P69" i="72"/>
  <c r="Q69" i="72"/>
  <c r="R69" i="72"/>
  <c r="S69" i="72"/>
  <c r="T69" i="72"/>
  <c r="U69" i="72"/>
  <c r="V69" i="72"/>
  <c r="W69" i="72"/>
  <c r="X69" i="72"/>
  <c r="Y69" i="72"/>
  <c r="Z69" i="72"/>
  <c r="AA69" i="72"/>
  <c r="AB69" i="72"/>
  <c r="J67" i="73"/>
  <c r="K67" i="73"/>
  <c r="L67" i="73"/>
  <c r="M67" i="73"/>
  <c r="N67" i="73"/>
  <c r="O67" i="73"/>
  <c r="P67" i="73"/>
  <c r="Q67" i="73"/>
  <c r="R67" i="73"/>
  <c r="S67" i="73"/>
  <c r="T67" i="73"/>
  <c r="U67" i="73"/>
  <c r="V67" i="73"/>
  <c r="W67" i="73"/>
  <c r="X67" i="73"/>
  <c r="Y67" i="73"/>
  <c r="Z67" i="73"/>
  <c r="AA67" i="73"/>
  <c r="AB67" i="73"/>
  <c r="J68" i="73"/>
  <c r="K68" i="73"/>
  <c r="L68" i="73"/>
  <c r="M68" i="73"/>
  <c r="N68" i="73"/>
  <c r="O68" i="73"/>
  <c r="P68" i="73"/>
  <c r="Q68" i="73"/>
  <c r="R68" i="73"/>
  <c r="S68" i="73"/>
  <c r="T68" i="73"/>
  <c r="U68" i="73"/>
  <c r="V68" i="73"/>
  <c r="W68" i="73"/>
  <c r="X68" i="73"/>
  <c r="Y68" i="73"/>
  <c r="Z68" i="73"/>
  <c r="AA68" i="73"/>
  <c r="AB68" i="73"/>
  <c r="J69" i="73"/>
  <c r="K69" i="73"/>
  <c r="L69" i="73"/>
  <c r="M69" i="73"/>
  <c r="N69" i="73"/>
  <c r="O69" i="73"/>
  <c r="P69" i="73"/>
  <c r="Q69" i="73"/>
  <c r="R69" i="73"/>
  <c r="S69" i="73"/>
  <c r="T69" i="73"/>
  <c r="U69" i="73"/>
  <c r="V69" i="73"/>
  <c r="W69" i="73"/>
  <c r="X69" i="73"/>
  <c r="Y69" i="73"/>
  <c r="Z69" i="73"/>
  <c r="AA69" i="73"/>
  <c r="AB69" i="73"/>
  <c r="J67" i="82"/>
  <c r="L67" i="82"/>
  <c r="M67" i="82"/>
  <c r="N67" i="82"/>
  <c r="O67" i="82"/>
  <c r="P67" i="82"/>
  <c r="Q67" i="82"/>
  <c r="R67" i="82"/>
  <c r="S67" i="82"/>
  <c r="T67" i="82"/>
  <c r="U67" i="82"/>
  <c r="V67" i="82"/>
  <c r="W67" i="82"/>
  <c r="X67" i="82"/>
  <c r="Y67" i="82"/>
  <c r="Z67" i="82"/>
  <c r="AA67" i="82"/>
  <c r="AB67" i="82"/>
  <c r="J68" i="82"/>
  <c r="K68" i="82"/>
  <c r="L68" i="82"/>
  <c r="M68" i="82"/>
  <c r="N68" i="82"/>
  <c r="O68" i="82"/>
  <c r="P68" i="82"/>
  <c r="Q68" i="82"/>
  <c r="R68" i="82"/>
  <c r="S68" i="82"/>
  <c r="T68" i="82"/>
  <c r="U68" i="82"/>
  <c r="V68" i="82"/>
  <c r="W68" i="82"/>
  <c r="X68" i="82"/>
  <c r="Y68" i="82"/>
  <c r="Z68" i="82"/>
  <c r="AA68" i="82"/>
  <c r="AB68" i="82"/>
  <c r="J69" i="82"/>
  <c r="K69" i="82"/>
  <c r="L69" i="82"/>
  <c r="M69" i="82"/>
  <c r="N69" i="82"/>
  <c r="O69" i="82"/>
  <c r="P69" i="82"/>
  <c r="Q69" i="82"/>
  <c r="R69" i="82"/>
  <c r="S69" i="82"/>
  <c r="T69" i="82"/>
  <c r="U69" i="82"/>
  <c r="V69" i="82"/>
  <c r="W69" i="82"/>
  <c r="X69" i="82"/>
  <c r="Y69" i="82"/>
  <c r="Z69" i="82"/>
  <c r="AA69" i="82"/>
  <c r="AB69" i="82"/>
  <c r="J67" i="68"/>
  <c r="K67" i="68"/>
  <c r="L67" i="68"/>
  <c r="M67" i="68"/>
  <c r="N67" i="68"/>
  <c r="O67" i="68"/>
  <c r="P67" i="68"/>
  <c r="Q67" i="68"/>
  <c r="R67" i="68"/>
  <c r="S67" i="68"/>
  <c r="T67" i="68"/>
  <c r="U67" i="68"/>
  <c r="V67" i="68"/>
  <c r="W67" i="68"/>
  <c r="X67" i="68"/>
  <c r="Y67" i="68"/>
  <c r="Z67" i="68"/>
  <c r="AA67" i="68"/>
  <c r="AB67" i="68"/>
  <c r="J68" i="68"/>
  <c r="K68" i="68"/>
  <c r="L68" i="68"/>
  <c r="M68" i="68"/>
  <c r="N68" i="68"/>
  <c r="O68" i="68"/>
  <c r="P68" i="68"/>
  <c r="Q68" i="68"/>
  <c r="R68" i="68"/>
  <c r="S68" i="68"/>
  <c r="T68" i="68"/>
  <c r="U68" i="68"/>
  <c r="V68" i="68"/>
  <c r="W68" i="68"/>
  <c r="X68" i="68"/>
  <c r="Y68" i="68"/>
  <c r="Z68" i="68"/>
  <c r="AA68" i="68"/>
  <c r="AB68" i="68"/>
  <c r="J69" i="68"/>
  <c r="K69" i="68"/>
  <c r="L69" i="68"/>
  <c r="M69" i="68"/>
  <c r="N69" i="68"/>
  <c r="O69" i="68"/>
  <c r="P69" i="68"/>
  <c r="Q69" i="68"/>
  <c r="R69" i="68"/>
  <c r="S69" i="68"/>
  <c r="T69" i="68"/>
  <c r="U69" i="68"/>
  <c r="V69" i="68"/>
  <c r="W69" i="68"/>
  <c r="X69" i="68"/>
  <c r="Y69" i="68"/>
  <c r="Z69" i="68"/>
  <c r="AA69" i="68"/>
  <c r="AB69" i="68"/>
  <c r="I69" i="81"/>
  <c r="I68" i="81"/>
  <c r="I69" i="72"/>
  <c r="I68" i="72"/>
  <c r="I67" i="72"/>
  <c r="I69" i="73"/>
  <c r="I68" i="73"/>
  <c r="I67" i="73"/>
  <c r="I69" i="82"/>
  <c r="I68" i="82"/>
  <c r="I67" i="82"/>
  <c r="I69" i="68"/>
  <c r="I68" i="68"/>
  <c r="I67" i="68"/>
  <c r="C79" i="81"/>
  <c r="C78" i="81"/>
  <c r="C77" i="81"/>
  <c r="C74" i="81"/>
  <c r="C73" i="81"/>
  <c r="C72" i="81"/>
  <c r="C69" i="81"/>
  <c r="C68" i="81"/>
  <c r="C67" i="81"/>
  <c r="C79" i="72"/>
  <c r="C78" i="72"/>
  <c r="C77" i="72"/>
  <c r="C74" i="72"/>
  <c r="C73" i="72"/>
  <c r="C72" i="72"/>
  <c r="C69" i="72"/>
  <c r="C68" i="72"/>
  <c r="C67" i="72"/>
  <c r="C79" i="73"/>
  <c r="C78" i="73"/>
  <c r="C77" i="73"/>
  <c r="C74" i="73"/>
  <c r="C73" i="73"/>
  <c r="C72" i="73"/>
  <c r="C69" i="73"/>
  <c r="C68" i="73"/>
  <c r="C67" i="73"/>
  <c r="C79" i="82"/>
  <c r="C78" i="82"/>
  <c r="C77" i="82"/>
  <c r="C74" i="82"/>
  <c r="C73" i="82"/>
  <c r="C72" i="82"/>
  <c r="C69" i="82"/>
  <c r="C68" i="82"/>
  <c r="C67" i="82"/>
  <c r="C79" i="68"/>
  <c r="C78" i="68"/>
  <c r="C77" i="68"/>
  <c r="C74" i="68"/>
  <c r="C73" i="68"/>
  <c r="C72" i="68"/>
  <c r="C69" i="68"/>
  <c r="C68" i="68"/>
  <c r="C67" i="68"/>
  <c r="I72" i="68" l="1" a="1"/>
  <c r="I72" i="68" s="1"/>
  <c r="I73" i="68" a="1"/>
  <c r="I73" i="68" s="1"/>
  <c r="I80" i="68" s="1"/>
  <c r="I82" i="68" s="1"/>
  <c r="I107" i="68" s="1"/>
  <c r="I74" i="68" a="1"/>
  <c r="I74" i="68" s="1"/>
  <c r="W15" i="75"/>
  <c r="O15" i="75"/>
  <c r="Y15" i="75"/>
  <c r="Q15" i="75"/>
  <c r="X15" i="75"/>
  <c r="P15" i="75"/>
  <c r="V15" i="75"/>
  <c r="N15" i="75"/>
  <c r="U15" i="75"/>
  <c r="M15" i="75"/>
  <c r="AB15" i="75"/>
  <c r="T15" i="75"/>
  <c r="L15" i="75"/>
  <c r="S15" i="75"/>
  <c r="AA15" i="75"/>
  <c r="K15" i="75"/>
  <c r="Z15" i="75"/>
  <c r="R15" i="75"/>
  <c r="J15" i="75"/>
  <c r="C50" i="75"/>
  <c r="C49" i="75"/>
  <c r="C48" i="75"/>
  <c r="C47" i="75"/>
  <c r="C46" i="75"/>
  <c r="C43" i="75"/>
  <c r="G50" i="75"/>
  <c r="G49" i="75"/>
  <c r="G48" i="75"/>
  <c r="G47" i="75"/>
  <c r="G46" i="75"/>
  <c r="G43" i="75"/>
  <c r="D41" i="75"/>
  <c r="C64" i="82"/>
  <c r="A7" i="82"/>
  <c r="I6" i="82"/>
  <c r="A6" i="82"/>
  <c r="D82" i="75"/>
  <c r="C36" i="75"/>
  <c r="C22" i="75"/>
  <c r="I72" i="82" l="1" a="1"/>
  <c r="I72" i="82" s="1"/>
  <c r="I74" i="82" a="1"/>
  <c r="I74" i="82" s="1"/>
  <c r="I73" i="82" a="1"/>
  <c r="I73" i="82" s="1"/>
  <c r="C13" i="47"/>
  <c r="D43" i="75"/>
  <c r="C64" i="72"/>
  <c r="F13" i="47" l="1"/>
  <c r="D35" i="62"/>
  <c r="D13" i="47"/>
  <c r="A4" i="82" s="1"/>
  <c r="I80" i="82"/>
  <c r="I82" i="82" s="1"/>
  <c r="I107" i="82" s="1"/>
  <c r="D44" i="75"/>
  <c r="C34" i="75" l="1"/>
  <c r="G29" i="33"/>
  <c r="H29" i="33"/>
  <c r="I29" i="33"/>
  <c r="J29" i="33"/>
  <c r="F29" i="33"/>
  <c r="A7" i="81"/>
  <c r="I6" i="81"/>
  <c r="A6" i="81"/>
  <c r="I72" i="81" l="1" a="1"/>
  <c r="I72" i="81" s="1"/>
  <c r="J77" i="81" s="1"/>
  <c r="I73" i="81" a="1"/>
  <c r="I73" i="81" s="1"/>
  <c r="J78" i="81" s="1"/>
  <c r="I74" i="81" a="1"/>
  <c r="I74" i="81" s="1"/>
  <c r="D72" i="75"/>
  <c r="D58" i="75"/>
  <c r="D46" i="75"/>
  <c r="D30" i="75"/>
  <c r="I80" i="81" l="1"/>
  <c r="D65" i="75"/>
  <c r="D79" i="75"/>
  <c r="D37" i="75"/>
  <c r="D47" i="75"/>
  <c r="I82" i="81" l="1"/>
  <c r="I107" i="81" s="1"/>
  <c r="D81" i="75"/>
  <c r="D80" i="75"/>
  <c r="D39" i="75"/>
  <c r="D38" i="75"/>
  <c r="D67" i="75"/>
  <c r="D66" i="75"/>
  <c r="D25" i="75"/>
  <c r="D24" i="75"/>
  <c r="D48" i="75"/>
  <c r="D31" i="75"/>
  <c r="A7" i="73"/>
  <c r="I6" i="73"/>
  <c r="A6" i="73"/>
  <c r="A7" i="72"/>
  <c r="I6" i="72"/>
  <c r="A6" i="72"/>
  <c r="I74" i="73" l="1" a="1"/>
  <c r="I74" i="73" s="1"/>
  <c r="I72" i="73" a="1"/>
  <c r="I72" i="73" s="1"/>
  <c r="J77" i="73" s="1"/>
  <c r="I73" i="73" a="1"/>
  <c r="I73" i="73" s="1"/>
  <c r="I72" i="72" a="1"/>
  <c r="I72" i="72" s="1"/>
  <c r="J77" i="72" s="1"/>
  <c r="I74" i="72" a="1"/>
  <c r="I74" i="72" s="1"/>
  <c r="I73" i="72" a="1"/>
  <c r="I73" i="72" s="1"/>
  <c r="J78" i="72" s="1"/>
  <c r="D49" i="75"/>
  <c r="I80" i="73" l="1"/>
  <c r="D51" i="75"/>
  <c r="D50" i="75"/>
  <c r="I82" i="73" l="1"/>
  <c r="I107" i="73" s="1"/>
  <c r="D53" i="75"/>
  <c r="D52" i="75"/>
  <c r="D76" i="75" l="1"/>
  <c r="D62" i="75"/>
  <c r="D34" i="75"/>
  <c r="D26" i="75"/>
  <c r="D27" i="75"/>
  <c r="D59" i="75"/>
  <c r="D69" i="75"/>
  <c r="D73" i="75"/>
  <c r="D23" i="75"/>
  <c r="G78" i="75"/>
  <c r="G77" i="75"/>
  <c r="G76" i="75"/>
  <c r="G75" i="75"/>
  <c r="G74" i="75"/>
  <c r="G71" i="75"/>
  <c r="G64" i="75"/>
  <c r="G63" i="75"/>
  <c r="G62" i="75"/>
  <c r="G61" i="75"/>
  <c r="G60" i="75"/>
  <c r="G57" i="75"/>
  <c r="G36" i="75"/>
  <c r="G35" i="75"/>
  <c r="G34" i="75"/>
  <c r="G33" i="75"/>
  <c r="G32" i="75"/>
  <c r="G29" i="75"/>
  <c r="C20" i="75"/>
  <c r="D20" i="75" s="1"/>
  <c r="G22" i="75"/>
  <c r="G21" i="75"/>
  <c r="G20" i="75"/>
  <c r="G19" i="75"/>
  <c r="G18" i="75"/>
  <c r="G15" i="75"/>
  <c r="J98" i="75" l="1"/>
  <c r="K98" i="75"/>
  <c r="L98" i="75"/>
  <c r="M98" i="75"/>
  <c r="N98" i="75"/>
  <c r="O98" i="75"/>
  <c r="P98" i="75"/>
  <c r="Q98" i="75"/>
  <c r="R98" i="75"/>
  <c r="S98" i="75"/>
  <c r="T98" i="75"/>
  <c r="U98" i="75"/>
  <c r="V98" i="75"/>
  <c r="W98" i="75"/>
  <c r="X98" i="75"/>
  <c r="Y98" i="75"/>
  <c r="Z98" i="75"/>
  <c r="AA98" i="75"/>
  <c r="AB98" i="75"/>
  <c r="C11" i="47" l="1"/>
  <c r="C12" i="47"/>
  <c r="I98" i="75"/>
  <c r="D98" i="75" l="1"/>
  <c r="F12" i="47"/>
  <c r="F11" i="47"/>
  <c r="D33" i="62"/>
  <c r="D34" i="62"/>
  <c r="D12" i="47"/>
  <c r="A4" i="73" s="1"/>
  <c r="D11" i="47"/>
  <c r="A4" i="72" s="1"/>
  <c r="J7" i="82"/>
  <c r="J42" i="82" s="1"/>
  <c r="K7" i="82"/>
  <c r="K42" i="82" s="1"/>
  <c r="L7" i="82"/>
  <c r="L42" i="82" s="1"/>
  <c r="M7" i="82"/>
  <c r="M42" i="82" s="1"/>
  <c r="N7" i="82"/>
  <c r="N42" i="82" s="1"/>
  <c r="I7" i="82"/>
  <c r="I42" i="82" s="1"/>
  <c r="L7" i="81" l="1"/>
  <c r="L42" i="81" s="1"/>
  <c r="N7" i="81"/>
  <c r="N42" i="81" s="1"/>
  <c r="M7" i="81"/>
  <c r="M42" i="81" s="1"/>
  <c r="K7" i="81"/>
  <c r="K42" i="81" s="1"/>
  <c r="I7" i="81"/>
  <c r="I42" i="81" s="1"/>
  <c r="J7" i="81"/>
  <c r="J42" i="81" s="1"/>
  <c r="N42" i="68"/>
  <c r="N7" i="73"/>
  <c r="N42" i="73" s="1"/>
  <c r="N7" i="72"/>
  <c r="N42" i="72" s="1"/>
  <c r="M42" i="68"/>
  <c r="M7" i="72"/>
  <c r="M42" i="72" s="1"/>
  <c r="M7" i="73"/>
  <c r="M42" i="73" s="1"/>
  <c r="K42" i="68"/>
  <c r="K7" i="73"/>
  <c r="K42" i="73" s="1"/>
  <c r="K7" i="72"/>
  <c r="K42" i="72" s="1"/>
  <c r="L42" i="68"/>
  <c r="L7" i="73"/>
  <c r="L42" i="73" s="1"/>
  <c r="L7" i="72"/>
  <c r="L42" i="72" s="1"/>
  <c r="I42" i="68"/>
  <c r="I7" i="73"/>
  <c r="I42" i="73" s="1"/>
  <c r="I7" i="72"/>
  <c r="I42" i="72" s="1"/>
  <c r="J42" i="68"/>
  <c r="J7" i="73"/>
  <c r="J42" i="73" s="1"/>
  <c r="J7" i="72"/>
  <c r="J42" i="72" s="1"/>
  <c r="O7" i="82"/>
  <c r="O42" i="82" s="1"/>
  <c r="J17" i="68"/>
  <c r="K17" i="68"/>
  <c r="L17" i="68"/>
  <c r="M17" i="68"/>
  <c r="N17" i="68"/>
  <c r="O17" i="68"/>
  <c r="P17" i="68"/>
  <c r="Q17" i="68"/>
  <c r="R17" i="68"/>
  <c r="S17" i="68"/>
  <c r="T17" i="68"/>
  <c r="U17" i="68"/>
  <c r="V17" i="68"/>
  <c r="W17" i="68"/>
  <c r="X17" i="68"/>
  <c r="Y17" i="68"/>
  <c r="Z17" i="68"/>
  <c r="AA17" i="68"/>
  <c r="AB17" i="68"/>
  <c r="I17" i="68"/>
  <c r="J6" i="68"/>
  <c r="J6" i="75" s="1"/>
  <c r="J6" i="85" s="1"/>
  <c r="J74" i="68" l="1" a="1"/>
  <c r="J74" i="68" s="1"/>
  <c r="J72" i="68" a="1"/>
  <c r="J72" i="68" s="1"/>
  <c r="J73" i="68" a="1"/>
  <c r="J73" i="68" s="1"/>
  <c r="J6" i="82"/>
  <c r="K6" i="68"/>
  <c r="K6" i="75" s="1"/>
  <c r="K6" i="85" s="1"/>
  <c r="J6" i="81"/>
  <c r="J6" i="73"/>
  <c r="J6" i="72"/>
  <c r="O7" i="81"/>
  <c r="O42" i="81" s="1"/>
  <c r="O7" i="73"/>
  <c r="O42" i="73" s="1"/>
  <c r="O7" i="72"/>
  <c r="O42" i="72" s="1"/>
  <c r="P7" i="82"/>
  <c r="P42" i="82" s="1"/>
  <c r="O42" i="68"/>
  <c r="K6" i="82" l="1"/>
  <c r="K72" i="68" a="1"/>
  <c r="K72" i="68" s="1"/>
  <c r="K73" i="68" a="1"/>
  <c r="K73" i="68" s="1"/>
  <c r="K74" i="68" a="1"/>
  <c r="K74" i="68" s="1"/>
  <c r="J72" i="82" a="1"/>
  <c r="J72" i="82" s="1"/>
  <c r="J74" i="82" a="1"/>
  <c r="J74" i="82" s="1"/>
  <c r="J73" i="82" a="1"/>
  <c r="J73" i="82" s="1"/>
  <c r="J74" i="73" a="1"/>
  <c r="J74" i="73" s="1"/>
  <c r="J73" i="73" a="1"/>
  <c r="J73" i="73" s="1"/>
  <c r="J72" i="73" a="1"/>
  <c r="J72" i="73" s="1"/>
  <c r="K77" i="73" s="1"/>
  <c r="J73" i="81" a="1"/>
  <c r="J73" i="81" s="1"/>
  <c r="K78" i="81" s="1"/>
  <c r="J72" i="81" a="1"/>
  <c r="J72" i="81" s="1"/>
  <c r="K77" i="81" s="1"/>
  <c r="J74" i="81" a="1"/>
  <c r="J74" i="81" s="1"/>
  <c r="J73" i="72" a="1"/>
  <c r="J73" i="72" s="1"/>
  <c r="K78" i="72" s="1"/>
  <c r="J72" i="72" a="1"/>
  <c r="J72" i="72" s="1"/>
  <c r="K77" i="72" s="1"/>
  <c r="J74" i="72" a="1"/>
  <c r="J74" i="72" s="1"/>
  <c r="J80" i="68"/>
  <c r="J82" i="68" s="1"/>
  <c r="J107" i="68" s="1"/>
  <c r="L6" i="68"/>
  <c r="L6" i="75" s="1"/>
  <c r="L6" i="85" s="1"/>
  <c r="K6" i="81"/>
  <c r="K6" i="73"/>
  <c r="K6" i="72"/>
  <c r="P7" i="81"/>
  <c r="P42" i="81" s="1"/>
  <c r="P7" i="73"/>
  <c r="P42" i="73" s="1"/>
  <c r="P7" i="72"/>
  <c r="P42" i="72" s="1"/>
  <c r="Q7" i="82"/>
  <c r="Q42" i="82" s="1"/>
  <c r="P42" i="68"/>
  <c r="K72" i="72" l="1" a="1"/>
  <c r="K72" i="72" s="1"/>
  <c r="L77" i="72" s="1"/>
  <c r="K73" i="72" a="1"/>
  <c r="K73" i="72" s="1"/>
  <c r="L78" i="72" s="1"/>
  <c r="K74" i="72" a="1"/>
  <c r="K74" i="72" s="1"/>
  <c r="L72" i="68" a="1"/>
  <c r="L72" i="68" s="1"/>
  <c r="L73" i="68" a="1"/>
  <c r="L73" i="68" s="1"/>
  <c r="L74" i="68" a="1"/>
  <c r="L74" i="68" s="1"/>
  <c r="K74" i="73" a="1"/>
  <c r="K74" i="73" s="1"/>
  <c r="K72" i="73" a="1"/>
  <c r="K72" i="73" s="1"/>
  <c r="L77" i="73" s="1"/>
  <c r="K73" i="73" a="1"/>
  <c r="K73" i="73" s="1"/>
  <c r="K73" i="81" a="1"/>
  <c r="K73" i="81" s="1"/>
  <c r="L78" i="81" s="1"/>
  <c r="K72" i="81" a="1"/>
  <c r="K72" i="81" s="1"/>
  <c r="L77" i="81" s="1"/>
  <c r="K74" i="81" a="1"/>
  <c r="K74" i="81" s="1"/>
  <c r="K73" i="82" a="1"/>
  <c r="K73" i="82" s="1"/>
  <c r="K72" i="82" a="1"/>
  <c r="K72" i="82" s="1"/>
  <c r="K80" i="82" s="1"/>
  <c r="K82" i="82" s="1"/>
  <c r="K107" i="82" s="1"/>
  <c r="K74" i="82" a="1"/>
  <c r="K74" i="82" s="1"/>
  <c r="J80" i="81"/>
  <c r="K80" i="68"/>
  <c r="K82" i="68" s="1"/>
  <c r="K107" i="68" s="1"/>
  <c r="J80" i="82"/>
  <c r="J82" i="82" s="1"/>
  <c r="J107" i="82" s="1"/>
  <c r="J80" i="73"/>
  <c r="L6" i="82"/>
  <c r="M6" i="68"/>
  <c r="M6" i="75" s="1"/>
  <c r="M6" i="85" s="1"/>
  <c r="L6" i="81"/>
  <c r="L6" i="72"/>
  <c r="G90" i="72" s="1" a="1"/>
  <c r="G90" i="72" s="1"/>
  <c r="G92" i="72" s="1"/>
  <c r="C33" i="62" s="1"/>
  <c r="L6" i="73"/>
  <c r="G90" i="73" s="1" a="1"/>
  <c r="G90" i="73" s="1"/>
  <c r="G92" i="73" s="1"/>
  <c r="C34" i="62" s="1"/>
  <c r="Q7" i="81"/>
  <c r="Q42" i="81" s="1"/>
  <c r="Q7" i="73"/>
  <c r="Q42" i="73" s="1"/>
  <c r="Q7" i="72"/>
  <c r="Q42" i="72" s="1"/>
  <c r="R7" i="82"/>
  <c r="R42" i="82" s="1"/>
  <c r="Q42" i="68"/>
  <c r="J82" i="73" l="1"/>
  <c r="J107" i="73" s="1"/>
  <c r="J82" i="81"/>
  <c r="J107" i="81" s="1"/>
  <c r="L74" i="82" a="1"/>
  <c r="L74" i="82" s="1"/>
  <c r="L72" i="82" a="1"/>
  <c r="L72" i="82" s="1"/>
  <c r="L73" i="82" a="1"/>
  <c r="L73" i="82" s="1"/>
  <c r="M72" i="68" a="1"/>
  <c r="M72" i="68" s="1"/>
  <c r="M74" i="68" a="1"/>
  <c r="M74" i="68" s="1"/>
  <c r="M73" i="68" a="1"/>
  <c r="M73" i="68" s="1"/>
  <c r="L72" i="73" a="1"/>
  <c r="L72" i="73" s="1"/>
  <c r="M77" i="73" s="1"/>
  <c r="L73" i="73" a="1"/>
  <c r="L73" i="73" s="1"/>
  <c r="L74" i="73" a="1"/>
  <c r="L74" i="73" s="1"/>
  <c r="L72" i="72" a="1"/>
  <c r="L72" i="72" s="1"/>
  <c r="M77" i="72" s="1"/>
  <c r="L73" i="72" a="1"/>
  <c r="L73" i="72" s="1"/>
  <c r="M78" i="72" s="1"/>
  <c r="L74" i="72" a="1"/>
  <c r="L74" i="72" s="1"/>
  <c r="L74" i="81" a="1"/>
  <c r="L74" i="81" s="1"/>
  <c r="L73" i="81" a="1"/>
  <c r="L73" i="81" s="1"/>
  <c r="M78" i="81" s="1"/>
  <c r="K80" i="81"/>
  <c r="L80" i="68"/>
  <c r="L82" i="68" s="1"/>
  <c r="L107" i="68" s="1"/>
  <c r="K80" i="73"/>
  <c r="M6" i="82"/>
  <c r="N6" i="68"/>
  <c r="N6" i="75" s="1"/>
  <c r="N6" i="85" s="1"/>
  <c r="M6" i="81"/>
  <c r="M6" i="72"/>
  <c r="M6" i="73"/>
  <c r="R7" i="81"/>
  <c r="R42" i="81" s="1"/>
  <c r="R7" i="73"/>
  <c r="R42" i="73" s="1"/>
  <c r="R7" i="72"/>
  <c r="R42" i="72" s="1"/>
  <c r="S7" i="82"/>
  <c r="S42" i="82" s="1"/>
  <c r="R42" i="68"/>
  <c r="K82" i="73" l="1"/>
  <c r="K107" i="73" s="1"/>
  <c r="K82" i="81"/>
  <c r="K107" i="81" s="1"/>
  <c r="M74" i="82" a="1"/>
  <c r="M74" i="82" s="1"/>
  <c r="M72" i="82" a="1"/>
  <c r="M72" i="82" s="1"/>
  <c r="M73" i="82" a="1"/>
  <c r="M73" i="82" s="1"/>
  <c r="M72" i="73" a="1"/>
  <c r="M72" i="73" s="1"/>
  <c r="N77" i="73" s="1"/>
  <c r="M73" i="73" a="1"/>
  <c r="M73" i="73" s="1"/>
  <c r="M74" i="73" a="1"/>
  <c r="M74" i="73" s="1"/>
  <c r="M74" i="81" a="1"/>
  <c r="M74" i="81" s="1"/>
  <c r="M73" i="81" a="1"/>
  <c r="M73" i="81" s="1"/>
  <c r="N78" i="81" s="1"/>
  <c r="M72" i="72" a="1"/>
  <c r="M72" i="72" s="1"/>
  <c r="N77" i="72" s="1"/>
  <c r="M73" i="72" a="1"/>
  <c r="M73" i="72" s="1"/>
  <c r="N78" i="72" s="1"/>
  <c r="M74" i="72" a="1"/>
  <c r="M74" i="72" s="1"/>
  <c r="N74" i="68" a="1"/>
  <c r="N74" i="68" s="1"/>
  <c r="N73" i="68" a="1"/>
  <c r="N73" i="68" s="1"/>
  <c r="N72" i="68" a="1"/>
  <c r="N72" i="68" s="1"/>
  <c r="L80" i="81"/>
  <c r="M80" i="68"/>
  <c r="M82" i="68" s="1"/>
  <c r="M107" i="68" s="1"/>
  <c r="L80" i="82"/>
  <c r="L82" i="82" s="1"/>
  <c r="L107" i="82" s="1"/>
  <c r="L80" i="73"/>
  <c r="N6" i="82"/>
  <c r="O6" i="68"/>
  <c r="O6" i="75" s="1"/>
  <c r="O6" i="85" s="1"/>
  <c r="N6" i="81"/>
  <c r="N6" i="72"/>
  <c r="N6" i="73"/>
  <c r="S7" i="81"/>
  <c r="S42" i="81" s="1"/>
  <c r="S7" i="73"/>
  <c r="S42" i="73" s="1"/>
  <c r="S7" i="72"/>
  <c r="S42" i="72" s="1"/>
  <c r="T7" i="82"/>
  <c r="T42" i="82" s="1"/>
  <c r="S42" i="68"/>
  <c r="L82" i="73" l="1"/>
  <c r="L107" i="73" s="1"/>
  <c r="L82" i="81"/>
  <c r="L107" i="81" s="1"/>
  <c r="N73" i="72" a="1"/>
  <c r="N73" i="72" s="1"/>
  <c r="O78" i="72" s="1"/>
  <c r="N74" i="72" a="1"/>
  <c r="N74" i="72" s="1"/>
  <c r="N72" i="72" a="1"/>
  <c r="N72" i="72" s="1"/>
  <c r="O77" i="72" s="1"/>
  <c r="N74" i="73" a="1"/>
  <c r="N74" i="73" s="1"/>
  <c r="N72" i="73" a="1"/>
  <c r="N72" i="73" s="1"/>
  <c r="O77" i="73" s="1"/>
  <c r="N73" i="73" a="1"/>
  <c r="N73" i="73" s="1"/>
  <c r="N73" i="81" a="1"/>
  <c r="N73" i="81" s="1"/>
  <c r="O78" i="81" s="1"/>
  <c r="N74" i="81" a="1"/>
  <c r="N74" i="81" s="1"/>
  <c r="O72" i="68" a="1"/>
  <c r="O72" i="68" s="1"/>
  <c r="O74" i="68" a="1"/>
  <c r="O74" i="68" s="1"/>
  <c r="O73" i="68" a="1"/>
  <c r="O73" i="68" s="1"/>
  <c r="N73" i="82" a="1"/>
  <c r="N73" i="82" s="1"/>
  <c r="N74" i="82" a="1"/>
  <c r="N74" i="82" s="1"/>
  <c r="N72" i="82" a="1"/>
  <c r="N72" i="82" s="1"/>
  <c r="N80" i="68"/>
  <c r="N82" i="68" s="1"/>
  <c r="N107" i="68" s="1"/>
  <c r="M80" i="82"/>
  <c r="M82" i="82" s="1"/>
  <c r="M107" i="82" s="1"/>
  <c r="M80" i="73"/>
  <c r="O6" i="82"/>
  <c r="P6" i="68"/>
  <c r="P6" i="75" s="1"/>
  <c r="P6" i="85" s="1"/>
  <c r="O6" i="81"/>
  <c r="O6" i="72"/>
  <c r="O6" i="73"/>
  <c r="T7" i="81"/>
  <c r="T42" i="81" s="1"/>
  <c r="T7" i="73"/>
  <c r="T42" i="73" s="1"/>
  <c r="T7" i="72"/>
  <c r="T42" i="72" s="1"/>
  <c r="T42" i="68"/>
  <c r="U7" i="82"/>
  <c r="U42" i="82" s="1"/>
  <c r="M82" i="73" l="1"/>
  <c r="M107" i="73" s="1"/>
  <c r="O74" i="72" a="1"/>
  <c r="O74" i="72" s="1"/>
  <c r="O73" i="72" a="1"/>
  <c r="O73" i="72" s="1"/>
  <c r="P78" i="72" s="1"/>
  <c r="O72" i="72" a="1"/>
  <c r="O72" i="72" s="1"/>
  <c r="P77" i="72" s="1"/>
  <c r="O74" i="81" a="1"/>
  <c r="O74" i="81" s="1"/>
  <c r="O73" i="81" a="1"/>
  <c r="O73" i="81" s="1"/>
  <c r="P78" i="81" s="1"/>
  <c r="O73" i="73" a="1"/>
  <c r="O73" i="73" s="1"/>
  <c r="O72" i="73" a="1"/>
  <c r="O72" i="73" s="1"/>
  <c r="P77" i="73" s="1"/>
  <c r="O74" i="73" a="1"/>
  <c r="O74" i="73" s="1"/>
  <c r="P73" i="68" a="1"/>
  <c r="P73" i="68" s="1"/>
  <c r="P74" i="68" a="1"/>
  <c r="P74" i="68" s="1"/>
  <c r="P72" i="68" a="1"/>
  <c r="P72" i="68" s="1"/>
  <c r="O72" i="82" a="1"/>
  <c r="O72" i="82" s="1"/>
  <c r="O73" i="82" a="1"/>
  <c r="O73" i="82" s="1"/>
  <c r="O74" i="82" a="1"/>
  <c r="O74" i="82" s="1"/>
  <c r="O80" i="68"/>
  <c r="O82" i="68" s="1"/>
  <c r="O107" i="68" s="1"/>
  <c r="N80" i="73"/>
  <c r="N80" i="82"/>
  <c r="N82" i="82" s="1"/>
  <c r="N107" i="82" s="1"/>
  <c r="P6" i="82"/>
  <c r="Q6" i="68"/>
  <c r="Q6" i="75" s="1"/>
  <c r="Q6" i="85" s="1"/>
  <c r="P6" i="81"/>
  <c r="P6" i="72"/>
  <c r="P6" i="73"/>
  <c r="U7" i="81"/>
  <c r="U42" i="81" s="1"/>
  <c r="U7" i="72"/>
  <c r="U42" i="72" s="1"/>
  <c r="U7" i="73"/>
  <c r="U42" i="73" s="1"/>
  <c r="U42" i="68"/>
  <c r="V7" i="82"/>
  <c r="V42" i="82" s="1"/>
  <c r="N82" i="73" l="1"/>
  <c r="N107" i="73" s="1"/>
  <c r="P73" i="72" a="1"/>
  <c r="P73" i="72" s="1"/>
  <c r="Q78" i="72" s="1"/>
  <c r="P72" i="72" a="1"/>
  <c r="P72" i="72" s="1"/>
  <c r="Q77" i="72" s="1"/>
  <c r="P74" i="72" a="1"/>
  <c r="P74" i="72" s="1"/>
  <c r="P74" i="81" a="1"/>
  <c r="P74" i="81" s="1"/>
  <c r="P73" i="81" a="1"/>
  <c r="P73" i="81" s="1"/>
  <c r="Q78" i="81" s="1"/>
  <c r="P74" i="73" a="1"/>
  <c r="P74" i="73" s="1"/>
  <c r="P73" i="73" a="1"/>
  <c r="P73" i="73" s="1"/>
  <c r="P72" i="73" a="1"/>
  <c r="P72" i="73" s="1"/>
  <c r="Q77" i="73" s="1"/>
  <c r="P74" i="82" a="1"/>
  <c r="P74" i="82" s="1"/>
  <c r="P73" i="82" a="1"/>
  <c r="P73" i="82" s="1"/>
  <c r="P72" i="82" a="1"/>
  <c r="P72" i="82" s="1"/>
  <c r="Q72" i="68" a="1"/>
  <c r="Q72" i="68" s="1"/>
  <c r="Q74" i="68" a="1"/>
  <c r="Q74" i="68" s="1"/>
  <c r="Q73" i="68" a="1"/>
  <c r="Q73" i="68" s="1"/>
  <c r="P80" i="68"/>
  <c r="P82" i="68" s="1"/>
  <c r="P107" i="68" s="1"/>
  <c r="O80" i="82"/>
  <c r="O82" i="82" s="1"/>
  <c r="O107" i="82" s="1"/>
  <c r="O80" i="73"/>
  <c r="Q6" i="82"/>
  <c r="R6" i="68"/>
  <c r="R6" i="75" s="1"/>
  <c r="R6" i="85" s="1"/>
  <c r="Q6" i="81"/>
  <c r="Q6" i="73"/>
  <c r="Q6" i="72"/>
  <c r="V7" i="81"/>
  <c r="V42" i="81" s="1"/>
  <c r="V7" i="73"/>
  <c r="V42" i="73" s="1"/>
  <c r="V7" i="72"/>
  <c r="V42" i="72" s="1"/>
  <c r="V42" i="68"/>
  <c r="W7" i="82"/>
  <c r="W42" i="82" s="1"/>
  <c r="O82" i="73" l="1"/>
  <c r="O107" i="73" s="1"/>
  <c r="Q73" i="72" a="1"/>
  <c r="Q73" i="72" s="1"/>
  <c r="R78" i="72" s="1"/>
  <c r="Q74" i="72" a="1"/>
  <c r="Q74" i="72" s="1"/>
  <c r="Q72" i="72" a="1"/>
  <c r="Q72" i="72" s="1"/>
  <c r="R77" i="72" s="1"/>
  <c r="Q72" i="73" a="1"/>
  <c r="Q72" i="73" s="1"/>
  <c r="R77" i="73" s="1"/>
  <c r="Q74" i="73" a="1"/>
  <c r="Q74" i="73" s="1"/>
  <c r="Q73" i="73" a="1"/>
  <c r="Q73" i="73" s="1"/>
  <c r="Q73" i="82" a="1"/>
  <c r="Q73" i="82" s="1"/>
  <c r="Q72" i="82" a="1"/>
  <c r="Q72" i="82" s="1"/>
  <c r="Q74" i="82" a="1"/>
  <c r="Q74" i="82" s="1"/>
  <c r="Q73" i="81" a="1"/>
  <c r="Q73" i="81" s="1"/>
  <c r="R78" i="81" s="1"/>
  <c r="Q74" i="81" a="1"/>
  <c r="Q74" i="81" s="1"/>
  <c r="R74" i="68" a="1"/>
  <c r="R74" i="68" s="1"/>
  <c r="R72" i="68" a="1"/>
  <c r="R72" i="68" s="1"/>
  <c r="R73" i="68" a="1"/>
  <c r="R73" i="68" s="1"/>
  <c r="Q80" i="68"/>
  <c r="Q82" i="68" s="1"/>
  <c r="Q107" i="68" s="1"/>
  <c r="P80" i="73"/>
  <c r="P80" i="82"/>
  <c r="P82" i="82" s="1"/>
  <c r="P107" i="82" s="1"/>
  <c r="R6" i="82"/>
  <c r="S6" i="68"/>
  <c r="S6" i="75" s="1"/>
  <c r="S6" i="85" s="1"/>
  <c r="R6" i="81"/>
  <c r="R6" i="73"/>
  <c r="R6" i="72"/>
  <c r="W7" i="81"/>
  <c r="W42" i="81" s="1"/>
  <c r="W7" i="73"/>
  <c r="W42" i="73" s="1"/>
  <c r="W7" i="72"/>
  <c r="W42" i="72" s="1"/>
  <c r="W42" i="68"/>
  <c r="X7" i="82"/>
  <c r="X42" i="82" s="1"/>
  <c r="P82" i="73" l="1"/>
  <c r="P107" i="73" s="1"/>
  <c r="R72" i="82" a="1"/>
  <c r="R72" i="82" s="1"/>
  <c r="R73" i="82" a="1"/>
  <c r="R73" i="82" s="1"/>
  <c r="R74" i="82" a="1"/>
  <c r="R74" i="82" s="1"/>
  <c r="R72" i="73" a="1"/>
  <c r="R72" i="73" s="1"/>
  <c r="S77" i="73" s="1"/>
  <c r="R74" i="73" a="1"/>
  <c r="R74" i="73" s="1"/>
  <c r="R73" i="73" a="1"/>
  <c r="R73" i="73" s="1"/>
  <c r="R73" i="81" a="1"/>
  <c r="R73" i="81" s="1"/>
  <c r="S78" i="81" s="1"/>
  <c r="R74" i="81" a="1"/>
  <c r="R74" i="81" s="1"/>
  <c r="R73" i="72" a="1"/>
  <c r="R73" i="72" s="1"/>
  <c r="S78" i="72" s="1"/>
  <c r="R72" i="72" a="1"/>
  <c r="R72" i="72" s="1"/>
  <c r="S77" i="72" s="1"/>
  <c r="R74" i="72" a="1"/>
  <c r="R74" i="72" s="1"/>
  <c r="S72" i="68" a="1"/>
  <c r="S72" i="68" s="1"/>
  <c r="S74" i="68" a="1"/>
  <c r="S74" i="68" s="1"/>
  <c r="S73" i="68" a="1"/>
  <c r="S73" i="68" s="1"/>
  <c r="R80" i="68"/>
  <c r="Q80" i="73"/>
  <c r="Q80" i="82"/>
  <c r="Q82" i="82" s="1"/>
  <c r="Q107" i="82" s="1"/>
  <c r="S6" i="82"/>
  <c r="T6" i="68"/>
  <c r="T6" i="75" s="1"/>
  <c r="T6" i="85" s="1"/>
  <c r="S6" i="81"/>
  <c r="S6" i="73"/>
  <c r="S6" i="72"/>
  <c r="X7" i="81"/>
  <c r="X42" i="81" s="1"/>
  <c r="X7" i="73"/>
  <c r="X42" i="73" s="1"/>
  <c r="X7" i="72"/>
  <c r="X42" i="72" s="1"/>
  <c r="X42" i="68"/>
  <c r="Y7" i="82"/>
  <c r="Y42" i="82" s="1"/>
  <c r="R82" i="68" l="1"/>
  <c r="R107" i="68" s="1"/>
  <c r="Q82" i="73"/>
  <c r="Q107" i="73" s="1"/>
  <c r="S74" i="82" a="1"/>
  <c r="S74" i="82" s="1"/>
  <c r="S73" i="82" a="1"/>
  <c r="S73" i="82" s="1"/>
  <c r="S72" i="82" a="1"/>
  <c r="S72" i="82" s="1"/>
  <c r="S74" i="72" a="1"/>
  <c r="S74" i="72" s="1"/>
  <c r="S72" i="72" a="1"/>
  <c r="S72" i="72" s="1"/>
  <c r="T77" i="72" s="1"/>
  <c r="S73" i="72" a="1"/>
  <c r="S73" i="72" s="1"/>
  <c r="T78" i="72" s="1"/>
  <c r="S72" i="73" a="1"/>
  <c r="S72" i="73" s="1"/>
  <c r="T77" i="73" s="1"/>
  <c r="S74" i="73" a="1"/>
  <c r="S74" i="73" s="1"/>
  <c r="S73" i="73" a="1"/>
  <c r="S73" i="73" s="1"/>
  <c r="S73" i="81" a="1"/>
  <c r="S73" i="81" s="1"/>
  <c r="T78" i="81" s="1"/>
  <c r="S74" i="81" a="1"/>
  <c r="S74" i="81" s="1"/>
  <c r="T73" i="68" a="1"/>
  <c r="T73" i="68" s="1"/>
  <c r="T74" i="68" a="1"/>
  <c r="T74" i="68" s="1"/>
  <c r="T72" i="68" a="1"/>
  <c r="T72" i="68" s="1"/>
  <c r="S80" i="68"/>
  <c r="R80" i="73"/>
  <c r="R80" i="82"/>
  <c r="T6" i="82"/>
  <c r="U6" i="68"/>
  <c r="U6" i="75" s="1"/>
  <c r="U6" i="85" s="1"/>
  <c r="T6" i="81"/>
  <c r="T6" i="72"/>
  <c r="T6" i="73"/>
  <c r="Y7" i="81"/>
  <c r="Y42" i="81" s="1"/>
  <c r="Y7" i="73"/>
  <c r="Y42" i="73" s="1"/>
  <c r="Y7" i="72"/>
  <c r="Y42" i="72" s="1"/>
  <c r="Y42" i="68"/>
  <c r="Z7" i="82"/>
  <c r="Z42" i="82" s="1"/>
  <c r="R82" i="82" l="1"/>
  <c r="R107" i="82" s="1"/>
  <c r="S82" i="68"/>
  <c r="S107" i="68" s="1"/>
  <c r="R82" i="73"/>
  <c r="R107" i="73" s="1"/>
  <c r="U72" i="68" a="1"/>
  <c r="U72" i="68" s="1"/>
  <c r="U74" i="68" a="1"/>
  <c r="U74" i="68" s="1"/>
  <c r="U73" i="68" a="1"/>
  <c r="U73" i="68" s="1"/>
  <c r="T74" i="73" a="1"/>
  <c r="T74" i="73" s="1"/>
  <c r="T72" i="73" a="1"/>
  <c r="T72" i="73" s="1"/>
  <c r="U77" i="73" s="1"/>
  <c r="T73" i="73" a="1"/>
  <c r="T73" i="73" s="1"/>
  <c r="T73" i="72" a="1"/>
  <c r="T73" i="72" s="1"/>
  <c r="U78" i="72" s="1"/>
  <c r="T72" i="72" a="1"/>
  <c r="T72" i="72" s="1"/>
  <c r="U77" i="72" s="1"/>
  <c r="T74" i="72" a="1"/>
  <c r="T74" i="72" s="1"/>
  <c r="T73" i="81" a="1"/>
  <c r="T73" i="81" s="1"/>
  <c r="U78" i="81" s="1"/>
  <c r="T74" i="81" a="1"/>
  <c r="T74" i="81" s="1"/>
  <c r="T72" i="82" a="1"/>
  <c r="T72" i="82" s="1"/>
  <c r="T73" i="82" a="1"/>
  <c r="T73" i="82" s="1"/>
  <c r="T74" i="82" a="1"/>
  <c r="T74" i="82" s="1"/>
  <c r="T80" i="68"/>
  <c r="S80" i="82"/>
  <c r="S80" i="73"/>
  <c r="U6" i="82"/>
  <c r="G90" i="82" s="1" a="1"/>
  <c r="G90" i="82" s="1"/>
  <c r="G92" i="82" s="1"/>
  <c r="V6" i="68"/>
  <c r="V6" i="75" s="1"/>
  <c r="V6" i="85" s="1"/>
  <c r="U6" i="81"/>
  <c r="U6" i="72"/>
  <c r="U6" i="73"/>
  <c r="Z7" i="81"/>
  <c r="Z42" i="81" s="1"/>
  <c r="Z7" i="73"/>
  <c r="Z42" i="73" s="1"/>
  <c r="Z7" i="72"/>
  <c r="Z42" i="72" s="1"/>
  <c r="Z42" i="68"/>
  <c r="AA7" i="82"/>
  <c r="AA42" i="82" s="1"/>
  <c r="S82" i="82" l="1"/>
  <c r="S107" i="82" s="1"/>
  <c r="T82" i="68"/>
  <c r="T107" i="68" s="1"/>
  <c r="C35" i="62"/>
  <c r="S82" i="73"/>
  <c r="S107" i="73" s="1"/>
  <c r="U74" i="73" a="1"/>
  <c r="U74" i="73" s="1"/>
  <c r="U72" i="73" a="1"/>
  <c r="U72" i="73" s="1"/>
  <c r="V77" i="73" s="1"/>
  <c r="U73" i="73" a="1"/>
  <c r="U73" i="73" s="1"/>
  <c r="U74" i="72" a="1"/>
  <c r="U74" i="72" s="1"/>
  <c r="U72" i="72" a="1"/>
  <c r="U72" i="72" s="1"/>
  <c r="V77" i="72" s="1"/>
  <c r="U73" i="72" a="1"/>
  <c r="U73" i="72" s="1"/>
  <c r="V78" i="72" s="1"/>
  <c r="U74" i="82" a="1"/>
  <c r="U74" i="82" s="1"/>
  <c r="U73" i="82" a="1"/>
  <c r="U73" i="82" s="1"/>
  <c r="U72" i="82" a="1"/>
  <c r="U72" i="82" s="1"/>
  <c r="U73" i="81" a="1"/>
  <c r="U73" i="81" s="1"/>
  <c r="V78" i="81" s="1"/>
  <c r="U74" i="81" a="1"/>
  <c r="U74" i="81" s="1"/>
  <c r="V72" i="68" a="1"/>
  <c r="V72" i="68" s="1"/>
  <c r="V73" i="68" a="1"/>
  <c r="V73" i="68" s="1"/>
  <c r="V74" i="68" a="1"/>
  <c r="V74" i="68" s="1"/>
  <c r="U80" i="68"/>
  <c r="T80" i="73"/>
  <c r="T80" i="82"/>
  <c r="V6" i="82"/>
  <c r="W6" i="68"/>
  <c r="W6" i="75" s="1"/>
  <c r="W6" i="85" s="1"/>
  <c r="V6" i="81"/>
  <c r="V6" i="72"/>
  <c r="V6" i="73"/>
  <c r="AA7" i="81"/>
  <c r="AA42" i="81" s="1"/>
  <c r="AA7" i="73"/>
  <c r="AA42" i="73" s="1"/>
  <c r="AA7" i="72"/>
  <c r="AA42" i="72" s="1"/>
  <c r="AA42" i="68"/>
  <c r="AB7" i="82"/>
  <c r="AB42" i="82" s="1"/>
  <c r="T82" i="82" l="1"/>
  <c r="T107" i="82" s="1"/>
  <c r="U82" i="68"/>
  <c r="U107" i="68" s="1"/>
  <c r="T82" i="73"/>
  <c r="T107" i="73" s="1"/>
  <c r="V73" i="72" a="1"/>
  <c r="V73" i="72" s="1"/>
  <c r="W78" i="72" s="1"/>
  <c r="V72" i="72" a="1"/>
  <c r="V72" i="72" s="1"/>
  <c r="W77" i="72" s="1"/>
  <c r="V74" i="72" a="1"/>
  <c r="V74" i="72" s="1"/>
  <c r="V72" i="82" a="1"/>
  <c r="V72" i="82" s="1"/>
  <c r="V73" i="82" a="1"/>
  <c r="V73" i="82" s="1"/>
  <c r="V74" i="82" a="1"/>
  <c r="V74" i="82" s="1"/>
  <c r="V73" i="73" a="1"/>
  <c r="V73" i="73" s="1"/>
  <c r="V72" i="73" a="1"/>
  <c r="V72" i="73" s="1"/>
  <c r="W77" i="73" s="1"/>
  <c r="V74" i="73" a="1"/>
  <c r="V74" i="73" s="1"/>
  <c r="V74" i="81" a="1"/>
  <c r="V74" i="81" s="1"/>
  <c r="V73" i="81" a="1"/>
  <c r="V73" i="81" s="1"/>
  <c r="W78" i="81" s="1"/>
  <c r="W73" i="68" a="1"/>
  <c r="W73" i="68" s="1"/>
  <c r="W74" i="68" a="1"/>
  <c r="W74" i="68" s="1"/>
  <c r="W72" i="68" a="1"/>
  <c r="W72" i="68" s="1"/>
  <c r="V80" i="68"/>
  <c r="V82" i="68" s="1"/>
  <c r="V107" i="68" s="1"/>
  <c r="U80" i="73"/>
  <c r="U80" i="82"/>
  <c r="W6" i="82"/>
  <c r="X6" i="68"/>
  <c r="X6" i="75" s="1"/>
  <c r="W6" i="81"/>
  <c r="W6" i="72"/>
  <c r="W6" i="73"/>
  <c r="AB7" i="81"/>
  <c r="AB42" i="81" s="1"/>
  <c r="AB7" i="73"/>
  <c r="AB42" i="73" s="1"/>
  <c r="AB7" i="72"/>
  <c r="AB42" i="72" s="1"/>
  <c r="AB42" i="68"/>
  <c r="U82" i="82" l="1"/>
  <c r="U107" i="82" s="1"/>
  <c r="X6" i="85"/>
  <c r="U82" i="73"/>
  <c r="U107" i="73" s="1"/>
  <c r="W74" i="82" a="1"/>
  <c r="W74" i="82" s="1"/>
  <c r="W73" i="82" a="1"/>
  <c r="W73" i="82" s="1"/>
  <c r="W72" i="82" a="1"/>
  <c r="W72" i="82" s="1"/>
  <c r="W73" i="72" a="1"/>
  <c r="W73" i="72" s="1"/>
  <c r="X78" i="72" s="1"/>
  <c r="W72" i="72" a="1"/>
  <c r="W72" i="72" s="1"/>
  <c r="X77" i="72" s="1"/>
  <c r="W74" i="72" a="1"/>
  <c r="W74" i="72" s="1"/>
  <c r="W73" i="81" a="1"/>
  <c r="W73" i="81" s="1"/>
  <c r="X78" i="81" s="1"/>
  <c r="W74" i="81" a="1"/>
  <c r="W74" i="81" s="1"/>
  <c r="X73" i="68" a="1"/>
  <c r="X73" i="68" s="1"/>
  <c r="X72" i="68" a="1"/>
  <c r="X72" i="68" s="1"/>
  <c r="X74" i="68" a="1"/>
  <c r="X74" i="68" s="1"/>
  <c r="W72" i="73" a="1"/>
  <c r="W72" i="73" s="1"/>
  <c r="X77" i="73" s="1"/>
  <c r="W74" i="73" a="1"/>
  <c r="W74" i="73" s="1"/>
  <c r="W73" i="73" a="1"/>
  <c r="W73" i="73" s="1"/>
  <c r="W80" i="68"/>
  <c r="W82" i="68" s="1"/>
  <c r="W107" i="68" s="1"/>
  <c r="V80" i="82"/>
  <c r="V82" i="82" s="1"/>
  <c r="V107" i="82" s="1"/>
  <c r="V80" i="73"/>
  <c r="X6" i="82"/>
  <c r="Y6" i="68"/>
  <c r="Y6" i="75" s="1"/>
  <c r="X6" i="81"/>
  <c r="X6" i="72"/>
  <c r="X6" i="73"/>
  <c r="Y6" i="85" l="1"/>
  <c r="V82" i="73"/>
  <c r="V107" i="73" s="1"/>
  <c r="X74" i="82" a="1"/>
  <c r="X74" i="82" s="1"/>
  <c r="X72" i="82" a="1"/>
  <c r="X72" i="82" s="1"/>
  <c r="X73" i="82" a="1"/>
  <c r="X73" i="82" s="1"/>
  <c r="X74" i="73" a="1"/>
  <c r="X74" i="73" s="1"/>
  <c r="X73" i="73" a="1"/>
  <c r="X73" i="73" s="1"/>
  <c r="X72" i="73" a="1"/>
  <c r="X72" i="73" s="1"/>
  <c r="Y77" i="73" s="1"/>
  <c r="X73" i="72" a="1"/>
  <c r="X73" i="72" s="1"/>
  <c r="Y78" i="72" s="1"/>
  <c r="X72" i="72" a="1"/>
  <c r="X72" i="72" s="1"/>
  <c r="Y77" i="72" s="1"/>
  <c r="X74" i="72" a="1"/>
  <c r="X74" i="72" s="1"/>
  <c r="Y74" i="68" a="1"/>
  <c r="Y74" i="68" s="1"/>
  <c r="Y73" i="68" a="1"/>
  <c r="Y73" i="68" s="1"/>
  <c r="Y72" i="68" a="1"/>
  <c r="Y72" i="68" s="1"/>
  <c r="X74" i="81" a="1"/>
  <c r="X74" i="81" s="1"/>
  <c r="X73" i="81" a="1"/>
  <c r="X73" i="81" s="1"/>
  <c r="Y78" i="81" s="1"/>
  <c r="X80" i="68"/>
  <c r="X82" i="68" s="1"/>
  <c r="X107" i="68" s="1"/>
  <c r="W80" i="73"/>
  <c r="W80" i="82"/>
  <c r="W82" i="82" s="1"/>
  <c r="W107" i="82" s="1"/>
  <c r="Y6" i="82"/>
  <c r="Z6" i="68"/>
  <c r="Z6" i="75" s="1"/>
  <c r="Y6" i="81"/>
  <c r="Y6" i="73"/>
  <c r="Y6" i="72"/>
  <c r="Z6" i="85" l="1"/>
  <c r="W82" i="73"/>
  <c r="W107" i="73" s="1"/>
  <c r="Y72" i="82" a="1"/>
  <c r="Y72" i="82" s="1"/>
  <c r="Y73" i="82" a="1"/>
  <c r="Y73" i="82" s="1"/>
  <c r="Y74" i="82" a="1"/>
  <c r="Y74" i="82" s="1"/>
  <c r="Y73" i="72" a="1"/>
  <c r="Y73" i="72" s="1"/>
  <c r="Z78" i="72" s="1"/>
  <c r="Y72" i="72" a="1"/>
  <c r="Y72" i="72" s="1"/>
  <c r="Z77" i="72" s="1"/>
  <c r="Y74" i="72" a="1"/>
  <c r="Y74" i="72" s="1"/>
  <c r="Y72" i="73" a="1"/>
  <c r="Y72" i="73" s="1"/>
  <c r="Z77" i="73" s="1"/>
  <c r="Y73" i="73" a="1"/>
  <c r="Y73" i="73" s="1"/>
  <c r="Y74" i="73" a="1"/>
  <c r="Y74" i="73" s="1"/>
  <c r="Y73" i="81" a="1"/>
  <c r="Y73" i="81" s="1"/>
  <c r="Z78" i="81" s="1"/>
  <c r="Y74" i="81" a="1"/>
  <c r="Y74" i="81" s="1"/>
  <c r="Z72" i="68" a="1"/>
  <c r="Z72" i="68" s="1"/>
  <c r="Z73" i="68" a="1"/>
  <c r="Z73" i="68" s="1"/>
  <c r="Z74" i="68" a="1"/>
  <c r="Z74" i="68" s="1"/>
  <c r="Y80" i="68"/>
  <c r="Y82" i="68" s="1"/>
  <c r="Y107" i="68" s="1"/>
  <c r="X80" i="73"/>
  <c r="X80" i="82"/>
  <c r="X82" i="82" s="1"/>
  <c r="X107" i="82" s="1"/>
  <c r="Z6" i="82"/>
  <c r="AA6" i="68"/>
  <c r="AA6" i="75" s="1"/>
  <c r="Z6" i="81"/>
  <c r="Z6" i="73"/>
  <c r="Z6" i="72"/>
  <c r="AA6" i="85" l="1"/>
  <c r="X82" i="73"/>
  <c r="X107" i="73" s="1"/>
  <c r="Z74" i="72" a="1"/>
  <c r="Z74" i="72" s="1"/>
  <c r="Z73" i="72" a="1"/>
  <c r="Z73" i="72" s="1"/>
  <c r="AA78" i="72" s="1"/>
  <c r="Z72" i="72" a="1"/>
  <c r="Z72" i="72" s="1"/>
  <c r="AA77" i="72" s="1"/>
  <c r="Z72" i="82" a="1"/>
  <c r="Z72" i="82" s="1"/>
  <c r="Z73" i="82" a="1"/>
  <c r="Z73" i="82" s="1"/>
  <c r="Z74" i="82" a="1"/>
  <c r="Z74" i="82" s="1"/>
  <c r="Z74" i="73" a="1"/>
  <c r="Z74" i="73" s="1"/>
  <c r="Z72" i="73" a="1"/>
  <c r="Z72" i="73" s="1"/>
  <c r="AA77" i="73" s="1"/>
  <c r="Z73" i="73" a="1"/>
  <c r="Z73" i="73" s="1"/>
  <c r="Z74" i="81" a="1"/>
  <c r="Z74" i="81" s="1"/>
  <c r="Z73" i="81" a="1"/>
  <c r="Z73" i="81" s="1"/>
  <c r="AA78" i="81" s="1"/>
  <c r="AA72" i="68" a="1"/>
  <c r="AA72" i="68" s="1"/>
  <c r="AA73" i="68" a="1"/>
  <c r="AA73" i="68" s="1"/>
  <c r="AA74" i="68" a="1"/>
  <c r="AA74" i="68" s="1"/>
  <c r="Z80" i="68"/>
  <c r="Z82" i="68" s="1"/>
  <c r="Z107" i="68" s="1"/>
  <c r="Y80" i="73"/>
  <c r="Y80" i="82"/>
  <c r="Y82" i="82" s="1"/>
  <c r="Y107" i="82" s="1"/>
  <c r="AA6" i="82"/>
  <c r="AB6" i="68"/>
  <c r="AB6" i="75" s="1"/>
  <c r="AA6" i="81"/>
  <c r="AA6" i="73"/>
  <c r="AA6" i="72"/>
  <c r="AB6" i="85" l="1"/>
  <c r="Y82" i="73"/>
  <c r="Y107" i="73" s="1"/>
  <c r="AA72" i="73" a="1"/>
  <c r="AA72" i="73" s="1"/>
  <c r="AB77" i="73" s="1"/>
  <c r="AA74" i="73" a="1"/>
  <c r="AA74" i="73" s="1"/>
  <c r="AA73" i="73" a="1"/>
  <c r="AA73" i="73" s="1"/>
  <c r="AA73" i="81" a="1"/>
  <c r="AA73" i="81" s="1"/>
  <c r="AB78" i="81" s="1"/>
  <c r="AA74" i="81" a="1"/>
  <c r="AA74" i="81" s="1"/>
  <c r="AC6" i="68"/>
  <c r="AB74" i="68" a="1"/>
  <c r="AB74" i="68" s="1"/>
  <c r="AB73" i="68" a="1"/>
  <c r="AB73" i="68" s="1"/>
  <c r="AB72" i="68" a="1"/>
  <c r="AB72" i="68" s="1"/>
  <c r="AA72" i="72" a="1"/>
  <c r="AA72" i="72" s="1"/>
  <c r="AB77" i="72" s="1"/>
  <c r="AA74" i="72" a="1"/>
  <c r="AA74" i="72" s="1"/>
  <c r="AA73" i="72" a="1"/>
  <c r="AA73" i="72" s="1"/>
  <c r="AB78" i="72" s="1"/>
  <c r="AA74" i="82" a="1"/>
  <c r="AA74" i="82" s="1"/>
  <c r="AA73" i="82" a="1"/>
  <c r="AA73" i="82" s="1"/>
  <c r="AA72" i="82" a="1"/>
  <c r="AA72" i="82" s="1"/>
  <c r="AA80" i="68"/>
  <c r="AA82" i="68" s="1"/>
  <c r="AA107" i="68" s="1"/>
  <c r="Z80" i="82"/>
  <c r="Z82" i="82" s="1"/>
  <c r="Z107" i="82" s="1"/>
  <c r="Z80" i="73"/>
  <c r="AB6" i="82"/>
  <c r="AB6" i="81"/>
  <c r="AB6" i="72"/>
  <c r="AB6" i="73"/>
  <c r="Z82" i="73" l="1"/>
  <c r="Z107" i="73" s="1"/>
  <c r="AC6" i="73"/>
  <c r="AC6" i="75"/>
  <c r="AC6" i="82"/>
  <c r="AC73" i="82" s="1" a="1"/>
  <c r="AC73" i="82" s="1"/>
  <c r="AC72" i="73" a="1"/>
  <c r="AC72" i="73" s="1"/>
  <c r="AC74" i="73" a="1"/>
  <c r="AC74" i="73" s="1"/>
  <c r="AC73" i="73" a="1"/>
  <c r="AC73" i="73" s="1"/>
  <c r="AC6" i="72"/>
  <c r="AB74" i="82" a="1"/>
  <c r="AB74" i="82" s="1"/>
  <c r="AB73" i="82" a="1"/>
  <c r="AB73" i="82" s="1"/>
  <c r="AB72" i="82" a="1"/>
  <c r="AB72" i="82" s="1"/>
  <c r="AC72" i="68" a="1"/>
  <c r="AC72" i="68" s="1"/>
  <c r="AC74" i="68" a="1"/>
  <c r="AC74" i="68" s="1"/>
  <c r="AC73" i="68" a="1"/>
  <c r="AC73" i="68" s="1"/>
  <c r="AC80" i="68" s="1"/>
  <c r="AC82" i="68" s="1"/>
  <c r="AC107" i="68" s="1"/>
  <c r="AC6" i="81"/>
  <c r="AB74" i="73" a="1"/>
  <c r="AB74" i="73" s="1"/>
  <c r="AB73" i="73" a="1"/>
  <c r="AB73" i="73" s="1"/>
  <c r="AB72" i="73" a="1"/>
  <c r="AB72" i="73" s="1"/>
  <c r="AC77" i="73" s="1"/>
  <c r="AD6" i="68"/>
  <c r="AD6" i="73" s="1"/>
  <c r="AB74" i="72" a="1"/>
  <c r="AB74" i="72" s="1"/>
  <c r="AB72" i="72" a="1"/>
  <c r="AB72" i="72" s="1"/>
  <c r="AC77" i="72" s="1"/>
  <c r="AB73" i="72" a="1"/>
  <c r="AB73" i="72" s="1"/>
  <c r="AC78" i="72" s="1"/>
  <c r="AB74" i="81" a="1"/>
  <c r="AB74" i="81" s="1"/>
  <c r="AB73" i="81" a="1"/>
  <c r="AB73" i="81" s="1"/>
  <c r="AC78" i="81" s="1"/>
  <c r="AB80" i="68"/>
  <c r="AB82" i="68" s="1"/>
  <c r="AB107" i="68" s="1"/>
  <c r="AA80" i="82"/>
  <c r="AA82" i="82" s="1"/>
  <c r="AA107" i="82" s="1"/>
  <c r="AA80" i="73"/>
  <c r="I9" i="85"/>
  <c r="AC74" i="82" l="1" a="1"/>
  <c r="AC74" i="82" s="1"/>
  <c r="AC72" i="82" a="1"/>
  <c r="AC72" i="82" s="1"/>
  <c r="AC80" i="82" s="1"/>
  <c r="AC82" i="82" s="1"/>
  <c r="AC107" i="82" s="1"/>
  <c r="AC80" i="73"/>
  <c r="AC82" i="73" s="1"/>
  <c r="AC107" i="73" s="1"/>
  <c r="AD77" i="73"/>
  <c r="AC6" i="85"/>
  <c r="AA82" i="73"/>
  <c r="AA107" i="73" s="1"/>
  <c r="AE6" i="68"/>
  <c r="AE6" i="75" s="1"/>
  <c r="AD6" i="75"/>
  <c r="AD6" i="81"/>
  <c r="AD73" i="81" s="1" a="1"/>
  <c r="AD73" i="81" s="1"/>
  <c r="AE78" i="81" s="1"/>
  <c r="AD6" i="82"/>
  <c r="AD73" i="82" s="1" a="1"/>
  <c r="AD73" i="82" s="1"/>
  <c r="AD6" i="72"/>
  <c r="AD74" i="72" s="1" a="1"/>
  <c r="AD74" i="72" s="1"/>
  <c r="AC73" i="81" a="1"/>
  <c r="AC73" i="81" s="1"/>
  <c r="AD78" i="81" s="1"/>
  <c r="AC74" i="81" a="1"/>
  <c r="AC74" i="81" s="1"/>
  <c r="AC72" i="72" a="1"/>
  <c r="AC72" i="72" s="1"/>
  <c r="AD77" i="72" s="1"/>
  <c r="AC73" i="72" a="1"/>
  <c r="AC73" i="72" s="1"/>
  <c r="AD78" i="72" s="1"/>
  <c r="AC74" i="72" a="1"/>
  <c r="AC74" i="72" s="1"/>
  <c r="AD73" i="73" a="1"/>
  <c r="AD73" i="73" s="1"/>
  <c r="AD74" i="73" a="1"/>
  <c r="AD74" i="73" s="1"/>
  <c r="AD72" i="73" a="1"/>
  <c r="AD72" i="73" s="1"/>
  <c r="AD73" i="68" a="1"/>
  <c r="AD73" i="68" s="1"/>
  <c r="AD80" i="68" s="1"/>
  <c r="AD82" i="68" s="1"/>
  <c r="AD107" i="68" s="1"/>
  <c r="AD72" i="68" a="1"/>
  <c r="AD72" i="68" s="1"/>
  <c r="AD74" i="68" a="1"/>
  <c r="AD74" i="68" s="1"/>
  <c r="AB80" i="73"/>
  <c r="AB80" i="82"/>
  <c r="AB82" i="82" s="1"/>
  <c r="AB107" i="82" s="1"/>
  <c r="I9" i="75"/>
  <c r="I5" i="75" s="1"/>
  <c r="I9" i="82"/>
  <c r="I9" i="81"/>
  <c r="I9" i="73"/>
  <c r="I9" i="72"/>
  <c r="J9" i="68"/>
  <c r="J9" i="85" s="1"/>
  <c r="AE6" i="82" l="1"/>
  <c r="AE6" i="73"/>
  <c r="AE72" i="68" a="1"/>
  <c r="AE72" i="68" s="1"/>
  <c r="AE74" i="68" a="1"/>
  <c r="AE74" i="68" s="1"/>
  <c r="AE73" i="68" a="1"/>
  <c r="AE73" i="68" s="1"/>
  <c r="AE80" i="68" s="1"/>
  <c r="AE82" i="68" s="1"/>
  <c r="AE107" i="68" s="1"/>
  <c r="AE6" i="81"/>
  <c r="AF6" i="68"/>
  <c r="AF6" i="75" s="1"/>
  <c r="AE6" i="72"/>
  <c r="AE74" i="72" s="1" a="1"/>
  <c r="AE74" i="72" s="1"/>
  <c r="AD80" i="73"/>
  <c r="AD82" i="73" s="1"/>
  <c r="AD107" i="73" s="1"/>
  <c r="AE77" i="73"/>
  <c r="AF6" i="85"/>
  <c r="AE6" i="85"/>
  <c r="AD6" i="85"/>
  <c r="AB82" i="73"/>
  <c r="AB107" i="73" s="1"/>
  <c r="I5" i="85"/>
  <c r="AD74" i="82" a="1"/>
  <c r="AD74" i="82" s="1"/>
  <c r="AD74" i="81" a="1"/>
  <c r="AD74" i="81" s="1"/>
  <c r="AD73" i="72" a="1"/>
  <c r="AD73" i="72" s="1"/>
  <c r="AE78" i="72" s="1"/>
  <c r="AD72" i="72" a="1"/>
  <c r="AD72" i="72" s="1"/>
  <c r="AE77" i="72" s="1"/>
  <c r="AD72" i="82" a="1"/>
  <c r="AD72" i="82" s="1"/>
  <c r="AD80" i="82" s="1"/>
  <c r="AD82" i="82" s="1"/>
  <c r="AD107" i="82" s="1"/>
  <c r="AE74" i="82" a="1"/>
  <c r="AE74" i="82" s="1"/>
  <c r="AE72" i="82" a="1"/>
  <c r="AE72" i="82" s="1"/>
  <c r="AE80" i="82" s="1"/>
  <c r="AE82" i="82" s="1"/>
  <c r="AE107" i="82" s="1"/>
  <c r="AE73" i="82" a="1"/>
  <c r="AE73" i="82" s="1"/>
  <c r="AE74" i="81" a="1"/>
  <c r="AE74" i="81" s="1"/>
  <c r="AE73" i="81" a="1"/>
  <c r="AE73" i="81" s="1"/>
  <c r="AF78" i="81" s="1"/>
  <c r="AF73" i="68" a="1"/>
  <c r="AF73" i="68" s="1"/>
  <c r="AF80" i="68" s="1"/>
  <c r="AF82" i="68" s="1"/>
  <c r="AF107" i="68" s="1"/>
  <c r="AF72" i="68" a="1"/>
  <c r="AF72" i="68" s="1"/>
  <c r="AF74" i="68" a="1"/>
  <c r="AF74" i="68" s="1"/>
  <c r="AE73" i="73" a="1"/>
  <c r="AE73" i="73" s="1"/>
  <c r="AE72" i="73" a="1"/>
  <c r="AE72" i="73" s="1"/>
  <c r="AE74" i="73" a="1"/>
  <c r="AE74" i="73" s="1"/>
  <c r="AE73" i="72" a="1"/>
  <c r="AE73" i="72" s="1"/>
  <c r="AF78" i="72" s="1"/>
  <c r="AF6" i="73"/>
  <c r="AG6" i="68"/>
  <c r="AG6" i="75" s="1"/>
  <c r="AF6" i="81"/>
  <c r="AF6" i="72"/>
  <c r="AF6" i="82"/>
  <c r="I88" i="75"/>
  <c r="I97" i="75" s="1"/>
  <c r="J9" i="75"/>
  <c r="J5" i="75" s="1"/>
  <c r="J9" i="82"/>
  <c r="J9" i="81"/>
  <c r="J9" i="72"/>
  <c r="J9" i="73"/>
  <c r="K9" i="68"/>
  <c r="K9" i="85" s="1"/>
  <c r="AE72" i="72" l="1" a="1"/>
  <c r="AE72" i="72" s="1"/>
  <c r="AF77" i="72" s="1"/>
  <c r="AE80" i="73"/>
  <c r="AE82" i="73" s="1"/>
  <c r="AE107" i="73" s="1"/>
  <c r="AF77" i="73"/>
  <c r="AG6" i="85"/>
  <c r="J5" i="85"/>
  <c r="AF72" i="82" a="1"/>
  <c r="AF72" i="82" s="1"/>
  <c r="AF80" i="82" s="1"/>
  <c r="AF82" i="82" s="1"/>
  <c r="AF107" i="82" s="1"/>
  <c r="AF74" i="82" a="1"/>
  <c r="AF74" i="82" s="1"/>
  <c r="AF73" i="82" a="1"/>
  <c r="AF73" i="82" s="1"/>
  <c r="AF74" i="72" a="1"/>
  <c r="AF74" i="72" s="1"/>
  <c r="AF73" i="72" a="1"/>
  <c r="AF73" i="72" s="1"/>
  <c r="AG78" i="72" s="1"/>
  <c r="AF72" i="72" a="1"/>
  <c r="AF72" i="72" s="1"/>
  <c r="AG77" i="72" s="1"/>
  <c r="AF73" i="81" a="1"/>
  <c r="AF73" i="81" s="1"/>
  <c r="AG78" i="81" s="1"/>
  <c r="AF74" i="81" a="1"/>
  <c r="AF74" i="81" s="1"/>
  <c r="AG74" i="68" a="1"/>
  <c r="AG74" i="68" s="1"/>
  <c r="AG73" i="68" a="1"/>
  <c r="AG73" i="68" s="1"/>
  <c r="AG80" i="68" s="1"/>
  <c r="AG82" i="68" s="1"/>
  <c r="AG107" i="68" s="1"/>
  <c r="AG72" i="68" a="1"/>
  <c r="AG72" i="68" s="1"/>
  <c r="AF74" i="73" a="1"/>
  <c r="AF74" i="73" s="1"/>
  <c r="AF73" i="73" a="1"/>
  <c r="AF73" i="73" s="1"/>
  <c r="AF72" i="73" a="1"/>
  <c r="AF72" i="73" s="1"/>
  <c r="AG6" i="73"/>
  <c r="AG6" i="81"/>
  <c r="AG6" i="72"/>
  <c r="AG6" i="82"/>
  <c r="J88" i="75"/>
  <c r="J97" i="75" s="1"/>
  <c r="K9" i="75"/>
  <c r="K5" i="75" s="1"/>
  <c r="K9" i="82"/>
  <c r="K9" i="81"/>
  <c r="L9" i="68"/>
  <c r="L9" i="85" s="1"/>
  <c r="K9" i="72"/>
  <c r="K9" i="73"/>
  <c r="AF80" i="73" l="1"/>
  <c r="AF82" i="73" s="1"/>
  <c r="AF107" i="73" s="1"/>
  <c r="AG77" i="73"/>
  <c r="K5" i="85"/>
  <c r="AG74" i="82" a="1"/>
  <c r="AG74" i="82" s="1"/>
  <c r="AG72" i="82" a="1"/>
  <c r="AG72" i="82" s="1"/>
  <c r="AG80" i="82" s="1"/>
  <c r="AG82" i="82" s="1"/>
  <c r="AG107" i="82" s="1"/>
  <c r="AG73" i="82" a="1"/>
  <c r="AG73" i="82" s="1"/>
  <c r="AG72" i="72" a="1"/>
  <c r="AG72" i="72" s="1"/>
  <c r="AG73" i="72" a="1"/>
  <c r="AG73" i="72" s="1"/>
  <c r="AG74" i="72" a="1"/>
  <c r="AG74" i="72" s="1"/>
  <c r="AG73" i="81" a="1"/>
  <c r="AG73" i="81" s="1"/>
  <c r="AG74" i="81" a="1"/>
  <c r="AG74" i="81" s="1"/>
  <c r="AG73" i="73" a="1"/>
  <c r="AG73" i="73" s="1"/>
  <c r="AG74" i="73" a="1"/>
  <c r="AG74" i="73" s="1"/>
  <c r="AG72" i="73" a="1"/>
  <c r="AG72" i="73" s="1"/>
  <c r="K88" i="75"/>
  <c r="K97" i="75" s="1"/>
  <c r="L9" i="75"/>
  <c r="L5" i="75" s="1"/>
  <c r="L9" i="82"/>
  <c r="L9" i="81"/>
  <c r="M9" i="68"/>
  <c r="M9" i="85" s="1"/>
  <c r="L9" i="73"/>
  <c r="L9" i="72"/>
  <c r="AG80" i="73" l="1"/>
  <c r="AG82" i="73" s="1"/>
  <c r="AG107" i="73" s="1"/>
  <c r="L5" i="85"/>
  <c r="L88" i="75"/>
  <c r="L97" i="75" s="1"/>
  <c r="M9" i="75"/>
  <c r="M5" i="75" s="1"/>
  <c r="M9" i="82"/>
  <c r="M9" i="81"/>
  <c r="N9" i="68"/>
  <c r="N9" i="85" s="1"/>
  <c r="M9" i="73"/>
  <c r="M9" i="72"/>
  <c r="M5" i="85" l="1"/>
  <c r="M88" i="75"/>
  <c r="M97" i="75" s="1"/>
  <c r="N9" i="75"/>
  <c r="N5" i="75" s="1"/>
  <c r="N9" i="82"/>
  <c r="N9" i="81"/>
  <c r="O9" i="68"/>
  <c r="O9" i="85" s="1"/>
  <c r="N9" i="73"/>
  <c r="N9" i="72"/>
  <c r="N5" i="85" l="1"/>
  <c r="N88" i="75"/>
  <c r="N97" i="75" s="1"/>
  <c r="O9" i="75"/>
  <c r="O5" i="75" s="1"/>
  <c r="O9" i="82"/>
  <c r="O9" i="81"/>
  <c r="P9" i="68"/>
  <c r="P9" i="85" s="1"/>
  <c r="O9" i="73"/>
  <c r="O9" i="72"/>
  <c r="O5" i="85" l="1"/>
  <c r="O88" i="75"/>
  <c r="O97" i="75" s="1"/>
  <c r="P9" i="75"/>
  <c r="P5" i="75" s="1"/>
  <c r="P9" i="82"/>
  <c r="P9" i="81"/>
  <c r="Q9" i="68"/>
  <c r="Q9" i="85" s="1"/>
  <c r="P9" i="73"/>
  <c r="P9" i="72"/>
  <c r="P5" i="85" l="1"/>
  <c r="P88" i="75"/>
  <c r="P97" i="75" s="1"/>
  <c r="Q9" i="75"/>
  <c r="Q5" i="75" s="1"/>
  <c r="Q9" i="82"/>
  <c r="Q9" i="81"/>
  <c r="R9" i="68"/>
  <c r="R9" i="85" s="1"/>
  <c r="Q9" i="73"/>
  <c r="Q9" i="72"/>
  <c r="Q5" i="85" l="1"/>
  <c r="Q88" i="75"/>
  <c r="Q97" i="75" s="1"/>
  <c r="R9" i="75"/>
  <c r="R5" i="75" s="1"/>
  <c r="R9" i="82"/>
  <c r="R9" i="81"/>
  <c r="S9" i="68"/>
  <c r="S9" i="85" s="1"/>
  <c r="R9" i="72"/>
  <c r="R9" i="73"/>
  <c r="R5" i="85" l="1"/>
  <c r="R88" i="75"/>
  <c r="R97" i="75" s="1"/>
  <c r="S9" i="75"/>
  <c r="S5" i="75" s="1"/>
  <c r="S9" i="82"/>
  <c r="S9" i="81"/>
  <c r="T9" i="68"/>
  <c r="T9" i="85" s="1"/>
  <c r="S9" i="72"/>
  <c r="S9" i="73"/>
  <c r="S5" i="85" l="1"/>
  <c r="S88" i="75"/>
  <c r="S97" i="75" s="1"/>
  <c r="T9" i="75"/>
  <c r="T5" i="75" s="1"/>
  <c r="T9" i="82"/>
  <c r="T9" i="81"/>
  <c r="U9" i="68"/>
  <c r="U9" i="85" s="1"/>
  <c r="T9" i="73"/>
  <c r="T9" i="72"/>
  <c r="T5" i="85" l="1"/>
  <c r="T88" i="75"/>
  <c r="T97" i="75" s="1"/>
  <c r="U9" i="75"/>
  <c r="U5" i="75" s="1"/>
  <c r="U9" i="82"/>
  <c r="U9" i="81"/>
  <c r="V9" i="68"/>
  <c r="V9" i="85" s="1"/>
  <c r="U9" i="72"/>
  <c r="U9" i="73"/>
  <c r="U5" i="85" l="1"/>
  <c r="U88" i="75"/>
  <c r="U97" i="75" s="1"/>
  <c r="V9" i="75"/>
  <c r="V5" i="75" s="1"/>
  <c r="V9" i="82"/>
  <c r="V9" i="81"/>
  <c r="W9" i="68"/>
  <c r="W9" i="85" s="1"/>
  <c r="V9" i="73"/>
  <c r="V9" i="72"/>
  <c r="V5" i="85" l="1"/>
  <c r="V88" i="75"/>
  <c r="V97" i="75" s="1"/>
  <c r="W9" i="75"/>
  <c r="W5" i="75" s="1"/>
  <c r="W9" i="82"/>
  <c r="W9" i="81"/>
  <c r="X9" i="68"/>
  <c r="X9" i="85" s="1"/>
  <c r="W9" i="73"/>
  <c r="W9" i="72"/>
  <c r="W5" i="85" l="1"/>
  <c r="W88" i="75"/>
  <c r="W97" i="75" s="1"/>
  <c r="X9" i="75"/>
  <c r="X5" i="75" s="1"/>
  <c r="X9" i="82"/>
  <c r="X9" i="81"/>
  <c r="Y9" i="68"/>
  <c r="Y9" i="85" s="1"/>
  <c r="X9" i="73"/>
  <c r="X9" i="72"/>
  <c r="X5" i="85" l="1"/>
  <c r="X88" i="75"/>
  <c r="X97" i="75" s="1"/>
  <c r="Y9" i="75"/>
  <c r="Y5" i="75" s="1"/>
  <c r="Y9" i="82"/>
  <c r="Y9" i="81"/>
  <c r="Z9" i="68"/>
  <c r="Z9" i="85" s="1"/>
  <c r="Y9" i="73"/>
  <c r="Y9" i="72"/>
  <c r="Y5" i="85" l="1"/>
  <c r="Y88" i="75"/>
  <c r="Y97" i="75" s="1"/>
  <c r="Z9" i="75"/>
  <c r="Z5" i="75" s="1"/>
  <c r="Z9" i="82"/>
  <c r="Z9" i="81"/>
  <c r="AA9" i="68"/>
  <c r="AA9" i="85" s="1"/>
  <c r="Z9" i="72"/>
  <c r="Z9" i="73"/>
  <c r="Z5" i="85" l="1"/>
  <c r="Z88" i="75"/>
  <c r="Z97" i="75" s="1"/>
  <c r="AA9" i="75"/>
  <c r="AA5" i="75" s="1"/>
  <c r="AA9" i="82"/>
  <c r="AA9" i="81"/>
  <c r="AB9" i="68"/>
  <c r="AB9" i="85" s="1"/>
  <c r="AA9" i="72"/>
  <c r="AA9" i="73"/>
  <c r="AA5" i="85" l="1"/>
  <c r="AC9" i="68"/>
  <c r="AC9" i="85" s="1"/>
  <c r="AA88" i="75"/>
  <c r="AA97" i="75" s="1"/>
  <c r="AB9" i="75"/>
  <c r="AB5" i="75" s="1"/>
  <c r="AB9" i="82"/>
  <c r="AB9" i="81"/>
  <c r="AB9" i="73"/>
  <c r="AB9" i="72"/>
  <c r="AC9" i="75" l="1"/>
  <c r="AC88" i="75" s="1"/>
  <c r="AC97" i="75" s="1"/>
  <c r="AC9" i="72"/>
  <c r="AC9" i="73"/>
  <c r="AD9" i="68"/>
  <c r="AD9" i="85" s="1"/>
  <c r="AC9" i="81"/>
  <c r="AC9" i="82"/>
  <c r="AB88" i="75"/>
  <c r="AB97" i="75" s="1"/>
  <c r="AC5" i="75" l="1"/>
  <c r="AC5" i="85" s="1"/>
  <c r="AB5" i="85"/>
  <c r="AD9" i="82"/>
  <c r="AD9" i="72"/>
  <c r="AD9" i="75"/>
  <c r="AD9" i="73"/>
  <c r="AD9" i="81"/>
  <c r="AE9" i="68"/>
  <c r="AE9" i="85" s="1"/>
  <c r="A44" i="47"/>
  <c r="A45" i="47" s="1"/>
  <c r="A46" i="47" s="1"/>
  <c r="A47" i="47" s="1"/>
  <c r="A48" i="47" s="1"/>
  <c r="A49" i="47" s="1"/>
  <c r="A50" i="47" s="1"/>
  <c r="A51" i="47" s="1"/>
  <c r="A52" i="47" s="1"/>
  <c r="A53" i="47" s="1"/>
  <c r="A54" i="47" s="1"/>
  <c r="A55" i="47" s="1"/>
  <c r="AD5" i="75" l="1"/>
  <c r="AD5" i="85" s="1"/>
  <c r="AD88" i="75"/>
  <c r="AD97" i="75" s="1"/>
  <c r="AE9" i="81"/>
  <c r="AE9" i="82"/>
  <c r="AE9" i="75"/>
  <c r="AE88" i="75" s="1"/>
  <c r="AE97" i="75" s="1"/>
  <c r="AE9" i="72"/>
  <c r="AE9" i="73"/>
  <c r="AF9" i="68"/>
  <c r="AF9" i="85" s="1"/>
  <c r="G8" i="33"/>
  <c r="AE5" i="75" l="1"/>
  <c r="AE5" i="85" s="1"/>
  <c r="AF9" i="82"/>
  <c r="AF9" i="81"/>
  <c r="AF9" i="75"/>
  <c r="AF9" i="72"/>
  <c r="AF9" i="73"/>
  <c r="AG9" i="68"/>
  <c r="AG9" i="85" s="1"/>
  <c r="AF5" i="75" l="1"/>
  <c r="AF5" i="85" s="1"/>
  <c r="AF88" i="75"/>
  <c r="AF97" i="75" s="1"/>
  <c r="AG9" i="82"/>
  <c r="AG9" i="75"/>
  <c r="AG9" i="81"/>
  <c r="AG9" i="73"/>
  <c r="AG9" i="72"/>
  <c r="AG5" i="75" l="1"/>
  <c r="AG88" i="75"/>
  <c r="AG97" i="75" s="1"/>
  <c r="AG5" i="85" l="1"/>
  <c r="C14" i="43" a="1"/>
  <c r="G27" i="43"/>
  <c r="H90" i="43"/>
  <c r="C17" i="62"/>
  <c r="H11" i="62"/>
  <c r="I11" i="62" s="1"/>
  <c r="I12" i="62" s="1"/>
  <c r="E70" i="88" l="1"/>
  <c r="E56" i="88"/>
  <c r="E43" i="88"/>
  <c r="E42" i="88"/>
  <c r="E29" i="88"/>
  <c r="E28" i="88"/>
  <c r="E71" i="88"/>
  <c r="E57" i="88"/>
  <c r="D47" i="87"/>
  <c r="D43" i="87"/>
  <c r="D42" i="87"/>
  <c r="D41" i="87"/>
  <c r="D18" i="87"/>
  <c r="D19" i="87"/>
  <c r="D17" i="87"/>
  <c r="E16" i="88"/>
  <c r="E21" i="88"/>
  <c r="E25" i="88"/>
  <c r="G34" i="82"/>
  <c r="G33" i="82"/>
  <c r="G14" i="82"/>
  <c r="G31" i="73"/>
  <c r="G55" i="72"/>
  <c r="G19" i="72"/>
  <c r="G33" i="81"/>
  <c r="G15" i="81"/>
  <c r="G17" i="73"/>
  <c r="G55" i="82"/>
  <c r="G55" i="81"/>
  <c r="G33" i="73"/>
  <c r="G54" i="81"/>
  <c r="G32" i="73"/>
  <c r="G34" i="81"/>
  <c r="G32" i="82"/>
  <c r="G28" i="82"/>
  <c r="G30" i="73"/>
  <c r="G54" i="72"/>
  <c r="G17" i="72"/>
  <c r="G32" i="81"/>
  <c r="G14" i="81"/>
  <c r="G54" i="73"/>
  <c r="G14" i="72"/>
  <c r="G34" i="73"/>
  <c r="G19" i="81"/>
  <c r="G15" i="73"/>
  <c r="G15" i="82"/>
  <c r="G16" i="81"/>
  <c r="G31" i="82"/>
  <c r="G57" i="73"/>
  <c r="G28" i="73"/>
  <c r="G28" i="72"/>
  <c r="G16" i="72"/>
  <c r="G31" i="81"/>
  <c r="G55" i="68"/>
  <c r="G33" i="72"/>
  <c r="G17" i="82"/>
  <c r="G32" i="72"/>
  <c r="G16" i="82"/>
  <c r="G17" i="81"/>
  <c r="G30" i="72"/>
  <c r="G30" i="82"/>
  <c r="G55" i="73"/>
  <c r="G19" i="73"/>
  <c r="G34" i="72"/>
  <c r="G15" i="72"/>
  <c r="G30" i="81"/>
  <c r="G54" i="68"/>
  <c r="G19" i="82"/>
  <c r="G28" i="81"/>
  <c r="G16" i="73"/>
  <c r="G54" i="82"/>
  <c r="G31" i="72"/>
  <c r="G14" i="73"/>
  <c r="C22" i="62"/>
  <c r="G34" i="68"/>
  <c r="G16" i="68"/>
  <c r="G33" i="68"/>
  <c r="G17" i="68"/>
  <c r="G14" i="68"/>
  <c r="G32" i="68"/>
  <c r="G31" i="68"/>
  <c r="G30" i="68"/>
  <c r="G28" i="68"/>
  <c r="G15" i="68"/>
  <c r="G19" i="68"/>
  <c r="H12" i="62"/>
  <c r="H13" i="62" s="1"/>
  <c r="G57" i="82"/>
  <c r="G57" i="68"/>
  <c r="G57" i="72"/>
  <c r="G57" i="81"/>
  <c r="G78" i="73"/>
  <c r="G77" i="81"/>
  <c r="G78" i="72"/>
  <c r="G77" i="72"/>
  <c r="G79" i="72"/>
  <c r="G77" i="73"/>
  <c r="G80" i="81"/>
  <c r="G79" i="81"/>
  <c r="G79" i="73"/>
  <c r="G78" i="81"/>
  <c r="H52" i="43"/>
  <c r="H78" i="43"/>
  <c r="H79" i="43"/>
  <c r="G80" i="68"/>
  <c r="G74" i="81"/>
  <c r="G73" i="82"/>
  <c r="G69" i="72"/>
  <c r="G68" i="68"/>
  <c r="G74" i="72"/>
  <c r="G69" i="73"/>
  <c r="G78" i="68"/>
  <c r="G72" i="81"/>
  <c r="G79" i="82"/>
  <c r="G74" i="68"/>
  <c r="G72" i="73"/>
  <c r="G68" i="81"/>
  <c r="G67" i="82"/>
  <c r="G80" i="72"/>
  <c r="G79" i="68"/>
  <c r="G73" i="81"/>
  <c r="G72" i="82"/>
  <c r="G68" i="72"/>
  <c r="G67" i="68"/>
  <c r="G80" i="82"/>
  <c r="G77" i="68"/>
  <c r="G73" i="73"/>
  <c r="G69" i="81"/>
  <c r="G68" i="82"/>
  <c r="G78" i="82"/>
  <c r="G73" i="68"/>
  <c r="G67" i="81"/>
  <c r="G74" i="73"/>
  <c r="G69" i="68"/>
  <c r="G68" i="73"/>
  <c r="G77" i="82"/>
  <c r="G74" i="82"/>
  <c r="G67" i="73"/>
  <c r="G72" i="72"/>
  <c r="G80" i="73"/>
  <c r="G73" i="72"/>
  <c r="G69" i="82"/>
  <c r="G67" i="72"/>
  <c r="G72" i="68"/>
  <c r="G85" i="82"/>
  <c r="G83" i="82"/>
  <c r="G82" i="82"/>
  <c r="G64" i="82"/>
  <c r="G84" i="82"/>
  <c r="G87" i="82"/>
  <c r="G83" i="73"/>
  <c r="G82" i="72"/>
  <c r="G82" i="73"/>
  <c r="G87" i="72"/>
  <c r="G87" i="73"/>
  <c r="G85" i="68"/>
  <c r="G85" i="73"/>
  <c r="G83" i="68"/>
  <c r="G85" i="72"/>
  <c r="G84" i="68"/>
  <c r="G84" i="72"/>
  <c r="G64" i="72"/>
  <c r="G84" i="73"/>
  <c r="G83" i="72"/>
  <c r="G82" i="68"/>
  <c r="G87" i="68"/>
  <c r="G64" i="81"/>
  <c r="G83" i="81"/>
  <c r="G87" i="81"/>
  <c r="G85" i="81"/>
  <c r="G82" i="81"/>
  <c r="G84" i="81"/>
  <c r="G64" i="73"/>
  <c r="G64" i="68"/>
  <c r="C14" i="43"/>
  <c r="C3" i="73" l="1"/>
  <c r="C3" i="82"/>
  <c r="C3" i="81"/>
  <c r="C3" i="72"/>
  <c r="Z57" i="73" a="1"/>
  <c r="Z57" i="73" s="1"/>
  <c r="K57" i="73" a="1"/>
  <c r="K57" i="73" s="1"/>
  <c r="Y57" i="73" a="1"/>
  <c r="Y57" i="73" s="1"/>
  <c r="W57" i="73" a="1"/>
  <c r="W57" i="73" s="1"/>
  <c r="J57" i="73" a="1"/>
  <c r="J57" i="73" s="1"/>
  <c r="S57" i="73" a="1"/>
  <c r="S57" i="73" s="1"/>
  <c r="I57" i="73" a="1"/>
  <c r="I57" i="73" s="1"/>
  <c r="AG57" i="73" a="1"/>
  <c r="AG57" i="73" s="1"/>
  <c r="AE57" i="73" a="1"/>
  <c r="AE57" i="73" s="1"/>
  <c r="AA57" i="73" a="1"/>
  <c r="AA57" i="73" s="1"/>
  <c r="Q57" i="73" a="1"/>
  <c r="Q57" i="73" s="1"/>
  <c r="R57" i="73" a="1"/>
  <c r="R57" i="73" s="1"/>
  <c r="O57" i="73" a="1"/>
  <c r="O57" i="73" s="1"/>
  <c r="AC57" i="73" a="1"/>
  <c r="AC57" i="73" s="1"/>
  <c r="AD57" i="73" a="1"/>
  <c r="AD57" i="73" s="1"/>
  <c r="AF57" i="73" a="1"/>
  <c r="AF57" i="73" s="1"/>
  <c r="L57" i="73" a="1"/>
  <c r="L57" i="73" s="1"/>
  <c r="M57" i="73" a="1"/>
  <c r="M57" i="73" s="1"/>
  <c r="N57" i="73" a="1"/>
  <c r="N57" i="73" s="1"/>
  <c r="P57" i="73" a="1"/>
  <c r="P57" i="73" s="1"/>
  <c r="T57" i="73" a="1"/>
  <c r="T57" i="73" s="1"/>
  <c r="U57" i="73" a="1"/>
  <c r="U57" i="73" s="1"/>
  <c r="V57" i="73" a="1"/>
  <c r="V57" i="73" s="1"/>
  <c r="X57" i="73" a="1"/>
  <c r="X57" i="73" s="1"/>
  <c r="AB57" i="73" a="1"/>
  <c r="AB57" i="73" s="1"/>
  <c r="W57" i="81" a="1"/>
  <c r="W57" i="81" s="1"/>
  <c r="S57" i="81" a="1"/>
  <c r="S57" i="81" s="1"/>
  <c r="Q57" i="81" a="1"/>
  <c r="Q57" i="81" s="1"/>
  <c r="O57" i="81" a="1"/>
  <c r="O57" i="81" s="1"/>
  <c r="AG57" i="81" a="1"/>
  <c r="AG57" i="81" s="1"/>
  <c r="K57" i="81" a="1"/>
  <c r="K57" i="81" s="1"/>
  <c r="AE57" i="81" a="1"/>
  <c r="AE57" i="81" s="1"/>
  <c r="I57" i="81" a="1"/>
  <c r="I57" i="81" s="1"/>
  <c r="AA57" i="81" a="1"/>
  <c r="AA57" i="81" s="1"/>
  <c r="Y57" i="81" a="1"/>
  <c r="Y57" i="81" s="1"/>
  <c r="AC57" i="81" a="1"/>
  <c r="AC57" i="81" s="1"/>
  <c r="AD57" i="81" a="1"/>
  <c r="AD57" i="81" s="1"/>
  <c r="AF57" i="81" a="1"/>
  <c r="AF57" i="81" s="1"/>
  <c r="M57" i="81" a="1"/>
  <c r="M57" i="81" s="1"/>
  <c r="L57" i="81" a="1"/>
  <c r="L57" i="81" s="1"/>
  <c r="N57" i="81" a="1"/>
  <c r="N57" i="81" s="1"/>
  <c r="J57" i="81" a="1"/>
  <c r="J57" i="81" s="1"/>
  <c r="P57" i="81" a="1"/>
  <c r="P57" i="81" s="1"/>
  <c r="R57" i="81" a="1"/>
  <c r="R57" i="81" s="1"/>
  <c r="T57" i="81" a="1"/>
  <c r="T57" i="81" s="1"/>
  <c r="U57" i="81" a="1"/>
  <c r="U57" i="81" s="1"/>
  <c r="V57" i="81" a="1"/>
  <c r="V57" i="81" s="1"/>
  <c r="X57" i="81" a="1"/>
  <c r="X57" i="81" s="1"/>
  <c r="Z57" i="81" a="1"/>
  <c r="Z57" i="81" s="1"/>
  <c r="AB57" i="81" a="1"/>
  <c r="AB57" i="81" s="1"/>
  <c r="W57" i="82" a="1"/>
  <c r="W57" i="82" s="1"/>
  <c r="Q57" i="82" a="1"/>
  <c r="Q57" i="82" s="1"/>
  <c r="O57" i="82" a="1"/>
  <c r="O57" i="82" s="1"/>
  <c r="I57" i="82" a="1"/>
  <c r="I57" i="82" s="1"/>
  <c r="I85" i="82" s="1"/>
  <c r="AG57" i="82" a="1"/>
  <c r="AG57" i="82" s="1"/>
  <c r="AG85" i="82" s="1"/>
  <c r="AE57" i="82" a="1"/>
  <c r="AE57" i="82" s="1"/>
  <c r="AE85" i="82" s="1"/>
  <c r="Y57" i="82" a="1"/>
  <c r="Y57" i="82" s="1"/>
  <c r="AC57" i="82" a="1"/>
  <c r="AC57" i="82" s="1"/>
  <c r="AC85" i="82" s="1"/>
  <c r="AD57" i="82" a="1"/>
  <c r="AD57" i="82" s="1"/>
  <c r="AD85" i="82" s="1"/>
  <c r="AF57" i="82" a="1"/>
  <c r="AF57" i="82" s="1"/>
  <c r="AF85" i="82" s="1"/>
  <c r="K57" i="82" a="1"/>
  <c r="K57" i="82" s="1"/>
  <c r="N57" i="82" a="1"/>
  <c r="N57" i="82" s="1"/>
  <c r="L57" i="82" a="1"/>
  <c r="L57" i="82" s="1"/>
  <c r="J57" i="82" a="1"/>
  <c r="J57" i="82" s="1"/>
  <c r="M57" i="82" a="1"/>
  <c r="M57" i="82" s="1"/>
  <c r="P57" i="82" a="1"/>
  <c r="P57" i="82" s="1"/>
  <c r="R57" i="82" a="1"/>
  <c r="R57" i="82" s="1"/>
  <c r="S57" i="82" a="1"/>
  <c r="S57" i="82" s="1"/>
  <c r="T57" i="82" a="1"/>
  <c r="T57" i="82" s="1"/>
  <c r="U57" i="82" a="1"/>
  <c r="U57" i="82" s="1"/>
  <c r="V57" i="82" a="1"/>
  <c r="V57" i="82" s="1"/>
  <c r="X57" i="82" a="1"/>
  <c r="X57" i="82" s="1"/>
  <c r="Z57" i="82" a="1"/>
  <c r="Z57" i="82" s="1"/>
  <c r="AA57" i="82" a="1"/>
  <c r="AA57" i="82" s="1"/>
  <c r="AB57" i="82" a="1"/>
  <c r="AB57" i="82" s="1"/>
  <c r="AC57" i="72" a="1"/>
  <c r="AC57" i="72" s="1"/>
  <c r="AD57" i="72" a="1"/>
  <c r="AD57" i="72" s="1"/>
  <c r="AE57" i="72" a="1"/>
  <c r="AE57" i="72" s="1"/>
  <c r="AF57" i="72" a="1"/>
  <c r="AF57" i="72" s="1"/>
  <c r="AG57" i="72" a="1"/>
  <c r="AG57" i="72" s="1"/>
  <c r="AC57" i="68" a="1"/>
  <c r="AC57" i="68" s="1"/>
  <c r="AC85" i="68" s="1"/>
  <c r="AC108" i="68" s="1"/>
  <c r="AD57" i="68" a="1"/>
  <c r="AD57" i="68" s="1"/>
  <c r="AD85" i="68" s="1"/>
  <c r="AD108" i="68" s="1"/>
  <c r="AE57" i="68" a="1"/>
  <c r="AE57" i="68" s="1"/>
  <c r="AE85" i="68" s="1"/>
  <c r="AE108" i="68" s="1"/>
  <c r="AF57" i="68" a="1"/>
  <c r="AF57" i="68" s="1"/>
  <c r="AF85" i="68" s="1"/>
  <c r="AF108" i="68" s="1"/>
  <c r="AG57" i="68" a="1"/>
  <c r="AG57" i="68" s="1"/>
  <c r="AG85" i="68" s="1"/>
  <c r="AG108" i="68" s="1"/>
  <c r="X57" i="72" a="1"/>
  <c r="X57" i="72" s="1"/>
  <c r="S57" i="72" a="1"/>
  <c r="S57" i="72" s="1"/>
  <c r="J57" i="72" a="1"/>
  <c r="J57" i="72" s="1"/>
  <c r="R57" i="72" a="1"/>
  <c r="R57" i="72" s="1"/>
  <c r="P57" i="72" a="1"/>
  <c r="P57" i="72" s="1"/>
  <c r="O57" i="72" a="1"/>
  <c r="O57" i="72" s="1"/>
  <c r="Z57" i="72" a="1"/>
  <c r="Z57" i="72" s="1"/>
  <c r="L57" i="72" a="1"/>
  <c r="L57" i="72" s="1"/>
  <c r="K57" i="72" a="1"/>
  <c r="K57" i="72" s="1"/>
  <c r="N57" i="72" a="1"/>
  <c r="N57" i="72" s="1"/>
  <c r="I57" i="72" a="1"/>
  <c r="I57" i="72" s="1"/>
  <c r="M57" i="72" a="1"/>
  <c r="M57" i="72" s="1"/>
  <c r="Q57" i="72" a="1"/>
  <c r="Q57" i="72" s="1"/>
  <c r="T57" i="72" a="1"/>
  <c r="T57" i="72" s="1"/>
  <c r="U57" i="72" a="1"/>
  <c r="U57" i="72" s="1"/>
  <c r="V57" i="72" a="1"/>
  <c r="V57" i="72" s="1"/>
  <c r="W57" i="72" a="1"/>
  <c r="W57" i="72" s="1"/>
  <c r="Y57" i="72" a="1"/>
  <c r="Y57" i="72" s="1"/>
  <c r="AA57" i="72" a="1"/>
  <c r="AA57" i="72" s="1"/>
  <c r="AB57" i="72" a="1"/>
  <c r="AB57" i="72" s="1"/>
  <c r="D13" i="33"/>
  <c r="Q57" i="68" a="1"/>
  <c r="Q57" i="68" s="1"/>
  <c r="Q85" i="68" s="1"/>
  <c r="Q108" i="68" s="1"/>
  <c r="W57" i="68" a="1"/>
  <c r="W57" i="68" s="1"/>
  <c r="W85" i="68" s="1"/>
  <c r="W108" i="68" s="1"/>
  <c r="U57" i="68" a="1"/>
  <c r="U57" i="68" s="1"/>
  <c r="U85" i="68" s="1"/>
  <c r="U108" i="68" s="1"/>
  <c r="P57" i="68" a="1"/>
  <c r="P57" i="68" s="1"/>
  <c r="P85" i="68" s="1"/>
  <c r="P108" i="68" s="1"/>
  <c r="X57" i="68" a="1"/>
  <c r="X57" i="68" s="1"/>
  <c r="X85" i="68" s="1"/>
  <c r="X108" i="68" s="1"/>
  <c r="AB57" i="68" a="1"/>
  <c r="AB57" i="68" s="1"/>
  <c r="AB85" i="68" s="1"/>
  <c r="AB108" i="68" s="1"/>
  <c r="I57" i="68" a="1"/>
  <c r="I57" i="68" s="1"/>
  <c r="I85" i="68" s="1"/>
  <c r="I108" i="68" s="1"/>
  <c r="O57" i="68" a="1"/>
  <c r="O57" i="68" s="1"/>
  <c r="O85" i="68" s="1"/>
  <c r="O108" i="68" s="1"/>
  <c r="Y57" i="68" a="1"/>
  <c r="Y57" i="68" s="1"/>
  <c r="Y85" i="68" s="1"/>
  <c r="Y108" i="68" s="1"/>
  <c r="N57" i="68" a="1"/>
  <c r="N57" i="68" s="1"/>
  <c r="N85" i="68" s="1"/>
  <c r="N108" i="68" s="1"/>
  <c r="T57" i="68" a="1"/>
  <c r="T57" i="68" s="1"/>
  <c r="T85" i="68" s="1"/>
  <c r="T108" i="68" s="1"/>
  <c r="Z57" i="68" a="1"/>
  <c r="Z57" i="68" s="1"/>
  <c r="Z85" i="68" s="1"/>
  <c r="Z108" i="68" s="1"/>
  <c r="M57" i="68" a="1"/>
  <c r="M57" i="68" s="1"/>
  <c r="M85" i="68" s="1"/>
  <c r="M108" i="68" s="1"/>
  <c r="R57" i="68" a="1"/>
  <c r="R57" i="68" s="1"/>
  <c r="R85" i="68" s="1"/>
  <c r="R108" i="68" s="1"/>
  <c r="AA57" i="68" a="1"/>
  <c r="AA57" i="68" s="1"/>
  <c r="AA85" i="68" s="1"/>
  <c r="AA108" i="68" s="1"/>
  <c r="L57" i="68" a="1"/>
  <c r="L57" i="68" s="1"/>
  <c r="L85" i="68" s="1"/>
  <c r="L108" i="68" s="1"/>
  <c r="K57" i="68" a="1"/>
  <c r="K57" i="68" s="1"/>
  <c r="K85" i="68" s="1"/>
  <c r="K108" i="68" s="1"/>
  <c r="S57" i="68" a="1"/>
  <c r="S57" i="68" s="1"/>
  <c r="S85" i="68" s="1"/>
  <c r="S108" i="68" s="1"/>
  <c r="J57" i="68" a="1"/>
  <c r="J57" i="68" s="1"/>
  <c r="J85" i="68" s="1"/>
  <c r="J108" i="68" s="1"/>
  <c r="V57" i="68" a="1"/>
  <c r="V57" i="68" s="1"/>
  <c r="V85" i="68" s="1"/>
  <c r="V108" i="68" s="1"/>
  <c r="D10" i="33"/>
  <c r="D11" i="33"/>
  <c r="D9" i="33"/>
  <c r="D12" i="33"/>
  <c r="U85" i="72" l="1"/>
  <c r="Z85" i="72"/>
  <c r="AC85" i="72"/>
  <c r="T85" i="72"/>
  <c r="O85" i="72"/>
  <c r="Q85" i="72"/>
  <c r="P85" i="72"/>
  <c r="AB85" i="72"/>
  <c r="M85" i="72"/>
  <c r="R85" i="72"/>
  <c r="AE85" i="73"/>
  <c r="AA85" i="72"/>
  <c r="I85" i="72"/>
  <c r="J85" i="72"/>
  <c r="AG85" i="72"/>
  <c r="AF85" i="73"/>
  <c r="AG85" i="73"/>
  <c r="Y85" i="72"/>
  <c r="N85" i="72"/>
  <c r="S85" i="72"/>
  <c r="AF85" i="72"/>
  <c r="AD85" i="73"/>
  <c r="I85" i="73"/>
  <c r="W85" i="72"/>
  <c r="K85" i="72"/>
  <c r="X85" i="72"/>
  <c r="AE85" i="72"/>
  <c r="AC85" i="73"/>
  <c r="V85" i="72"/>
  <c r="L85" i="72"/>
  <c r="AD85" i="72"/>
  <c r="AE85" i="81"/>
  <c r="AC85" i="81"/>
  <c r="AF85" i="81"/>
  <c r="AG85" i="81"/>
  <c r="AD85" i="81"/>
  <c r="Q80" i="72"/>
  <c r="I80" i="72"/>
  <c r="AG87" i="68"/>
  <c r="AG106" i="68" s="1"/>
  <c r="AF87" i="68"/>
  <c r="AF106" i="68" s="1"/>
  <c r="AE87" i="68"/>
  <c r="AE106" i="68" s="1"/>
  <c r="AD87" i="68"/>
  <c r="AD106" i="68" s="1"/>
  <c r="AC87" i="68"/>
  <c r="AC106" i="68" s="1"/>
  <c r="AA85" i="81"/>
  <c r="T85" i="73"/>
  <c r="S85" i="81"/>
  <c r="Y85" i="81"/>
  <c r="W85" i="73"/>
  <c r="Q85" i="73"/>
  <c r="O85" i="73"/>
  <c r="O85" i="82"/>
  <c r="O85" i="81"/>
  <c r="R85" i="81"/>
  <c r="V85" i="73"/>
  <c r="X85" i="73"/>
  <c r="T85" i="82"/>
  <c r="V85" i="82"/>
  <c r="M85" i="81"/>
  <c r="J85" i="81"/>
  <c r="T85" i="81"/>
  <c r="AA85" i="73"/>
  <c r="P85" i="73"/>
  <c r="Q85" i="82"/>
  <c r="J85" i="82"/>
  <c r="K85" i="82"/>
  <c r="J85" i="73"/>
  <c r="V85" i="81"/>
  <c r="K85" i="81"/>
  <c r="I85" i="81"/>
  <c r="U85" i="73"/>
  <c r="U85" i="82"/>
  <c r="AA85" i="82"/>
  <c r="R85" i="82"/>
  <c r="AB85" i="81"/>
  <c r="Z85" i="81"/>
  <c r="W85" i="81"/>
  <c r="N85" i="73"/>
  <c r="Z85" i="73"/>
  <c r="AB85" i="82"/>
  <c r="W85" i="82"/>
  <c r="P85" i="82"/>
  <c r="N85" i="81"/>
  <c r="Q85" i="81"/>
  <c r="L85" i="81"/>
  <c r="X85" i="81"/>
  <c r="M85" i="73"/>
  <c r="K85" i="73"/>
  <c r="Y85" i="82"/>
  <c r="Z85" i="82"/>
  <c r="M85" i="82"/>
  <c r="N85" i="82"/>
  <c r="S85" i="73"/>
  <c r="R85" i="73"/>
  <c r="S85" i="82"/>
  <c r="U85" i="81"/>
  <c r="P85" i="81"/>
  <c r="AB85" i="73"/>
  <c r="L85" i="73"/>
  <c r="Y85" i="73"/>
  <c r="X85" i="82"/>
  <c r="L85" i="82"/>
  <c r="AG117" i="68" l="1" a="1"/>
  <c r="AG117" i="68" s="1"/>
  <c r="AG116" i="68" a="1"/>
  <c r="AG116" i="68" s="1"/>
  <c r="AG115" i="68" a="1"/>
  <c r="AG115" i="68" s="1"/>
  <c r="AG113" i="68" a="1"/>
  <c r="AG113" i="68" s="1"/>
  <c r="AG110" i="68" a="1"/>
  <c r="AG110" i="68" s="1"/>
  <c r="AG111" i="68" a="1"/>
  <c r="AG111" i="68" s="1"/>
  <c r="AG112" i="68" a="1"/>
  <c r="AG112" i="68" s="1"/>
  <c r="AG114" i="68" a="1"/>
  <c r="AG114" i="68" s="1"/>
  <c r="AF117" i="68" a="1"/>
  <c r="AF117" i="68" s="1"/>
  <c r="AF113" i="68" a="1"/>
  <c r="AF113" i="68" s="1"/>
  <c r="AF116" i="68" a="1"/>
  <c r="AF116" i="68" s="1"/>
  <c r="AF115" i="68" a="1"/>
  <c r="AF115" i="68" s="1"/>
  <c r="AF114" i="68" a="1"/>
  <c r="AF114" i="68" s="1"/>
  <c r="AF112" i="68" a="1"/>
  <c r="AF112" i="68" s="1"/>
  <c r="AF111" i="68" a="1"/>
  <c r="AF111" i="68" s="1"/>
  <c r="AF110" i="68" a="1"/>
  <c r="AF110" i="68" s="1"/>
  <c r="AE113" i="68" a="1"/>
  <c r="AE113" i="68" s="1"/>
  <c r="AE117" i="68" a="1"/>
  <c r="AE117" i="68" s="1"/>
  <c r="AE116" i="68" a="1"/>
  <c r="AE116" i="68" s="1"/>
  <c r="AE115" i="68" a="1"/>
  <c r="AE115" i="68" s="1"/>
  <c r="AE114" i="68" a="1"/>
  <c r="AE114" i="68" s="1"/>
  <c r="AE111" i="68" a="1"/>
  <c r="AE111" i="68" s="1"/>
  <c r="AE112" i="68" a="1"/>
  <c r="AE112" i="68" s="1"/>
  <c r="AE110" i="68" a="1"/>
  <c r="AE110" i="68" s="1"/>
  <c r="AC112" i="68" a="1"/>
  <c r="AC112" i="68" s="1"/>
  <c r="AC115" i="68" a="1"/>
  <c r="AC115" i="68" s="1"/>
  <c r="AC116" i="68" a="1"/>
  <c r="AC116" i="68" s="1"/>
  <c r="AC113" i="68" a="1"/>
  <c r="AC113" i="68" s="1"/>
  <c r="AC117" i="68" a="1"/>
  <c r="AC117" i="68" s="1"/>
  <c r="AC111" i="68" a="1"/>
  <c r="AC111" i="68" s="1"/>
  <c r="AC114" i="68" a="1"/>
  <c r="AC114" i="68" s="1"/>
  <c r="AC110" i="68" a="1"/>
  <c r="AC110" i="68" s="1"/>
  <c r="AD112" i="68" a="1"/>
  <c r="AD112" i="68" s="1"/>
  <c r="AD115" i="68" a="1"/>
  <c r="AD115" i="68" s="1"/>
  <c r="AD110" i="68" a="1"/>
  <c r="AD110" i="68" s="1"/>
  <c r="AD113" i="68" a="1"/>
  <c r="AD113" i="68" s="1"/>
  <c r="AD116" i="68" a="1"/>
  <c r="AD116" i="68" s="1"/>
  <c r="AD117" i="68" a="1"/>
  <c r="AD117" i="68" s="1"/>
  <c r="AD114" i="68" a="1"/>
  <c r="AD114" i="68" s="1"/>
  <c r="AD111" i="68" a="1"/>
  <c r="AD111" i="68" s="1"/>
  <c r="I82" i="72"/>
  <c r="I107" i="72" s="1"/>
  <c r="Q82" i="72"/>
  <c r="Q107" i="72" s="1"/>
  <c r="R80" i="72"/>
  <c r="J80" i="72"/>
  <c r="N80" i="72"/>
  <c r="AE80" i="72"/>
  <c r="O80" i="72"/>
  <c r="L80" i="72"/>
  <c r="AG80" i="72"/>
  <c r="AA80" i="72"/>
  <c r="K80" i="72"/>
  <c r="P80" i="72"/>
  <c r="M80" i="72"/>
  <c r="AF80" i="72"/>
  <c r="AD80" i="72"/>
  <c r="V80" i="72"/>
  <c r="U80" i="72"/>
  <c r="AC80" i="72"/>
  <c r="Z80" i="72"/>
  <c r="T80" i="72"/>
  <c r="W80" i="72"/>
  <c r="AB80" i="72"/>
  <c r="Y80" i="72"/>
  <c r="X80" i="72"/>
  <c r="S80" i="72"/>
  <c r="X87" i="68"/>
  <c r="X106" i="68" s="1"/>
  <c r="M87" i="68"/>
  <c r="M106" i="68" s="1"/>
  <c r="K87" i="68"/>
  <c r="K106" i="68" s="1"/>
  <c r="U87" i="68"/>
  <c r="U106" i="68" s="1"/>
  <c r="Q87" i="68"/>
  <c r="Q106" i="68" s="1"/>
  <c r="Z87" i="68"/>
  <c r="Z106" i="68" s="1"/>
  <c r="Y87" i="68"/>
  <c r="Y106" i="68" s="1"/>
  <c r="N87" i="68"/>
  <c r="N106" i="68" s="1"/>
  <c r="AA87" i="68"/>
  <c r="AA106" i="68" s="1"/>
  <c r="V87" i="68"/>
  <c r="V106" i="68" s="1"/>
  <c r="P87" i="68"/>
  <c r="P106" i="68" s="1"/>
  <c r="L87" i="68"/>
  <c r="L106" i="68" s="1"/>
  <c r="O87" i="68"/>
  <c r="O106" i="68" s="1"/>
  <c r="R87" i="68"/>
  <c r="R106" i="68" s="1"/>
  <c r="S87" i="68"/>
  <c r="S106" i="68" s="1"/>
  <c r="T87" i="68"/>
  <c r="T106" i="68" s="1"/>
  <c r="W87" i="68"/>
  <c r="W106" i="68" s="1"/>
  <c r="AB87" i="68"/>
  <c r="AB106" i="68" s="1"/>
  <c r="C16" i="62"/>
  <c r="P117" i="68" l="1" a="1"/>
  <c r="P117" i="68" s="1"/>
  <c r="P111" i="68" a="1"/>
  <c r="P111" i="68" s="1"/>
  <c r="P112" i="68" a="1"/>
  <c r="P112" i="68" s="1"/>
  <c r="P114" i="68" a="1"/>
  <c r="P114" i="68" s="1"/>
  <c r="P116" i="68" a="1"/>
  <c r="P116" i="68" s="1"/>
  <c r="P110" i="68" a="1"/>
  <c r="P110" i="68" s="1"/>
  <c r="P113" i="68" a="1"/>
  <c r="P113" i="68" s="1"/>
  <c r="P115" i="68" a="1"/>
  <c r="P115" i="68" s="1"/>
  <c r="AA112" i="68" a="1"/>
  <c r="AA112" i="68" s="1"/>
  <c r="AA114" i="68" a="1"/>
  <c r="AA114" i="68" s="1"/>
  <c r="AA110" i="68" a="1"/>
  <c r="AA110" i="68" s="1"/>
  <c r="AA113" i="68" a="1"/>
  <c r="AA113" i="68" s="1"/>
  <c r="AA111" i="68" a="1"/>
  <c r="AA111" i="68" s="1"/>
  <c r="AA115" i="68" a="1"/>
  <c r="AA115" i="68" s="1"/>
  <c r="AA117" i="68" a="1"/>
  <c r="AA117" i="68" s="1"/>
  <c r="AA116" i="68" a="1"/>
  <c r="AA116" i="68" s="1"/>
  <c r="W116" i="68" a="1"/>
  <c r="W116" i="68" s="1"/>
  <c r="W113" i="68" a="1"/>
  <c r="W113" i="68" s="1"/>
  <c r="W110" i="68" a="1"/>
  <c r="W110" i="68" s="1"/>
  <c r="W117" i="68" a="1"/>
  <c r="W117" i="68" s="1"/>
  <c r="W111" i="68" a="1"/>
  <c r="W111" i="68" s="1"/>
  <c r="W112" i="68" a="1"/>
  <c r="W112" i="68" s="1"/>
  <c r="W115" i="68" a="1"/>
  <c r="W115" i="68" s="1"/>
  <c r="W114" i="68" a="1"/>
  <c r="W114" i="68" s="1"/>
  <c r="S117" i="68" a="1"/>
  <c r="S117" i="68" s="1"/>
  <c r="S111" i="68" a="1"/>
  <c r="S111" i="68" s="1"/>
  <c r="S114" i="68" a="1"/>
  <c r="S114" i="68" s="1"/>
  <c r="S112" i="68" a="1"/>
  <c r="S112" i="68" s="1"/>
  <c r="S115" i="68" a="1"/>
  <c r="S115" i="68" s="1"/>
  <c r="S116" i="68" a="1"/>
  <c r="S116" i="68" s="1"/>
  <c r="S113" i="68" a="1"/>
  <c r="S113" i="68" s="1"/>
  <c r="S110" i="68" a="1"/>
  <c r="S110" i="68" s="1"/>
  <c r="R117" i="68" a="1"/>
  <c r="R117" i="68" s="1"/>
  <c r="R111" i="68" a="1"/>
  <c r="R111" i="68" s="1"/>
  <c r="R114" i="68" a="1"/>
  <c r="R114" i="68" s="1"/>
  <c r="R112" i="68" a="1"/>
  <c r="R112" i="68" s="1"/>
  <c r="R115" i="68" a="1"/>
  <c r="R115" i="68" s="1"/>
  <c r="R116" i="68" a="1"/>
  <c r="R116" i="68" s="1"/>
  <c r="R110" i="68" a="1"/>
  <c r="R110" i="68" s="1"/>
  <c r="R113" i="68" a="1"/>
  <c r="R113" i="68" s="1"/>
  <c r="O117" i="68" a="1"/>
  <c r="O117" i="68" s="1"/>
  <c r="O111" i="68" a="1"/>
  <c r="O111" i="68" s="1"/>
  <c r="O115" i="68" a="1"/>
  <c r="O115" i="68" s="1"/>
  <c r="O112" i="68" a="1"/>
  <c r="O112" i="68" s="1"/>
  <c r="O113" i="68" a="1"/>
  <c r="O113" i="68" s="1"/>
  <c r="O114" i="68" a="1"/>
  <c r="O114" i="68" s="1"/>
  <c r="O116" i="68" a="1"/>
  <c r="O116" i="68" s="1"/>
  <c r="O110" i="68" a="1"/>
  <c r="O110" i="68" s="1"/>
  <c r="L115" i="68" a="1"/>
  <c r="L115" i="68" s="1"/>
  <c r="L112" i="68" a="1"/>
  <c r="L112" i="68" s="1"/>
  <c r="L116" i="68" a="1"/>
  <c r="L116" i="68" s="1"/>
  <c r="L113" i="68" a="1"/>
  <c r="L113" i="68" s="1"/>
  <c r="L111" i="68" a="1"/>
  <c r="L111" i="68" s="1"/>
  <c r="L117" i="68" a="1"/>
  <c r="L117" i="68" s="1"/>
  <c r="L114" i="68" a="1"/>
  <c r="L114" i="68" s="1"/>
  <c r="L110" i="68" a="1"/>
  <c r="L110" i="68" s="1"/>
  <c r="N115" i="68" a="1"/>
  <c r="N115" i="68" s="1"/>
  <c r="N112" i="68" a="1"/>
  <c r="N112" i="68" s="1"/>
  <c r="N117" i="68" a="1"/>
  <c r="N117" i="68" s="1"/>
  <c r="N111" i="68" a="1"/>
  <c r="N111" i="68" s="1"/>
  <c r="N110" i="68" a="1"/>
  <c r="N110" i="68" s="1"/>
  <c r="N116" i="68" a="1"/>
  <c r="N116" i="68" s="1"/>
  <c r="N114" i="68" a="1"/>
  <c r="N114" i="68" s="1"/>
  <c r="N113" i="68" a="1"/>
  <c r="N113" i="68" s="1"/>
  <c r="Y116" i="68" a="1"/>
  <c r="Y116" i="68" s="1"/>
  <c r="Y113" i="68" a="1"/>
  <c r="Y113" i="68" s="1"/>
  <c r="Y110" i="68" a="1"/>
  <c r="Y110" i="68" s="1"/>
  <c r="Y117" i="68" a="1"/>
  <c r="Y117" i="68" s="1"/>
  <c r="Y111" i="68" a="1"/>
  <c r="Y111" i="68" s="1"/>
  <c r="Y112" i="68" a="1"/>
  <c r="Y112" i="68" s="1"/>
  <c r="Y115" i="68" a="1"/>
  <c r="Y115" i="68" s="1"/>
  <c r="Y114" i="68" a="1"/>
  <c r="Y114" i="68" s="1"/>
  <c r="Q117" i="68" a="1"/>
  <c r="Q117" i="68" s="1"/>
  <c r="Q111" i="68" a="1"/>
  <c r="Q111" i="68" s="1"/>
  <c r="Q115" i="68" a="1"/>
  <c r="Q115" i="68" s="1"/>
  <c r="Q112" i="68" a="1"/>
  <c r="Q112" i="68" s="1"/>
  <c r="Q114" i="68" a="1"/>
  <c r="Q114" i="68" s="1"/>
  <c r="Q116" i="68" a="1"/>
  <c r="Q116" i="68" s="1"/>
  <c r="Q110" i="68" a="1"/>
  <c r="Q110" i="68" s="1"/>
  <c r="Q113" i="68" a="1"/>
  <c r="Q113" i="68" s="1"/>
  <c r="K115" i="68" a="1"/>
  <c r="K115" i="68" s="1"/>
  <c r="K112" i="68" a="1"/>
  <c r="K112" i="68" s="1"/>
  <c r="K116" i="68" a="1"/>
  <c r="K116" i="68" s="1"/>
  <c r="K110" i="68" a="1"/>
  <c r="K110" i="68" s="1"/>
  <c r="K113" i="68" a="1"/>
  <c r="K113" i="68" s="1"/>
  <c r="K111" i="68" a="1"/>
  <c r="K111" i="68" s="1"/>
  <c r="K117" i="68" a="1"/>
  <c r="K117" i="68" s="1"/>
  <c r="K114" i="68" a="1"/>
  <c r="K114" i="68" s="1"/>
  <c r="M115" i="68" a="1"/>
  <c r="M115" i="68" s="1"/>
  <c r="M112" i="68" a="1"/>
  <c r="M112" i="68" s="1"/>
  <c r="M116" i="68" a="1"/>
  <c r="M116" i="68" s="1"/>
  <c r="M113" i="68" a="1"/>
  <c r="M113" i="68" s="1"/>
  <c r="M111" i="68" a="1"/>
  <c r="M111" i="68" s="1"/>
  <c r="M117" i="68" a="1"/>
  <c r="M117" i="68" s="1"/>
  <c r="M114" i="68" a="1"/>
  <c r="M114" i="68" s="1"/>
  <c r="M110" i="68" a="1"/>
  <c r="M110" i="68" s="1"/>
  <c r="U113" i="68" a="1"/>
  <c r="U113" i="68" s="1"/>
  <c r="U110" i="68" a="1"/>
  <c r="U110" i="68" s="1"/>
  <c r="U115" i="68" a="1"/>
  <c r="U115" i="68" s="1"/>
  <c r="U111" i="68" a="1"/>
  <c r="U111" i="68" s="1"/>
  <c r="U116" i="68" a="1"/>
  <c r="U116" i="68" s="1"/>
  <c r="U112" i="68" a="1"/>
  <c r="U112" i="68" s="1"/>
  <c r="U117" i="68" a="1"/>
  <c r="U117" i="68" s="1"/>
  <c r="U114" i="68" a="1"/>
  <c r="U114" i="68" s="1"/>
  <c r="X116" i="68" a="1"/>
  <c r="X116" i="68" s="1"/>
  <c r="X113" i="68" a="1"/>
  <c r="X113" i="68" s="1"/>
  <c r="X110" i="68" a="1"/>
  <c r="X110" i="68" s="1"/>
  <c r="X114" i="68" a="1"/>
  <c r="X114" i="68" s="1"/>
  <c r="X111" i="68" a="1"/>
  <c r="X111" i="68" s="1"/>
  <c r="X112" i="68" a="1"/>
  <c r="X112" i="68" s="1"/>
  <c r="X115" i="68" a="1"/>
  <c r="X115" i="68" s="1"/>
  <c r="X117" i="68" a="1"/>
  <c r="X117" i="68" s="1"/>
  <c r="AB112" i="68" a="1"/>
  <c r="AB112" i="68" s="1"/>
  <c r="AB115" i="68" a="1"/>
  <c r="AB115" i="68" s="1"/>
  <c r="AB116" i="68" a="1"/>
  <c r="AB116" i="68" s="1"/>
  <c r="AB110" i="68" a="1"/>
  <c r="AB110" i="68" s="1"/>
  <c r="AB113" i="68" a="1"/>
  <c r="AB113" i="68" s="1"/>
  <c r="AB117" i="68" a="1"/>
  <c r="AB117" i="68" s="1"/>
  <c r="AB111" i="68" a="1"/>
  <c r="AB111" i="68" s="1"/>
  <c r="AB114" i="68" a="1"/>
  <c r="AB114" i="68" s="1"/>
  <c r="T114" i="68" a="1"/>
  <c r="T114" i="68" s="1"/>
  <c r="T112" i="68" a="1"/>
  <c r="T112" i="68" s="1"/>
  <c r="T117" i="68" a="1"/>
  <c r="T117" i="68" s="1"/>
  <c r="T115" i="68" a="1"/>
  <c r="T115" i="68" s="1"/>
  <c r="T113" i="68" a="1"/>
  <c r="T113" i="68" s="1"/>
  <c r="T116" i="68" a="1"/>
  <c r="T116" i="68" s="1"/>
  <c r="T110" i="68" a="1"/>
  <c r="T110" i="68" s="1"/>
  <c r="T111" i="68" a="1"/>
  <c r="T111" i="68" s="1"/>
  <c r="V116" i="68" a="1"/>
  <c r="V116" i="68" s="1"/>
  <c r="V113" i="68" a="1"/>
  <c r="V113" i="68" s="1"/>
  <c r="V110" i="68" a="1"/>
  <c r="V110" i="68" s="1"/>
  <c r="V115" i="68" a="1"/>
  <c r="V115" i="68" s="1"/>
  <c r="V114" i="68" a="1"/>
  <c r="V114" i="68" s="1"/>
  <c r="V111" i="68" a="1"/>
  <c r="V111" i="68" s="1"/>
  <c r="V117" i="68" a="1"/>
  <c r="V117" i="68" s="1"/>
  <c r="V112" i="68" a="1"/>
  <c r="V112" i="68" s="1"/>
  <c r="Z116" i="68" a="1"/>
  <c r="Z116" i="68" s="1"/>
  <c r="Z113" i="68" a="1"/>
  <c r="Z113" i="68" s="1"/>
  <c r="Z112" i="68" a="1"/>
  <c r="Z112" i="68" s="1"/>
  <c r="Z117" i="68" a="1"/>
  <c r="Z117" i="68" s="1"/>
  <c r="Z111" i="68" a="1"/>
  <c r="Z111" i="68" s="1"/>
  <c r="Z110" i="68" a="1"/>
  <c r="Z110" i="68" s="1"/>
  <c r="Z115" i="68" a="1"/>
  <c r="Z115" i="68" s="1"/>
  <c r="Z114" i="68" a="1"/>
  <c r="Z114" i="68" s="1"/>
  <c r="J82" i="72"/>
  <c r="J107" i="72" s="1"/>
  <c r="K82" i="72"/>
  <c r="K107" i="72" s="1"/>
  <c r="AB82" i="72"/>
  <c r="AB107" i="72" s="1"/>
  <c r="AD82" i="72"/>
  <c r="AD107" i="72" s="1"/>
  <c r="Z82" i="72"/>
  <c r="Z107" i="72" s="1"/>
  <c r="Y82" i="72"/>
  <c r="Y107" i="72" s="1"/>
  <c r="O82" i="72"/>
  <c r="O107" i="72" s="1"/>
  <c r="AF82" i="72"/>
  <c r="AF107" i="72" s="1"/>
  <c r="AE82" i="72"/>
  <c r="AE107" i="72" s="1"/>
  <c r="W82" i="72"/>
  <c r="W107" i="72" s="1"/>
  <c r="M82" i="72"/>
  <c r="M107" i="72" s="1"/>
  <c r="N82" i="72"/>
  <c r="N107" i="72" s="1"/>
  <c r="T82" i="72"/>
  <c r="T107" i="72" s="1"/>
  <c r="P82" i="72"/>
  <c r="P107" i="72" s="1"/>
  <c r="R82" i="72"/>
  <c r="R107" i="72" s="1"/>
  <c r="AC82" i="72"/>
  <c r="AC107" i="72" s="1"/>
  <c r="AA82" i="72"/>
  <c r="AA107" i="72" s="1"/>
  <c r="S82" i="72"/>
  <c r="S107" i="72" s="1"/>
  <c r="U82" i="72"/>
  <c r="U107" i="72" s="1"/>
  <c r="AG82" i="72"/>
  <c r="AG107" i="72" s="1"/>
  <c r="X82" i="72"/>
  <c r="X107" i="72" s="1"/>
  <c r="V82" i="72"/>
  <c r="V107" i="72" s="1"/>
  <c r="L82" i="72"/>
  <c r="L107" i="72" s="1"/>
  <c r="J87" i="68"/>
  <c r="J106" i="68" s="1"/>
  <c r="I87" i="68"/>
  <c r="I106" i="68" s="1"/>
  <c r="A1" i="43"/>
  <c r="A1" i="33"/>
  <c r="J115" i="68" l="1" a="1"/>
  <c r="J115" i="68" s="1"/>
  <c r="J112" i="68" a="1"/>
  <c r="J112" i="68" s="1"/>
  <c r="J113" i="68" a="1"/>
  <c r="J113" i="68" s="1"/>
  <c r="J116" i="68" a="1"/>
  <c r="J116" i="68" s="1"/>
  <c r="J110" i="68" a="1"/>
  <c r="J110" i="68" s="1"/>
  <c r="J111" i="68" a="1"/>
  <c r="J111" i="68" s="1"/>
  <c r="J117" i="68" a="1"/>
  <c r="J117" i="68" s="1"/>
  <c r="J114" i="68" a="1"/>
  <c r="J114" i="68" s="1"/>
  <c r="I115" i="68" a="1"/>
  <c r="I115" i="68" s="1"/>
  <c r="I112" i="68" a="1"/>
  <c r="I112" i="68" s="1"/>
  <c r="I114" i="68" a="1"/>
  <c r="I114" i="68" s="1"/>
  <c r="I116" i="68" a="1"/>
  <c r="I116" i="68" s="1"/>
  <c r="I110" i="68" a="1"/>
  <c r="I110" i="68" s="1"/>
  <c r="I117" i="68" a="1"/>
  <c r="I117" i="68" s="1"/>
  <c r="I111" i="68" a="1"/>
  <c r="I111" i="68" s="1"/>
  <c r="I113" i="68" a="1"/>
  <c r="I113" i="68" s="1"/>
  <c r="A2" i="47"/>
  <c r="A1" i="47"/>
  <c r="A2" i="62"/>
  <c r="A1" i="62"/>
  <c r="I6" i="62"/>
  <c r="I13" i="62" l="1"/>
  <c r="J6" i="62"/>
  <c r="J11" i="62" l="1"/>
  <c r="K6" i="62"/>
  <c r="J12" i="62" l="1"/>
  <c r="J13" i="62" s="1"/>
  <c r="I15" i="62"/>
  <c r="K11" i="62"/>
  <c r="K12" i="62" s="1"/>
  <c r="K13" i="62" s="1"/>
  <c r="L6" i="62"/>
  <c r="J15" i="62" l="1"/>
  <c r="L11" i="62"/>
  <c r="M6" i="62"/>
  <c r="L12" i="62" l="1"/>
  <c r="L13" i="62" s="1"/>
  <c r="K15" i="62"/>
  <c r="M11" i="62"/>
  <c r="M12" i="62" l="1"/>
  <c r="M13" i="62" s="1"/>
  <c r="L15" i="62"/>
  <c r="N11" i="62"/>
  <c r="N12" i="62" l="1"/>
  <c r="N13" i="62" s="1"/>
  <c r="M15" i="62"/>
  <c r="F7" i="88" s="1"/>
  <c r="F16" i="88" s="1"/>
  <c r="O11" i="62"/>
  <c r="F28" i="88" l="1"/>
  <c r="F56" i="88" s="1"/>
  <c r="O28" i="88"/>
  <c r="O56" i="88" s="1"/>
  <c r="AC28" i="88"/>
  <c r="AC56" i="88" s="1"/>
  <c r="J28" i="88"/>
  <c r="J56" i="88" s="1"/>
  <c r="V28" i="88"/>
  <c r="V56" i="88" s="1"/>
  <c r="W28" i="88"/>
  <c r="W56" i="88" s="1"/>
  <c r="AB28" i="88"/>
  <c r="AB56" i="88" s="1"/>
  <c r="U28" i="88"/>
  <c r="U56" i="88" s="1"/>
  <c r="Y28" i="88"/>
  <c r="Y56" i="88" s="1"/>
  <c r="K28" i="88"/>
  <c r="K56" i="88" s="1"/>
  <c r="Q28" i="88"/>
  <c r="Q56" i="88" s="1"/>
  <c r="S28" i="88"/>
  <c r="S56" i="88" s="1"/>
  <c r="AA28" i="88"/>
  <c r="AA56" i="88" s="1"/>
  <c r="I28" i="88"/>
  <c r="I56" i="88" s="1"/>
  <c r="N28" i="88"/>
  <c r="N56" i="88" s="1"/>
  <c r="R28" i="88"/>
  <c r="R56" i="88" s="1"/>
  <c r="AD28" i="88"/>
  <c r="AD56" i="88" s="1"/>
  <c r="H28" i="88"/>
  <c r="H56" i="88" s="1"/>
  <c r="X28" i="88"/>
  <c r="X56" i="88" s="1"/>
  <c r="T28" i="88"/>
  <c r="T56" i="88" s="1"/>
  <c r="L28" i="88"/>
  <c r="L56" i="88" s="1"/>
  <c r="P28" i="88"/>
  <c r="P56" i="88" s="1"/>
  <c r="G28" i="88"/>
  <c r="G56" i="88" s="1"/>
  <c r="M28" i="88"/>
  <c r="M56" i="88" s="1"/>
  <c r="Z28" i="88"/>
  <c r="Z56" i="88" s="1"/>
  <c r="O12" i="62"/>
  <c r="O13" i="62" s="1"/>
  <c r="P11" i="62"/>
  <c r="P12" i="62" s="1"/>
  <c r="P13" i="62" s="1"/>
  <c r="N15" i="62"/>
  <c r="R42" i="88" l="1"/>
  <c r="R70" i="88"/>
  <c r="X70" i="88"/>
  <c r="AA33" i="73" s="1"/>
  <c r="X42" i="88"/>
  <c r="AD70" i="88"/>
  <c r="AG33" i="73" s="1"/>
  <c r="AD42" i="88"/>
  <c r="N42" i="88"/>
  <c r="N70" i="88"/>
  <c r="Q33" i="73" s="1"/>
  <c r="AA70" i="88"/>
  <c r="AD33" i="73" s="1"/>
  <c r="AA42" i="88"/>
  <c r="S70" i="88"/>
  <c r="V33" i="73" s="1"/>
  <c r="S42" i="88"/>
  <c r="K70" i="88"/>
  <c r="N33" i="73" s="1"/>
  <c r="K42" i="88"/>
  <c r="Y42" i="88"/>
  <c r="Y70" i="88"/>
  <c r="AB33" i="73" s="1"/>
  <c r="AB70" i="88"/>
  <c r="AE33" i="73" s="1"/>
  <c r="AB42" i="88"/>
  <c r="W42" i="88"/>
  <c r="W70" i="88"/>
  <c r="Z33" i="73" s="1"/>
  <c r="G70" i="88"/>
  <c r="G42" i="88"/>
  <c r="J33" i="72"/>
  <c r="J70" i="88"/>
  <c r="M33" i="73" s="1"/>
  <c r="J42" i="88"/>
  <c r="M33" i="72"/>
  <c r="H70" i="88"/>
  <c r="K33" i="73" s="1"/>
  <c r="K33" i="72"/>
  <c r="H42" i="88"/>
  <c r="K33" i="81" s="1"/>
  <c r="I70" i="88"/>
  <c r="L33" i="73" s="1"/>
  <c r="L33" i="72"/>
  <c r="I42" i="88"/>
  <c r="L33" i="81" s="1"/>
  <c r="Q70" i="88"/>
  <c r="T33" i="73" s="1"/>
  <c r="Q42" i="88"/>
  <c r="U42" i="88"/>
  <c r="U70" i="88"/>
  <c r="X33" i="73" s="1"/>
  <c r="Z42" i="88"/>
  <c r="Z70" i="88"/>
  <c r="AC33" i="73" s="1"/>
  <c r="M70" i="88"/>
  <c r="P33" i="73" s="1"/>
  <c r="M42" i="88"/>
  <c r="V42" i="88"/>
  <c r="V70" i="88"/>
  <c r="Y33" i="73" s="1"/>
  <c r="AC70" i="88"/>
  <c r="AF33" i="73" s="1"/>
  <c r="AC42" i="88"/>
  <c r="P42" i="88"/>
  <c r="P70" i="88"/>
  <c r="S33" i="73" s="1"/>
  <c r="O70" i="88"/>
  <c r="R33" i="73" s="1"/>
  <c r="O42" i="88"/>
  <c r="L42" i="88"/>
  <c r="O33" i="72"/>
  <c r="L70" i="88"/>
  <c r="O33" i="73" s="1"/>
  <c r="T42" i="88"/>
  <c r="T70" i="88"/>
  <c r="W33" i="73" s="1"/>
  <c r="I33" i="72"/>
  <c r="F70" i="88"/>
  <c r="I33" i="73" s="1"/>
  <c r="F42" i="88"/>
  <c r="N33" i="68"/>
  <c r="N33" i="72"/>
  <c r="AB33" i="72"/>
  <c r="AB33" i="68"/>
  <c r="J33" i="73"/>
  <c r="U33" i="73"/>
  <c r="I33" i="68"/>
  <c r="W33" i="72"/>
  <c r="W33" i="68"/>
  <c r="X33" i="72"/>
  <c r="X33" i="68"/>
  <c r="S33" i="68"/>
  <c r="S33" i="72"/>
  <c r="O33" i="68"/>
  <c r="K33" i="68"/>
  <c r="AA33" i="68"/>
  <c r="AA33" i="72"/>
  <c r="P33" i="72"/>
  <c r="P33" i="68"/>
  <c r="AE33" i="68"/>
  <c r="AE33" i="72"/>
  <c r="U33" i="72"/>
  <c r="U33" i="68"/>
  <c r="Z33" i="68"/>
  <c r="Z33" i="72"/>
  <c r="AC33" i="68"/>
  <c r="AC33" i="72"/>
  <c r="Q33" i="68"/>
  <c r="Q33" i="72"/>
  <c r="Y33" i="68"/>
  <c r="Y33" i="72"/>
  <c r="L33" i="68"/>
  <c r="M33" i="68"/>
  <c r="J33" i="81"/>
  <c r="J33" i="68"/>
  <c r="AD33" i="72"/>
  <c r="AD33" i="68"/>
  <c r="AF33" i="68"/>
  <c r="AF33" i="72"/>
  <c r="T33" i="68"/>
  <c r="T33" i="72"/>
  <c r="AG33" i="68"/>
  <c r="AG33" i="72"/>
  <c r="V33" i="72"/>
  <c r="V33" i="68"/>
  <c r="R33" i="72"/>
  <c r="R33" i="68"/>
  <c r="Q11" i="62"/>
  <c r="Q12" i="62" s="1"/>
  <c r="Q13" i="62" s="1"/>
  <c r="O15" i="62"/>
  <c r="D21" i="62" s="1"/>
  <c r="I33" i="81" l="1"/>
  <c r="M33" i="81"/>
  <c r="P15" i="62"/>
  <c r="R11" i="62"/>
  <c r="N33" i="81" l="1"/>
  <c r="Q15" i="62"/>
  <c r="R12" i="62"/>
  <c r="R13" i="62" s="1"/>
  <c r="O33" i="81" l="1"/>
  <c r="D22" i="62"/>
  <c r="D23" i="62" s="1"/>
  <c r="G71" i="43"/>
  <c r="G70" i="43"/>
  <c r="F21" i="88" s="1"/>
  <c r="F23" i="88" s="1"/>
  <c r="F25" i="88" s="1"/>
  <c r="D16" i="62"/>
  <c r="R15" i="62"/>
  <c r="D17" i="62" s="1"/>
  <c r="S29" i="88" l="1"/>
  <c r="AA29" i="88"/>
  <c r="T29" i="88"/>
  <c r="O29" i="88"/>
  <c r="H29" i="88"/>
  <c r="X29" i="88"/>
  <c r="Y29" i="88"/>
  <c r="W29" i="88"/>
  <c r="P29" i="88"/>
  <c r="Q29" i="88"/>
  <c r="F29" i="88"/>
  <c r="F57" i="88" s="1"/>
  <c r="AD29" i="88"/>
  <c r="Z29" i="88"/>
  <c r="I29" i="88"/>
  <c r="L29" i="88"/>
  <c r="G29" i="88"/>
  <c r="M29" i="88"/>
  <c r="V29" i="88"/>
  <c r="AB29" i="88"/>
  <c r="AC29" i="88"/>
  <c r="N29" i="88"/>
  <c r="J29" i="88"/>
  <c r="K29" i="88"/>
  <c r="R29" i="88"/>
  <c r="U29" i="88"/>
  <c r="P33" i="81"/>
  <c r="D19" i="62"/>
  <c r="N21" i="75" s="1"/>
  <c r="Q30" i="82" a="1"/>
  <c r="Q30" i="82" s="1"/>
  <c r="AF30" i="82" a="1"/>
  <c r="AF30" i="82" s="1"/>
  <c r="W30" i="82" a="1"/>
  <c r="W30" i="82" s="1"/>
  <c r="Y30" i="82" a="1"/>
  <c r="Y30" i="82" s="1"/>
  <c r="AC30" i="82" a="1"/>
  <c r="AC30" i="82" s="1"/>
  <c r="X30" i="82" a="1"/>
  <c r="X30" i="82" s="1"/>
  <c r="T30" i="82" a="1"/>
  <c r="T30" i="82" s="1"/>
  <c r="AG30" i="82" a="1"/>
  <c r="AG30" i="82" s="1"/>
  <c r="P30" i="82" a="1"/>
  <c r="P30" i="82" s="1"/>
  <c r="O30" i="82" a="1"/>
  <c r="O30" i="82" s="1"/>
  <c r="L30" i="82" a="1"/>
  <c r="L30" i="82" s="1"/>
  <c r="I30" i="82" a="1"/>
  <c r="I30" i="82" s="1"/>
  <c r="AB30" i="82" a="1"/>
  <c r="AB30" i="82" s="1"/>
  <c r="J30" i="82" a="1"/>
  <c r="J30" i="82" s="1"/>
  <c r="U30" i="82" a="1"/>
  <c r="U30" i="82" s="1"/>
  <c r="N30" i="82" a="1"/>
  <c r="N30" i="82" s="1"/>
  <c r="AE30" i="82" a="1"/>
  <c r="AE30" i="82" s="1"/>
  <c r="V30" i="82" a="1"/>
  <c r="V30" i="82" s="1"/>
  <c r="AA30" i="82" a="1"/>
  <c r="AA30" i="82" s="1"/>
  <c r="M30" i="82" a="1"/>
  <c r="M30" i="82" s="1"/>
  <c r="AD30" i="82" a="1"/>
  <c r="AD30" i="82" s="1"/>
  <c r="K30" i="82" a="1"/>
  <c r="K30" i="82" s="1"/>
  <c r="Z30" i="82" a="1"/>
  <c r="Z30" i="82" s="1"/>
  <c r="S30" i="82" a="1"/>
  <c r="S30" i="82" s="1"/>
  <c r="R30" i="82" a="1"/>
  <c r="R30" i="82" s="1"/>
  <c r="E28" i="73"/>
  <c r="E28" i="81"/>
  <c r="E28" i="72"/>
  <c r="E28" i="68"/>
  <c r="E28" i="82"/>
  <c r="Z19" i="75"/>
  <c r="Y21" i="75"/>
  <c r="O21" i="75"/>
  <c r="A2" i="33"/>
  <c r="M21" i="75" l="1"/>
  <c r="Z57" i="88"/>
  <c r="AC30" i="72" s="1"/>
  <c r="Z43" i="88"/>
  <c r="Z71" i="88"/>
  <c r="AC30" i="73" s="1"/>
  <c r="H57" i="88"/>
  <c r="K30" i="72" s="1"/>
  <c r="H43" i="88"/>
  <c r="K30" i="81" s="1"/>
  <c r="H71" i="88"/>
  <c r="K30" i="73" s="1"/>
  <c r="V43" i="88"/>
  <c r="Y30" i="81" s="1"/>
  <c r="V71" i="88"/>
  <c r="Y30" i="73" s="1"/>
  <c r="V57" i="88"/>
  <c r="Y30" i="72" s="1"/>
  <c r="G57" i="88"/>
  <c r="J30" i="72" s="1"/>
  <c r="G43" i="88"/>
  <c r="J30" i="81" s="1"/>
  <c r="G71" i="88"/>
  <c r="J30" i="73" s="1"/>
  <c r="I57" i="88"/>
  <c r="L30" i="72" s="1"/>
  <c r="I71" i="88"/>
  <c r="L30" i="73" s="1"/>
  <c r="I43" i="88"/>
  <c r="L30" i="81" s="1"/>
  <c r="Q57" i="88"/>
  <c r="T30" i="72" s="1"/>
  <c r="Q43" i="88"/>
  <c r="T30" i="81" s="1"/>
  <c r="Q71" i="88"/>
  <c r="T30" i="73" s="1"/>
  <c r="P57" i="88"/>
  <c r="S30" i="72" s="1"/>
  <c r="P43" i="88"/>
  <c r="S30" i="81" s="1"/>
  <c r="P71" i="88"/>
  <c r="S30" i="73" s="1"/>
  <c r="Y57" i="88"/>
  <c r="AB30" i="72" s="1"/>
  <c r="Y43" i="88"/>
  <c r="AB30" i="81" s="1"/>
  <c r="Y71" i="88"/>
  <c r="AB30" i="73" s="1"/>
  <c r="X43" i="88"/>
  <c r="AA30" i="81" s="1"/>
  <c r="X57" i="88"/>
  <c r="AA30" i="72" s="1"/>
  <c r="X71" i="88"/>
  <c r="AA30" i="73" s="1"/>
  <c r="U71" i="88"/>
  <c r="X30" i="73" s="1"/>
  <c r="U57" i="88"/>
  <c r="X30" i="72" s="1"/>
  <c r="U43" i="88"/>
  <c r="X30" i="81" s="1"/>
  <c r="R57" i="88"/>
  <c r="U30" i="72" s="1"/>
  <c r="R43" i="88"/>
  <c r="U30" i="81" s="1"/>
  <c r="R71" i="88"/>
  <c r="U30" i="73" s="1"/>
  <c r="O57" i="88"/>
  <c r="R30" i="72" s="1"/>
  <c r="O43" i="88"/>
  <c r="R30" i="81" s="1"/>
  <c r="O71" i="88"/>
  <c r="R30" i="73" s="1"/>
  <c r="L71" i="88"/>
  <c r="O30" i="73" s="1"/>
  <c r="L43" i="88"/>
  <c r="O30" i="81" s="1"/>
  <c r="L57" i="88"/>
  <c r="O30" i="72" s="1"/>
  <c r="I30" i="72"/>
  <c r="F71" i="88"/>
  <c r="F43" i="88"/>
  <c r="W43" i="88"/>
  <c r="Z30" i="81" s="1"/>
  <c r="W71" i="88"/>
  <c r="Z30" i="73" s="1"/>
  <c r="W57" i="88"/>
  <c r="Z30" i="72" s="1"/>
  <c r="K43" i="88"/>
  <c r="N30" i="81" s="1"/>
  <c r="K71" i="88"/>
  <c r="N30" i="73" s="1"/>
  <c r="K57" i="88"/>
  <c r="N30" i="72" s="1"/>
  <c r="M43" i="88"/>
  <c r="P30" i="81" s="1"/>
  <c r="M71" i="88"/>
  <c r="P30" i="73" s="1"/>
  <c r="M57" i="88"/>
  <c r="P30" i="72" s="1"/>
  <c r="AD57" i="88"/>
  <c r="AG30" i="72" s="1"/>
  <c r="AD43" i="88"/>
  <c r="AG30" i="81" s="1"/>
  <c r="AD71" i="88"/>
  <c r="AG30" i="73" s="1"/>
  <c r="T71" i="88"/>
  <c r="W30" i="73" s="1"/>
  <c r="T57" i="88"/>
  <c r="W30" i="72" s="1"/>
  <c r="T43" i="88"/>
  <c r="W30" i="81" s="1"/>
  <c r="J71" i="88"/>
  <c r="M30" i="73" s="1"/>
  <c r="J57" i="88"/>
  <c r="J43" i="88"/>
  <c r="M30" i="81" s="1"/>
  <c r="AA57" i="88"/>
  <c r="AD30" i="72" s="1"/>
  <c r="AA43" i="88"/>
  <c r="AD30" i="81" s="1"/>
  <c r="AA71" i="88"/>
  <c r="AD30" i="73" s="1"/>
  <c r="N71" i="88"/>
  <c r="Q30" i="73" s="1"/>
  <c r="N57" i="88"/>
  <c r="Q30" i="72" s="1"/>
  <c r="N43" i="88"/>
  <c r="Q30" i="81" s="1"/>
  <c r="S43" i="88"/>
  <c r="V30" i="81" s="1"/>
  <c r="S57" i="88"/>
  <c r="V30" i="72" s="1"/>
  <c r="S71" i="88"/>
  <c r="V30" i="73" s="1"/>
  <c r="AC57" i="88"/>
  <c r="AF30" i="72" s="1"/>
  <c r="AC43" i="88"/>
  <c r="AF30" i="81" s="1"/>
  <c r="AC71" i="88"/>
  <c r="AF30" i="73" s="1"/>
  <c r="AB57" i="88"/>
  <c r="AE30" i="72" s="1"/>
  <c r="AB71" i="88"/>
  <c r="AE30" i="73" s="1"/>
  <c r="AB43" i="88"/>
  <c r="AE30" i="81" s="1"/>
  <c r="N19" i="75"/>
  <c r="J20" i="75"/>
  <c r="M19" i="75"/>
  <c r="K19" i="75"/>
  <c r="I21" i="75"/>
  <c r="K18" i="75"/>
  <c r="M18" i="75"/>
  <c r="AD20" i="75"/>
  <c r="Z20" i="75"/>
  <c r="V20" i="75"/>
  <c r="S20" i="75"/>
  <c r="J18" i="75"/>
  <c r="AD18" i="75"/>
  <c r="V21" i="75"/>
  <c r="AE19" i="75"/>
  <c r="O20" i="75"/>
  <c r="T21" i="75"/>
  <c r="J21" i="75"/>
  <c r="AC19" i="75"/>
  <c r="X20" i="75"/>
  <c r="W21" i="75"/>
  <c r="Z21" i="75"/>
  <c r="AF19" i="75"/>
  <c r="P21" i="75"/>
  <c r="AC20" i="75"/>
  <c r="Q21" i="75"/>
  <c r="N20" i="75"/>
  <c r="V18" i="75"/>
  <c r="AB20" i="75"/>
  <c r="AB19" i="75"/>
  <c r="W18" i="75"/>
  <c r="R19" i="75"/>
  <c r="AD21" i="75"/>
  <c r="V14" i="85"/>
  <c r="Q19" i="75"/>
  <c r="AE21" i="75"/>
  <c r="L14" i="85"/>
  <c r="X18" i="75"/>
  <c r="AC21" i="75"/>
  <c r="P19" i="75"/>
  <c r="W19" i="75"/>
  <c r="AF18" i="75"/>
  <c r="AB14" i="85"/>
  <c r="P18" i="75"/>
  <c r="J19" i="75"/>
  <c r="AA18" i="75"/>
  <c r="Y19" i="75"/>
  <c r="K20" i="75"/>
  <c r="M14" i="85"/>
  <c r="S18" i="75"/>
  <c r="L20" i="75"/>
  <c r="K14" i="85"/>
  <c r="Q18" i="75"/>
  <c r="V19" i="75"/>
  <c r="T14" i="85"/>
  <c r="AB21" i="75"/>
  <c r="AG21" i="75"/>
  <c r="N14" i="85"/>
  <c r="U21" i="75"/>
  <c r="S21" i="75"/>
  <c r="L19" i="75"/>
  <c r="AE18" i="75"/>
  <c r="AC14" i="85"/>
  <c r="AF14" i="85"/>
  <c r="AD14" i="85"/>
  <c r="I14" i="85"/>
  <c r="AE14" i="85"/>
  <c r="H14" i="85"/>
  <c r="AG14" i="85"/>
  <c r="O14" i="85"/>
  <c r="Q30" i="68"/>
  <c r="I30" i="68"/>
  <c r="I30" i="73"/>
  <c r="Z30" i="68"/>
  <c r="Y30" i="68"/>
  <c r="AB30" i="68"/>
  <c r="S30" i="68"/>
  <c r="AE30" i="68"/>
  <c r="P30" i="68"/>
  <c r="AA30" i="68"/>
  <c r="Q33" i="81"/>
  <c r="J30" i="68"/>
  <c r="K30" i="68"/>
  <c r="AF30" i="68"/>
  <c r="AC30" i="81"/>
  <c r="X30" i="68"/>
  <c r="O30" i="68"/>
  <c r="R30" i="68"/>
  <c r="T30" i="68"/>
  <c r="U30" i="68"/>
  <c r="L30" i="68"/>
  <c r="W30" i="68"/>
  <c r="N30" i="68"/>
  <c r="AC30" i="68"/>
  <c r="AD30" i="68"/>
  <c r="M30" i="68"/>
  <c r="AG30" i="68"/>
  <c r="V30" i="68"/>
  <c r="K21" i="75"/>
  <c r="AA20" i="75"/>
  <c r="AC18" i="75"/>
  <c r="U14" i="85"/>
  <c r="T19" i="75"/>
  <c r="T20" i="75"/>
  <c r="I18" i="75"/>
  <c r="Q14" i="85"/>
  <c r="AA19" i="75"/>
  <c r="U20" i="75"/>
  <c r="I15" i="75"/>
  <c r="F15" i="75" s="1"/>
  <c r="AA14" i="85"/>
  <c r="Z18" i="75"/>
  <c r="X19" i="75"/>
  <c r="Q20" i="75"/>
  <c r="AG19" i="75"/>
  <c r="I20" i="75"/>
  <c r="I22" i="75" s="1"/>
  <c r="Y14" i="85"/>
  <c r="S14" i="85"/>
  <c r="U18" i="75"/>
  <c r="R18" i="75"/>
  <c r="AD19" i="75"/>
  <c r="L18" i="75"/>
  <c r="AE20" i="75"/>
  <c r="AB18" i="75"/>
  <c r="U19" i="75"/>
  <c r="M20" i="75"/>
  <c r="AF20" i="75"/>
  <c r="I19" i="75"/>
  <c r="N28" i="82"/>
  <c r="AG28" i="82"/>
  <c r="M28" i="82"/>
  <c r="AF28" i="82"/>
  <c r="L28" i="82"/>
  <c r="AE28" i="82"/>
  <c r="K28" i="82"/>
  <c r="AD28" i="82"/>
  <c r="J28" i="82"/>
  <c r="AC28" i="82"/>
  <c r="I28" i="82"/>
  <c r="AB28" i="82"/>
  <c r="AA28" i="82"/>
  <c r="Z28" i="82"/>
  <c r="Y28" i="82"/>
  <c r="X28" i="82"/>
  <c r="W28" i="82"/>
  <c r="V28" i="82"/>
  <c r="U28" i="82"/>
  <c r="T28" i="82"/>
  <c r="S28" i="82"/>
  <c r="R28" i="82"/>
  <c r="Q28" i="82"/>
  <c r="P28" i="82"/>
  <c r="O28" i="82"/>
  <c r="AC28" i="68"/>
  <c r="AC99" i="75" s="1"/>
  <c r="J28" i="68"/>
  <c r="J99" i="75" s="1"/>
  <c r="AD28" i="68"/>
  <c r="AD99" i="75" s="1"/>
  <c r="K28" i="68"/>
  <c r="K99" i="75" s="1"/>
  <c r="AE28" i="68"/>
  <c r="AF28" i="68"/>
  <c r="L28" i="68"/>
  <c r="L99" i="75" s="1"/>
  <c r="I28" i="68"/>
  <c r="I99" i="75" s="1"/>
  <c r="N28" i="68"/>
  <c r="N99" i="75" s="1"/>
  <c r="M28" i="68"/>
  <c r="M99" i="75" s="1"/>
  <c r="AG28" i="68"/>
  <c r="P28" i="68"/>
  <c r="P99" i="75" s="1"/>
  <c r="Q28" i="68"/>
  <c r="Q99" i="75" s="1"/>
  <c r="R28" i="68"/>
  <c r="R99" i="75" s="1"/>
  <c r="V28" i="68"/>
  <c r="V99" i="75" s="1"/>
  <c r="S28" i="68"/>
  <c r="S99" i="75" s="1"/>
  <c r="X28" i="68"/>
  <c r="X99" i="75" s="1"/>
  <c r="AB28" i="68"/>
  <c r="AB99" i="75" s="1"/>
  <c r="Y28" i="68"/>
  <c r="Y99" i="75" s="1"/>
  <c r="T28" i="68"/>
  <c r="T99" i="75" s="1"/>
  <c r="U28" i="68"/>
  <c r="U99" i="75" s="1"/>
  <c r="Z28" i="68"/>
  <c r="Z99" i="75" s="1"/>
  <c r="AA28" i="68"/>
  <c r="O28" i="68"/>
  <c r="O99" i="75" s="1"/>
  <c r="W28" i="68"/>
  <c r="W99" i="75" s="1"/>
  <c r="X28" i="72"/>
  <c r="W28" i="72"/>
  <c r="U28" i="72"/>
  <c r="AD28" i="72"/>
  <c r="V28" i="72"/>
  <c r="O28" i="72"/>
  <c r="K28" i="72"/>
  <c r="T28" i="72"/>
  <c r="S28" i="72"/>
  <c r="Q28" i="72"/>
  <c r="P28" i="72"/>
  <c r="J28" i="72"/>
  <c r="N28" i="72"/>
  <c r="AG28" i="72"/>
  <c r="AF28" i="72"/>
  <c r="L28" i="72"/>
  <c r="AC28" i="72"/>
  <c r="I28" i="72"/>
  <c r="R28" i="72"/>
  <c r="AB28" i="72"/>
  <c r="AE28" i="72"/>
  <c r="AA28" i="72"/>
  <c r="Z28" i="72"/>
  <c r="Y28" i="72"/>
  <c r="M28" i="72"/>
  <c r="AC28" i="81"/>
  <c r="I28" i="81"/>
  <c r="AB28" i="81"/>
  <c r="Z28" i="81"/>
  <c r="T28" i="81"/>
  <c r="AA28" i="81"/>
  <c r="P28" i="81"/>
  <c r="Y28" i="81"/>
  <c r="X28" i="81"/>
  <c r="V28" i="81"/>
  <c r="U28" i="81"/>
  <c r="S28" i="81"/>
  <c r="Q28" i="81"/>
  <c r="N28" i="81"/>
  <c r="AG28" i="81"/>
  <c r="M28" i="81"/>
  <c r="O28" i="81"/>
  <c r="AF28" i="81"/>
  <c r="L28" i="81"/>
  <c r="AD28" i="81"/>
  <c r="AE28" i="81"/>
  <c r="K28" i="81"/>
  <c r="J28" i="81"/>
  <c r="W28" i="81"/>
  <c r="R28" i="81"/>
  <c r="S28" i="73"/>
  <c r="R28" i="73"/>
  <c r="AG28" i="73"/>
  <c r="Q28" i="73"/>
  <c r="P28" i="73"/>
  <c r="M28" i="73"/>
  <c r="O28" i="73"/>
  <c r="N28" i="73"/>
  <c r="AF28" i="73"/>
  <c r="L28" i="73"/>
  <c r="AE28" i="73"/>
  <c r="K28" i="73"/>
  <c r="AD28" i="73"/>
  <c r="J28" i="73"/>
  <c r="AC28" i="73"/>
  <c r="I28" i="73"/>
  <c r="AB28" i="73"/>
  <c r="AA28" i="73"/>
  <c r="Z28" i="73"/>
  <c r="Y28" i="73"/>
  <c r="X28" i="73"/>
  <c r="W28" i="73"/>
  <c r="V28" i="73"/>
  <c r="U28" i="73"/>
  <c r="T28" i="73"/>
  <c r="W14" i="85"/>
  <c r="W20" i="75"/>
  <c r="O19" i="75"/>
  <c r="X21" i="75"/>
  <c r="N18" i="75"/>
  <c r="P14" i="85"/>
  <c r="Y18" i="75"/>
  <c r="AA21" i="75"/>
  <c r="Y20" i="75"/>
  <c r="AG18" i="75"/>
  <c r="Z14" i="85"/>
  <c r="R14" i="85"/>
  <c r="AG20" i="75"/>
  <c r="R20" i="75"/>
  <c r="S19" i="75"/>
  <c r="R21" i="75"/>
  <c r="O18" i="75"/>
  <c r="X14" i="85"/>
  <c r="T18" i="75"/>
  <c r="L21" i="75"/>
  <c r="P20" i="75"/>
  <c r="AF21" i="75"/>
  <c r="J14" i="85"/>
  <c r="F28" i="82"/>
  <c r="AA99" i="75"/>
  <c r="F28" i="68"/>
  <c r="F28" i="72"/>
  <c r="F28" i="81"/>
  <c r="F28" i="73"/>
  <c r="N22" i="75" l="1"/>
  <c r="AD22" i="75"/>
  <c r="M30" i="72"/>
  <c r="M36" i="72" s="1"/>
  <c r="J22" i="75"/>
  <c r="V22" i="75"/>
  <c r="Z22" i="75"/>
  <c r="M22" i="75"/>
  <c r="AA22" i="75"/>
  <c r="AB22" i="75"/>
  <c r="AE22" i="75"/>
  <c r="Q22" i="75"/>
  <c r="AC22" i="75"/>
  <c r="W22" i="75"/>
  <c r="P22" i="75"/>
  <c r="K22" i="75"/>
  <c r="S22" i="75"/>
  <c r="I30" i="81"/>
  <c r="I36" i="81" s="1"/>
  <c r="R33" i="81"/>
  <c r="R36" i="81" s="1"/>
  <c r="U22" i="75"/>
  <c r="L22" i="75"/>
  <c r="X22" i="75"/>
  <c r="T22" i="75"/>
  <c r="AF22" i="75"/>
  <c r="F19" i="75"/>
  <c r="AE99" i="75"/>
  <c r="AF99" i="75"/>
  <c r="AG99" i="75"/>
  <c r="AG22" i="75"/>
  <c r="Y22" i="75"/>
  <c r="F20" i="75"/>
  <c r="O22" i="75"/>
  <c r="F14" i="85"/>
  <c r="F18" i="75"/>
  <c r="F21" i="75"/>
  <c r="R22" i="75"/>
  <c r="L36" i="72"/>
  <c r="L42" i="75"/>
  <c r="T28" i="75"/>
  <c r="AG28" i="75"/>
  <c r="N36" i="72"/>
  <c r="N42" i="75"/>
  <c r="I36" i="68"/>
  <c r="I14" i="75"/>
  <c r="R36" i="82"/>
  <c r="R70" i="75"/>
  <c r="L36" i="68"/>
  <c r="L14" i="75"/>
  <c r="AF36" i="73"/>
  <c r="AF56" i="75"/>
  <c r="AF28" i="75"/>
  <c r="Z28" i="75"/>
  <c r="Q36" i="72"/>
  <c r="Q42" i="75"/>
  <c r="Z36" i="68"/>
  <c r="Z14" i="75"/>
  <c r="I36" i="82"/>
  <c r="I70" i="75"/>
  <c r="X36" i="73"/>
  <c r="X56" i="75"/>
  <c r="K36" i="81"/>
  <c r="K28" i="75"/>
  <c r="AE36" i="72"/>
  <c r="AE42" i="75"/>
  <c r="K36" i="72"/>
  <c r="K42" i="75"/>
  <c r="N36" i="68"/>
  <c r="N14" i="75"/>
  <c r="AA36" i="82"/>
  <c r="AA70" i="75"/>
  <c r="O36" i="73"/>
  <c r="O56" i="75"/>
  <c r="Q36" i="81"/>
  <c r="Q28" i="75"/>
  <c r="J36" i="72"/>
  <c r="J42" i="75"/>
  <c r="R36" i="72"/>
  <c r="R42" i="75"/>
  <c r="AG36" i="68"/>
  <c r="AG14" i="75"/>
  <c r="J36" i="82"/>
  <c r="J70" i="75"/>
  <c r="AD36" i="68"/>
  <c r="AD14" i="75"/>
  <c r="AB36" i="82"/>
  <c r="AB70" i="75"/>
  <c r="AE36" i="73"/>
  <c r="AE56" i="75"/>
  <c r="U28" i="75"/>
  <c r="V36" i="72"/>
  <c r="V42" i="75"/>
  <c r="AD36" i="72"/>
  <c r="AD42" i="75"/>
  <c r="V36" i="73"/>
  <c r="V56" i="75"/>
  <c r="R28" i="75"/>
  <c r="M42" i="75"/>
  <c r="T36" i="72"/>
  <c r="T42" i="75"/>
  <c r="Y36" i="68"/>
  <c r="Y14" i="75"/>
  <c r="U36" i="82"/>
  <c r="U70" i="75"/>
  <c r="AB36" i="73"/>
  <c r="AB56" i="75"/>
  <c r="N36" i="81"/>
  <c r="N28" i="75"/>
  <c r="AC36" i="72"/>
  <c r="AC42" i="75"/>
  <c r="Y36" i="72"/>
  <c r="Y42" i="75"/>
  <c r="O36" i="68"/>
  <c r="O14" i="75"/>
  <c r="P36" i="82"/>
  <c r="P70" i="75"/>
  <c r="S36" i="73"/>
  <c r="S56" i="75"/>
  <c r="X28" i="75"/>
  <c r="AG36" i="72"/>
  <c r="AG42" i="75"/>
  <c r="AA36" i="68"/>
  <c r="AA14" i="75"/>
  <c r="AE36" i="82"/>
  <c r="AE70" i="75"/>
  <c r="T36" i="73"/>
  <c r="T56" i="75"/>
  <c r="J36" i="81"/>
  <c r="J28" i="75"/>
  <c r="AB36" i="72"/>
  <c r="AB42" i="75"/>
  <c r="M36" i="68"/>
  <c r="M14" i="75"/>
  <c r="X36" i="68"/>
  <c r="X14" i="75"/>
  <c r="T36" i="82"/>
  <c r="T70" i="75"/>
  <c r="AF36" i="82"/>
  <c r="AF70" i="75"/>
  <c r="AB28" i="75"/>
  <c r="AF36" i="68"/>
  <c r="AF14" i="75"/>
  <c r="Y36" i="73"/>
  <c r="Y56" i="75"/>
  <c r="Q36" i="73"/>
  <c r="Q56" i="75"/>
  <c r="P36" i="81"/>
  <c r="P28" i="75"/>
  <c r="O36" i="72"/>
  <c r="O42" i="75"/>
  <c r="W36" i="68"/>
  <c r="W14" i="75"/>
  <c r="T36" i="68"/>
  <c r="T14" i="75"/>
  <c r="M36" i="82"/>
  <c r="M70" i="75"/>
  <c r="K36" i="73"/>
  <c r="K56" i="75"/>
  <c r="R36" i="73"/>
  <c r="R56" i="75"/>
  <c r="M36" i="81"/>
  <c r="M28" i="75"/>
  <c r="P36" i="72"/>
  <c r="P42" i="75"/>
  <c r="V36" i="68"/>
  <c r="V14" i="75"/>
  <c r="Q36" i="68"/>
  <c r="Q14" i="75"/>
  <c r="L36" i="82"/>
  <c r="L70" i="75"/>
  <c r="U36" i="73"/>
  <c r="U56" i="75"/>
  <c r="I28" i="75"/>
  <c r="AA36" i="72"/>
  <c r="AA42" i="75"/>
  <c r="U36" i="68"/>
  <c r="U14" i="75"/>
  <c r="K36" i="68"/>
  <c r="K14" i="75"/>
  <c r="O36" i="82"/>
  <c r="O70" i="75"/>
  <c r="I36" i="73"/>
  <c r="I56" i="75"/>
  <c r="J36" i="73"/>
  <c r="J56" i="75"/>
  <c r="O36" i="81"/>
  <c r="O28" i="75"/>
  <c r="X36" i="72"/>
  <c r="X42" i="75"/>
  <c r="P36" i="68"/>
  <c r="P14" i="75"/>
  <c r="AG36" i="82"/>
  <c r="AG70" i="75"/>
  <c r="P36" i="73"/>
  <c r="P56" i="75"/>
  <c r="AD36" i="73"/>
  <c r="AD56" i="75"/>
  <c r="Y28" i="75"/>
  <c r="U36" i="72"/>
  <c r="U42" i="75"/>
  <c r="R36" i="68"/>
  <c r="R14" i="75"/>
  <c r="N36" i="82"/>
  <c r="N70" i="75"/>
  <c r="K36" i="82"/>
  <c r="K70" i="75"/>
  <c r="AC36" i="68"/>
  <c r="AC14" i="75"/>
  <c r="AC36" i="82"/>
  <c r="AC70" i="75"/>
  <c r="N36" i="73"/>
  <c r="N56" i="75"/>
  <c r="W28" i="75"/>
  <c r="S28" i="75"/>
  <c r="W36" i="72"/>
  <c r="W42" i="75"/>
  <c r="J36" i="68"/>
  <c r="J14" i="75"/>
  <c r="X36" i="82"/>
  <c r="X70" i="75"/>
  <c r="Y36" i="82"/>
  <c r="Y70" i="75"/>
  <c r="L36" i="73"/>
  <c r="L56" i="75"/>
  <c r="AC36" i="73"/>
  <c r="AC56" i="75"/>
  <c r="AG36" i="73"/>
  <c r="AG56" i="75"/>
  <c r="Z36" i="73"/>
  <c r="Z56" i="75"/>
  <c r="AA28" i="75"/>
  <c r="Z36" i="72"/>
  <c r="Z42" i="75"/>
  <c r="S36" i="68"/>
  <c r="S14" i="75"/>
  <c r="Z36" i="82"/>
  <c r="Z70" i="75"/>
  <c r="V36" i="82"/>
  <c r="V70" i="75"/>
  <c r="AA36" i="73"/>
  <c r="AA56" i="75"/>
  <c r="AE28" i="75"/>
  <c r="AD28" i="75"/>
  <c r="AF36" i="72"/>
  <c r="AF42" i="75"/>
  <c r="AB36" i="68"/>
  <c r="AB14" i="75"/>
  <c r="Q36" i="82"/>
  <c r="Q70" i="75"/>
  <c r="AD36" i="82"/>
  <c r="AD70" i="75"/>
  <c r="I36" i="72"/>
  <c r="I42" i="75"/>
  <c r="W36" i="73"/>
  <c r="W56" i="75"/>
  <c r="L36" i="81"/>
  <c r="L28" i="75"/>
  <c r="M36" i="73"/>
  <c r="M56" i="75"/>
  <c r="AC28" i="75"/>
  <c r="V28" i="75"/>
  <c r="S36" i="72"/>
  <c r="S42" i="75"/>
  <c r="AE36" i="68"/>
  <c r="AE14" i="75"/>
  <c r="S36" i="82"/>
  <c r="S70" i="75"/>
  <c r="W36" i="82"/>
  <c r="W70" i="75"/>
  <c r="S33" i="81" l="1"/>
  <c r="S36" i="81" s="1"/>
  <c r="D99" i="75"/>
  <c r="AC64" i="82"/>
  <c r="AC84" i="82" s="1"/>
  <c r="AC108" i="82" s="1"/>
  <c r="AC64" i="72"/>
  <c r="AC84" i="72" s="1"/>
  <c r="AC108" i="72" s="1"/>
  <c r="AC64" i="73"/>
  <c r="AC84" i="73" s="1"/>
  <c r="AC108" i="73" s="1"/>
  <c r="AC16" i="75"/>
  <c r="P64" i="72"/>
  <c r="P64" i="73"/>
  <c r="P64" i="82"/>
  <c r="P16" i="75"/>
  <c r="U64" i="73"/>
  <c r="U84" i="73" s="1"/>
  <c r="U108" i="73" s="1"/>
  <c r="U64" i="72"/>
  <c r="U84" i="72" s="1"/>
  <c r="U108" i="72" s="1"/>
  <c r="U64" i="82"/>
  <c r="U84" i="82" s="1"/>
  <c r="U108" i="82" s="1"/>
  <c r="U16" i="75"/>
  <c r="F42" i="75"/>
  <c r="J64" i="82"/>
  <c r="AE64" i="73"/>
  <c r="AE84" i="73" s="1"/>
  <c r="AE108" i="73" s="1"/>
  <c r="AE64" i="82"/>
  <c r="AE84" i="82" s="1"/>
  <c r="AE108" i="82" s="1"/>
  <c r="AE64" i="72"/>
  <c r="AE84" i="72" s="1"/>
  <c r="AE108" i="72" s="1"/>
  <c r="AE16" i="75"/>
  <c r="F28" i="75"/>
  <c r="O64" i="82"/>
  <c r="O64" i="72"/>
  <c r="O64" i="73"/>
  <c r="O16" i="75"/>
  <c r="J64" i="73"/>
  <c r="J64" i="72"/>
  <c r="J16" i="75"/>
  <c r="S64" i="82"/>
  <c r="S84" i="82" s="1"/>
  <c r="S108" i="82" s="1"/>
  <c r="S64" i="72"/>
  <c r="S84" i="72" s="1"/>
  <c r="S108" i="72" s="1"/>
  <c r="S64" i="73"/>
  <c r="S84" i="73" s="1"/>
  <c r="S108" i="73" s="1"/>
  <c r="S16" i="75"/>
  <c r="AG64" i="73"/>
  <c r="AG84" i="73" s="1"/>
  <c r="AG108" i="73" s="1"/>
  <c r="AG64" i="82"/>
  <c r="AG84" i="82" s="1"/>
  <c r="AG108" i="82" s="1"/>
  <c r="AG64" i="72"/>
  <c r="AG84" i="72" s="1"/>
  <c r="AG108" i="72" s="1"/>
  <c r="AG16" i="75"/>
  <c r="L64" i="82"/>
  <c r="L64" i="72"/>
  <c r="L64" i="73"/>
  <c r="L16" i="75"/>
  <c r="AF64" i="73"/>
  <c r="AF84" i="73" s="1"/>
  <c r="AF108" i="73" s="1"/>
  <c r="AF64" i="82"/>
  <c r="AF84" i="82" s="1"/>
  <c r="AF108" i="82" s="1"/>
  <c r="AF64" i="72"/>
  <c r="AF84" i="72" s="1"/>
  <c r="AF108" i="72" s="1"/>
  <c r="AF16" i="75"/>
  <c r="R64" i="82"/>
  <c r="R84" i="82" s="1"/>
  <c r="R108" i="82" s="1"/>
  <c r="R64" i="73"/>
  <c r="R84" i="73" s="1"/>
  <c r="R108" i="73" s="1"/>
  <c r="R64" i="72"/>
  <c r="R84" i="72" s="1"/>
  <c r="R108" i="72" s="1"/>
  <c r="R16" i="75"/>
  <c r="F56" i="75"/>
  <c r="F70" i="75"/>
  <c r="F14" i="75"/>
  <c r="AA64" i="82"/>
  <c r="AA84" i="82" s="1"/>
  <c r="AA108" i="82" s="1"/>
  <c r="AA64" i="72"/>
  <c r="AA84" i="72" s="1"/>
  <c r="AA108" i="72" s="1"/>
  <c r="AA64" i="73"/>
  <c r="AA84" i="73" s="1"/>
  <c r="AA108" i="73" s="1"/>
  <c r="AA16" i="75"/>
  <c r="I64" i="72"/>
  <c r="I64" i="82"/>
  <c r="I64" i="73"/>
  <c r="I16" i="75"/>
  <c r="K64" i="73"/>
  <c r="K64" i="72"/>
  <c r="K64" i="82"/>
  <c r="K16" i="75"/>
  <c r="V64" i="82"/>
  <c r="V84" i="82" s="1"/>
  <c r="V108" i="82" s="1"/>
  <c r="V64" i="73"/>
  <c r="V84" i="73" s="1"/>
  <c r="V108" i="73" s="1"/>
  <c r="V64" i="72"/>
  <c r="V84" i="72" s="1"/>
  <c r="V108" i="72" s="1"/>
  <c r="V16" i="75"/>
  <c r="W64" i="82"/>
  <c r="W84" i="82" s="1"/>
  <c r="W108" i="82" s="1"/>
  <c r="W64" i="72"/>
  <c r="W84" i="72" s="1"/>
  <c r="W108" i="72" s="1"/>
  <c r="W64" i="73"/>
  <c r="W84" i="73" s="1"/>
  <c r="W108" i="73" s="1"/>
  <c r="W16" i="75"/>
  <c r="Z64" i="72"/>
  <c r="Z84" i="72" s="1"/>
  <c r="Z108" i="72" s="1"/>
  <c r="Z64" i="73"/>
  <c r="Z84" i="73" s="1"/>
  <c r="Z108" i="73" s="1"/>
  <c r="Z64" i="82"/>
  <c r="Z84" i="82" s="1"/>
  <c r="Z108" i="82" s="1"/>
  <c r="Z16" i="75"/>
  <c r="AB64" i="72"/>
  <c r="AB84" i="72" s="1"/>
  <c r="AB108" i="72" s="1"/>
  <c r="AB64" i="73"/>
  <c r="AB84" i="73" s="1"/>
  <c r="AB108" i="73" s="1"/>
  <c r="AB64" i="82"/>
  <c r="AB84" i="82" s="1"/>
  <c r="AB108" i="82" s="1"/>
  <c r="AB16" i="75"/>
  <c r="X64" i="72"/>
  <c r="X84" i="72" s="1"/>
  <c r="X108" i="72" s="1"/>
  <c r="X64" i="82"/>
  <c r="X84" i="82" s="1"/>
  <c r="X108" i="82" s="1"/>
  <c r="X64" i="73"/>
  <c r="X84" i="73" s="1"/>
  <c r="X108" i="73" s="1"/>
  <c r="X16" i="75"/>
  <c r="Y64" i="73"/>
  <c r="Y84" i="73" s="1"/>
  <c r="Y108" i="73" s="1"/>
  <c r="Y64" i="82"/>
  <c r="Y84" i="82" s="1"/>
  <c r="Y108" i="82" s="1"/>
  <c r="Y64" i="72"/>
  <c r="Y84" i="72" s="1"/>
  <c r="Y108" i="72" s="1"/>
  <c r="Y16" i="75"/>
  <c r="N64" i="82"/>
  <c r="N64" i="73"/>
  <c r="N64" i="72"/>
  <c r="N16" i="75"/>
  <c r="Q64" i="82"/>
  <c r="Q64" i="73"/>
  <c r="Q64" i="72"/>
  <c r="Q16" i="75"/>
  <c r="T64" i="72"/>
  <c r="T84" i="72" s="1"/>
  <c r="T108" i="72" s="1"/>
  <c r="T64" i="73"/>
  <c r="T84" i="73" s="1"/>
  <c r="T108" i="73" s="1"/>
  <c r="T64" i="82"/>
  <c r="T84" i="82" s="1"/>
  <c r="T108" i="82" s="1"/>
  <c r="T16" i="75"/>
  <c r="M64" i="82"/>
  <c r="M64" i="73"/>
  <c r="M64" i="72"/>
  <c r="M16" i="75"/>
  <c r="AD64" i="73"/>
  <c r="AD84" i="73" s="1"/>
  <c r="AD108" i="73" s="1"/>
  <c r="AD64" i="72"/>
  <c r="AD84" i="72" s="1"/>
  <c r="AD108" i="72" s="1"/>
  <c r="AD64" i="82"/>
  <c r="AD84" i="82" s="1"/>
  <c r="AD108" i="82" s="1"/>
  <c r="AD16" i="75"/>
  <c r="C64" i="81"/>
  <c r="C64" i="73"/>
  <c r="C15" i="75"/>
  <c r="D15" i="75" s="1"/>
  <c r="D57" i="75"/>
  <c r="D60" i="75"/>
  <c r="C18" i="75"/>
  <c r="D74" i="75"/>
  <c r="D63" i="75"/>
  <c r="D61" i="75"/>
  <c r="D64" i="75"/>
  <c r="D36" i="75"/>
  <c r="D78" i="75"/>
  <c r="D22" i="75"/>
  <c r="D71" i="75"/>
  <c r="C29" i="75"/>
  <c r="D29" i="75" s="1"/>
  <c r="C35" i="75"/>
  <c r="D35" i="75" s="1"/>
  <c r="D77" i="75"/>
  <c r="C21" i="75"/>
  <c r="D21" i="75" s="1"/>
  <c r="C33" i="75"/>
  <c r="D33" i="75" s="1"/>
  <c r="C19" i="75"/>
  <c r="D75" i="75"/>
  <c r="C32" i="75"/>
  <c r="D32" i="75" s="1"/>
  <c r="D19" i="75" l="1"/>
  <c r="D18" i="75"/>
  <c r="T33" i="81"/>
  <c r="T36" i="81" s="1"/>
  <c r="Q92" i="75"/>
  <c r="AB92" i="75"/>
  <c r="K92" i="75"/>
  <c r="R92" i="75"/>
  <c r="S92" i="75"/>
  <c r="Q84" i="73"/>
  <c r="Q108" i="73" s="1"/>
  <c r="K84" i="72"/>
  <c r="K108" i="72" s="1"/>
  <c r="I84" i="73"/>
  <c r="I108" i="73" s="1"/>
  <c r="P84" i="82"/>
  <c r="P108" i="82" s="1"/>
  <c r="L84" i="73"/>
  <c r="L108" i="73" s="1"/>
  <c r="M84" i="73"/>
  <c r="M108" i="73" s="1"/>
  <c r="P84" i="72"/>
  <c r="P108" i="72" s="1"/>
  <c r="Q84" i="72"/>
  <c r="Q108" i="72" s="1"/>
  <c r="J84" i="82"/>
  <c r="J108" i="82" s="1"/>
  <c r="Q84" i="82"/>
  <c r="Q108" i="82" s="1"/>
  <c r="J84" i="73"/>
  <c r="J108" i="73" s="1"/>
  <c r="I84" i="82"/>
  <c r="I108" i="82" s="1"/>
  <c r="M84" i="72"/>
  <c r="M108" i="72" s="1"/>
  <c r="O84" i="72"/>
  <c r="O108" i="72" s="1"/>
  <c r="L84" i="72"/>
  <c r="L108" i="72" s="1"/>
  <c r="O84" i="82"/>
  <c r="O108" i="82" s="1"/>
  <c r="M84" i="82"/>
  <c r="M108" i="82" s="1"/>
  <c r="K84" i="73"/>
  <c r="K108" i="73" s="1"/>
  <c r="J84" i="72"/>
  <c r="J108" i="72" s="1"/>
  <c r="N84" i="72"/>
  <c r="N108" i="72" s="1"/>
  <c r="N84" i="73"/>
  <c r="N108" i="73" s="1"/>
  <c r="N84" i="82"/>
  <c r="N108" i="82" s="1"/>
  <c r="I84" i="72"/>
  <c r="I108" i="72" s="1"/>
  <c r="O84" i="73"/>
  <c r="O108" i="73" s="1"/>
  <c r="P84" i="73"/>
  <c r="P108" i="73" s="1"/>
  <c r="L84" i="82"/>
  <c r="L108" i="82" s="1"/>
  <c r="K84" i="82"/>
  <c r="K108" i="82" s="1"/>
  <c r="AD92" i="75"/>
  <c r="U92" i="75"/>
  <c r="N92" i="75"/>
  <c r="Z92" i="75"/>
  <c r="I92" i="75"/>
  <c r="AF92" i="75"/>
  <c r="J92" i="75"/>
  <c r="M92" i="75"/>
  <c r="O92" i="75"/>
  <c r="P92" i="75"/>
  <c r="Y92" i="75"/>
  <c r="W92" i="75"/>
  <c r="L92" i="75"/>
  <c r="AA92" i="75"/>
  <c r="T92" i="75"/>
  <c r="AC92" i="75"/>
  <c r="X92" i="75"/>
  <c r="V92" i="75"/>
  <c r="AG92" i="75"/>
  <c r="AE92" i="75"/>
  <c r="AD87" i="72"/>
  <c r="AD106" i="72" s="1"/>
  <c r="Z87" i="72"/>
  <c r="Z106" i="72" s="1"/>
  <c r="AE87" i="73"/>
  <c r="AE106" i="73" s="1"/>
  <c r="S87" i="73"/>
  <c r="S106" i="73" s="1"/>
  <c r="R87" i="72"/>
  <c r="R106" i="72" s="1"/>
  <c r="S87" i="72"/>
  <c r="S106" i="72" s="1"/>
  <c r="AB87" i="82"/>
  <c r="AB106" i="82" s="1"/>
  <c r="AB87" i="72"/>
  <c r="AB106" i="72" s="1"/>
  <c r="R87" i="73"/>
  <c r="R106" i="73" s="1"/>
  <c r="AD87" i="82"/>
  <c r="AD106" i="82" s="1"/>
  <c r="R87" i="82"/>
  <c r="R106" i="82" s="1"/>
  <c r="S87" i="82"/>
  <c r="S106" i="82" s="1"/>
  <c r="Z87" i="82"/>
  <c r="Z106" i="82" s="1"/>
  <c r="AD87" i="73"/>
  <c r="AD106" i="73" s="1"/>
  <c r="Z87" i="73"/>
  <c r="Z106" i="73" s="1"/>
  <c r="AF87" i="72"/>
  <c r="AF106" i="72" s="1"/>
  <c r="U87" i="82"/>
  <c r="U106" i="82" s="1"/>
  <c r="AF87" i="82"/>
  <c r="AF106" i="82" s="1"/>
  <c r="U87" i="72"/>
  <c r="U106" i="72" s="1"/>
  <c r="AF87" i="73"/>
  <c r="AF106" i="73" s="1"/>
  <c r="U87" i="73"/>
  <c r="U106" i="73" s="1"/>
  <c r="W87" i="72"/>
  <c r="W106" i="72" s="1"/>
  <c r="Y87" i="73"/>
  <c r="Y106" i="73" s="1"/>
  <c r="AA87" i="72"/>
  <c r="AA106" i="72" s="1"/>
  <c r="AA87" i="82"/>
  <c r="AA106" i="82" s="1"/>
  <c r="AB87" i="73"/>
  <c r="AB106" i="73" s="1"/>
  <c r="Y87" i="72"/>
  <c r="Y106" i="72" s="1"/>
  <c r="AC87" i="73"/>
  <c r="AC106" i="73" s="1"/>
  <c r="W87" i="73"/>
  <c r="W106" i="73" s="1"/>
  <c r="T87" i="82"/>
  <c r="T106" i="82" s="1"/>
  <c r="V87" i="73"/>
  <c r="V106" i="73" s="1"/>
  <c r="AG87" i="72"/>
  <c r="AG106" i="72" s="1"/>
  <c r="AC87" i="72"/>
  <c r="AC106" i="72" s="1"/>
  <c r="Y87" i="82"/>
  <c r="Y106" i="82" s="1"/>
  <c r="X87" i="73"/>
  <c r="X106" i="73" s="1"/>
  <c r="T87" i="72"/>
  <c r="T106" i="72" s="1"/>
  <c r="X87" i="82"/>
  <c r="X106" i="82" s="1"/>
  <c r="V87" i="82"/>
  <c r="V106" i="82" s="1"/>
  <c r="AG87" i="82"/>
  <c r="AG106" i="82" s="1"/>
  <c r="AE87" i="72"/>
  <c r="AE106" i="72" s="1"/>
  <c r="W87" i="82"/>
  <c r="W106" i="82" s="1"/>
  <c r="AA87" i="73"/>
  <c r="AA106" i="73" s="1"/>
  <c r="V87" i="72"/>
  <c r="V106" i="72" s="1"/>
  <c r="T87" i="73"/>
  <c r="T106" i="73" s="1"/>
  <c r="X87" i="72"/>
  <c r="X106" i="72" s="1"/>
  <c r="AG87" i="73"/>
  <c r="AG106" i="73" s="1"/>
  <c r="AE87" i="82"/>
  <c r="AE106" i="82" s="1"/>
  <c r="AC87" i="82"/>
  <c r="AC106" i="82" s="1"/>
  <c r="H13" i="33"/>
  <c r="U33" i="81" l="1"/>
  <c r="U36" i="81" s="1"/>
  <c r="P87" i="72"/>
  <c r="P106" i="72" s="1"/>
  <c r="P111" i="72" s="1" a="1"/>
  <c r="P111" i="72" s="1"/>
  <c r="K87" i="72"/>
  <c r="K106" i="72" s="1"/>
  <c r="K114" i="72" s="1" a="1"/>
  <c r="K114" i="72" s="1"/>
  <c r="J87" i="72"/>
  <c r="J106" i="72" s="1"/>
  <c r="J115" i="72" s="1" a="1"/>
  <c r="J115" i="72" s="1"/>
  <c r="AB111" i="82" a="1"/>
  <c r="AB111" i="82" s="1"/>
  <c r="AB117" i="82" a="1"/>
  <c r="AB117" i="82" s="1"/>
  <c r="AB114" i="82" a="1"/>
  <c r="AB114" i="82" s="1"/>
  <c r="AB110" i="82" a="1"/>
  <c r="AB110" i="82" s="1"/>
  <c r="AB112" i="82" a="1"/>
  <c r="AB112" i="82" s="1"/>
  <c r="AB115" i="82" a="1"/>
  <c r="AB115" i="82" s="1"/>
  <c r="AB113" i="82" a="1"/>
  <c r="AB113" i="82" s="1"/>
  <c r="AB116" i="82" a="1"/>
  <c r="AB116" i="82" s="1"/>
  <c r="X112" i="82" a="1"/>
  <c r="X112" i="82" s="1"/>
  <c r="X115" i="82" a="1"/>
  <c r="X115" i="82" s="1"/>
  <c r="X111" i="82" a="1"/>
  <c r="X111" i="82" s="1"/>
  <c r="X117" i="82" a="1"/>
  <c r="X117" i="82" s="1"/>
  <c r="X114" i="82" a="1"/>
  <c r="X114" i="82" s="1"/>
  <c r="X116" i="82" a="1"/>
  <c r="X116" i="82" s="1"/>
  <c r="X113" i="82" a="1"/>
  <c r="X113" i="82" s="1"/>
  <c r="X110" i="82" a="1"/>
  <c r="X110" i="82" s="1"/>
  <c r="AA115" i="82" a="1"/>
  <c r="AA115" i="82" s="1"/>
  <c r="AA111" i="82" a="1"/>
  <c r="AA111" i="82" s="1"/>
  <c r="AA117" i="82" a="1"/>
  <c r="AA117" i="82" s="1"/>
  <c r="AA114" i="82" a="1"/>
  <c r="AA114" i="82" s="1"/>
  <c r="AA112" i="82" a="1"/>
  <c r="AA112" i="82" s="1"/>
  <c r="AA116" i="82" a="1"/>
  <c r="AA116" i="82" s="1"/>
  <c r="AA110" i="82" a="1"/>
  <c r="AA110" i="82" s="1"/>
  <c r="AA113" i="82" a="1"/>
  <c r="AA113" i="82" s="1"/>
  <c r="V113" i="72" a="1"/>
  <c r="V113" i="72" s="1"/>
  <c r="V110" i="72" a="1"/>
  <c r="V110" i="72" s="1"/>
  <c r="V116" i="72" a="1"/>
  <c r="V116" i="72" s="1"/>
  <c r="V112" i="72" a="1"/>
  <c r="V112" i="72" s="1"/>
  <c r="V115" i="72" a="1"/>
  <c r="V115" i="72" s="1"/>
  <c r="V117" i="72" a="1"/>
  <c r="V117" i="72" s="1"/>
  <c r="V114" i="72" a="1"/>
  <c r="V114" i="72" s="1"/>
  <c r="V111" i="72" a="1"/>
  <c r="V111" i="72" s="1"/>
  <c r="U113" i="72" a="1"/>
  <c r="U113" i="72" s="1"/>
  <c r="U110" i="72" a="1"/>
  <c r="U110" i="72" s="1"/>
  <c r="U116" i="72" a="1"/>
  <c r="U116" i="72" s="1"/>
  <c r="U112" i="72" a="1"/>
  <c r="U112" i="72" s="1"/>
  <c r="U117" i="72" a="1"/>
  <c r="U117" i="72" s="1"/>
  <c r="U114" i="72" a="1"/>
  <c r="U114" i="72" s="1"/>
  <c r="U111" i="72" a="1"/>
  <c r="U111" i="72" s="1"/>
  <c r="U115" i="72" a="1"/>
  <c r="U115" i="72" s="1"/>
  <c r="S113" i="82" a="1"/>
  <c r="S113" i="82" s="1"/>
  <c r="S116" i="82" a="1"/>
  <c r="S116" i="82" s="1"/>
  <c r="S112" i="82" a="1"/>
  <c r="S112" i="82" s="1"/>
  <c r="S115" i="82" a="1"/>
  <c r="S115" i="82" s="1"/>
  <c r="S114" i="82" a="1"/>
  <c r="S114" i="82" s="1"/>
  <c r="S111" i="82" a="1"/>
  <c r="S111" i="82" s="1"/>
  <c r="S117" i="82" a="1"/>
  <c r="S117" i="82" s="1"/>
  <c r="S110" i="82" a="1"/>
  <c r="S110" i="82" s="1"/>
  <c r="AD115" i="72" a="1"/>
  <c r="AD115" i="72" s="1"/>
  <c r="AD111" i="72" a="1"/>
  <c r="AD111" i="72" s="1"/>
  <c r="AD114" i="72" a="1"/>
  <c r="AD114" i="72" s="1"/>
  <c r="AD116" i="72" a="1"/>
  <c r="AD116" i="72" s="1"/>
  <c r="AD113" i="72" a="1"/>
  <c r="AD113" i="72" s="1"/>
  <c r="AD112" i="72" a="1"/>
  <c r="AD112" i="72" s="1"/>
  <c r="AD117" i="72" a="1"/>
  <c r="AD117" i="72" s="1"/>
  <c r="AD110" i="72" a="1"/>
  <c r="AD110" i="72" s="1"/>
  <c r="T117" i="72" a="1"/>
  <c r="T117" i="72" s="1"/>
  <c r="T113" i="72" a="1"/>
  <c r="T113" i="72" s="1"/>
  <c r="T110" i="72" a="1"/>
  <c r="T110" i="72" s="1"/>
  <c r="T116" i="72" a="1"/>
  <c r="T116" i="72" s="1"/>
  <c r="T112" i="72" a="1"/>
  <c r="T112" i="72" s="1"/>
  <c r="T114" i="72" a="1"/>
  <c r="T114" i="72" s="1"/>
  <c r="T111" i="72" a="1"/>
  <c r="T111" i="72" s="1"/>
  <c r="T115" i="72" a="1"/>
  <c r="T115" i="72" s="1"/>
  <c r="AD116" i="73" a="1"/>
  <c r="AD116" i="73" s="1"/>
  <c r="AD111" i="73" a="1"/>
  <c r="AD111" i="73" s="1"/>
  <c r="AD113" i="73" a="1"/>
  <c r="AD113" i="73" s="1"/>
  <c r="AD115" i="73" a="1"/>
  <c r="AD115" i="73" s="1"/>
  <c r="AD110" i="73" a="1"/>
  <c r="AD110" i="73" s="1"/>
  <c r="AD117" i="73" a="1"/>
  <c r="AD117" i="73" s="1"/>
  <c r="AD114" i="73" a="1"/>
  <c r="AD114" i="73" s="1"/>
  <c r="AD112" i="73" a="1"/>
  <c r="AD112" i="73" s="1"/>
  <c r="L87" i="72"/>
  <c r="L106" i="72" s="1"/>
  <c r="AA113" i="73" a="1"/>
  <c r="AA113" i="73" s="1"/>
  <c r="AA112" i="73" a="1"/>
  <c r="AA112" i="73" s="1"/>
  <c r="AA116" i="73" a="1"/>
  <c r="AA116" i="73" s="1"/>
  <c r="AA114" i="73" a="1"/>
  <c r="AA114" i="73" s="1"/>
  <c r="AA117" i="73" a="1"/>
  <c r="AA117" i="73" s="1"/>
  <c r="AA110" i="73" a="1"/>
  <c r="AA110" i="73" s="1"/>
  <c r="AA115" i="73" a="1"/>
  <c r="AA115" i="73" s="1"/>
  <c r="AA111" i="73" a="1"/>
  <c r="AA111" i="73" s="1"/>
  <c r="Z112" i="72" a="1"/>
  <c r="Z112" i="72" s="1"/>
  <c r="Z115" i="72" a="1"/>
  <c r="Z115" i="72" s="1"/>
  <c r="Z111" i="72" a="1"/>
  <c r="Z111" i="72" s="1"/>
  <c r="Z117" i="72" a="1"/>
  <c r="Z117" i="72" s="1"/>
  <c r="Z114" i="72" a="1"/>
  <c r="Z114" i="72" s="1"/>
  <c r="Z110" i="72" a="1"/>
  <c r="Z110" i="72" s="1"/>
  <c r="Z116" i="72" a="1"/>
  <c r="Z116" i="72" s="1"/>
  <c r="Z113" i="72" a="1"/>
  <c r="Z113" i="72" s="1"/>
  <c r="L87" i="82"/>
  <c r="L106" i="82" s="1"/>
  <c r="AC116" i="73" a="1"/>
  <c r="AC116" i="73" s="1"/>
  <c r="AC111" i="73" a="1"/>
  <c r="AC111" i="73" s="1"/>
  <c r="AC113" i="73" a="1"/>
  <c r="AC113" i="73" s="1"/>
  <c r="AC115" i="73" a="1"/>
  <c r="AC115" i="73" s="1"/>
  <c r="AC110" i="73" a="1"/>
  <c r="AC110" i="73" s="1"/>
  <c r="AC117" i="73" a="1"/>
  <c r="AC117" i="73" s="1"/>
  <c r="AC112" i="73" a="1"/>
  <c r="AC112" i="73" s="1"/>
  <c r="AC114" i="73" a="1"/>
  <c r="AC114" i="73" s="1"/>
  <c r="R110" i="82" a="1"/>
  <c r="R110" i="82" s="1"/>
  <c r="R116" i="82" a="1"/>
  <c r="R116" i="82" s="1"/>
  <c r="R113" i="82" a="1"/>
  <c r="R113" i="82" s="1"/>
  <c r="R112" i="82" a="1"/>
  <c r="R112" i="82" s="1"/>
  <c r="R115" i="82" a="1"/>
  <c r="R115" i="82" s="1"/>
  <c r="R114" i="82" a="1"/>
  <c r="R114" i="82" s="1"/>
  <c r="R111" i="82" a="1"/>
  <c r="R111" i="82" s="1"/>
  <c r="R117" i="82" a="1"/>
  <c r="R117" i="82" s="1"/>
  <c r="AE115" i="72" a="1"/>
  <c r="AE115" i="72" s="1"/>
  <c r="AE114" i="72" a="1"/>
  <c r="AE114" i="72" s="1"/>
  <c r="AE117" i="72" a="1"/>
  <c r="AE117" i="72" s="1"/>
  <c r="AE113" i="72" a="1"/>
  <c r="AE113" i="72" s="1"/>
  <c r="AE110" i="72" a="1"/>
  <c r="AE110" i="72" s="1"/>
  <c r="AE111" i="72" a="1"/>
  <c r="AE111" i="72" s="1"/>
  <c r="AE112" i="72" a="1"/>
  <c r="AE112" i="72" s="1"/>
  <c r="AE116" i="72" a="1"/>
  <c r="AE116" i="72" s="1"/>
  <c r="S115" i="73" a="1"/>
  <c r="S115" i="73" s="1"/>
  <c r="S110" i="73" a="1"/>
  <c r="S110" i="73" s="1"/>
  <c r="S112" i="73" a="1"/>
  <c r="S112" i="73" s="1"/>
  <c r="S117" i="73" a="1"/>
  <c r="S117" i="73" s="1"/>
  <c r="S114" i="73" a="1"/>
  <c r="S114" i="73" s="1"/>
  <c r="S116" i="73" a="1"/>
  <c r="S116" i="73" s="1"/>
  <c r="S111" i="73" a="1"/>
  <c r="S111" i="73" s="1"/>
  <c r="S113" i="73" a="1"/>
  <c r="S113" i="73" s="1"/>
  <c r="X116" i="72" a="1"/>
  <c r="X116" i="72" s="1"/>
  <c r="X112" i="72" a="1"/>
  <c r="X112" i="72" s="1"/>
  <c r="X115" i="72" a="1"/>
  <c r="X115" i="72" s="1"/>
  <c r="X117" i="72" a="1"/>
  <c r="X117" i="72" s="1"/>
  <c r="X113" i="72" a="1"/>
  <c r="X113" i="72" s="1"/>
  <c r="X114" i="72" a="1"/>
  <c r="X114" i="72" s="1"/>
  <c r="X110" i="72" a="1"/>
  <c r="X110" i="72" s="1"/>
  <c r="X111" i="72" a="1"/>
  <c r="X111" i="72" s="1"/>
  <c r="X117" i="73" a="1"/>
  <c r="X117" i="73" s="1"/>
  <c r="X116" i="73" a="1"/>
  <c r="X116" i="73" s="1"/>
  <c r="X111" i="73" a="1"/>
  <c r="X111" i="73" s="1"/>
  <c r="X112" i="73" a="1"/>
  <c r="X112" i="73" s="1"/>
  <c r="X110" i="73" a="1"/>
  <c r="X110" i="73" s="1"/>
  <c r="X114" i="73" a="1"/>
  <c r="X114" i="73" s="1"/>
  <c r="X115" i="73" a="1"/>
  <c r="X115" i="73" s="1"/>
  <c r="X113" i="73" a="1"/>
  <c r="X113" i="73" s="1"/>
  <c r="Y112" i="82" a="1"/>
  <c r="Y112" i="82" s="1"/>
  <c r="Y115" i="82" a="1"/>
  <c r="Y115" i="82" s="1"/>
  <c r="Y111" i="82" a="1"/>
  <c r="Y111" i="82" s="1"/>
  <c r="Y117" i="82" a="1"/>
  <c r="Y117" i="82" s="1"/>
  <c r="Y114" i="82" a="1"/>
  <c r="Y114" i="82" s="1"/>
  <c r="Y116" i="82" a="1"/>
  <c r="Y116" i="82" s="1"/>
  <c r="Y110" i="82" a="1"/>
  <c r="Y110" i="82" s="1"/>
  <c r="Y113" i="82" a="1"/>
  <c r="Y113" i="82" s="1"/>
  <c r="AF113" i="73" a="1"/>
  <c r="AF113" i="73" s="1"/>
  <c r="AF115" i="73" a="1"/>
  <c r="AF115" i="73" s="1"/>
  <c r="AF110" i="73" a="1"/>
  <c r="AF110" i="73" s="1"/>
  <c r="AF112" i="73" a="1"/>
  <c r="AF112" i="73" s="1"/>
  <c r="AF111" i="73" a="1"/>
  <c r="AF111" i="73" s="1"/>
  <c r="AF117" i="73" a="1"/>
  <c r="AF117" i="73" s="1"/>
  <c r="AF114" i="73" a="1"/>
  <c r="AF114" i="73" s="1"/>
  <c r="AF116" i="73" a="1"/>
  <c r="AF116" i="73" s="1"/>
  <c r="W115" i="82" a="1"/>
  <c r="W115" i="82" s="1"/>
  <c r="W111" i="82" a="1"/>
  <c r="W111" i="82" s="1"/>
  <c r="W117" i="82" a="1"/>
  <c r="W117" i="82" s="1"/>
  <c r="W114" i="82" a="1"/>
  <c r="W114" i="82" s="1"/>
  <c r="W116" i="82" a="1"/>
  <c r="W116" i="82" s="1"/>
  <c r="W112" i="82" a="1"/>
  <c r="W112" i="82" s="1"/>
  <c r="W110" i="82" a="1"/>
  <c r="W110" i="82" s="1"/>
  <c r="W113" i="82" a="1"/>
  <c r="W113" i="82" s="1"/>
  <c r="AC111" i="82" a="1"/>
  <c r="AC111" i="82" s="1"/>
  <c r="AC117" i="82" a="1"/>
  <c r="AC117" i="82" s="1"/>
  <c r="AC114" i="82" a="1"/>
  <c r="AC114" i="82" s="1"/>
  <c r="AC110" i="82" a="1"/>
  <c r="AC110" i="82" s="1"/>
  <c r="AC113" i="82" a="1"/>
  <c r="AC113" i="82" s="1"/>
  <c r="AC112" i="82" a="1"/>
  <c r="AC112" i="82" s="1"/>
  <c r="AC115" i="82" a="1"/>
  <c r="AC115" i="82" s="1"/>
  <c r="AC116" i="82" a="1"/>
  <c r="AC116" i="82" s="1"/>
  <c r="AE111" i="82" a="1"/>
  <c r="AE111" i="82" s="1"/>
  <c r="AE117" i="82" a="1"/>
  <c r="AE117" i="82" s="1"/>
  <c r="AE114" i="82" a="1"/>
  <c r="AE114" i="82" s="1"/>
  <c r="AE110" i="82" a="1"/>
  <c r="AE110" i="82" s="1"/>
  <c r="AE113" i="82" a="1"/>
  <c r="AE113" i="82" s="1"/>
  <c r="AE116" i="82" a="1"/>
  <c r="AE116" i="82" s="1"/>
  <c r="AE115" i="82" a="1"/>
  <c r="AE115" i="82" s="1"/>
  <c r="AE112" i="82" a="1"/>
  <c r="AE112" i="82" s="1"/>
  <c r="Y116" i="72" a="1"/>
  <c r="Y116" i="72" s="1"/>
  <c r="Y115" i="72" a="1"/>
  <c r="Y115" i="72" s="1"/>
  <c r="Y114" i="72" a="1"/>
  <c r="Y114" i="72" s="1"/>
  <c r="Y110" i="72" a="1"/>
  <c r="Y110" i="72" s="1"/>
  <c r="Y111" i="72" a="1"/>
  <c r="Y111" i="72" s="1"/>
  <c r="Y112" i="72" a="1"/>
  <c r="Y112" i="72" s="1"/>
  <c r="Y117" i="72" a="1"/>
  <c r="Y117" i="72" s="1"/>
  <c r="Y113" i="72" a="1"/>
  <c r="Y113" i="72" s="1"/>
  <c r="R117" i="72" a="1"/>
  <c r="R117" i="72" s="1"/>
  <c r="R113" i="72" a="1"/>
  <c r="R113" i="72" s="1"/>
  <c r="R110" i="72" a="1"/>
  <c r="R110" i="72" s="1"/>
  <c r="R116" i="72" a="1"/>
  <c r="R116" i="72" s="1"/>
  <c r="R111" i="72" a="1"/>
  <c r="R111" i="72" s="1"/>
  <c r="R112" i="72" a="1"/>
  <c r="R112" i="72" s="1"/>
  <c r="R114" i="72" a="1"/>
  <c r="R114" i="72" s="1"/>
  <c r="R115" i="72" a="1"/>
  <c r="R115" i="72" s="1"/>
  <c r="AA112" i="72" a="1"/>
  <c r="AA112" i="72" s="1"/>
  <c r="AA115" i="72" a="1"/>
  <c r="AA115" i="72" s="1"/>
  <c r="AA111" i="72" a="1"/>
  <c r="AA111" i="72" s="1"/>
  <c r="AA114" i="72" a="1"/>
  <c r="AA114" i="72" s="1"/>
  <c r="AA110" i="72" a="1"/>
  <c r="AA110" i="72" s="1"/>
  <c r="AA116" i="72" a="1"/>
  <c r="AA116" i="72" s="1"/>
  <c r="AA117" i="72" a="1"/>
  <c r="AA117" i="72" s="1"/>
  <c r="AA113" i="72" a="1"/>
  <c r="AA113" i="72" s="1"/>
  <c r="AG113" i="73" a="1"/>
  <c r="AG113" i="73" s="1"/>
  <c r="AG110" i="73" a="1"/>
  <c r="AG110" i="73" s="1"/>
  <c r="AG112" i="73" a="1"/>
  <c r="AG112" i="73" s="1"/>
  <c r="AG114" i="73" a="1"/>
  <c r="AG114" i="73" s="1"/>
  <c r="AG111" i="73" a="1"/>
  <c r="AG111" i="73" s="1"/>
  <c r="AG117" i="73" a="1"/>
  <c r="AG117" i="73" s="1"/>
  <c r="AG116" i="73" a="1"/>
  <c r="AG116" i="73" s="1"/>
  <c r="AG115" i="73" a="1"/>
  <c r="AG115" i="73" s="1"/>
  <c r="AG117" i="82" a="1"/>
  <c r="AG117" i="82" s="1"/>
  <c r="AG114" i="82" a="1"/>
  <c r="AG114" i="82" s="1"/>
  <c r="AG110" i="82" a="1"/>
  <c r="AG110" i="82" s="1"/>
  <c r="AG113" i="82" a="1"/>
  <c r="AG113" i="82" s="1"/>
  <c r="AG116" i="82" a="1"/>
  <c r="AG116" i="82" s="1"/>
  <c r="AG111" i="82" a="1"/>
  <c r="AG111" i="82" s="1"/>
  <c r="AG112" i="82" a="1"/>
  <c r="AG112" i="82" s="1"/>
  <c r="AG115" i="82" a="1"/>
  <c r="AG115" i="82" s="1"/>
  <c r="AG111" i="72" a="1"/>
  <c r="AG111" i="72" s="1"/>
  <c r="AG117" i="72" a="1"/>
  <c r="AG117" i="72" s="1"/>
  <c r="AG110" i="72" a="1"/>
  <c r="AG110" i="72" s="1"/>
  <c r="AG113" i="72" a="1"/>
  <c r="AG113" i="72" s="1"/>
  <c r="AG114" i="72" a="1"/>
  <c r="AG114" i="72" s="1"/>
  <c r="AG115" i="72" a="1"/>
  <c r="AG115" i="72" s="1"/>
  <c r="AG112" i="72" a="1"/>
  <c r="AG112" i="72" s="1"/>
  <c r="AG116" i="72" a="1"/>
  <c r="AG116" i="72" s="1"/>
  <c r="Y114" i="73" a="1"/>
  <c r="Y114" i="73" s="1"/>
  <c r="Y116" i="73" a="1"/>
  <c r="Y116" i="73" s="1"/>
  <c r="Y111" i="73" a="1"/>
  <c r="Y111" i="73" s="1"/>
  <c r="Y113" i="73" a="1"/>
  <c r="Y113" i="73" s="1"/>
  <c r="Y115" i="73" a="1"/>
  <c r="Y115" i="73" s="1"/>
  <c r="Y112" i="73" a="1"/>
  <c r="Y112" i="73" s="1"/>
  <c r="Y117" i="73" a="1"/>
  <c r="Y117" i="73" s="1"/>
  <c r="Y110" i="73" a="1"/>
  <c r="Y110" i="73" s="1"/>
  <c r="U112" i="82" a="1"/>
  <c r="U112" i="82" s="1"/>
  <c r="U115" i="82" a="1"/>
  <c r="U115" i="82" s="1"/>
  <c r="U110" i="82" a="1"/>
  <c r="U110" i="82" s="1"/>
  <c r="U117" i="82" a="1"/>
  <c r="U117" i="82" s="1"/>
  <c r="U116" i="82" a="1"/>
  <c r="U116" i="82" s="1"/>
  <c r="U113" i="82" a="1"/>
  <c r="U113" i="82" s="1"/>
  <c r="U111" i="82" a="1"/>
  <c r="U111" i="82" s="1"/>
  <c r="U114" i="82" a="1"/>
  <c r="U114" i="82" s="1"/>
  <c r="R115" i="73" a="1"/>
  <c r="R115" i="73" s="1"/>
  <c r="R110" i="73" a="1"/>
  <c r="R110" i="73" s="1"/>
  <c r="R112" i="73" a="1"/>
  <c r="R112" i="73" s="1"/>
  <c r="R117" i="73" a="1"/>
  <c r="R117" i="73" s="1"/>
  <c r="R114" i="73" a="1"/>
  <c r="R114" i="73" s="1"/>
  <c r="R111" i="73" a="1"/>
  <c r="R111" i="73" s="1"/>
  <c r="R116" i="73" a="1"/>
  <c r="R116" i="73" s="1"/>
  <c r="R113" i="73" a="1"/>
  <c r="R113" i="73" s="1"/>
  <c r="AE113" i="73" a="1"/>
  <c r="AE113" i="73" s="1"/>
  <c r="AE115" i="73" a="1"/>
  <c r="AE115" i="73" s="1"/>
  <c r="AE110" i="73" a="1"/>
  <c r="AE110" i="73" s="1"/>
  <c r="AE117" i="73" a="1"/>
  <c r="AE117" i="73" s="1"/>
  <c r="AE111" i="73" a="1"/>
  <c r="AE111" i="73" s="1"/>
  <c r="AE114" i="73" a="1"/>
  <c r="AE114" i="73" s="1"/>
  <c r="AE112" i="73" a="1"/>
  <c r="AE112" i="73" s="1"/>
  <c r="AE116" i="73" a="1"/>
  <c r="AE116" i="73" s="1"/>
  <c r="AF111" i="72" a="1"/>
  <c r="AF111" i="72" s="1"/>
  <c r="AF114" i="72" a="1"/>
  <c r="AF114" i="72" s="1"/>
  <c r="AF117" i="72" a="1"/>
  <c r="AF117" i="72" s="1"/>
  <c r="AF110" i="72" a="1"/>
  <c r="AF110" i="72" s="1"/>
  <c r="AF113" i="72" a="1"/>
  <c r="AF113" i="72" s="1"/>
  <c r="AF115" i="72" a="1"/>
  <c r="AF115" i="72" s="1"/>
  <c r="AF112" i="72" a="1"/>
  <c r="AF112" i="72" s="1"/>
  <c r="AF116" i="72" a="1"/>
  <c r="AF116" i="72" s="1"/>
  <c r="T117" i="73" a="1"/>
  <c r="T117" i="73" s="1"/>
  <c r="T114" i="73" a="1"/>
  <c r="T114" i="73" s="1"/>
  <c r="T116" i="73" a="1"/>
  <c r="T116" i="73" s="1"/>
  <c r="T115" i="73" a="1"/>
  <c r="T115" i="73" s="1"/>
  <c r="T112" i="73" a="1"/>
  <c r="T112" i="73" s="1"/>
  <c r="T110" i="73" a="1"/>
  <c r="T110" i="73" s="1"/>
  <c r="T111" i="73" a="1"/>
  <c r="T111" i="73" s="1"/>
  <c r="T113" i="73" a="1"/>
  <c r="T113" i="73" s="1"/>
  <c r="T116" i="82" a="1"/>
  <c r="T116" i="82" s="1"/>
  <c r="T112" i="82" a="1"/>
  <c r="T112" i="82" s="1"/>
  <c r="T115" i="82" a="1"/>
  <c r="T115" i="82" s="1"/>
  <c r="T113" i="82" a="1"/>
  <c r="T113" i="82" s="1"/>
  <c r="T114" i="82" a="1"/>
  <c r="T114" i="82" s="1"/>
  <c r="T117" i="82" a="1"/>
  <c r="T117" i="82" s="1"/>
  <c r="T110" i="82" a="1"/>
  <c r="T110" i="82" s="1"/>
  <c r="T111" i="82" a="1"/>
  <c r="T111" i="82" s="1"/>
  <c r="U112" i="73" a="1"/>
  <c r="U112" i="73" s="1"/>
  <c r="U114" i="73" a="1"/>
  <c r="U114" i="73" s="1"/>
  <c r="U116" i="73" a="1"/>
  <c r="U116" i="73" s="1"/>
  <c r="U115" i="73" a="1"/>
  <c r="U115" i="73" s="1"/>
  <c r="U117" i="73" a="1"/>
  <c r="U117" i="73" s="1"/>
  <c r="U113" i="73" a="1"/>
  <c r="U113" i="73" s="1"/>
  <c r="U110" i="73" a="1"/>
  <c r="U110" i="73" s="1"/>
  <c r="U111" i="73" a="1"/>
  <c r="U111" i="73" s="1"/>
  <c r="Z115" i="82" a="1"/>
  <c r="Z115" i="82" s="1"/>
  <c r="Z111" i="82" a="1"/>
  <c r="Z111" i="82" s="1"/>
  <c r="Z117" i="82" a="1"/>
  <c r="Z117" i="82" s="1"/>
  <c r="Z114" i="82" a="1"/>
  <c r="Z114" i="82" s="1"/>
  <c r="Z112" i="82" a="1"/>
  <c r="Z112" i="82" s="1"/>
  <c r="Z110" i="82" a="1"/>
  <c r="Z110" i="82" s="1"/>
  <c r="Z113" i="82" a="1"/>
  <c r="Z113" i="82" s="1"/>
  <c r="Z116" i="82" a="1"/>
  <c r="Z116" i="82" s="1"/>
  <c r="AC115" i="72" a="1"/>
  <c r="AC115" i="72" s="1"/>
  <c r="AC111" i="72" a="1"/>
  <c r="AC111" i="72" s="1"/>
  <c r="AC114" i="72" a="1"/>
  <c r="AC114" i="72" s="1"/>
  <c r="AC113" i="72" a="1"/>
  <c r="AC113" i="72" s="1"/>
  <c r="AC110" i="72" a="1"/>
  <c r="AC110" i="72" s="1"/>
  <c r="AC112" i="72" a="1"/>
  <c r="AC112" i="72" s="1"/>
  <c r="AC116" i="72" a="1"/>
  <c r="AC116" i="72" s="1"/>
  <c r="AC117" i="72" a="1"/>
  <c r="AC117" i="72" s="1"/>
  <c r="Z114" i="73" a="1"/>
  <c r="Z114" i="73" s="1"/>
  <c r="Z116" i="73" a="1"/>
  <c r="Z116" i="73" s="1"/>
  <c r="Z111" i="73" a="1"/>
  <c r="Z111" i="73" s="1"/>
  <c r="Z113" i="73" a="1"/>
  <c r="Z113" i="73" s="1"/>
  <c r="Z112" i="73" a="1"/>
  <c r="Z112" i="73" s="1"/>
  <c r="Z117" i="73" a="1"/>
  <c r="Z117" i="73" s="1"/>
  <c r="Z115" i="73" a="1"/>
  <c r="Z115" i="73" s="1"/>
  <c r="Z110" i="73" a="1"/>
  <c r="Z110" i="73" s="1"/>
  <c r="S117" i="72" a="1"/>
  <c r="S117" i="72" s="1"/>
  <c r="S116" i="72" a="1"/>
  <c r="S116" i="72" s="1"/>
  <c r="S112" i="72" a="1"/>
  <c r="S112" i="72" s="1"/>
  <c r="S113" i="72" a="1"/>
  <c r="S113" i="72" s="1"/>
  <c r="S115" i="72" a="1"/>
  <c r="S115" i="72" s="1"/>
  <c r="S110" i="72" a="1"/>
  <c r="S110" i="72" s="1"/>
  <c r="S114" i="72" a="1"/>
  <c r="S114" i="72" s="1"/>
  <c r="S111" i="72" a="1"/>
  <c r="S111" i="72" s="1"/>
  <c r="W112" i="73" a="1"/>
  <c r="W112" i="73" s="1"/>
  <c r="W117" i="73" a="1"/>
  <c r="W117" i="73" s="1"/>
  <c r="W114" i="73" a="1"/>
  <c r="W114" i="73" s="1"/>
  <c r="W116" i="73" a="1"/>
  <c r="W116" i="73" s="1"/>
  <c r="W111" i="73" a="1"/>
  <c r="W111" i="73" s="1"/>
  <c r="W115" i="73" a="1"/>
  <c r="W115" i="73" s="1"/>
  <c r="W110" i="73" a="1"/>
  <c r="W110" i="73" s="1"/>
  <c r="W113" i="73" a="1"/>
  <c r="W113" i="73" s="1"/>
  <c r="AF117" i="82" a="1"/>
  <c r="AF117" i="82" s="1"/>
  <c r="AF114" i="82" a="1"/>
  <c r="AF114" i="82" s="1"/>
  <c r="AF110" i="82" a="1"/>
  <c r="AF110" i="82" s="1"/>
  <c r="AF113" i="82" a="1"/>
  <c r="AF113" i="82" s="1"/>
  <c r="AF116" i="82" a="1"/>
  <c r="AF116" i="82" s="1"/>
  <c r="AF115" i="82" a="1"/>
  <c r="AF115" i="82" s="1"/>
  <c r="AF111" i="82" a="1"/>
  <c r="AF111" i="82" s="1"/>
  <c r="AF112" i="82" a="1"/>
  <c r="AF112" i="82" s="1"/>
  <c r="AD111" i="82" a="1"/>
  <c r="AD111" i="82" s="1"/>
  <c r="AD117" i="82" a="1"/>
  <c r="AD117" i="82" s="1"/>
  <c r="AD114" i="82" a="1"/>
  <c r="AD114" i="82" s="1"/>
  <c r="AD110" i="82" a="1"/>
  <c r="AD110" i="82" s="1"/>
  <c r="AD113" i="82" a="1"/>
  <c r="AD113" i="82" s="1"/>
  <c r="AD116" i="82" a="1"/>
  <c r="AD116" i="82" s="1"/>
  <c r="AD112" i="82" a="1"/>
  <c r="AD112" i="82" s="1"/>
  <c r="AD115" i="82" a="1"/>
  <c r="AD115" i="82" s="1"/>
  <c r="V112" i="82" a="1"/>
  <c r="V112" i="82" s="1"/>
  <c r="V115" i="82" a="1"/>
  <c r="V115" i="82" s="1"/>
  <c r="V111" i="82" a="1"/>
  <c r="V111" i="82" s="1"/>
  <c r="V117" i="82" a="1"/>
  <c r="V117" i="82" s="1"/>
  <c r="V116" i="82" a="1"/>
  <c r="V116" i="82" s="1"/>
  <c r="V113" i="82" a="1"/>
  <c r="V113" i="82" s="1"/>
  <c r="V114" i="82" a="1"/>
  <c r="V114" i="82" s="1"/>
  <c r="V110" i="82" a="1"/>
  <c r="V110" i="82" s="1"/>
  <c r="V112" i="73" a="1"/>
  <c r="V112" i="73" s="1"/>
  <c r="V117" i="73" a="1"/>
  <c r="V117" i="73" s="1"/>
  <c r="V114" i="73" a="1"/>
  <c r="V114" i="73" s="1"/>
  <c r="V116" i="73" a="1"/>
  <c r="V116" i="73" s="1"/>
  <c r="V111" i="73" a="1"/>
  <c r="V111" i="73" s="1"/>
  <c r="V115" i="73" a="1"/>
  <c r="V115" i="73" s="1"/>
  <c r="V113" i="73" a="1"/>
  <c r="V113" i="73" s="1"/>
  <c r="V110" i="73" a="1"/>
  <c r="V110" i="73" s="1"/>
  <c r="AB116" i="73" a="1"/>
  <c r="AB116" i="73" s="1"/>
  <c r="AB111" i="73" a="1"/>
  <c r="AB111" i="73" s="1"/>
  <c r="AB113" i="73" a="1"/>
  <c r="AB113" i="73" s="1"/>
  <c r="AB117" i="73" a="1"/>
  <c r="AB117" i="73" s="1"/>
  <c r="AB115" i="73" a="1"/>
  <c r="AB115" i="73" s="1"/>
  <c r="AB112" i="73" a="1"/>
  <c r="AB112" i="73" s="1"/>
  <c r="AB110" i="73" a="1"/>
  <c r="AB110" i="73" s="1"/>
  <c r="AB114" i="73" a="1"/>
  <c r="AB114" i="73" s="1"/>
  <c r="W112" i="72" a="1"/>
  <c r="W112" i="72" s="1"/>
  <c r="W115" i="72" a="1"/>
  <c r="W115" i="72" s="1"/>
  <c r="W113" i="72" a="1"/>
  <c r="W113" i="72" s="1"/>
  <c r="W114" i="72" a="1"/>
  <c r="W114" i="72" s="1"/>
  <c r="W110" i="72" a="1"/>
  <c r="W110" i="72" s="1"/>
  <c r="W117" i="72" a="1"/>
  <c r="W117" i="72" s="1"/>
  <c r="W116" i="72" a="1"/>
  <c r="W116" i="72" s="1"/>
  <c r="W111" i="72" a="1"/>
  <c r="W111" i="72" s="1"/>
  <c r="AB112" i="72" a="1"/>
  <c r="AB112" i="72" s="1"/>
  <c r="AB111" i="72" a="1"/>
  <c r="AB111" i="72" s="1"/>
  <c r="AB114" i="72" a="1"/>
  <c r="AB114" i="72" s="1"/>
  <c r="AB113" i="72" a="1"/>
  <c r="AB113" i="72" s="1"/>
  <c r="AB116" i="72" a="1"/>
  <c r="AB116" i="72" s="1"/>
  <c r="AB110" i="72" a="1"/>
  <c r="AB110" i="72" s="1"/>
  <c r="AB117" i="72" a="1"/>
  <c r="AB117" i="72" s="1"/>
  <c r="AB115" i="72" a="1"/>
  <c r="AB115" i="72" s="1"/>
  <c r="P87" i="73"/>
  <c r="P106" i="73" s="1"/>
  <c r="N87" i="72"/>
  <c r="N106" i="72" s="1"/>
  <c r="O87" i="73"/>
  <c r="O106" i="73" s="1"/>
  <c r="M87" i="73"/>
  <c r="M106" i="73" s="1"/>
  <c r="J87" i="73"/>
  <c r="J106" i="73" s="1"/>
  <c r="N87" i="73"/>
  <c r="N106" i="73" s="1"/>
  <c r="M87" i="82"/>
  <c r="M106" i="82" s="1"/>
  <c r="Q87" i="73"/>
  <c r="Q106" i="73" s="1"/>
  <c r="K87" i="73"/>
  <c r="K106" i="73" s="1"/>
  <c r="Q87" i="82"/>
  <c r="Q106" i="82" s="1"/>
  <c r="M87" i="72"/>
  <c r="M106" i="72" s="1"/>
  <c r="I87" i="73"/>
  <c r="O87" i="82"/>
  <c r="O106" i="82" s="1"/>
  <c r="Q87" i="72"/>
  <c r="Q106" i="72" s="1"/>
  <c r="L87" i="73"/>
  <c r="L106" i="73" s="1"/>
  <c r="N87" i="82"/>
  <c r="N106" i="82" s="1"/>
  <c r="O87" i="72"/>
  <c r="O106" i="72" s="1"/>
  <c r="I87" i="72"/>
  <c r="I106" i="72" s="1"/>
  <c r="P87" i="82"/>
  <c r="P106" i="82" s="1"/>
  <c r="I87" i="82"/>
  <c r="I106" i="82" s="1"/>
  <c r="K87" i="82"/>
  <c r="K106" i="82" s="1"/>
  <c r="J87" i="82"/>
  <c r="J106" i="82" s="1"/>
  <c r="V33" i="81" l="1"/>
  <c r="V36" i="81" s="1"/>
  <c r="P112" i="72" a="1"/>
  <c r="P112" i="72" s="1"/>
  <c r="P115" i="72" a="1"/>
  <c r="P115" i="72" s="1"/>
  <c r="P116" i="72" a="1"/>
  <c r="P116" i="72" s="1"/>
  <c r="P113" i="72" a="1"/>
  <c r="P113" i="72" s="1"/>
  <c r="P110" i="72" a="1"/>
  <c r="P110" i="72" s="1"/>
  <c r="P117" i="72" a="1"/>
  <c r="P117" i="72" s="1"/>
  <c r="P114" i="72" a="1"/>
  <c r="P114" i="72" s="1"/>
  <c r="K111" i="72" a="1"/>
  <c r="K111" i="72" s="1"/>
  <c r="K115" i="72" a="1"/>
  <c r="K115" i="72" s="1"/>
  <c r="J110" i="72" a="1"/>
  <c r="J110" i="72" s="1"/>
  <c r="J113" i="72" a="1"/>
  <c r="J113" i="72" s="1"/>
  <c r="K110" i="72" a="1"/>
  <c r="K110" i="72" s="1"/>
  <c r="J116" i="72" a="1"/>
  <c r="J116" i="72" s="1"/>
  <c r="K116" i="72" a="1"/>
  <c r="K116" i="72" s="1"/>
  <c r="J112" i="72" a="1"/>
  <c r="J112" i="72" s="1"/>
  <c r="K113" i="72" a="1"/>
  <c r="K113" i="72" s="1"/>
  <c r="J117" i="72" a="1"/>
  <c r="J117" i="72" s="1"/>
  <c r="J114" i="72" a="1"/>
  <c r="J114" i="72" s="1"/>
  <c r="K112" i="72" a="1"/>
  <c r="K112" i="72" s="1"/>
  <c r="J111" i="72" a="1"/>
  <c r="J111" i="72" s="1"/>
  <c r="K117" i="72" a="1"/>
  <c r="K117" i="72" s="1"/>
  <c r="I111" i="82" a="1"/>
  <c r="I111" i="82" s="1"/>
  <c r="I114" i="82" a="1"/>
  <c r="I114" i="82" s="1"/>
  <c r="I117" i="82" a="1"/>
  <c r="I117" i="82" s="1"/>
  <c r="I110" i="82" a="1"/>
  <c r="I110" i="82" s="1"/>
  <c r="I116" i="82" a="1"/>
  <c r="I116" i="82" s="1"/>
  <c r="I112" i="82" a="1"/>
  <c r="I112" i="82" s="1"/>
  <c r="I115" i="82" a="1"/>
  <c r="I115" i="82" s="1"/>
  <c r="I113" i="82" a="1"/>
  <c r="I113" i="82" s="1"/>
  <c r="K116" i="73" a="1"/>
  <c r="K116" i="73" s="1"/>
  <c r="K111" i="73" a="1"/>
  <c r="K111" i="73" s="1"/>
  <c r="K113" i="73" a="1"/>
  <c r="K113" i="73" s="1"/>
  <c r="K115" i="73" a="1"/>
  <c r="K115" i="73" s="1"/>
  <c r="K110" i="73" a="1"/>
  <c r="K110" i="73" s="1"/>
  <c r="K114" i="73" a="1"/>
  <c r="K114" i="73" s="1"/>
  <c r="K117" i="73" a="1"/>
  <c r="K117" i="73" s="1"/>
  <c r="K112" i="73" a="1"/>
  <c r="K112" i="73" s="1"/>
  <c r="I106" i="73"/>
  <c r="I112" i="72" a="1"/>
  <c r="I112" i="72" s="1"/>
  <c r="I115" i="72" a="1"/>
  <c r="I115" i="72" s="1"/>
  <c r="I111" i="72" a="1"/>
  <c r="I111" i="72" s="1"/>
  <c r="I114" i="72" a="1"/>
  <c r="I114" i="72" s="1"/>
  <c r="I116" i="72" a="1"/>
  <c r="I116" i="72" s="1"/>
  <c r="I113" i="72" a="1"/>
  <c r="I113" i="72" s="1"/>
  <c r="I117" i="72" a="1"/>
  <c r="I117" i="72" s="1"/>
  <c r="I110" i="72" a="1"/>
  <c r="I110" i="72" s="1"/>
  <c r="O111" i="72" a="1"/>
  <c r="O111" i="72" s="1"/>
  <c r="O114" i="72" a="1"/>
  <c r="O114" i="72" s="1"/>
  <c r="O117" i="72" a="1"/>
  <c r="O117" i="72" s="1"/>
  <c r="O110" i="72" a="1"/>
  <c r="O110" i="72" s="1"/>
  <c r="O113" i="72" a="1"/>
  <c r="O113" i="72" s="1"/>
  <c r="O115" i="72" a="1"/>
  <c r="O115" i="72" s="1"/>
  <c r="O112" i="72" a="1"/>
  <c r="O112" i="72" s="1"/>
  <c r="O116" i="72" a="1"/>
  <c r="O116" i="72" s="1"/>
  <c r="Q113" i="82" a="1"/>
  <c r="Q113" i="82" s="1"/>
  <c r="Q110" i="82" a="1"/>
  <c r="Q110" i="82" s="1"/>
  <c r="Q116" i="82" a="1"/>
  <c r="Q116" i="82" s="1"/>
  <c r="Q112" i="82" a="1"/>
  <c r="Q112" i="82" s="1"/>
  <c r="Q115" i="82" a="1"/>
  <c r="Q115" i="82" s="1"/>
  <c r="Q114" i="82" a="1"/>
  <c r="Q114" i="82" s="1"/>
  <c r="Q111" i="82" a="1"/>
  <c r="Q111" i="82" s="1"/>
  <c r="Q117" i="82" a="1"/>
  <c r="Q117" i="82" s="1"/>
  <c r="L111" i="82" a="1"/>
  <c r="L111" i="82" s="1"/>
  <c r="L117" i="82" a="1"/>
  <c r="L117" i="82" s="1"/>
  <c r="L114" i="82" a="1"/>
  <c r="L114" i="82" s="1"/>
  <c r="L110" i="82" a="1"/>
  <c r="L110" i="82" s="1"/>
  <c r="L113" i="82" a="1"/>
  <c r="L113" i="82" s="1"/>
  <c r="L116" i="82" a="1"/>
  <c r="L116" i="82" s="1"/>
  <c r="L112" i="82" a="1"/>
  <c r="L112" i="82" s="1"/>
  <c r="L115" i="82" a="1"/>
  <c r="L115" i="82" s="1"/>
  <c r="N117" i="82" a="1"/>
  <c r="N117" i="82" s="1"/>
  <c r="N110" i="82" a="1"/>
  <c r="N110" i="82" s="1"/>
  <c r="N113" i="82" a="1"/>
  <c r="N113" i="82" s="1"/>
  <c r="N116" i="82" a="1"/>
  <c r="N116" i="82" s="1"/>
  <c r="N114" i="82" a="1"/>
  <c r="N114" i="82" s="1"/>
  <c r="N111" i="82" a="1"/>
  <c r="N111" i="82" s="1"/>
  <c r="N112" i="82" a="1"/>
  <c r="N112" i="82" s="1"/>
  <c r="N115" i="82" a="1"/>
  <c r="N115" i="82" s="1"/>
  <c r="N113" i="73" a="1"/>
  <c r="N113" i="73" s="1"/>
  <c r="N110" i="73" a="1"/>
  <c r="N110" i="73" s="1"/>
  <c r="N115" i="73" a="1"/>
  <c r="N115" i="73" s="1"/>
  <c r="N112" i="73" a="1"/>
  <c r="N112" i="73" s="1"/>
  <c r="N114" i="73" a="1"/>
  <c r="N114" i="73" s="1"/>
  <c r="N111" i="73" a="1"/>
  <c r="N111" i="73" s="1"/>
  <c r="N116" i="73" a="1"/>
  <c r="N116" i="73" s="1"/>
  <c r="N117" i="73" a="1"/>
  <c r="N117" i="73" s="1"/>
  <c r="N111" i="72" a="1"/>
  <c r="N111" i="72" s="1"/>
  <c r="N117" i="72" a="1"/>
  <c r="N117" i="72" s="1"/>
  <c r="N110" i="72" a="1"/>
  <c r="N110" i="72" s="1"/>
  <c r="N113" i="72" a="1"/>
  <c r="N113" i="72" s="1"/>
  <c r="N116" i="72" a="1"/>
  <c r="N116" i="72" s="1"/>
  <c r="N112" i="72" a="1"/>
  <c r="N112" i="72" s="1"/>
  <c r="N115" i="72" a="1"/>
  <c r="N115" i="72" s="1"/>
  <c r="N114" i="72" a="1"/>
  <c r="N114" i="72" s="1"/>
  <c r="K114" i="82" a="1"/>
  <c r="K114" i="82" s="1"/>
  <c r="K111" i="82" a="1"/>
  <c r="K111" i="82" s="1"/>
  <c r="K117" i="82" a="1"/>
  <c r="K117" i="82" s="1"/>
  <c r="K110" i="82" a="1"/>
  <c r="K110" i="82" s="1"/>
  <c r="K113" i="82" a="1"/>
  <c r="K113" i="82" s="1"/>
  <c r="K115" i="82" a="1"/>
  <c r="K115" i="82" s="1"/>
  <c r="K116" i="82" a="1"/>
  <c r="K116" i="82" s="1"/>
  <c r="K112" i="82" a="1"/>
  <c r="K112" i="82" s="1"/>
  <c r="M114" i="72" a="1"/>
  <c r="M114" i="72" s="1"/>
  <c r="M117" i="72" a="1"/>
  <c r="M117" i="72" s="1"/>
  <c r="M110" i="72" a="1"/>
  <c r="M110" i="72" s="1"/>
  <c r="M113" i="72" a="1"/>
  <c r="M113" i="72" s="1"/>
  <c r="M116" i="72" a="1"/>
  <c r="M116" i="72" s="1"/>
  <c r="M111" i="72" a="1"/>
  <c r="M111" i="72" s="1"/>
  <c r="M115" i="72" a="1"/>
  <c r="M115" i="72" s="1"/>
  <c r="M112" i="72" a="1"/>
  <c r="M112" i="72" s="1"/>
  <c r="P113" i="73" a="1"/>
  <c r="P113" i="73" s="1"/>
  <c r="P115" i="73" a="1"/>
  <c r="P115" i="73" s="1"/>
  <c r="P112" i="73" a="1"/>
  <c r="P112" i="73" s="1"/>
  <c r="P117" i="73" a="1"/>
  <c r="P117" i="73" s="1"/>
  <c r="P110" i="73" a="1"/>
  <c r="P110" i="73" s="1"/>
  <c r="P116" i="73" a="1"/>
  <c r="P116" i="73" s="1"/>
  <c r="P111" i="73" a="1"/>
  <c r="P111" i="73" s="1"/>
  <c r="P114" i="73" a="1"/>
  <c r="P114" i="73" s="1"/>
  <c r="Q110" i="73" a="1"/>
  <c r="Q110" i="73" s="1"/>
  <c r="Q112" i="73" a="1"/>
  <c r="Q112" i="73" s="1"/>
  <c r="Q117" i="73" a="1"/>
  <c r="Q117" i="73" s="1"/>
  <c r="Q111" i="73" a="1"/>
  <c r="Q111" i="73" s="1"/>
  <c r="Q115" i="73" a="1"/>
  <c r="Q115" i="73" s="1"/>
  <c r="Q116" i="73" a="1"/>
  <c r="Q116" i="73" s="1"/>
  <c r="Q114" i="73" a="1"/>
  <c r="Q114" i="73" s="1"/>
  <c r="Q113" i="73" a="1"/>
  <c r="Q113" i="73" s="1"/>
  <c r="M114" i="82" a="1"/>
  <c r="M114" i="82" s="1"/>
  <c r="M117" i="82" a="1"/>
  <c r="M117" i="82" s="1"/>
  <c r="M110" i="82" a="1"/>
  <c r="M110" i="82" s="1"/>
  <c r="M113" i="82" a="1"/>
  <c r="M113" i="82" s="1"/>
  <c r="M116" i="82" a="1"/>
  <c r="M116" i="82" s="1"/>
  <c r="M111" i="82" a="1"/>
  <c r="M111" i="82" s="1"/>
  <c r="M112" i="82" a="1"/>
  <c r="M112" i="82" s="1"/>
  <c r="M115" i="82" a="1"/>
  <c r="M115" i="82" s="1"/>
  <c r="J111" i="73" a="1"/>
  <c r="J111" i="73" s="1"/>
  <c r="J116" i="73" a="1"/>
  <c r="J116" i="73" s="1"/>
  <c r="J113" i="73" a="1"/>
  <c r="J113" i="73" s="1"/>
  <c r="J115" i="73" a="1"/>
  <c r="J115" i="73" s="1"/>
  <c r="J114" i="73" a="1"/>
  <c r="J114" i="73" s="1"/>
  <c r="J117" i="73" a="1"/>
  <c r="J117" i="73" s="1"/>
  <c r="J110" i="73" a="1"/>
  <c r="J110" i="73" s="1"/>
  <c r="J112" i="73" a="1"/>
  <c r="J112" i="73" s="1"/>
  <c r="O113" i="82" a="1"/>
  <c r="O113" i="82" s="1"/>
  <c r="O116" i="82" a="1"/>
  <c r="O116" i="82" s="1"/>
  <c r="O114" i="82" a="1"/>
  <c r="O114" i="82" s="1"/>
  <c r="O110" i="82" a="1"/>
  <c r="O110" i="82" s="1"/>
  <c r="O111" i="82" a="1"/>
  <c r="O111" i="82" s="1"/>
  <c r="O117" i="82" a="1"/>
  <c r="O117" i="82" s="1"/>
  <c r="O115" i="82" a="1"/>
  <c r="O115" i="82" s="1"/>
  <c r="O112" i="82" a="1"/>
  <c r="O112" i="82" s="1"/>
  <c r="L111" i="73" a="1"/>
  <c r="L111" i="73" s="1"/>
  <c r="L113" i="73" a="1"/>
  <c r="L113" i="73" s="1"/>
  <c r="L115" i="73" a="1"/>
  <c r="L115" i="73" s="1"/>
  <c r="L110" i="73" a="1"/>
  <c r="L110" i="73" s="1"/>
  <c r="L114" i="73" a="1"/>
  <c r="L114" i="73" s="1"/>
  <c r="L117" i="73" a="1"/>
  <c r="L117" i="73" s="1"/>
  <c r="L112" i="73" a="1"/>
  <c r="L112" i="73" s="1"/>
  <c r="L116" i="73" a="1"/>
  <c r="L116" i="73" s="1"/>
  <c r="Q114" i="72" a="1"/>
  <c r="Q114" i="72" s="1"/>
  <c r="Q113" i="72" a="1"/>
  <c r="Q113" i="72" s="1"/>
  <c r="Q110" i="72" a="1"/>
  <c r="Q110" i="72" s="1"/>
  <c r="Q116" i="72" a="1"/>
  <c r="Q116" i="72" s="1"/>
  <c r="Q115" i="72" a="1"/>
  <c r="Q115" i="72" s="1"/>
  <c r="Q111" i="72" a="1"/>
  <c r="Q111" i="72" s="1"/>
  <c r="Q117" i="72" a="1"/>
  <c r="Q117" i="72" s="1"/>
  <c r="Q112" i="72" a="1"/>
  <c r="Q112" i="72" s="1"/>
  <c r="L111" i="72" a="1"/>
  <c r="L111" i="72" s="1"/>
  <c r="L114" i="72" a="1"/>
  <c r="L114" i="72" s="1"/>
  <c r="L117" i="72" a="1"/>
  <c r="L117" i="72" s="1"/>
  <c r="L112" i="72" a="1"/>
  <c r="L112" i="72" s="1"/>
  <c r="L116" i="72" a="1"/>
  <c r="L116" i="72" s="1"/>
  <c r="L113" i="72" a="1"/>
  <c r="L113" i="72" s="1"/>
  <c r="L110" i="72" a="1"/>
  <c r="L110" i="72" s="1"/>
  <c r="L115" i="72" a="1"/>
  <c r="L115" i="72" s="1"/>
  <c r="M110" i="73" a="1"/>
  <c r="M110" i="73" s="1"/>
  <c r="M115" i="73" a="1"/>
  <c r="M115" i="73" s="1"/>
  <c r="M113" i="73" a="1"/>
  <c r="M113" i="73" s="1"/>
  <c r="M112" i="73" a="1"/>
  <c r="M112" i="73" s="1"/>
  <c r="M111" i="73" a="1"/>
  <c r="M111" i="73" s="1"/>
  <c r="M116" i="73" a="1"/>
  <c r="M116" i="73" s="1"/>
  <c r="M117" i="73" a="1"/>
  <c r="M117" i="73" s="1"/>
  <c r="M114" i="73" a="1"/>
  <c r="M114" i="73" s="1"/>
  <c r="P110" i="82" a="1"/>
  <c r="P110" i="82" s="1"/>
  <c r="P113" i="82" a="1"/>
  <c r="P113" i="82" s="1"/>
  <c r="P116" i="82" a="1"/>
  <c r="P116" i="82" s="1"/>
  <c r="P114" i="82" a="1"/>
  <c r="P114" i="82" s="1"/>
  <c r="P111" i="82" a="1"/>
  <c r="P111" i="82" s="1"/>
  <c r="P117" i="82" a="1"/>
  <c r="P117" i="82" s="1"/>
  <c r="P115" i="82" a="1"/>
  <c r="P115" i="82" s="1"/>
  <c r="P112" i="82" a="1"/>
  <c r="P112" i="82" s="1"/>
  <c r="J111" i="82" a="1"/>
  <c r="J111" i="82" s="1"/>
  <c r="J114" i="82" a="1"/>
  <c r="J114" i="82" s="1"/>
  <c r="J117" i="82" a="1"/>
  <c r="J117" i="82" s="1"/>
  <c r="J110" i="82" a="1"/>
  <c r="J110" i="82" s="1"/>
  <c r="J113" i="82" a="1"/>
  <c r="J113" i="82" s="1"/>
  <c r="J112" i="82" a="1"/>
  <c r="J112" i="82" s="1"/>
  <c r="J115" i="82" a="1"/>
  <c r="J115" i="82" s="1"/>
  <c r="J116" i="82" a="1"/>
  <c r="J116" i="82" s="1"/>
  <c r="O113" i="73" a="1"/>
  <c r="O113" i="73" s="1"/>
  <c r="O110" i="73" a="1"/>
  <c r="O110" i="73" s="1"/>
  <c r="O115" i="73" a="1"/>
  <c r="O115" i="73" s="1"/>
  <c r="O112" i="73" a="1"/>
  <c r="O112" i="73" s="1"/>
  <c r="O117" i="73" a="1"/>
  <c r="O117" i="73" s="1"/>
  <c r="O114" i="73" a="1"/>
  <c r="O114" i="73" s="1"/>
  <c r="O111" i="73" a="1"/>
  <c r="O111" i="73" s="1"/>
  <c r="O116" i="73" a="1"/>
  <c r="O116" i="73" s="1"/>
  <c r="W33" i="81" l="1"/>
  <c r="W36" i="81" s="1"/>
  <c r="I116" i="73" a="1"/>
  <c r="I116" i="73" s="1"/>
  <c r="I113" i="73" a="1"/>
  <c r="I113" i="73" s="1"/>
  <c r="I110" i="73" a="1"/>
  <c r="I110" i="73" s="1"/>
  <c r="I112" i="73" a="1"/>
  <c r="I112" i="73" s="1"/>
  <c r="I114" i="73" a="1"/>
  <c r="I114" i="73" s="1"/>
  <c r="I117" i="73" a="1"/>
  <c r="I117" i="73" s="1"/>
  <c r="I115" i="73" a="1"/>
  <c r="I115" i="73" s="1"/>
  <c r="I111" i="73" a="1"/>
  <c r="I111" i="73" s="1"/>
  <c r="F25" i="75"/>
  <c r="H9" i="33" s="1"/>
  <c r="F24" i="75"/>
  <c r="G9" i="33" s="1"/>
  <c r="I13" i="33"/>
  <c r="X33" i="81" l="1"/>
  <c r="X36" i="81" s="1"/>
  <c r="Y33" i="81" l="1"/>
  <c r="Y36" i="81" s="1"/>
  <c r="Z33" i="81" l="1"/>
  <c r="Z36" i="81" s="1"/>
  <c r="AA33" i="81" l="1"/>
  <c r="AA36" i="81" s="1"/>
  <c r="AB33" i="81" l="1"/>
  <c r="AB36" i="81" s="1"/>
  <c r="AC33" i="81" l="1"/>
  <c r="AC36" i="81" s="1"/>
  <c r="D28" i="85"/>
  <c r="AD33" i="81" l="1"/>
  <c r="AD36" i="81" s="1"/>
  <c r="AE33" i="81" l="1"/>
  <c r="AE36" i="81" s="1"/>
  <c r="B22" i="85"/>
  <c r="D22" i="85" s="1"/>
  <c r="B21" i="85"/>
  <c r="D21" i="85" s="1"/>
  <c r="G115" i="81"/>
  <c r="B46" i="85"/>
  <c r="D46" i="85" s="1"/>
  <c r="G116" i="81"/>
  <c r="B17" i="85"/>
  <c r="D17" i="85" s="1"/>
  <c r="B36" i="85"/>
  <c r="B19" i="85"/>
  <c r="D19" i="85" s="1"/>
  <c r="B20" i="85"/>
  <c r="D20" i="85" s="1"/>
  <c r="G113" i="81"/>
  <c r="B23" i="85"/>
  <c r="D23" i="85" s="1"/>
  <c r="B18" i="85"/>
  <c r="D18" i="85" s="1"/>
  <c r="B33" i="85"/>
  <c r="B49" i="85"/>
  <c r="D49" i="85" s="1"/>
  <c r="G114" i="81"/>
  <c r="B34" i="85"/>
  <c r="B35" i="85"/>
  <c r="D35" i="85" s="1"/>
  <c r="B51" i="85"/>
  <c r="D51" i="85" s="1"/>
  <c r="G112" i="81"/>
  <c r="G117" i="81"/>
  <c r="B47" i="85"/>
  <c r="D47" i="85" s="1"/>
  <c r="B37" i="85"/>
  <c r="D37" i="85" s="1"/>
  <c r="G111" i="81"/>
  <c r="B31" i="85"/>
  <c r="B32" i="85"/>
  <c r="B16" i="85"/>
  <c r="D16" i="85" s="1"/>
  <c r="AF33" i="81" l="1"/>
  <c r="AF36" i="81" s="1"/>
  <c r="B45" i="85"/>
  <c r="D45" i="85" s="1"/>
  <c r="B50" i="85"/>
  <c r="D50" i="85" s="1"/>
  <c r="D33" i="85"/>
  <c r="G110" i="81"/>
  <c r="B30" i="85"/>
  <c r="B48" i="85"/>
  <c r="D48" i="85" s="1"/>
  <c r="B44" i="85"/>
  <c r="D44" i="85" s="1"/>
  <c r="D31" i="85"/>
  <c r="D32" i="85"/>
  <c r="D34" i="85"/>
  <c r="D36" i="85"/>
  <c r="AG33" i="81" l="1"/>
  <c r="AG36" i="81" s="1"/>
  <c r="D30" i="85"/>
  <c r="G13" i="33" l="1"/>
  <c r="I23" i="87"/>
  <c r="M14" i="81" s="1"/>
  <c r="M67" i="81" s="1"/>
  <c r="H23" i="87"/>
  <c r="L14" i="81" s="1"/>
  <c r="M17" i="81" l="1"/>
  <c r="L67" i="81"/>
  <c r="V72" i="81" s="1" a="1"/>
  <c r="V72" i="81" s="1"/>
  <c r="W77" i="81" s="1"/>
  <c r="W80" i="81" s="1"/>
  <c r="W82" i="81" s="1"/>
  <c r="W107" i="81" s="1"/>
  <c r="L17" i="81"/>
  <c r="AE72" i="81" l="1" a="1"/>
  <c r="AE72" i="81" s="1"/>
  <c r="AF77" i="81" s="1"/>
  <c r="AF80" i="81" s="1"/>
  <c r="AF82" i="81" s="1"/>
  <c r="AF107" i="81" s="1"/>
  <c r="G90" i="81" a="1"/>
  <c r="G90" i="81" s="1"/>
  <c r="G92" i="81" s="1"/>
  <c r="C32" i="62" s="1"/>
  <c r="AD72" i="81" a="1"/>
  <c r="AD72" i="81" s="1"/>
  <c r="AE77" i="81" s="1"/>
  <c r="AE80" i="81" s="1"/>
  <c r="AE82" i="81" s="1"/>
  <c r="AE107" i="81" s="1"/>
  <c r="AG72" i="81" a="1"/>
  <c r="AG72" i="81" s="1"/>
  <c r="AA72" i="81" a="1"/>
  <c r="AA72" i="81" s="1"/>
  <c r="AB77" i="81" s="1"/>
  <c r="AB80" i="81" s="1"/>
  <c r="AB82" i="81" s="1"/>
  <c r="AB107" i="81" s="1"/>
  <c r="N72" i="81" a="1"/>
  <c r="N72" i="81" s="1"/>
  <c r="O77" i="81" s="1"/>
  <c r="O80" i="81" s="1"/>
  <c r="O82" i="81" s="1"/>
  <c r="O107" i="81" s="1"/>
  <c r="W72" i="81" a="1"/>
  <c r="W72" i="81" s="1"/>
  <c r="X77" i="81" s="1"/>
  <c r="X80" i="81" s="1"/>
  <c r="X82" i="81" s="1"/>
  <c r="X107" i="81" s="1"/>
  <c r="C10" i="47"/>
  <c r="W64" i="81" s="1"/>
  <c r="W84" i="81" s="1"/>
  <c r="O72" i="81" a="1"/>
  <c r="O72" i="81" s="1"/>
  <c r="P77" i="81" s="1"/>
  <c r="P80" i="81" s="1"/>
  <c r="P82" i="81" s="1"/>
  <c r="P107" i="81" s="1"/>
  <c r="S72" i="81" a="1"/>
  <c r="S72" i="81" s="1"/>
  <c r="T77" i="81" s="1"/>
  <c r="T80" i="81" s="1"/>
  <c r="T82" i="81" s="1"/>
  <c r="T107" i="81" s="1"/>
  <c r="AC72" i="81" a="1"/>
  <c r="AC72" i="81" s="1"/>
  <c r="AD77" i="81" s="1"/>
  <c r="AD80" i="81" s="1"/>
  <c r="AD82" i="81" s="1"/>
  <c r="AD107" i="81" s="1"/>
  <c r="P72" i="81" a="1"/>
  <c r="P72" i="81" s="1"/>
  <c r="Q77" i="81" s="1"/>
  <c r="Q80" i="81" s="1"/>
  <c r="Q82" i="81" s="1"/>
  <c r="Q107" i="81" s="1"/>
  <c r="X72" i="81" a="1"/>
  <c r="X72" i="81" s="1"/>
  <c r="Y77" i="81" s="1"/>
  <c r="Y80" i="81" s="1"/>
  <c r="Y82" i="81" s="1"/>
  <c r="Y107" i="81" s="1"/>
  <c r="AF72" i="81" a="1"/>
  <c r="AF72" i="81" s="1"/>
  <c r="AG77" i="81" s="1"/>
  <c r="AG80" i="81" s="1"/>
  <c r="AG82" i="81" s="1"/>
  <c r="AG107" i="81" s="1"/>
  <c r="AB72" i="81" a="1"/>
  <c r="AB72" i="81" s="1"/>
  <c r="AC77" i="81" s="1"/>
  <c r="AC80" i="81" s="1"/>
  <c r="AC82" i="81" s="1"/>
  <c r="AC107" i="81" s="1"/>
  <c r="M72" i="81" a="1"/>
  <c r="M72" i="81" s="1"/>
  <c r="N77" i="81" s="1"/>
  <c r="N80" i="81" s="1"/>
  <c r="N82" i="81" s="1"/>
  <c r="N107" i="81" s="1"/>
  <c r="Y72" i="81" a="1"/>
  <c r="Y72" i="81" s="1"/>
  <c r="Z77" i="81" s="1"/>
  <c r="Z80" i="81" s="1"/>
  <c r="Z82" i="81" s="1"/>
  <c r="Z107" i="81" s="1"/>
  <c r="T72" i="81" a="1"/>
  <c r="T72" i="81" s="1"/>
  <c r="U77" i="81" s="1"/>
  <c r="U80" i="81" s="1"/>
  <c r="U82" i="81" s="1"/>
  <c r="U107" i="81" s="1"/>
  <c r="U72" i="81" a="1"/>
  <c r="U72" i="81" s="1"/>
  <c r="V77" i="81" s="1"/>
  <c r="V80" i="81" s="1"/>
  <c r="V82" i="81" s="1"/>
  <c r="V107" i="81" s="1"/>
  <c r="R72" i="81" a="1"/>
  <c r="R72" i="81" s="1"/>
  <c r="S77" i="81" s="1"/>
  <c r="S80" i="81" s="1"/>
  <c r="S82" i="81" s="1"/>
  <c r="S107" i="81" s="1"/>
  <c r="Z72" i="81" a="1"/>
  <c r="Z72" i="81" s="1"/>
  <c r="AA77" i="81" s="1"/>
  <c r="AA80" i="81" s="1"/>
  <c r="AA82" i="81" s="1"/>
  <c r="AA107" i="81" s="1"/>
  <c r="Q72" i="81" a="1"/>
  <c r="Q72" i="81" s="1"/>
  <c r="R77" i="81" s="1"/>
  <c r="R80" i="81" s="1"/>
  <c r="R82" i="81" s="1"/>
  <c r="R107" i="81" s="1"/>
  <c r="L72" i="81" a="1"/>
  <c r="L72" i="81" s="1"/>
  <c r="M77" i="81" s="1"/>
  <c r="M80" i="81" s="1"/>
  <c r="M82" i="81" s="1"/>
  <c r="M107" i="81" s="1"/>
  <c r="K64" i="81" l="1"/>
  <c r="K84" i="81" s="1"/>
  <c r="K108" i="81" s="1"/>
  <c r="N64" i="81"/>
  <c r="N84" i="81" s="1"/>
  <c r="N87" i="81" s="1"/>
  <c r="N106" i="81" s="1"/>
  <c r="N115" i="81" s="1" a="1"/>
  <c r="N115" i="81" s="1"/>
  <c r="T64" i="81"/>
  <c r="T84" i="81" s="1"/>
  <c r="T87" i="81" s="1"/>
  <c r="T106" i="81" s="1"/>
  <c r="AE64" i="81"/>
  <c r="AE84" i="81" s="1"/>
  <c r="AE87" i="81" s="1"/>
  <c r="AE106" i="81" s="1"/>
  <c r="AE116" i="81" s="1" a="1"/>
  <c r="AE116" i="81" s="1"/>
  <c r="Y64" i="81"/>
  <c r="Y84" i="81" s="1"/>
  <c r="Y108" i="81" s="1"/>
  <c r="AD64" i="81"/>
  <c r="AD84" i="81" s="1"/>
  <c r="AD87" i="81" s="1"/>
  <c r="AD106" i="81" s="1"/>
  <c r="AD115" i="81" s="1" a="1"/>
  <c r="AD115" i="81" s="1"/>
  <c r="AA64" i="81"/>
  <c r="AA84" i="81" s="1"/>
  <c r="AA87" i="81" s="1"/>
  <c r="AA106" i="81" s="1"/>
  <c r="AA117" i="81" s="1" a="1"/>
  <c r="AA117" i="81" s="1"/>
  <c r="U64" i="81"/>
  <c r="U84" i="81" s="1"/>
  <c r="U108" i="81" s="1"/>
  <c r="P64" i="81"/>
  <c r="P84" i="81" s="1"/>
  <c r="P87" i="81" s="1"/>
  <c r="P106" i="81" s="1"/>
  <c r="P115" i="81" s="1" a="1"/>
  <c r="P115" i="81" s="1"/>
  <c r="X64" i="81"/>
  <c r="X84" i="81" s="1"/>
  <c r="X108" i="81" s="1"/>
  <c r="AB64" i="81"/>
  <c r="AB84" i="81" s="1"/>
  <c r="AB87" i="81" s="1"/>
  <c r="AB106" i="81" s="1"/>
  <c r="AB116" i="81" s="1" a="1"/>
  <c r="AB116" i="81" s="1"/>
  <c r="AC64" i="81"/>
  <c r="AC84" i="81" s="1"/>
  <c r="AC87" i="81" s="1"/>
  <c r="AC106" i="81" s="1"/>
  <c r="AC116" i="81" s="1" a="1"/>
  <c r="AC116" i="81" s="1"/>
  <c r="O64" i="81"/>
  <c r="O84" i="81" s="1"/>
  <c r="O87" i="81" s="1"/>
  <c r="O106" i="81" s="1"/>
  <c r="O117" i="81" s="1" a="1"/>
  <c r="O117" i="81" s="1"/>
  <c r="AG64" i="81"/>
  <c r="AG84" i="81" s="1"/>
  <c r="AG87" i="81" s="1"/>
  <c r="AG106" i="81" s="1"/>
  <c r="R64" i="81"/>
  <c r="R84" i="81" s="1"/>
  <c r="R108" i="81" s="1"/>
  <c r="L64" i="81"/>
  <c r="L84" i="81" s="1"/>
  <c r="L87" i="81" s="1"/>
  <c r="L106" i="81" s="1"/>
  <c r="J64" i="81"/>
  <c r="J84" i="81" s="1"/>
  <c r="J108" i="81" s="1"/>
  <c r="V64" i="81"/>
  <c r="V84" i="81" s="1"/>
  <c r="V87" i="81" s="1"/>
  <c r="V106" i="81" s="1"/>
  <c r="V117" i="81" s="1" a="1"/>
  <c r="V117" i="81" s="1"/>
  <c r="D32" i="62"/>
  <c r="C38" i="62" s="1" a="1"/>
  <c r="C38" i="62" s="1"/>
  <c r="K7" i="75" s="1"/>
  <c r="AF64" i="81"/>
  <c r="AF84" i="81" s="1"/>
  <c r="AF87" i="81" s="1"/>
  <c r="AF106" i="81" s="1"/>
  <c r="AF115" i="81" s="1" a="1"/>
  <c r="AF115" i="81" s="1"/>
  <c r="D10" i="47"/>
  <c r="A4" i="81" s="1"/>
  <c r="F10" i="47"/>
  <c r="C88" i="85" s="1" a="1"/>
  <c r="G91" i="85" s="1"/>
  <c r="J68" i="33" s="1"/>
  <c r="M64" i="81"/>
  <c r="M84" i="81" s="1"/>
  <c r="M87" i="81" s="1"/>
  <c r="M106" i="81" s="1"/>
  <c r="M116" i="81" s="1" a="1"/>
  <c r="M116" i="81" s="1"/>
  <c r="Q64" i="81"/>
  <c r="Q84" i="81" s="1"/>
  <c r="Q87" i="81" s="1"/>
  <c r="Q106" i="81" s="1"/>
  <c r="S64" i="81"/>
  <c r="S84" i="81" s="1"/>
  <c r="S87" i="81" s="1"/>
  <c r="S106" i="81" s="1"/>
  <c r="S116" i="81" s="1" a="1"/>
  <c r="S116" i="81" s="1"/>
  <c r="I64" i="81"/>
  <c r="I84" i="81" s="1"/>
  <c r="I108" i="81" s="1"/>
  <c r="Z64" i="81"/>
  <c r="Z84" i="81" s="1"/>
  <c r="Z108" i="81" s="1"/>
  <c r="W108" i="81"/>
  <c r="W87" i="81"/>
  <c r="W106" i="81" s="1"/>
  <c r="P116" i="81" l="1" a="1"/>
  <c r="P116" i="81" s="1"/>
  <c r="X87" i="81"/>
  <c r="X106" i="81" s="1"/>
  <c r="X113" i="81" s="1" a="1"/>
  <c r="X113" i="81" s="1"/>
  <c r="P117" i="81" a="1"/>
  <c r="P117" i="81" s="1"/>
  <c r="P108" i="81"/>
  <c r="P110" i="81" s="1" a="1"/>
  <c r="P110" i="81" s="1"/>
  <c r="T108" i="81"/>
  <c r="T112" i="81" s="1" a="1"/>
  <c r="T112" i="81" s="1"/>
  <c r="N108" i="81"/>
  <c r="N110" i="81" s="1" a="1"/>
  <c r="N110" i="81" s="1"/>
  <c r="K87" i="81"/>
  <c r="K106" i="81" s="1"/>
  <c r="K112" i="81" s="1" a="1"/>
  <c r="K112" i="81" s="1"/>
  <c r="AA108" i="81"/>
  <c r="AA112" i="81" s="1" a="1"/>
  <c r="AA112" i="81" s="1"/>
  <c r="AD108" i="81"/>
  <c r="AD114" i="81" s="1" a="1"/>
  <c r="AD114" i="81" s="1"/>
  <c r="Q108" i="81"/>
  <c r="Q114" i="81" s="1" a="1"/>
  <c r="Q114" i="81" s="1"/>
  <c r="AE117" i="81" a="1"/>
  <c r="AE117" i="81" s="1"/>
  <c r="AB115" i="81" a="1"/>
  <c r="AB115" i="81" s="1"/>
  <c r="AB117" i="81" a="1"/>
  <c r="AB117" i="81" s="1"/>
  <c r="U87" i="81"/>
  <c r="U106" i="81" s="1"/>
  <c r="U114" i="81" s="1" a="1"/>
  <c r="U114" i="81" s="1"/>
  <c r="AE115" i="81" a="1"/>
  <c r="AE115" i="81" s="1"/>
  <c r="S108" i="81"/>
  <c r="S114" i="81" s="1" a="1"/>
  <c r="S114" i="81" s="1"/>
  <c r="M108" i="81"/>
  <c r="M114" i="81" s="1" a="1"/>
  <c r="M114" i="81" s="1"/>
  <c r="AB108" i="81"/>
  <c r="AB110" i="81" s="1" a="1"/>
  <c r="AB110" i="81" s="1"/>
  <c r="C88" i="85"/>
  <c r="K88" i="85" s="1"/>
  <c r="G95" i="85"/>
  <c r="J72" i="33" s="1"/>
  <c r="Z87" i="81"/>
  <c r="Z106" i="81" s="1"/>
  <c r="Z116" i="81" s="1" a="1"/>
  <c r="Z116" i="81" s="1"/>
  <c r="T115" i="81" a="1"/>
  <c r="T115" i="81" s="1"/>
  <c r="T116" i="81" a="1"/>
  <c r="T116" i="81" s="1"/>
  <c r="T117" i="81" a="1"/>
  <c r="T117" i="81" s="1"/>
  <c r="Y87" i="81"/>
  <c r="Y106" i="81" s="1"/>
  <c r="Y115" i="81" s="1" a="1"/>
  <c r="Y115" i="81" s="1"/>
  <c r="AG108" i="81"/>
  <c r="AG112" i="81" s="1" a="1"/>
  <c r="AG112" i="81" s="1"/>
  <c r="P7" i="75"/>
  <c r="P34" i="75" s="1"/>
  <c r="AD7" i="75"/>
  <c r="AD34" i="75" s="1"/>
  <c r="AE108" i="81"/>
  <c r="AE114" i="81" s="1" a="1"/>
  <c r="AE114" i="81" s="1"/>
  <c r="T7" i="75"/>
  <c r="T34" i="75" s="1"/>
  <c r="V108" i="81"/>
  <c r="V111" i="81" s="1" a="1"/>
  <c r="V111" i="81" s="1"/>
  <c r="R87" i="81"/>
  <c r="R106" i="81" s="1"/>
  <c r="R117" i="81" s="1" a="1"/>
  <c r="R117" i="81" s="1"/>
  <c r="V7" i="75"/>
  <c r="V34" i="75" s="1"/>
  <c r="M7" i="75"/>
  <c r="M75" i="75" s="1"/>
  <c r="I7" i="75"/>
  <c r="I34" i="75" s="1"/>
  <c r="I87" i="81"/>
  <c r="I106" i="81" s="1"/>
  <c r="I110" i="81" s="1" a="1"/>
  <c r="I110" i="81" s="1"/>
  <c r="AG116" i="81" a="1"/>
  <c r="AG116" i="81" s="1"/>
  <c r="AG117" i="81" a="1"/>
  <c r="AG117" i="81" s="1"/>
  <c r="AG115" i="81" a="1"/>
  <c r="AG115" i="81" s="1"/>
  <c r="AE7" i="75"/>
  <c r="AE63" i="75" s="1"/>
  <c r="F97" i="85"/>
  <c r="I74" i="33" s="1"/>
  <c r="G92" i="85"/>
  <c r="J69" i="33" s="1"/>
  <c r="G94" i="85"/>
  <c r="J71" i="33" s="1"/>
  <c r="O115" i="81" a="1"/>
  <c r="O115" i="81" s="1"/>
  <c r="D97" i="85"/>
  <c r="G74" i="33" s="1"/>
  <c r="O116" i="81" a="1"/>
  <c r="O116" i="81" s="1"/>
  <c r="D96" i="85"/>
  <c r="G73" i="33" s="1"/>
  <c r="N7" i="75"/>
  <c r="N62" i="75" s="1"/>
  <c r="L108" i="81"/>
  <c r="L112" i="81" s="1" a="1"/>
  <c r="L112" i="81" s="1"/>
  <c r="Q7" i="75"/>
  <c r="Q34" i="75" s="1"/>
  <c r="J87" i="81"/>
  <c r="J106" i="81" s="1"/>
  <c r="J113" i="81" s="1" a="1"/>
  <c r="J113" i="81" s="1"/>
  <c r="AB7" i="75"/>
  <c r="AB57" i="75" s="1"/>
  <c r="E97" i="85"/>
  <c r="H74" i="33" s="1"/>
  <c r="AF7" i="75"/>
  <c r="AF34" i="75" s="1"/>
  <c r="Z7" i="75"/>
  <c r="Z35" i="75" s="1"/>
  <c r="H7" i="75"/>
  <c r="H7" i="85" s="1"/>
  <c r="S7" i="75"/>
  <c r="S34" i="75" s="1"/>
  <c r="D98" i="85"/>
  <c r="G75" i="33" s="1"/>
  <c r="AF108" i="81"/>
  <c r="AF113" i="81" s="1" a="1"/>
  <c r="AF113" i="81" s="1"/>
  <c r="Y7" i="75"/>
  <c r="Y34" i="75" s="1"/>
  <c r="O7" i="75"/>
  <c r="O34" i="75" s="1"/>
  <c r="O108" i="81"/>
  <c r="O113" i="81" s="1" a="1"/>
  <c r="O113" i="81" s="1"/>
  <c r="AC108" i="81"/>
  <c r="AC110" i="81" s="1" a="1"/>
  <c r="AC110" i="81" s="1"/>
  <c r="E96" i="85"/>
  <c r="H73" i="33" s="1"/>
  <c r="G93" i="85"/>
  <c r="J70" i="33" s="1"/>
  <c r="AG7" i="75"/>
  <c r="AG30" i="75" s="1"/>
  <c r="F96" i="85"/>
  <c r="I73" i="33" s="1"/>
  <c r="E98" i="85"/>
  <c r="H75" i="33" s="1"/>
  <c r="G96" i="85"/>
  <c r="J73" i="33" s="1"/>
  <c r="J7" i="75"/>
  <c r="J34" i="75" s="1"/>
  <c r="G97" i="85"/>
  <c r="J74" i="33" s="1"/>
  <c r="W7" i="75"/>
  <c r="W34" i="75" s="1"/>
  <c r="G98" i="85"/>
  <c r="J75" i="33" s="1"/>
  <c r="F98" i="85"/>
  <c r="I75" i="33" s="1"/>
  <c r="AA7" i="75"/>
  <c r="AA34" i="75" s="1"/>
  <c r="U7" i="75"/>
  <c r="U34" i="75" s="1"/>
  <c r="AC7" i="75"/>
  <c r="AC34" i="75" s="1"/>
  <c r="R7" i="75"/>
  <c r="R30" i="75" s="1"/>
  <c r="L7" i="75"/>
  <c r="L33" i="75" s="1"/>
  <c r="AF116" i="81" a="1"/>
  <c r="AF116" i="81" s="1"/>
  <c r="G90" i="85"/>
  <c r="J67" i="33" s="1"/>
  <c r="AF117" i="81" a="1"/>
  <c r="AF117" i="81" s="1"/>
  <c r="X7" i="75"/>
  <c r="X34" i="75" s="1"/>
  <c r="V116" i="81" a="1"/>
  <c r="V116" i="81" s="1"/>
  <c r="V115" i="81" a="1"/>
  <c r="V115" i="81" s="1"/>
  <c r="N116" i="81" a="1"/>
  <c r="N116" i="81" s="1"/>
  <c r="M115" i="81" a="1"/>
  <c r="M115" i="81" s="1"/>
  <c r="M117" i="81" a="1"/>
  <c r="M117" i="81" s="1"/>
  <c r="N117" i="81" a="1"/>
  <c r="N117" i="81" s="1"/>
  <c r="AC117" i="81" a="1"/>
  <c r="AC117" i="81" s="1"/>
  <c r="AA116" i="81" a="1"/>
  <c r="AA116" i="81" s="1"/>
  <c r="AA115" i="81" a="1"/>
  <c r="AA115" i="81" s="1"/>
  <c r="S115" i="81" a="1"/>
  <c r="S115" i="81" s="1"/>
  <c r="S117" i="81" a="1"/>
  <c r="S117" i="81" s="1"/>
  <c r="AD116" i="81" a="1"/>
  <c r="AD116" i="81" s="1"/>
  <c r="AD117" i="81" a="1"/>
  <c r="AD117" i="81" s="1"/>
  <c r="AC115" i="81" a="1"/>
  <c r="AC115" i="81" s="1"/>
  <c r="Q115" i="81" a="1"/>
  <c r="Q115" i="81" s="1"/>
  <c r="Q117" i="81" a="1"/>
  <c r="Q117" i="81" s="1"/>
  <c r="Q116" i="81" a="1"/>
  <c r="Q116" i="81" s="1"/>
  <c r="W113" i="81" a="1"/>
  <c r="W113" i="81" s="1"/>
  <c r="W110" i="81" a="1"/>
  <c r="W110" i="81" s="1"/>
  <c r="W114" i="81" a="1"/>
  <c r="W114" i="81" s="1"/>
  <c r="W112" i="81" a="1"/>
  <c r="W112" i="81" s="1"/>
  <c r="W115" i="81" a="1"/>
  <c r="W115" i="81" s="1"/>
  <c r="W116" i="81" a="1"/>
  <c r="W116" i="81" s="1"/>
  <c r="W117" i="81" a="1"/>
  <c r="W117" i="81" s="1"/>
  <c r="W111" i="81" a="1"/>
  <c r="W111" i="81" s="1"/>
  <c r="K63" i="75"/>
  <c r="K35" i="75"/>
  <c r="K49" i="75"/>
  <c r="K46" i="75"/>
  <c r="K77" i="75"/>
  <c r="K76" i="75"/>
  <c r="K71" i="75"/>
  <c r="K29" i="75"/>
  <c r="K48" i="75"/>
  <c r="K74" i="75"/>
  <c r="K32" i="75"/>
  <c r="K7" i="85"/>
  <c r="K44" i="75"/>
  <c r="K58" i="75"/>
  <c r="K60" i="75"/>
  <c r="K43" i="75"/>
  <c r="K61" i="75"/>
  <c r="K47" i="75"/>
  <c r="K33" i="75"/>
  <c r="K30" i="75"/>
  <c r="K72" i="75"/>
  <c r="K62" i="75"/>
  <c r="K75" i="75"/>
  <c r="K57" i="75"/>
  <c r="K34" i="75"/>
  <c r="L116" i="81" a="1"/>
  <c r="L116" i="81" s="1"/>
  <c r="L117" i="81" a="1"/>
  <c r="L117" i="81" s="1"/>
  <c r="L115" i="81" a="1"/>
  <c r="L115" i="81" s="1"/>
  <c r="X114" i="81" l="1" a="1"/>
  <c r="X114" i="81" s="1"/>
  <c r="X112" i="81" a="1"/>
  <c r="X112" i="81" s="1"/>
  <c r="X115" i="81" a="1"/>
  <c r="X115" i="81" s="1"/>
  <c r="X111" i="81" a="1"/>
  <c r="X111" i="81" s="1"/>
  <c r="X110" i="81" a="1"/>
  <c r="X110" i="81" s="1"/>
  <c r="X116" i="81" a="1"/>
  <c r="X116" i="81" s="1"/>
  <c r="X117" i="81" a="1"/>
  <c r="X117" i="81" s="1"/>
  <c r="AA114" i="81" a="1"/>
  <c r="AA114" i="81" s="1"/>
  <c r="N112" i="81" a="1"/>
  <c r="N112" i="81" s="1"/>
  <c r="T110" i="81" a="1"/>
  <c r="T110" i="81" s="1"/>
  <c r="K113" i="81" a="1"/>
  <c r="K113" i="81" s="1"/>
  <c r="K33" i="85" s="1"/>
  <c r="K111" i="81" a="1"/>
  <c r="K111" i="81" s="1"/>
  <c r="K31" i="85" s="1"/>
  <c r="K115" i="81" a="1"/>
  <c r="K115" i="81" s="1"/>
  <c r="K36" i="85" s="1"/>
  <c r="P113" i="81" a="1"/>
  <c r="P113" i="81" s="1"/>
  <c r="K110" i="81" a="1"/>
  <c r="K110" i="81" s="1"/>
  <c r="K30" i="85" s="1"/>
  <c r="K117" i="81" a="1"/>
  <c r="K117" i="81" s="1"/>
  <c r="K116" i="81" a="1"/>
  <c r="K116" i="81" s="1"/>
  <c r="U111" i="81" a="1"/>
  <c r="U111" i="81" s="1"/>
  <c r="U112" i="81" a="1"/>
  <c r="U112" i="81" s="1"/>
  <c r="U116" i="81" a="1"/>
  <c r="U116" i="81" s="1"/>
  <c r="AA113" i="81" a="1"/>
  <c r="AA113" i="81" s="1"/>
  <c r="N113" i="81" a="1"/>
  <c r="N113" i="81" s="1"/>
  <c r="K28" i="85"/>
  <c r="N111" i="81" a="1"/>
  <c r="N111" i="81" s="1"/>
  <c r="AA110" i="81" a="1"/>
  <c r="AA110" i="81" s="1"/>
  <c r="AA111" i="81" a="1"/>
  <c r="AA111" i="81" s="1"/>
  <c r="N114" i="81" a="1"/>
  <c r="N114" i="81" s="1"/>
  <c r="K114" i="81" a="1"/>
  <c r="K114" i="81" s="1"/>
  <c r="K34" i="85" s="1"/>
  <c r="S112" i="81" a="1"/>
  <c r="S112" i="81" s="1"/>
  <c r="U117" i="81" a="1"/>
  <c r="U117" i="81" s="1"/>
  <c r="T114" i="81" a="1"/>
  <c r="T114" i="81" s="1"/>
  <c r="U115" i="81" a="1"/>
  <c r="U115" i="81" s="1"/>
  <c r="T113" i="81" a="1"/>
  <c r="T113" i="81" s="1"/>
  <c r="P111" i="81" a="1"/>
  <c r="P111" i="81" s="1"/>
  <c r="P114" i="81" a="1"/>
  <c r="P114" i="81" s="1"/>
  <c r="T111" i="81" a="1"/>
  <c r="T111" i="81" s="1"/>
  <c r="P112" i="81" a="1"/>
  <c r="P112" i="81" s="1"/>
  <c r="U113" i="81" a="1"/>
  <c r="U113" i="81" s="1"/>
  <c r="U110" i="81" a="1"/>
  <c r="U110" i="81" s="1"/>
  <c r="V63" i="75"/>
  <c r="N35" i="75"/>
  <c r="AD113" i="81" a="1"/>
  <c r="AD113" i="81" s="1"/>
  <c r="AB111" i="81" a="1"/>
  <c r="AB111" i="81" s="1"/>
  <c r="AD110" i="81" a="1"/>
  <c r="AD110" i="81" s="1"/>
  <c r="AD112" i="81" a="1"/>
  <c r="AD112" i="81" s="1"/>
  <c r="AB114" i="81" a="1"/>
  <c r="AB114" i="81" s="1"/>
  <c r="AG47" i="75"/>
  <c r="AD111" i="81" a="1"/>
  <c r="AD111" i="81" s="1"/>
  <c r="Q112" i="81" a="1"/>
  <c r="Q112" i="81" s="1"/>
  <c r="AG63" i="75"/>
  <c r="AB112" i="81" a="1"/>
  <c r="AB112" i="81" s="1"/>
  <c r="C90" i="85"/>
  <c r="F67" i="33" s="1"/>
  <c r="C96" i="85"/>
  <c r="F73" i="33" s="1"/>
  <c r="S110" i="81" a="1"/>
  <c r="S110" i="81" s="1"/>
  <c r="V29" i="75"/>
  <c r="C98" i="85"/>
  <c r="F75" i="33" s="1"/>
  <c r="I48" i="75"/>
  <c r="V57" i="75"/>
  <c r="V33" i="75"/>
  <c r="V44" i="75"/>
  <c r="C97" i="85"/>
  <c r="F74" i="33" s="1"/>
  <c r="I61" i="75"/>
  <c r="V61" i="75"/>
  <c r="M58" i="75"/>
  <c r="M77" i="75"/>
  <c r="V77" i="75"/>
  <c r="AB113" i="81" a="1"/>
  <c r="AB113" i="81" s="1"/>
  <c r="M72" i="75"/>
  <c r="L57" i="75"/>
  <c r="L7" i="85"/>
  <c r="L28" i="85" s="1"/>
  <c r="R46" i="75"/>
  <c r="M47" i="75"/>
  <c r="L58" i="75"/>
  <c r="M112" i="81" a="1"/>
  <c r="M112" i="81" s="1"/>
  <c r="Q110" i="81" a="1"/>
  <c r="Q110" i="81" s="1"/>
  <c r="Z117" i="81" a="1"/>
  <c r="Z117" i="81" s="1"/>
  <c r="S113" i="81" a="1"/>
  <c r="S113" i="81" s="1"/>
  <c r="Q111" i="81" a="1"/>
  <c r="Q111" i="81" s="1"/>
  <c r="AB30" i="75"/>
  <c r="Q113" i="81" a="1"/>
  <c r="Q113" i="81" s="1"/>
  <c r="O111" i="81" a="1"/>
  <c r="O111" i="81" s="1"/>
  <c r="AE32" i="75"/>
  <c r="AD62" i="75"/>
  <c r="AE48" i="75"/>
  <c r="M74" i="75"/>
  <c r="AD57" i="75"/>
  <c r="AE74" i="75"/>
  <c r="M76" i="75"/>
  <c r="Z115" i="81" a="1"/>
  <c r="Z115" i="81" s="1"/>
  <c r="Z113" i="81" a="1"/>
  <c r="Z113" i="81" s="1"/>
  <c r="Z111" i="81" a="1"/>
  <c r="Z111" i="81" s="1"/>
  <c r="R111" i="81" a="1"/>
  <c r="R111" i="81" s="1"/>
  <c r="AC35" i="75"/>
  <c r="Z114" i="81" a="1"/>
  <c r="Z114" i="81" s="1"/>
  <c r="AG72" i="75"/>
  <c r="AD29" i="75"/>
  <c r="AD75" i="75"/>
  <c r="Z112" i="81" a="1"/>
  <c r="Z112" i="81" s="1"/>
  <c r="X30" i="75"/>
  <c r="Z110" i="81" a="1"/>
  <c r="Z110" i="81" s="1"/>
  <c r="AC74" i="75"/>
  <c r="AD63" i="75"/>
  <c r="X72" i="75"/>
  <c r="T30" i="75"/>
  <c r="X57" i="75"/>
  <c r="P43" i="75"/>
  <c r="T74" i="75"/>
  <c r="R33" i="75"/>
  <c r="X49" i="75"/>
  <c r="P47" i="75"/>
  <c r="R7" i="85"/>
  <c r="R51" i="85" s="1"/>
  <c r="X35" i="75"/>
  <c r="P71" i="75"/>
  <c r="M61" i="75"/>
  <c r="T63" i="75"/>
  <c r="P48" i="75"/>
  <c r="X58" i="75"/>
  <c r="P35" i="75"/>
  <c r="I74" i="75"/>
  <c r="AD43" i="75"/>
  <c r="AG57" i="75"/>
  <c r="P77" i="75"/>
  <c r="R72" i="75"/>
  <c r="U35" i="75"/>
  <c r="AC29" i="75"/>
  <c r="AC113" i="81" a="1"/>
  <c r="AC113" i="81" s="1"/>
  <c r="I29" i="75"/>
  <c r="N71" i="75"/>
  <c r="AG44" i="75"/>
  <c r="P46" i="75"/>
  <c r="T35" i="75"/>
  <c r="X44" i="75"/>
  <c r="X29" i="75"/>
  <c r="O75" i="75"/>
  <c r="M111" i="81" a="1"/>
  <c r="M111" i="81" s="1"/>
  <c r="I44" i="75"/>
  <c r="U49" i="75"/>
  <c r="AC43" i="75"/>
  <c r="AC114" i="81" a="1"/>
  <c r="AC114" i="81" s="1"/>
  <c r="N49" i="75"/>
  <c r="T43" i="75"/>
  <c r="AD61" i="75"/>
  <c r="T77" i="75"/>
  <c r="AE111" i="81" a="1"/>
  <c r="AE111" i="81" s="1"/>
  <c r="AD35" i="75"/>
  <c r="AG77" i="75"/>
  <c r="P75" i="75"/>
  <c r="T61" i="75"/>
  <c r="X43" i="75"/>
  <c r="AD7" i="85"/>
  <c r="AD37" i="85" s="1"/>
  <c r="AG46" i="75"/>
  <c r="P29" i="75"/>
  <c r="P61" i="75"/>
  <c r="T58" i="75"/>
  <c r="AE112" i="81" a="1"/>
  <c r="AE112" i="81" s="1"/>
  <c r="R116" i="81" a="1"/>
  <c r="R116" i="81" s="1"/>
  <c r="AD74" i="75"/>
  <c r="Q30" i="75"/>
  <c r="AA48" i="75"/>
  <c r="P49" i="75"/>
  <c r="T72" i="75"/>
  <c r="AE113" i="81" a="1"/>
  <c r="AE113" i="81" s="1"/>
  <c r="AD76" i="75"/>
  <c r="AG34" i="75"/>
  <c r="Q72" i="75"/>
  <c r="S57" i="75"/>
  <c r="P76" i="75"/>
  <c r="T71" i="75"/>
  <c r="V112" i="81" a="1"/>
  <c r="V112" i="81" s="1"/>
  <c r="AE110" i="81" a="1"/>
  <c r="AE110" i="81" s="1"/>
  <c r="AD46" i="75"/>
  <c r="M113" i="81" a="1"/>
  <c r="M113" i="81" s="1"/>
  <c r="S29" i="75"/>
  <c r="P60" i="75"/>
  <c r="AE33" i="75"/>
  <c r="R112" i="81" a="1"/>
  <c r="R112" i="81" s="1"/>
  <c r="AG114" i="81" a="1"/>
  <c r="AG114" i="81" s="1"/>
  <c r="M110" i="81" a="1"/>
  <c r="M110" i="81" s="1"/>
  <c r="AD48" i="75"/>
  <c r="S111" i="81" a="1"/>
  <c r="S111" i="81" s="1"/>
  <c r="P62" i="75"/>
  <c r="T32" i="75"/>
  <c r="AG110" i="81" a="1"/>
  <c r="AG110" i="81" s="1"/>
  <c r="AB46" i="75"/>
  <c r="AB60" i="75"/>
  <c r="T76" i="75"/>
  <c r="AG75" i="75"/>
  <c r="AD71" i="75"/>
  <c r="AG61" i="75"/>
  <c r="P57" i="75"/>
  <c r="T60" i="75"/>
  <c r="X71" i="75"/>
  <c r="V110" i="81" a="1"/>
  <c r="V110" i="81" s="1"/>
  <c r="T44" i="75"/>
  <c r="AD60" i="75"/>
  <c r="AD72" i="75"/>
  <c r="P32" i="75"/>
  <c r="P44" i="75"/>
  <c r="T75" i="75"/>
  <c r="AG113" i="81" a="1"/>
  <c r="AG113" i="81" s="1"/>
  <c r="AD32" i="75"/>
  <c r="AD44" i="75"/>
  <c r="P33" i="75"/>
  <c r="P58" i="75"/>
  <c r="T49" i="75"/>
  <c r="AG111" i="81" a="1"/>
  <c r="AG111" i="81" s="1"/>
  <c r="AD49" i="75"/>
  <c r="AD58" i="75"/>
  <c r="P63" i="75"/>
  <c r="P72" i="75"/>
  <c r="T33" i="75"/>
  <c r="V114" i="81" a="1"/>
  <c r="V114" i="81" s="1"/>
  <c r="AD47" i="75"/>
  <c r="P7" i="85"/>
  <c r="P19" i="85" s="1"/>
  <c r="P30" i="75"/>
  <c r="T57" i="75"/>
  <c r="AC111" i="81" a="1"/>
  <c r="AC111" i="81" s="1"/>
  <c r="AD30" i="75"/>
  <c r="X75" i="75"/>
  <c r="AC61" i="75"/>
  <c r="P74" i="75"/>
  <c r="T47" i="75"/>
  <c r="M43" i="75"/>
  <c r="S30" i="75"/>
  <c r="Y112" i="81" a="1"/>
  <c r="Y112" i="81" s="1"/>
  <c r="S58" i="75"/>
  <c r="I75" i="75"/>
  <c r="Y114" i="81" a="1"/>
  <c r="Y114" i="81" s="1"/>
  <c r="S49" i="75"/>
  <c r="S7" i="85"/>
  <c r="S77" i="85" s="1"/>
  <c r="Z61" i="75"/>
  <c r="J77" i="75"/>
  <c r="Q29" i="75"/>
  <c r="V113" i="81" a="1"/>
  <c r="V113" i="81" s="1"/>
  <c r="U32" i="75"/>
  <c r="Y113" i="81" a="1"/>
  <c r="Y113" i="81" s="1"/>
  <c r="Q35" i="75"/>
  <c r="W44" i="75"/>
  <c r="V49" i="75"/>
  <c r="I72" i="75"/>
  <c r="Y110" i="81" a="1"/>
  <c r="Y110" i="81" s="1"/>
  <c r="I32" i="75"/>
  <c r="Q58" i="75"/>
  <c r="I77" i="75"/>
  <c r="J44" i="75"/>
  <c r="R110" i="81" a="1"/>
  <c r="R110" i="81" s="1"/>
  <c r="Y117" i="81" a="1"/>
  <c r="Y117" i="81" s="1"/>
  <c r="W58" i="75"/>
  <c r="U76" i="75"/>
  <c r="Q75" i="75"/>
  <c r="AD77" i="75"/>
  <c r="Q74" i="75"/>
  <c r="AA35" i="75"/>
  <c r="V62" i="75"/>
  <c r="N32" i="75"/>
  <c r="M29" i="75"/>
  <c r="Y111" i="81" a="1"/>
  <c r="Y111" i="81" s="1"/>
  <c r="O47" i="75"/>
  <c r="S44" i="75"/>
  <c r="I33" i="75"/>
  <c r="M30" i="75"/>
  <c r="Y116" i="81" a="1"/>
  <c r="Y116" i="81" s="1"/>
  <c r="AB62" i="75"/>
  <c r="W57" i="75"/>
  <c r="V46" i="75"/>
  <c r="V75" i="75"/>
  <c r="M32" i="75"/>
  <c r="U33" i="75"/>
  <c r="U57" i="75"/>
  <c r="AD33" i="75"/>
  <c r="Q63" i="75"/>
  <c r="AA46" i="75"/>
  <c r="V71" i="75"/>
  <c r="T7" i="85"/>
  <c r="T77" i="85" s="1"/>
  <c r="N33" i="75"/>
  <c r="M48" i="75"/>
  <c r="U47" i="75"/>
  <c r="AA30" i="75"/>
  <c r="U71" i="75"/>
  <c r="AA75" i="75"/>
  <c r="V47" i="75"/>
  <c r="M44" i="75"/>
  <c r="U63" i="75"/>
  <c r="AA77" i="75"/>
  <c r="V30" i="75"/>
  <c r="M49" i="75"/>
  <c r="U30" i="75"/>
  <c r="AA62" i="75"/>
  <c r="V60" i="75"/>
  <c r="M33" i="75"/>
  <c r="M34" i="75"/>
  <c r="L74" i="75"/>
  <c r="Y60" i="75"/>
  <c r="R58" i="75"/>
  <c r="L76" i="75"/>
  <c r="U43" i="75"/>
  <c r="AC46" i="75"/>
  <c r="AE47" i="75"/>
  <c r="U72" i="75"/>
  <c r="AC48" i="75"/>
  <c r="R63" i="75"/>
  <c r="Y46" i="75"/>
  <c r="U58" i="75"/>
  <c r="AA32" i="75"/>
  <c r="AA7" i="85"/>
  <c r="AA51" i="85" s="1"/>
  <c r="S43" i="75"/>
  <c r="Y48" i="75"/>
  <c r="R60" i="75"/>
  <c r="AC7" i="85"/>
  <c r="AC37" i="85" s="1"/>
  <c r="S48" i="75"/>
  <c r="I113" i="81" a="1"/>
  <c r="I113" i="81" s="1"/>
  <c r="L71" i="75"/>
  <c r="AC32" i="75"/>
  <c r="AA76" i="75"/>
  <c r="AE72" i="75"/>
  <c r="L47" i="75"/>
  <c r="AC33" i="75"/>
  <c r="S60" i="75"/>
  <c r="I71" i="75"/>
  <c r="R77" i="75"/>
  <c r="O60" i="75"/>
  <c r="S77" i="75"/>
  <c r="M7" i="85"/>
  <c r="M22" i="85" s="1"/>
  <c r="L49" i="75"/>
  <c r="S62" i="75"/>
  <c r="AE77" i="75"/>
  <c r="I46" i="75"/>
  <c r="AF61" i="75"/>
  <c r="M60" i="75"/>
  <c r="U48" i="75"/>
  <c r="S74" i="75"/>
  <c r="I116" i="81" a="1"/>
  <c r="I116" i="81" s="1"/>
  <c r="AE7" i="85"/>
  <c r="AE61" i="85" s="1"/>
  <c r="I7" i="85"/>
  <c r="I45" i="85" s="1"/>
  <c r="I30" i="75"/>
  <c r="V7" i="85"/>
  <c r="T29" i="75"/>
  <c r="N46" i="75"/>
  <c r="AF46" i="75"/>
  <c r="M62" i="75"/>
  <c r="Y32" i="75"/>
  <c r="R57" i="75"/>
  <c r="AE60" i="75"/>
  <c r="R43" i="75"/>
  <c r="L35" i="75"/>
  <c r="L77" i="75"/>
  <c r="AA29" i="75"/>
  <c r="S75" i="75"/>
  <c r="R47" i="75"/>
  <c r="AE76" i="75"/>
  <c r="R49" i="75"/>
  <c r="AA60" i="75"/>
  <c r="S61" i="75"/>
  <c r="AE46" i="75"/>
  <c r="L32" i="75"/>
  <c r="O44" i="75"/>
  <c r="AA49" i="75"/>
  <c r="Y58" i="75"/>
  <c r="AC58" i="75"/>
  <c r="M35" i="75"/>
  <c r="AE44" i="75"/>
  <c r="U74" i="75"/>
  <c r="I115" i="81" a="1"/>
  <c r="I115" i="81" s="1"/>
  <c r="U46" i="75"/>
  <c r="O62" i="75"/>
  <c r="AA71" i="75"/>
  <c r="I47" i="75"/>
  <c r="L75" i="75"/>
  <c r="O46" i="75"/>
  <c r="Y77" i="75"/>
  <c r="R48" i="75"/>
  <c r="U60" i="75"/>
  <c r="O48" i="75"/>
  <c r="AC63" i="75"/>
  <c r="AA43" i="75"/>
  <c r="S33" i="75"/>
  <c r="I117" i="81" a="1"/>
  <c r="I117" i="81" s="1"/>
  <c r="AE30" i="75"/>
  <c r="I49" i="75"/>
  <c r="I58" i="75"/>
  <c r="V35" i="75"/>
  <c r="T46" i="75"/>
  <c r="N48" i="75"/>
  <c r="J29" i="75"/>
  <c r="M46" i="75"/>
  <c r="R115" i="81" a="1"/>
  <c r="R115" i="81" s="1"/>
  <c r="O63" i="75"/>
  <c r="L60" i="75"/>
  <c r="O76" i="75"/>
  <c r="Y57" i="75"/>
  <c r="AE58" i="75"/>
  <c r="Y61" i="75"/>
  <c r="AA57" i="75"/>
  <c r="U44" i="75"/>
  <c r="AC60" i="75"/>
  <c r="AE43" i="75"/>
  <c r="L61" i="75"/>
  <c r="U75" i="75"/>
  <c r="O58" i="75"/>
  <c r="AA74" i="75"/>
  <c r="I114" i="81" a="1"/>
  <c r="I114" i="81" s="1"/>
  <c r="I43" i="75"/>
  <c r="AF114" i="81" a="1"/>
  <c r="AF114" i="81" s="1"/>
  <c r="Y72" i="75"/>
  <c r="I60" i="75"/>
  <c r="U7" i="85"/>
  <c r="U61" i="85" s="1"/>
  <c r="O61" i="75"/>
  <c r="AA44" i="75"/>
  <c r="S71" i="75"/>
  <c r="I57" i="75"/>
  <c r="R62" i="75"/>
  <c r="AA58" i="75"/>
  <c r="I111" i="81" a="1"/>
  <c r="I111" i="81" s="1"/>
  <c r="L46" i="75"/>
  <c r="AA47" i="75"/>
  <c r="AE57" i="75"/>
  <c r="V72" i="75"/>
  <c r="AF32" i="75"/>
  <c r="R114" i="81" a="1"/>
  <c r="R114" i="81" s="1"/>
  <c r="R35" i="75"/>
  <c r="AC75" i="75"/>
  <c r="S76" i="75"/>
  <c r="I112" i="81" a="1"/>
  <c r="I112" i="81" s="1"/>
  <c r="V43" i="75"/>
  <c r="Y63" i="75"/>
  <c r="R29" i="75"/>
  <c r="AC57" i="75"/>
  <c r="S72" i="75"/>
  <c r="R34" i="75"/>
  <c r="R32" i="75"/>
  <c r="O43" i="75"/>
  <c r="AA63" i="75"/>
  <c r="S35" i="75"/>
  <c r="AE75" i="75"/>
  <c r="I76" i="75"/>
  <c r="I35" i="75"/>
  <c r="V48" i="75"/>
  <c r="T48" i="75"/>
  <c r="N58" i="75"/>
  <c r="J46" i="75"/>
  <c r="M71" i="75"/>
  <c r="O77" i="75"/>
  <c r="L62" i="75"/>
  <c r="O72" i="75"/>
  <c r="AC76" i="75"/>
  <c r="Y49" i="75"/>
  <c r="R61" i="75"/>
  <c r="AE34" i="75"/>
  <c r="S47" i="75"/>
  <c r="AE35" i="75"/>
  <c r="Y33" i="75"/>
  <c r="AC62" i="75"/>
  <c r="L43" i="75"/>
  <c r="AC72" i="75"/>
  <c r="U29" i="75"/>
  <c r="AA72" i="75"/>
  <c r="AE62" i="75"/>
  <c r="M57" i="75"/>
  <c r="R71" i="75"/>
  <c r="V74" i="75"/>
  <c r="Y7" i="85"/>
  <c r="Y28" i="85" s="1"/>
  <c r="U77" i="75"/>
  <c r="O49" i="75"/>
  <c r="S32" i="75"/>
  <c r="V76" i="75"/>
  <c r="M63" i="75"/>
  <c r="Y44" i="75"/>
  <c r="AC47" i="75"/>
  <c r="S46" i="75"/>
  <c r="I63" i="75"/>
  <c r="Y71" i="75"/>
  <c r="AA33" i="75"/>
  <c r="Y75" i="75"/>
  <c r="U62" i="75"/>
  <c r="AC44" i="75"/>
  <c r="Y30" i="75"/>
  <c r="R75" i="75"/>
  <c r="U61" i="75"/>
  <c r="O71" i="75"/>
  <c r="AC77" i="75"/>
  <c r="AA61" i="75"/>
  <c r="S63" i="75"/>
  <c r="AE49" i="75"/>
  <c r="I62" i="75"/>
  <c r="V32" i="75"/>
  <c r="V58" i="75"/>
  <c r="T62" i="75"/>
  <c r="N44" i="75"/>
  <c r="J71" i="75"/>
  <c r="R113" i="81" a="1"/>
  <c r="R113" i="81" s="1"/>
  <c r="Z43" i="75"/>
  <c r="AF60" i="75"/>
  <c r="AF35" i="75"/>
  <c r="Z57" i="75"/>
  <c r="AF57" i="75"/>
  <c r="J43" i="75"/>
  <c r="F23" i="75" a="1"/>
  <c r="F23" i="75" s="1"/>
  <c r="I9" i="33" s="1"/>
  <c r="J47" i="75"/>
  <c r="W74" i="75"/>
  <c r="N76" i="75"/>
  <c r="J48" i="75"/>
  <c r="L114" i="81" a="1"/>
  <c r="L114" i="81" s="1"/>
  <c r="Q44" i="75"/>
  <c r="W60" i="75"/>
  <c r="AG43" i="75"/>
  <c r="Z32" i="75"/>
  <c r="N43" i="75"/>
  <c r="AF29" i="75"/>
  <c r="L113" i="81" a="1"/>
  <c r="L113" i="81" s="1"/>
  <c r="J112" i="81" a="1"/>
  <c r="J112" i="81" s="1"/>
  <c r="Z60" i="75"/>
  <c r="W46" i="75"/>
  <c r="N30" i="75"/>
  <c r="AF75" i="75"/>
  <c r="X76" i="75"/>
  <c r="AG29" i="75"/>
  <c r="Z30" i="75"/>
  <c r="J74" i="75"/>
  <c r="AB32" i="75"/>
  <c r="X61" i="75"/>
  <c r="AG71" i="75"/>
  <c r="J110" i="81" a="1"/>
  <c r="J110" i="81" s="1"/>
  <c r="Z75" i="75"/>
  <c r="W63" i="75"/>
  <c r="AF62" i="75"/>
  <c r="AB44" i="75"/>
  <c r="O57" i="75"/>
  <c r="O112" i="81" a="1"/>
  <c r="O112" i="81" s="1"/>
  <c r="AB61" i="75"/>
  <c r="Y74" i="75"/>
  <c r="X77" i="75"/>
  <c r="AG62" i="75"/>
  <c r="Q60" i="75"/>
  <c r="Z29" i="75"/>
  <c r="W75" i="75"/>
  <c r="N29" i="75"/>
  <c r="J58" i="75"/>
  <c r="AB72" i="75"/>
  <c r="Y62" i="75"/>
  <c r="Y35" i="75"/>
  <c r="R74" i="75"/>
  <c r="AB34" i="75"/>
  <c r="X74" i="75"/>
  <c r="Q57" i="75"/>
  <c r="Z74" i="75"/>
  <c r="W49" i="75"/>
  <c r="AF72" i="75"/>
  <c r="AB35" i="75"/>
  <c r="Y76" i="75"/>
  <c r="L44" i="75"/>
  <c r="R76" i="75"/>
  <c r="X33" i="75"/>
  <c r="X60" i="75"/>
  <c r="O33" i="75"/>
  <c r="AC71" i="75"/>
  <c r="AG35" i="75"/>
  <c r="Q62" i="75"/>
  <c r="J116" i="81" a="1"/>
  <c r="J116" i="81" s="1"/>
  <c r="AE29" i="75"/>
  <c r="Z76" i="75"/>
  <c r="W48" i="75"/>
  <c r="W35" i="75"/>
  <c r="N77" i="75"/>
  <c r="AF7" i="85"/>
  <c r="AF19" i="85" s="1"/>
  <c r="J33" i="75"/>
  <c r="AB71" i="75"/>
  <c r="Z44" i="75"/>
  <c r="AF49" i="75"/>
  <c r="Z49" i="75"/>
  <c r="W33" i="75"/>
  <c r="AF48" i="75"/>
  <c r="W43" i="75"/>
  <c r="J7" i="85"/>
  <c r="J23" i="85" s="1"/>
  <c r="J72" i="75"/>
  <c r="AB7" i="85"/>
  <c r="Q76" i="75"/>
  <c r="Z48" i="75"/>
  <c r="W7" i="85"/>
  <c r="W73" i="85" s="1"/>
  <c r="AF47" i="75"/>
  <c r="L111" i="81" a="1"/>
  <c r="L111" i="81" s="1"/>
  <c r="Q48" i="75"/>
  <c r="Z58" i="75"/>
  <c r="J49" i="75"/>
  <c r="Z7" i="85"/>
  <c r="Z73" i="85" s="1"/>
  <c r="N74" i="75"/>
  <c r="J60" i="75"/>
  <c r="L110" i="81" a="1"/>
  <c r="L110" i="81" s="1"/>
  <c r="W62" i="75"/>
  <c r="N60" i="75"/>
  <c r="J32" i="75"/>
  <c r="AB74" i="75"/>
  <c r="AG48" i="75"/>
  <c r="J115" i="81" a="1"/>
  <c r="J115" i="81" s="1"/>
  <c r="Z71" i="75"/>
  <c r="N47" i="75"/>
  <c r="AB58" i="75"/>
  <c r="AG32" i="75"/>
  <c r="X46" i="75"/>
  <c r="AG74" i="75"/>
  <c r="O114" i="81" a="1"/>
  <c r="O114" i="81" s="1"/>
  <c r="Y43" i="75"/>
  <c r="X7" i="85"/>
  <c r="X73" i="85" s="1"/>
  <c r="O7" i="85"/>
  <c r="O78" i="85" s="1"/>
  <c r="AG7" i="85"/>
  <c r="AG73" i="85" s="1"/>
  <c r="W30" i="75"/>
  <c r="AF44" i="75"/>
  <c r="AB47" i="75"/>
  <c r="L30" i="75"/>
  <c r="O29" i="75"/>
  <c r="AE71" i="75"/>
  <c r="L34" i="75"/>
  <c r="Y47" i="75"/>
  <c r="L29" i="75"/>
  <c r="L63" i="75"/>
  <c r="R44" i="75"/>
  <c r="X62" i="75"/>
  <c r="O32" i="75"/>
  <c r="O35" i="75"/>
  <c r="AC30" i="75"/>
  <c r="AG49" i="75"/>
  <c r="Q32" i="75"/>
  <c r="Q33" i="75"/>
  <c r="J117" i="81" a="1"/>
  <c r="J117" i="81" s="1"/>
  <c r="AE61" i="75"/>
  <c r="Z46" i="75"/>
  <c r="W71" i="75"/>
  <c r="N57" i="75"/>
  <c r="AF63" i="75"/>
  <c r="J75" i="75"/>
  <c r="AB33" i="75"/>
  <c r="AF110" i="81" a="1"/>
  <c r="AF110" i="81" s="1"/>
  <c r="W29" i="75"/>
  <c r="AF43" i="75"/>
  <c r="AF77" i="75"/>
  <c r="AB48" i="75"/>
  <c r="Z47" i="75"/>
  <c r="Q7" i="85"/>
  <c r="Q65" i="85" s="1"/>
  <c r="Z33" i="75"/>
  <c r="W77" i="75"/>
  <c r="AF71" i="75"/>
  <c r="J63" i="75"/>
  <c r="AB77" i="75"/>
  <c r="J57" i="75"/>
  <c r="AB29" i="75"/>
  <c r="F16" i="75" a="1"/>
  <c r="F16" i="75" s="1"/>
  <c r="N75" i="75"/>
  <c r="AF33" i="75"/>
  <c r="AB49" i="75"/>
  <c r="AG33" i="75"/>
  <c r="N72" i="75"/>
  <c r="AF30" i="75"/>
  <c r="AB75" i="75"/>
  <c r="Q49" i="75"/>
  <c r="Z72" i="75"/>
  <c r="X63" i="75"/>
  <c r="Q43" i="75"/>
  <c r="Z63" i="75"/>
  <c r="J62" i="75"/>
  <c r="AB76" i="75"/>
  <c r="Z34" i="75"/>
  <c r="AC112" i="81" a="1"/>
  <c r="AC112" i="81" s="1"/>
  <c r="Q77" i="75"/>
  <c r="W72" i="75"/>
  <c r="AF76" i="75"/>
  <c r="Q47" i="75"/>
  <c r="Z62" i="75"/>
  <c r="N7" i="85"/>
  <c r="N76" i="85" s="1"/>
  <c r="J76" i="75"/>
  <c r="AB43" i="75"/>
  <c r="X32" i="75"/>
  <c r="AG60" i="75"/>
  <c r="Q61" i="75"/>
  <c r="J111" i="81" a="1"/>
  <c r="J111" i="81" s="1"/>
  <c r="Z77" i="75"/>
  <c r="W32" i="75"/>
  <c r="W61" i="75"/>
  <c r="N61" i="75"/>
  <c r="AF58" i="75"/>
  <c r="J30" i="75"/>
  <c r="AB63" i="75"/>
  <c r="L48" i="75"/>
  <c r="J114" i="81" a="1"/>
  <c r="J114" i="81" s="1"/>
  <c r="X48" i="75"/>
  <c r="AG58" i="75"/>
  <c r="AG76" i="75"/>
  <c r="N34" i="75"/>
  <c r="W76" i="75"/>
  <c r="N63" i="75"/>
  <c r="J61" i="75"/>
  <c r="Y29" i="75"/>
  <c r="L72" i="75"/>
  <c r="X47" i="75"/>
  <c r="O30" i="75"/>
  <c r="O74" i="75"/>
  <c r="AC49" i="75"/>
  <c r="Q46" i="75"/>
  <c r="Q71" i="75"/>
  <c r="AF112" i="81" a="1"/>
  <c r="AF112" i="81" s="1"/>
  <c r="W47" i="75"/>
  <c r="AF74" i="75"/>
  <c r="J35" i="75"/>
  <c r="O110" i="81" a="1"/>
  <c r="O110" i="81" s="1"/>
  <c r="AF111" i="81" a="1"/>
  <c r="AF111" i="81" s="1"/>
  <c r="K32" i="85"/>
  <c r="K78" i="75"/>
  <c r="K64" i="75"/>
  <c r="H60" i="85"/>
  <c r="H49" i="85"/>
  <c r="H45" i="85"/>
  <c r="H74" i="85"/>
  <c r="H17" i="85"/>
  <c r="H73" i="85"/>
  <c r="H16" i="85"/>
  <c r="H30" i="85"/>
  <c r="H59" i="85"/>
  <c r="H20" i="85"/>
  <c r="H56" i="85"/>
  <c r="H47" i="85"/>
  <c r="H64" i="85"/>
  <c r="H51" i="85"/>
  <c r="H19" i="85"/>
  <c r="H46" i="85"/>
  <c r="H18" i="85"/>
  <c r="H35" i="85"/>
  <c r="H78" i="85"/>
  <c r="H48" i="85"/>
  <c r="H79" i="85"/>
  <c r="H44" i="85"/>
  <c r="H62" i="85"/>
  <c r="H34" i="85"/>
  <c r="H58" i="85"/>
  <c r="H50" i="85"/>
  <c r="H77" i="85"/>
  <c r="H61" i="85"/>
  <c r="H72" i="85"/>
  <c r="H65" i="85"/>
  <c r="H76" i="85"/>
  <c r="H23" i="85"/>
  <c r="H22" i="85"/>
  <c r="H21" i="85"/>
  <c r="H28" i="85"/>
  <c r="H36" i="85"/>
  <c r="H42" i="85"/>
  <c r="H75" i="85"/>
  <c r="H63" i="85"/>
  <c r="H70" i="85"/>
  <c r="H33" i="85"/>
  <c r="H32" i="85"/>
  <c r="H37" i="85"/>
  <c r="H31" i="85"/>
  <c r="K97" i="85"/>
  <c r="L74" i="33" s="1"/>
  <c r="K98" i="85"/>
  <c r="L75" i="33" s="1"/>
  <c r="K96" i="85"/>
  <c r="L73" i="33" s="1"/>
  <c r="K77" i="85"/>
  <c r="K18" i="85"/>
  <c r="K59" i="85"/>
  <c r="K46" i="85"/>
  <c r="K72" i="85"/>
  <c r="K20" i="85"/>
  <c r="K78" i="85"/>
  <c r="K44" i="85"/>
  <c r="K58" i="85"/>
  <c r="K45" i="85"/>
  <c r="K73" i="85"/>
  <c r="K48" i="85"/>
  <c r="K62" i="85"/>
  <c r="K61" i="85"/>
  <c r="K50" i="85"/>
  <c r="K51" i="85"/>
  <c r="K16" i="85"/>
  <c r="K17" i="85"/>
  <c r="K70" i="85"/>
  <c r="K42" i="85"/>
  <c r="K56" i="85"/>
  <c r="K74" i="85"/>
  <c r="K79" i="85"/>
  <c r="K75" i="85"/>
  <c r="K76" i="85"/>
  <c r="K64" i="85"/>
  <c r="K65" i="85"/>
  <c r="K63" i="85"/>
  <c r="K22" i="85"/>
  <c r="K60" i="85"/>
  <c r="K21" i="85"/>
  <c r="K49" i="85"/>
  <c r="K47" i="85"/>
  <c r="K19" i="85"/>
  <c r="K23" i="85"/>
  <c r="K50" i="75"/>
  <c r="K40" i="85" s="1"/>
  <c r="K36" i="75"/>
  <c r="J31" i="85" l="1"/>
  <c r="J37" i="85"/>
  <c r="K35" i="85"/>
  <c r="K37" i="85"/>
  <c r="L76" i="85"/>
  <c r="L62" i="85"/>
  <c r="AE32" i="85"/>
  <c r="AC36" i="75"/>
  <c r="AB12" i="85" s="1"/>
  <c r="J35" i="85"/>
  <c r="J36" i="85"/>
  <c r="AD32" i="85"/>
  <c r="I96" i="85"/>
  <c r="I97" i="85"/>
  <c r="L72" i="85"/>
  <c r="L45" i="85"/>
  <c r="S47" i="85"/>
  <c r="L64" i="85"/>
  <c r="S16" i="85"/>
  <c r="S22" i="85"/>
  <c r="L63" i="85"/>
  <c r="S19" i="85"/>
  <c r="L34" i="85"/>
  <c r="T36" i="75"/>
  <c r="L22" i="85"/>
  <c r="S51" i="85"/>
  <c r="L23" i="85"/>
  <c r="L60" i="85"/>
  <c r="L31" i="85"/>
  <c r="L74" i="85"/>
  <c r="L49" i="85"/>
  <c r="L37" i="85"/>
  <c r="S20" i="85"/>
  <c r="R36" i="85"/>
  <c r="M78" i="75"/>
  <c r="L51" i="85"/>
  <c r="L65" i="85"/>
  <c r="L42" i="85"/>
  <c r="AD62" i="85"/>
  <c r="V32" i="85"/>
  <c r="L73" i="85"/>
  <c r="R58" i="85"/>
  <c r="L56" i="85"/>
  <c r="R76" i="85"/>
  <c r="L20" i="85"/>
  <c r="L32" i="85"/>
  <c r="L77" i="85"/>
  <c r="L78" i="85"/>
  <c r="S50" i="85"/>
  <c r="L61" i="85"/>
  <c r="L47" i="85"/>
  <c r="L79" i="85"/>
  <c r="R60" i="85"/>
  <c r="L46" i="85"/>
  <c r="AD45" i="85"/>
  <c r="R73" i="85"/>
  <c r="Q64" i="75"/>
  <c r="AC31" i="85"/>
  <c r="L75" i="85"/>
  <c r="R74" i="85"/>
  <c r="L18" i="85"/>
  <c r="AD65" i="85"/>
  <c r="L16" i="85"/>
  <c r="I98" i="85"/>
  <c r="L58" i="85"/>
  <c r="U74" i="85"/>
  <c r="P36" i="75"/>
  <c r="AA42" i="85"/>
  <c r="R32" i="85"/>
  <c r="AA70" i="85"/>
  <c r="U36" i="75"/>
  <c r="AD64" i="75"/>
  <c r="L59" i="85"/>
  <c r="Z18" i="85"/>
  <c r="AD76" i="85"/>
  <c r="L35" i="85"/>
  <c r="AA23" i="85"/>
  <c r="V64" i="75"/>
  <c r="U75" i="85"/>
  <c r="AA20" i="85"/>
  <c r="Z63" i="85"/>
  <c r="L36" i="85"/>
  <c r="L48" i="85"/>
  <c r="Z59" i="85"/>
  <c r="AD59" i="85"/>
  <c r="AA35" i="85"/>
  <c r="R31" i="85"/>
  <c r="X79" i="85"/>
  <c r="R19" i="85"/>
  <c r="L44" i="85"/>
  <c r="L19" i="85"/>
  <c r="L50" i="85"/>
  <c r="R56" i="85"/>
  <c r="U50" i="75"/>
  <c r="U40" i="85" s="1"/>
  <c r="AF49" i="85"/>
  <c r="L70" i="85"/>
  <c r="R77" i="85"/>
  <c r="L33" i="85"/>
  <c r="L17" i="85"/>
  <c r="L21" i="85"/>
  <c r="R63" i="85"/>
  <c r="L30" i="85"/>
  <c r="M33" i="85"/>
  <c r="AD20" i="85"/>
  <c r="S35" i="85"/>
  <c r="AE62" i="85"/>
  <c r="R21" i="85"/>
  <c r="R61" i="85"/>
  <c r="R16" i="85"/>
  <c r="AD72" i="85"/>
  <c r="R78" i="85"/>
  <c r="AE74" i="85"/>
  <c r="R62" i="85"/>
  <c r="R37" i="85"/>
  <c r="R30" i="85"/>
  <c r="X58" i="85"/>
  <c r="AA33" i="85"/>
  <c r="O46" i="85"/>
  <c r="R23" i="85"/>
  <c r="R22" i="85"/>
  <c r="AG50" i="75"/>
  <c r="AG40" i="85" s="1"/>
  <c r="X64" i="75"/>
  <c r="AA78" i="75"/>
  <c r="AC64" i="75"/>
  <c r="S31" i="85"/>
  <c r="P50" i="75"/>
  <c r="P40" i="85" s="1"/>
  <c r="R42" i="85"/>
  <c r="AA16" i="85"/>
  <c r="R34" i="85"/>
  <c r="T78" i="75"/>
  <c r="J75" i="85"/>
  <c r="I20" i="85"/>
  <c r="AE65" i="85"/>
  <c r="J73" i="85"/>
  <c r="I47" i="85"/>
  <c r="AE76" i="85"/>
  <c r="R70" i="85"/>
  <c r="U23" i="85"/>
  <c r="J50" i="85"/>
  <c r="I22" i="85"/>
  <c r="AE50" i="85"/>
  <c r="R72" i="85"/>
  <c r="U19" i="85"/>
  <c r="S33" i="85"/>
  <c r="I44" i="85"/>
  <c r="AE21" i="85"/>
  <c r="R65" i="85"/>
  <c r="U21" i="85"/>
  <c r="AD78" i="75"/>
  <c r="I23" i="85"/>
  <c r="AE63" i="85"/>
  <c r="AD44" i="85"/>
  <c r="R28" i="85"/>
  <c r="R59" i="85"/>
  <c r="U47" i="85"/>
  <c r="P63" i="85"/>
  <c r="R18" i="85"/>
  <c r="U70" i="85"/>
  <c r="P64" i="85"/>
  <c r="Z58" i="85"/>
  <c r="AD79" i="85"/>
  <c r="R44" i="85"/>
  <c r="R79" i="85"/>
  <c r="AA48" i="85"/>
  <c r="O30" i="85"/>
  <c r="AE36" i="85"/>
  <c r="I65" i="85"/>
  <c r="R64" i="85"/>
  <c r="U51" i="85"/>
  <c r="Z64" i="85"/>
  <c r="AD48" i="85"/>
  <c r="R48" i="85"/>
  <c r="AF31" i="85"/>
  <c r="P62" i="85"/>
  <c r="Z48" i="85"/>
  <c r="AD77" i="85"/>
  <c r="R50" i="85"/>
  <c r="R20" i="85"/>
  <c r="AA45" i="85"/>
  <c r="P78" i="75"/>
  <c r="P64" i="75"/>
  <c r="T28" i="85"/>
  <c r="T63" i="85"/>
  <c r="U46" i="85"/>
  <c r="AE35" i="85"/>
  <c r="R49" i="85"/>
  <c r="T65" i="85"/>
  <c r="AA44" i="85"/>
  <c r="R33" i="85"/>
  <c r="I64" i="75"/>
  <c r="AD36" i="75"/>
  <c r="AC12" i="85" s="1"/>
  <c r="AE30" i="85"/>
  <c r="Q33" i="85"/>
  <c r="Q45" i="85"/>
  <c r="Y70" i="85"/>
  <c r="T61" i="85"/>
  <c r="J63" i="85"/>
  <c r="P44" i="85"/>
  <c r="P65" i="85"/>
  <c r="J64" i="85"/>
  <c r="R45" i="85"/>
  <c r="R17" i="85"/>
  <c r="AA37" i="85"/>
  <c r="AA46" i="85"/>
  <c r="Y60" i="85"/>
  <c r="T64" i="85"/>
  <c r="J56" i="85"/>
  <c r="AA30" i="85"/>
  <c r="R46" i="85"/>
  <c r="R75" i="85"/>
  <c r="AA18" i="85"/>
  <c r="W33" i="85"/>
  <c r="T30" i="85"/>
  <c r="Y56" i="85"/>
  <c r="J77" i="85"/>
  <c r="P72" i="85"/>
  <c r="P74" i="85"/>
  <c r="J61" i="85"/>
  <c r="R47" i="85"/>
  <c r="P32" i="85"/>
  <c r="AA19" i="85"/>
  <c r="AB30" i="85"/>
  <c r="AB21" i="85"/>
  <c r="AB37" i="85"/>
  <c r="AB65" i="85"/>
  <c r="AB70" i="85"/>
  <c r="AB31" i="85"/>
  <c r="AB22" i="85"/>
  <c r="AB63" i="85"/>
  <c r="AB36" i="85"/>
  <c r="I28" i="85"/>
  <c r="I64" i="85"/>
  <c r="I59" i="85"/>
  <c r="I30" i="85"/>
  <c r="I16" i="85"/>
  <c r="I72" i="85"/>
  <c r="I76" i="85"/>
  <c r="I46" i="85"/>
  <c r="I19" i="85"/>
  <c r="I18" i="85"/>
  <c r="T51" i="85"/>
  <c r="T18" i="85"/>
  <c r="T23" i="85"/>
  <c r="T33" i="85"/>
  <c r="T42" i="85"/>
  <c r="T58" i="85"/>
  <c r="T79" i="85"/>
  <c r="T34" i="85"/>
  <c r="T20" i="85"/>
  <c r="T35" i="85"/>
  <c r="T17" i="85"/>
  <c r="T49" i="85"/>
  <c r="T60" i="85"/>
  <c r="P48" i="85"/>
  <c r="I74" i="85"/>
  <c r="AE34" i="85"/>
  <c r="AE16" i="85"/>
  <c r="AE60" i="85"/>
  <c r="AE17" i="85"/>
  <c r="AE37" i="85"/>
  <c r="AE70" i="85"/>
  <c r="AE46" i="85"/>
  <c r="AE78" i="85"/>
  <c r="AE18" i="85"/>
  <c r="AE28" i="85"/>
  <c r="AE49" i="85"/>
  <c r="AE56" i="85"/>
  <c r="AE59" i="85"/>
  <c r="AE23" i="85"/>
  <c r="AE51" i="85"/>
  <c r="AE22" i="85"/>
  <c r="AE42" i="85"/>
  <c r="AE47" i="85"/>
  <c r="AE75" i="85"/>
  <c r="AE33" i="85"/>
  <c r="P61" i="85"/>
  <c r="J60" i="85"/>
  <c r="W23" i="85"/>
  <c r="T73" i="85"/>
  <c r="P50" i="85"/>
  <c r="I17" i="85"/>
  <c r="W64" i="85"/>
  <c r="T16" i="85"/>
  <c r="L36" i="75"/>
  <c r="M36" i="75"/>
  <c r="AD50" i="75"/>
  <c r="AD40" i="85" s="1"/>
  <c r="J58" i="85"/>
  <c r="W76" i="85"/>
  <c r="X36" i="75"/>
  <c r="Y78" i="75"/>
  <c r="J32" i="85"/>
  <c r="P23" i="85"/>
  <c r="J47" i="85"/>
  <c r="AD21" i="85"/>
  <c r="P17" i="85"/>
  <c r="J79" i="85"/>
  <c r="AD75" i="85"/>
  <c r="T45" i="85"/>
  <c r="P47" i="85"/>
  <c r="J46" i="85"/>
  <c r="I70" i="85"/>
  <c r="AE44" i="85"/>
  <c r="P70" i="85"/>
  <c r="J70" i="85"/>
  <c r="I51" i="85"/>
  <c r="AE72" i="85"/>
  <c r="AB51" i="85"/>
  <c r="P46" i="85"/>
  <c r="I21" i="85"/>
  <c r="AD23" i="85"/>
  <c r="T75" i="85"/>
  <c r="P42" i="85"/>
  <c r="AE64" i="85"/>
  <c r="AB20" i="85"/>
  <c r="T22" i="85"/>
  <c r="AD46" i="85"/>
  <c r="T21" i="85"/>
  <c r="W28" i="85"/>
  <c r="W34" i="85"/>
  <c r="Q30" i="85"/>
  <c r="Q42" i="85"/>
  <c r="Q35" i="85"/>
  <c r="Q37" i="85"/>
  <c r="Q49" i="85"/>
  <c r="Q75" i="85"/>
  <c r="Q46" i="85"/>
  <c r="O36" i="75"/>
  <c r="V51" i="85"/>
  <c r="V44" i="85"/>
  <c r="V76" i="85"/>
  <c r="V64" i="85"/>
  <c r="V70" i="85"/>
  <c r="V19" i="85"/>
  <c r="V63" i="85"/>
  <c r="V73" i="85"/>
  <c r="V56" i="85"/>
  <c r="P36" i="85"/>
  <c r="P33" i="85"/>
  <c r="P34" i="85"/>
  <c r="P56" i="85"/>
  <c r="P73" i="85"/>
  <c r="P78" i="85"/>
  <c r="P51" i="85"/>
  <c r="P75" i="85"/>
  <c r="P77" i="85"/>
  <c r="P49" i="85"/>
  <c r="P18" i="85"/>
  <c r="P22" i="85"/>
  <c r="P79" i="85"/>
  <c r="P37" i="85"/>
  <c r="P60" i="85"/>
  <c r="P20" i="85"/>
  <c r="P30" i="85"/>
  <c r="P59" i="85"/>
  <c r="P21" i="85"/>
  <c r="P76" i="85"/>
  <c r="P16" i="85"/>
  <c r="W63" i="85"/>
  <c r="T59" i="85"/>
  <c r="T32" i="85"/>
  <c r="J28" i="85"/>
  <c r="J59" i="85"/>
  <c r="J65" i="85"/>
  <c r="J78" i="85"/>
  <c r="J16" i="85"/>
  <c r="J42" i="85"/>
  <c r="J51" i="85"/>
  <c r="J76" i="85"/>
  <c r="J72" i="85"/>
  <c r="J62" i="85"/>
  <c r="J20" i="85"/>
  <c r="J22" i="85"/>
  <c r="I31" i="85"/>
  <c r="I50" i="85"/>
  <c r="AE19" i="85"/>
  <c r="AB28" i="85"/>
  <c r="P31" i="85"/>
  <c r="V34" i="85"/>
  <c r="J18" i="85"/>
  <c r="AE45" i="85"/>
  <c r="AB58" i="85"/>
  <c r="J33" i="85"/>
  <c r="AG64" i="75"/>
  <c r="I33" i="85"/>
  <c r="P58" i="85"/>
  <c r="I42" i="85"/>
  <c r="AE58" i="85"/>
  <c r="AB59" i="85"/>
  <c r="T74" i="85"/>
  <c r="AE78" i="75"/>
  <c r="S37" i="85"/>
  <c r="S75" i="85"/>
  <c r="S42" i="85"/>
  <c r="S49" i="85"/>
  <c r="S76" i="85"/>
  <c r="S46" i="85"/>
  <c r="S44" i="85"/>
  <c r="S28" i="85"/>
  <c r="S61" i="85"/>
  <c r="S63" i="85"/>
  <c r="S59" i="85"/>
  <c r="S45" i="85"/>
  <c r="S74" i="85"/>
  <c r="S21" i="85"/>
  <c r="S32" i="85"/>
  <c r="S23" i="85"/>
  <c r="S58" i="85"/>
  <c r="AD36" i="85"/>
  <c r="AD63" i="85"/>
  <c r="AD50" i="85"/>
  <c r="AD49" i="85"/>
  <c r="AD33" i="85"/>
  <c r="AD60" i="85"/>
  <c r="AD18" i="85"/>
  <c r="AD28" i="85"/>
  <c r="AD16" i="85"/>
  <c r="AD34" i="85"/>
  <c r="AD47" i="85"/>
  <c r="AD19" i="85"/>
  <c r="AD64" i="85"/>
  <c r="AD51" i="85"/>
  <c r="AD74" i="85"/>
  <c r="AD73" i="85"/>
  <c r="AD17" i="85"/>
  <c r="AD30" i="85"/>
  <c r="I49" i="85"/>
  <c r="AE20" i="85"/>
  <c r="AB62" i="85"/>
  <c r="T72" i="85"/>
  <c r="J48" i="85"/>
  <c r="I60" i="85"/>
  <c r="AE79" i="85"/>
  <c r="AB72" i="85"/>
  <c r="J45" i="85"/>
  <c r="V74" i="85"/>
  <c r="AD22" i="85"/>
  <c r="AB19" i="85"/>
  <c r="T47" i="85"/>
  <c r="AD35" i="85"/>
  <c r="I78" i="75"/>
  <c r="P35" i="85"/>
  <c r="J44" i="85"/>
  <c r="V45" i="85"/>
  <c r="AD70" i="85"/>
  <c r="T76" i="85"/>
  <c r="Q28" i="85"/>
  <c r="J17" i="85"/>
  <c r="V77" i="85"/>
  <c r="AE73" i="85"/>
  <c r="AB79" i="85"/>
  <c r="J49" i="85"/>
  <c r="I58" i="85"/>
  <c r="AD42" i="85"/>
  <c r="S56" i="85"/>
  <c r="AD31" i="85"/>
  <c r="AE31" i="85"/>
  <c r="J19" i="85"/>
  <c r="I79" i="85"/>
  <c r="AD58" i="85"/>
  <c r="AE48" i="85"/>
  <c r="S78" i="85"/>
  <c r="AB56" i="85"/>
  <c r="T70" i="85"/>
  <c r="P28" i="85"/>
  <c r="J21" i="85"/>
  <c r="I77" i="85"/>
  <c r="AD78" i="85"/>
  <c r="AD56" i="85"/>
  <c r="AE77" i="85"/>
  <c r="AB18" i="85"/>
  <c r="P45" i="85"/>
  <c r="J74" i="85"/>
  <c r="I56" i="85"/>
  <c r="AD61" i="85"/>
  <c r="Q63" i="85"/>
  <c r="S48" i="85"/>
  <c r="T62" i="85"/>
  <c r="AC49" i="85"/>
  <c r="N36" i="75"/>
  <c r="AC47" i="85"/>
  <c r="I32" i="85"/>
  <c r="I37" i="85"/>
  <c r="AF18" i="85"/>
  <c r="AA60" i="85"/>
  <c r="J30" i="85"/>
  <c r="T50" i="75"/>
  <c r="T40" i="85" s="1"/>
  <c r="U78" i="75"/>
  <c r="Y50" i="75"/>
  <c r="Y40" i="85" s="1"/>
  <c r="I36" i="75"/>
  <c r="AC50" i="85"/>
  <c r="L78" i="75"/>
  <c r="T64" i="75"/>
  <c r="AF76" i="85"/>
  <c r="AA58" i="85"/>
  <c r="J34" i="85"/>
  <c r="M20" i="85"/>
  <c r="AA72" i="85"/>
  <c r="Q36" i="75"/>
  <c r="Q50" i="75"/>
  <c r="Q40" i="85" s="1"/>
  <c r="AA64" i="75"/>
  <c r="I34" i="85"/>
  <c r="V36" i="75"/>
  <c r="O64" i="75"/>
  <c r="V50" i="75"/>
  <c r="V40" i="85" s="1"/>
  <c r="M16" i="85"/>
  <c r="M19" i="85"/>
  <c r="Y79" i="85"/>
  <c r="Q22" i="85"/>
  <c r="X35" i="85"/>
  <c r="Q78" i="75"/>
  <c r="Y44" i="85"/>
  <c r="V59" i="85"/>
  <c r="Q62" i="85"/>
  <c r="W77" i="85"/>
  <c r="X36" i="85"/>
  <c r="AA50" i="75"/>
  <c r="AA40" i="85" s="1"/>
  <c r="Y78" i="85"/>
  <c r="V28" i="85"/>
  <c r="Q74" i="85"/>
  <c r="W65" i="85"/>
  <c r="M45" i="85"/>
  <c r="Y73" i="85"/>
  <c r="V48" i="85"/>
  <c r="V60" i="85"/>
  <c r="I61" i="85"/>
  <c r="Q60" i="85"/>
  <c r="Q21" i="85"/>
  <c r="W42" i="85"/>
  <c r="S62" i="85"/>
  <c r="S65" i="85"/>
  <c r="AB64" i="85"/>
  <c r="T48" i="85"/>
  <c r="T56" i="85"/>
  <c r="M64" i="85"/>
  <c r="U73" i="85"/>
  <c r="S30" i="85"/>
  <c r="AB35" i="85"/>
  <c r="O72" i="85"/>
  <c r="I35" i="85"/>
  <c r="I36" i="85"/>
  <c r="M35" i="85"/>
  <c r="N50" i="75"/>
  <c r="N40" i="85" s="1"/>
  <c r="M44" i="85"/>
  <c r="W62" i="85"/>
  <c r="M76" i="85"/>
  <c r="L50" i="75"/>
  <c r="L40" i="85" s="1"/>
  <c r="Q56" i="85"/>
  <c r="M79" i="85"/>
  <c r="V46" i="85"/>
  <c r="Q23" i="85"/>
  <c r="AB60" i="85"/>
  <c r="X37" i="85"/>
  <c r="Y47" i="85"/>
  <c r="V20" i="85"/>
  <c r="V23" i="85"/>
  <c r="I63" i="85"/>
  <c r="Q79" i="85"/>
  <c r="Q73" i="85"/>
  <c r="W48" i="85"/>
  <c r="S64" i="85"/>
  <c r="S17" i="85"/>
  <c r="AB77" i="85"/>
  <c r="T46" i="85"/>
  <c r="T19" i="85"/>
  <c r="M48" i="85"/>
  <c r="U76" i="85"/>
  <c r="T31" i="85"/>
  <c r="M36" i="85"/>
  <c r="O65" i="85"/>
  <c r="Y48" i="85"/>
  <c r="M65" i="85"/>
  <c r="Y51" i="85"/>
  <c r="M63" i="85"/>
  <c r="Y22" i="85"/>
  <c r="M62" i="85"/>
  <c r="U64" i="75"/>
  <c r="AE50" i="75"/>
  <c r="AE40" i="85" s="1"/>
  <c r="W78" i="85"/>
  <c r="Y58" i="85"/>
  <c r="Q78" i="85"/>
  <c r="W72" i="85"/>
  <c r="M58" i="85"/>
  <c r="X78" i="75"/>
  <c r="Y36" i="75"/>
  <c r="S78" i="75"/>
  <c r="Y23" i="85"/>
  <c r="V18" i="85"/>
  <c r="V16" i="85"/>
  <c r="M31" i="85"/>
  <c r="Q77" i="85"/>
  <c r="Q70" i="85"/>
  <c r="W18" i="85"/>
  <c r="AB47" i="85"/>
  <c r="M50" i="85"/>
  <c r="AB34" i="85"/>
  <c r="V37" i="85"/>
  <c r="V31" i="85"/>
  <c r="F61" i="75"/>
  <c r="AG36" i="75"/>
  <c r="AF12" i="85" s="1"/>
  <c r="AB36" i="75"/>
  <c r="AA12" i="85" s="1"/>
  <c r="W36" i="75"/>
  <c r="F44" i="75"/>
  <c r="AE36" i="75"/>
  <c r="AD12" i="85" s="1"/>
  <c r="R36" i="75"/>
  <c r="Y64" i="85"/>
  <c r="V42" i="85"/>
  <c r="V58" i="85"/>
  <c r="I73" i="85"/>
  <c r="Q59" i="85"/>
  <c r="S36" i="85"/>
  <c r="W61" i="85"/>
  <c r="S72" i="85"/>
  <c r="S73" i="85"/>
  <c r="AB17" i="85"/>
  <c r="T78" i="85"/>
  <c r="T44" i="85"/>
  <c r="U59" i="85"/>
  <c r="AB33" i="85"/>
  <c r="Q34" i="85"/>
  <c r="F75" i="75" a="1"/>
  <c r="F75" i="75" s="1"/>
  <c r="AB64" i="75"/>
  <c r="S50" i="75"/>
  <c r="S40" i="85" s="1"/>
  <c r="O50" i="75"/>
  <c r="O40" i="85" s="1"/>
  <c r="R50" i="75"/>
  <c r="R40" i="85" s="1"/>
  <c r="M64" i="75"/>
  <c r="Y77" i="85"/>
  <c r="Y20" i="85"/>
  <c r="AF64" i="75"/>
  <c r="Y59" i="85"/>
  <c r="V17" i="85"/>
  <c r="X44" i="85"/>
  <c r="M75" i="85"/>
  <c r="Q31" i="85"/>
  <c r="V35" i="85"/>
  <c r="Y50" i="85"/>
  <c r="Q44" i="85"/>
  <c r="W51" i="85"/>
  <c r="X22" i="85"/>
  <c r="M74" i="85"/>
  <c r="W30" i="85"/>
  <c r="V33" i="85"/>
  <c r="Y45" i="85"/>
  <c r="V78" i="85"/>
  <c r="I75" i="85"/>
  <c r="I62" i="85"/>
  <c r="Q72" i="85"/>
  <c r="W59" i="85"/>
  <c r="S79" i="85"/>
  <c r="S70" i="85"/>
  <c r="AB74" i="85"/>
  <c r="X49" i="85"/>
  <c r="T50" i="85"/>
  <c r="M78" i="85"/>
  <c r="T36" i="85"/>
  <c r="M30" i="85"/>
  <c r="Z78" i="75"/>
  <c r="V78" i="75"/>
  <c r="AC78" i="75"/>
  <c r="Y64" i="75"/>
  <c r="M50" i="75"/>
  <c r="M40" i="85" s="1"/>
  <c r="S64" i="75"/>
  <c r="Y31" i="85"/>
  <c r="Q51" i="85"/>
  <c r="Q20" i="85"/>
  <c r="W16" i="85"/>
  <c r="W78" i="75"/>
  <c r="AF36" i="75"/>
  <c r="AE12" i="85" s="1"/>
  <c r="O32" i="85"/>
  <c r="L64" i="75"/>
  <c r="R64" i="75"/>
  <c r="Q16" i="85"/>
  <c r="W60" i="85"/>
  <c r="I50" i="75"/>
  <c r="I40" i="85" s="1"/>
  <c r="V79" i="85"/>
  <c r="AB48" i="85"/>
  <c r="Z36" i="75"/>
  <c r="S34" i="85"/>
  <c r="Y17" i="85"/>
  <c r="V61" i="85"/>
  <c r="I78" i="85"/>
  <c r="I48" i="85"/>
  <c r="Q58" i="85"/>
  <c r="W21" i="85"/>
  <c r="S60" i="85"/>
  <c r="S18" i="85"/>
  <c r="AB75" i="85"/>
  <c r="X72" i="85"/>
  <c r="T37" i="85"/>
  <c r="M49" i="85"/>
  <c r="O16" i="85"/>
  <c r="Q36" i="85"/>
  <c r="AE64" i="75"/>
  <c r="S36" i="75"/>
  <c r="AA36" i="75"/>
  <c r="Z12" i="85" s="1"/>
  <c r="N64" i="75"/>
  <c r="AC28" i="85"/>
  <c r="AF50" i="75"/>
  <c r="AF40" i="85" s="1"/>
  <c r="Z64" i="75"/>
  <c r="AC73" i="85"/>
  <c r="N47" i="85"/>
  <c r="AC77" i="85"/>
  <c r="F33" i="75" a="1"/>
  <c r="F33" i="75" s="1"/>
  <c r="AC78" i="85"/>
  <c r="U49" i="85"/>
  <c r="AC60" i="85"/>
  <c r="U72" i="85"/>
  <c r="AC65" i="85"/>
  <c r="AA34" i="85"/>
  <c r="X65" i="85"/>
  <c r="M34" i="85"/>
  <c r="U64" i="85"/>
  <c r="AA74" i="85"/>
  <c r="AC70" i="85"/>
  <c r="AA78" i="85"/>
  <c r="Y46" i="85"/>
  <c r="AC22" i="85"/>
  <c r="Z34" i="85"/>
  <c r="Y18" i="85"/>
  <c r="AF64" i="85"/>
  <c r="U37" i="85"/>
  <c r="U33" i="85"/>
  <c r="AG46" i="85"/>
  <c r="AC46" i="85"/>
  <c r="AC56" i="85"/>
  <c r="M61" i="85"/>
  <c r="AA32" i="85"/>
  <c r="U60" i="85"/>
  <c r="AA79" i="85"/>
  <c r="N37" i="85"/>
  <c r="V30" i="85"/>
  <c r="Y72" i="85"/>
  <c r="Y76" i="85"/>
  <c r="V22" i="85"/>
  <c r="V62" i="85"/>
  <c r="AF58" i="85"/>
  <c r="W58" i="85"/>
  <c r="M32" i="85"/>
  <c r="AB78" i="85"/>
  <c r="AG20" i="85"/>
  <c r="AC20" i="85"/>
  <c r="AC75" i="85"/>
  <c r="M28" i="85"/>
  <c r="M60" i="85"/>
  <c r="AA31" i="85"/>
  <c r="U63" i="85"/>
  <c r="AA56" i="85"/>
  <c r="AB32" i="85"/>
  <c r="V36" i="85"/>
  <c r="F76" i="75"/>
  <c r="N20" i="85"/>
  <c r="AC79" i="85"/>
  <c r="U65" i="85"/>
  <c r="F46" i="75"/>
  <c r="AC32" i="85"/>
  <c r="AC76" i="85"/>
  <c r="U42" i="85"/>
  <c r="U48" i="85"/>
  <c r="AA50" i="85"/>
  <c r="AC33" i="85"/>
  <c r="AC18" i="85"/>
  <c r="M77" i="85"/>
  <c r="AA73" i="85"/>
  <c r="AC19" i="85"/>
  <c r="U32" i="85"/>
  <c r="F48" i="75"/>
  <c r="X23" i="85"/>
  <c r="U58" i="85"/>
  <c r="O34" i="85"/>
  <c r="Y32" i="85"/>
  <c r="U34" i="85"/>
  <c r="AC34" i="85"/>
  <c r="AA76" i="85"/>
  <c r="Y21" i="85"/>
  <c r="Y63" i="85"/>
  <c r="AG17" i="85"/>
  <c r="M21" i="85"/>
  <c r="U20" i="85"/>
  <c r="AC50" i="75"/>
  <c r="AC40" i="85" s="1"/>
  <c r="Y74" i="85"/>
  <c r="V75" i="85"/>
  <c r="W45" i="85"/>
  <c r="AC48" i="85"/>
  <c r="AA28" i="85"/>
  <c r="M37" i="85"/>
  <c r="AC36" i="85"/>
  <c r="Y42" i="85"/>
  <c r="V47" i="85"/>
  <c r="V50" i="85"/>
  <c r="AF77" i="85"/>
  <c r="W79" i="85"/>
  <c r="Y36" i="85"/>
  <c r="AB45" i="85"/>
  <c r="AG19" i="85"/>
  <c r="AC42" i="85"/>
  <c r="AC64" i="85"/>
  <c r="M18" i="85"/>
  <c r="M47" i="85"/>
  <c r="U45" i="85"/>
  <c r="U78" i="85"/>
  <c r="AA22" i="85"/>
  <c r="AA49" i="85"/>
  <c r="F29" i="75" a="1"/>
  <c r="F29" i="75" s="1"/>
  <c r="AC51" i="85"/>
  <c r="AC62" i="85"/>
  <c r="U56" i="85"/>
  <c r="N75" i="85"/>
  <c r="AA21" i="85"/>
  <c r="F57" i="75"/>
  <c r="AC58" i="85"/>
  <c r="R35" i="85"/>
  <c r="U30" i="85"/>
  <c r="U18" i="85"/>
  <c r="AA64" i="85"/>
  <c r="AC23" i="85"/>
  <c r="AA59" i="85"/>
  <c r="Y49" i="85"/>
  <c r="U36" i="85"/>
  <c r="AC21" i="85"/>
  <c r="M56" i="85"/>
  <c r="U31" i="85"/>
  <c r="W50" i="75"/>
  <c r="W40" i="85" s="1"/>
  <c r="AB78" i="75"/>
  <c r="X64" i="85"/>
  <c r="AG64" i="85"/>
  <c r="M42" i="85"/>
  <c r="Y34" i="85"/>
  <c r="Y16" i="85"/>
  <c r="AF72" i="85"/>
  <c r="AC61" i="85"/>
  <c r="M46" i="85"/>
  <c r="U44" i="85"/>
  <c r="AA17" i="85"/>
  <c r="V21" i="85"/>
  <c r="AC72" i="85"/>
  <c r="M72" i="85"/>
  <c r="U22" i="85"/>
  <c r="O78" i="75"/>
  <c r="Y75" i="85"/>
  <c r="V49" i="85"/>
  <c r="V65" i="85"/>
  <c r="AF44" i="85"/>
  <c r="W75" i="85"/>
  <c r="Y35" i="85"/>
  <c r="AB73" i="85"/>
  <c r="AG58" i="85"/>
  <c r="AC44" i="85"/>
  <c r="AC59" i="85"/>
  <c r="M17" i="85"/>
  <c r="M70" i="85"/>
  <c r="O28" i="85"/>
  <c r="U17" i="85"/>
  <c r="U79" i="85"/>
  <c r="AA77" i="85"/>
  <c r="AA65" i="85"/>
  <c r="F32" i="75" a="1"/>
  <c r="F32" i="75" s="1"/>
  <c r="AC16" i="85"/>
  <c r="AC74" i="85"/>
  <c r="F47" i="75"/>
  <c r="AA63" i="85"/>
  <c r="AA47" i="85"/>
  <c r="M59" i="85"/>
  <c r="U77" i="85"/>
  <c r="M73" i="85"/>
  <c r="R78" i="75"/>
  <c r="Y19" i="85"/>
  <c r="AA62" i="85"/>
  <c r="Y61" i="85"/>
  <c r="U35" i="85"/>
  <c r="AC17" i="85"/>
  <c r="U62" i="85"/>
  <c r="AC63" i="85"/>
  <c r="AA36" i="85"/>
  <c r="Y62" i="85"/>
  <c r="AF45" i="85"/>
  <c r="AG21" i="85"/>
  <c r="M51" i="85"/>
  <c r="U50" i="85"/>
  <c r="AA75" i="85"/>
  <c r="AC30" i="85"/>
  <c r="Y65" i="85"/>
  <c r="V72" i="85"/>
  <c r="AF74" i="85"/>
  <c r="W74" i="85"/>
  <c r="Y37" i="85"/>
  <c r="AB44" i="85"/>
  <c r="AC45" i="85"/>
  <c r="U28" i="85"/>
  <c r="M23" i="85"/>
  <c r="O45" i="85"/>
  <c r="U16" i="85"/>
  <c r="AA61" i="85"/>
  <c r="Y33" i="85"/>
  <c r="Y30" i="85"/>
  <c r="Q32" i="85"/>
  <c r="AC35" i="85"/>
  <c r="F74" i="75" a="1"/>
  <c r="F74" i="75" s="1"/>
  <c r="N22" i="85"/>
  <c r="N33" i="85"/>
  <c r="N59" i="85"/>
  <c r="N31" i="85"/>
  <c r="N78" i="75"/>
  <c r="N62" i="85"/>
  <c r="J36" i="75"/>
  <c r="Z28" i="85"/>
  <c r="Z49" i="85"/>
  <c r="Z20" i="85"/>
  <c r="Z21" i="85"/>
  <c r="Z47" i="85"/>
  <c r="Z17" i="85"/>
  <c r="Z56" i="85"/>
  <c r="Z33" i="85"/>
  <c r="Z22" i="85"/>
  <c r="Z16" i="85"/>
  <c r="Z46" i="85"/>
  <c r="Z51" i="85"/>
  <c r="Z79" i="85"/>
  <c r="Z61" i="85"/>
  <c r="Z32" i="85"/>
  <c r="Z76" i="85"/>
  <c r="Z62" i="85"/>
  <c r="Z30" i="85"/>
  <c r="Z19" i="85"/>
  <c r="W64" i="75"/>
  <c r="AF63" i="85"/>
  <c r="F77" i="75"/>
  <c r="AF37" i="85"/>
  <c r="AF59" i="85"/>
  <c r="AF75" i="85"/>
  <c r="X51" i="85"/>
  <c r="AG79" i="85"/>
  <c r="F63" i="75"/>
  <c r="AG72" i="85"/>
  <c r="Z45" i="85"/>
  <c r="O61" i="85"/>
  <c r="AG37" i="85"/>
  <c r="J50" i="75"/>
  <c r="J40" i="85" s="1"/>
  <c r="Z50" i="75"/>
  <c r="Z40" i="85" s="1"/>
  <c r="AF32" i="85"/>
  <c r="F62" i="75"/>
  <c r="AG78" i="75"/>
  <c r="Z50" i="85"/>
  <c r="N58" i="85"/>
  <c r="AF48" i="85"/>
  <c r="X45" i="85"/>
  <c r="X76" i="85"/>
  <c r="AG56" i="85"/>
  <c r="X30" i="85"/>
  <c r="O20" i="85"/>
  <c r="F71" i="75"/>
  <c r="X50" i="75"/>
  <c r="X40" i="85" s="1"/>
  <c r="J78" i="75"/>
  <c r="Z23" i="85"/>
  <c r="N77" i="85"/>
  <c r="AF16" i="85"/>
  <c r="X77" i="85"/>
  <c r="X21" i="85"/>
  <c r="AG51" i="85"/>
  <c r="O56" i="85"/>
  <c r="AG31" i="85"/>
  <c r="F58" i="75"/>
  <c r="Z74" i="85"/>
  <c r="X46" i="85"/>
  <c r="AG18" i="85"/>
  <c r="AG42" i="85"/>
  <c r="Z31" i="85"/>
  <c r="F43" i="75"/>
  <c r="N35" i="85"/>
  <c r="N56" i="85"/>
  <c r="N60" i="85"/>
  <c r="N34" i="85"/>
  <c r="N32" i="85"/>
  <c r="N18" i="85"/>
  <c r="N48" i="85"/>
  <c r="N30" i="85"/>
  <c r="N19" i="85"/>
  <c r="N36" i="85"/>
  <c r="N64" i="85"/>
  <c r="N73" i="85"/>
  <c r="N21" i="85"/>
  <c r="N72" i="85"/>
  <c r="N79" i="85"/>
  <c r="N45" i="85"/>
  <c r="N63" i="85"/>
  <c r="N50" i="85"/>
  <c r="N44" i="85"/>
  <c r="N74" i="85"/>
  <c r="N65" i="85"/>
  <c r="F60" i="75"/>
  <c r="J64" i="75"/>
  <c r="N78" i="85"/>
  <c r="AF23" i="85"/>
  <c r="AF65" i="85"/>
  <c r="AF42" i="85"/>
  <c r="AF30" i="85"/>
  <c r="AF33" i="85"/>
  <c r="AF62" i="85"/>
  <c r="AF70" i="85"/>
  <c r="AF21" i="85"/>
  <c r="AF47" i="85"/>
  <c r="AF36" i="85"/>
  <c r="AF28" i="85"/>
  <c r="AF46" i="85"/>
  <c r="AF50" i="85"/>
  <c r="AF78" i="85"/>
  <c r="AF35" i="85"/>
  <c r="AF34" i="85"/>
  <c r="AF51" i="85"/>
  <c r="AF73" i="85"/>
  <c r="AG77" i="85"/>
  <c r="O35" i="85"/>
  <c r="O76" i="85"/>
  <c r="O50" i="85"/>
  <c r="O21" i="85"/>
  <c r="O23" i="85"/>
  <c r="O75" i="85"/>
  <c r="O31" i="85"/>
  <c r="O17" i="85"/>
  <c r="O37" i="85"/>
  <c r="O18" i="85"/>
  <c r="O79" i="85"/>
  <c r="O36" i="85"/>
  <c r="O22" i="85"/>
  <c r="O48" i="85"/>
  <c r="O70" i="85"/>
  <c r="O33" i="85"/>
  <c r="O19" i="85"/>
  <c r="O49" i="85"/>
  <c r="O42" i="85"/>
  <c r="O51" i="85"/>
  <c r="O47" i="85"/>
  <c r="O58" i="85"/>
  <c r="O63" i="85"/>
  <c r="N70" i="85"/>
  <c r="F35" i="75" a="1"/>
  <c r="F35" i="75" s="1"/>
  <c r="X28" i="85"/>
  <c r="X16" i="85"/>
  <c r="X63" i="85"/>
  <c r="X19" i="85"/>
  <c r="X34" i="85"/>
  <c r="X17" i="85"/>
  <c r="X31" i="85"/>
  <c r="X75" i="85"/>
  <c r="X20" i="85"/>
  <c r="X74" i="85"/>
  <c r="X47" i="85"/>
  <c r="X48" i="85"/>
  <c r="X78" i="85"/>
  <c r="X60" i="85"/>
  <c r="X61" i="85"/>
  <c r="N17" i="85"/>
  <c r="AF78" i="75"/>
  <c r="Z70" i="85"/>
  <c r="N46" i="85"/>
  <c r="F30" i="75" a="1"/>
  <c r="F30" i="75" s="1"/>
  <c r="N51" i="85"/>
  <c r="AF17" i="85"/>
  <c r="AG22" i="85"/>
  <c r="Z72" i="85"/>
  <c r="AF22" i="85"/>
  <c r="AG62" i="85"/>
  <c r="O44" i="85"/>
  <c r="X33" i="85"/>
  <c r="AG74" i="85"/>
  <c r="X32" i="85"/>
  <c r="Z65" i="85"/>
  <c r="AG75" i="85"/>
  <c r="Z35" i="85"/>
  <c r="AG36" i="85"/>
  <c r="Z44" i="85"/>
  <c r="N28" i="85"/>
  <c r="AF61" i="85"/>
  <c r="X42" i="85"/>
  <c r="Z37" i="85"/>
  <c r="O74" i="85"/>
  <c r="AB50" i="75"/>
  <c r="AB40" i="85" s="1"/>
  <c r="AG47" i="85"/>
  <c r="AG50" i="85"/>
  <c r="AG33" i="85"/>
  <c r="AG32" i="85"/>
  <c r="AG78" i="85"/>
  <c r="AG63" i="85"/>
  <c r="AG34" i="85"/>
  <c r="AG30" i="85"/>
  <c r="AG49" i="85"/>
  <c r="AG28" i="85"/>
  <c r="AG44" i="85"/>
  <c r="AG45" i="85"/>
  <c r="AG70" i="85"/>
  <c r="AG59" i="85"/>
  <c r="AG23" i="85"/>
  <c r="AG35" i="85"/>
  <c r="AG61" i="85"/>
  <c r="Z75" i="85"/>
  <c r="N42" i="85"/>
  <c r="F34" i="75" a="1"/>
  <c r="F34" i="75" s="1"/>
  <c r="F49" i="75"/>
  <c r="Z60" i="85"/>
  <c r="AG65" i="85"/>
  <c r="O73" i="85"/>
  <c r="Z42" i="85"/>
  <c r="O64" i="85"/>
  <c r="AF60" i="85"/>
  <c r="X59" i="85"/>
  <c r="O59" i="85"/>
  <c r="X18" i="85"/>
  <c r="N49" i="85"/>
  <c r="X62" i="85"/>
  <c r="AG16" i="85"/>
  <c r="Z78" i="85"/>
  <c r="N61" i="85"/>
  <c r="AF56" i="85"/>
  <c r="X56" i="85"/>
  <c r="AG60" i="85"/>
  <c r="O77" i="85"/>
  <c r="F72" i="75"/>
  <c r="N23" i="85"/>
  <c r="AF20" i="85"/>
  <c r="X70" i="85"/>
  <c r="AG48" i="85"/>
  <c r="O60" i="85"/>
  <c r="Z77" i="85"/>
  <c r="N16" i="85"/>
  <c r="AF79" i="85"/>
  <c r="X50" i="85"/>
  <c r="AG76" i="85"/>
  <c r="Z36" i="85"/>
  <c r="O62" i="85"/>
  <c r="W31" i="85"/>
  <c r="W56" i="85"/>
  <c r="AB61" i="85"/>
  <c r="Q17" i="85"/>
  <c r="W22" i="85"/>
  <c r="W17" i="85"/>
  <c r="AB16" i="85"/>
  <c r="AB42" i="85"/>
  <c r="W44" i="85"/>
  <c r="Q48" i="85"/>
  <c r="W46" i="85"/>
  <c r="W49" i="85"/>
  <c r="AB49" i="85"/>
  <c r="Q19" i="85"/>
  <c r="Q64" i="85"/>
  <c r="W19" i="85"/>
  <c r="W47" i="85"/>
  <c r="AB23" i="85"/>
  <c r="AB46" i="85"/>
  <c r="Q76" i="85"/>
  <c r="W70" i="85"/>
  <c r="W36" i="85"/>
  <c r="W35" i="85"/>
  <c r="W32" i="85"/>
  <c r="Q50" i="85"/>
  <c r="W37" i="85"/>
  <c r="Q47" i="85"/>
  <c r="Q61" i="85"/>
  <c r="Q18" i="85"/>
  <c r="W20" i="85"/>
  <c r="W50" i="85"/>
  <c r="AB50" i="85"/>
  <c r="AB76" i="85"/>
  <c r="F80" i="75" l="1"/>
  <c r="F76" i="85"/>
  <c r="F62" i="85"/>
  <c r="F95" i="85" s="1"/>
  <c r="I72" i="33" s="1"/>
  <c r="F65" i="75" a="1"/>
  <c r="F65" i="75" s="1"/>
  <c r="I12" i="33" s="1"/>
  <c r="F66" i="75"/>
  <c r="G12" i="33" s="1"/>
  <c r="F37" i="75" a="1"/>
  <c r="F37" i="75" s="1"/>
  <c r="I10" i="33" s="1"/>
  <c r="F22" i="85"/>
  <c r="F42" i="85"/>
  <c r="E90" i="85" s="1"/>
  <c r="H67" i="33" s="1"/>
  <c r="F23" i="85"/>
  <c r="F37" i="85"/>
  <c r="F70" i="85"/>
  <c r="F21" i="85"/>
  <c r="F48" i="85"/>
  <c r="E95" i="85" s="1"/>
  <c r="H72" i="33" s="1"/>
  <c r="F64" i="85"/>
  <c r="F52" i="75"/>
  <c r="G11" i="33" s="1"/>
  <c r="F59" i="85"/>
  <c r="F92" i="85" s="1"/>
  <c r="I69" i="33" s="1"/>
  <c r="F63" i="85"/>
  <c r="F18" i="85"/>
  <c r="C93" i="85" s="1"/>
  <c r="F70" i="33" s="1"/>
  <c r="F58" i="85"/>
  <c r="F91" i="85" s="1"/>
  <c r="I68" i="33" s="1"/>
  <c r="F36" i="85"/>
  <c r="F72" i="85"/>
  <c r="F79" i="85"/>
  <c r="F35" i="85"/>
  <c r="F78" i="85"/>
  <c r="F31" i="85"/>
  <c r="D92" i="85" s="1"/>
  <c r="G69" i="33" s="1"/>
  <c r="F73" i="85"/>
  <c r="F49" i="85"/>
  <c r="F53" i="75"/>
  <c r="H11" i="33" s="1"/>
  <c r="F46" i="85"/>
  <c r="E93" i="85" s="1"/>
  <c r="H70" i="33" s="1"/>
  <c r="F77" i="85"/>
  <c r="F33" i="85"/>
  <c r="D94" i="85" s="1"/>
  <c r="G71" i="33" s="1"/>
  <c r="F17" i="85"/>
  <c r="C92" i="85" s="1"/>
  <c r="F44" i="85"/>
  <c r="E91" i="85" s="1"/>
  <c r="H68" i="33" s="1"/>
  <c r="F50" i="85"/>
  <c r="F30" i="85"/>
  <c r="D91" i="85" s="1"/>
  <c r="G68" i="33" s="1"/>
  <c r="F79" i="75" a="1"/>
  <c r="F79" i="75" s="1"/>
  <c r="F61" i="85"/>
  <c r="F94" i="85" s="1"/>
  <c r="I71" i="33" s="1"/>
  <c r="F34" i="85"/>
  <c r="D95" i="85" s="1"/>
  <c r="G72" i="33" s="1"/>
  <c r="F20" i="85"/>
  <c r="C95" i="85" s="1"/>
  <c r="F72" i="33" s="1"/>
  <c r="F65" i="85"/>
  <c r="F45" i="85"/>
  <c r="E92" i="85" s="1"/>
  <c r="H69" i="33" s="1"/>
  <c r="F32" i="85"/>
  <c r="D93" i="85" s="1"/>
  <c r="G70" i="33" s="1"/>
  <c r="F47" i="85"/>
  <c r="E94" i="85" s="1"/>
  <c r="H71" i="33" s="1"/>
  <c r="F16" i="85"/>
  <c r="C91" i="85" s="1"/>
  <c r="F68" i="33" s="1"/>
  <c r="F60" i="85"/>
  <c r="F93" i="85" s="1"/>
  <c r="I70" i="33" s="1"/>
  <c r="F56" i="85"/>
  <c r="F90" i="85" s="1"/>
  <c r="I67" i="33" s="1"/>
  <c r="F74" i="85"/>
  <c r="F81" i="75"/>
  <c r="F39" i="75"/>
  <c r="H10" i="33" s="1"/>
  <c r="F51" i="85"/>
  <c r="F28" i="85"/>
  <c r="D90" i="85" s="1"/>
  <c r="G67" i="33" s="1"/>
  <c r="F75" i="85"/>
  <c r="F19" i="85"/>
  <c r="C94" i="85" s="1"/>
  <c r="F38" i="75"/>
  <c r="G10" i="33" s="1"/>
  <c r="F51" i="75" a="1"/>
  <c r="F51" i="75" s="1"/>
  <c r="I11" i="33" s="1"/>
  <c r="F67" i="75"/>
  <c r="H12" i="33" s="1"/>
  <c r="F71" i="33"/>
  <c r="G18" i="33" l="1"/>
  <c r="D18" i="33" s="1"/>
  <c r="I95" i="85"/>
  <c r="K95" i="85" s="1"/>
  <c r="L72" i="33" s="1"/>
  <c r="I92" i="85"/>
  <c r="K92" i="85" s="1"/>
  <c r="L69" i="33" s="1"/>
  <c r="I91" i="85"/>
  <c r="K91" i="85" s="1"/>
  <c r="L68" i="33" s="1"/>
  <c r="F69" i="33"/>
  <c r="I94" i="85"/>
  <c r="K94" i="85" s="1"/>
  <c r="L71" i="33" s="1"/>
  <c r="I90" i="85"/>
  <c r="K90" i="85" s="1"/>
  <c r="L67" i="33" s="1"/>
  <c r="I93" i="85"/>
  <c r="K93" i="85" s="1"/>
  <c r="L70" i="33" s="1"/>
  <c r="C18" i="33" l="1"/>
  <c r="C26" i="33" s="1"/>
  <c r="H31" i="33" s="1"/>
  <c r="J30" i="33" l="1"/>
  <c r="A91" i="75"/>
  <c r="AG91" i="75" s="1" a="1"/>
  <c r="AG91" i="75" s="1"/>
  <c r="I31" i="33"/>
  <c r="J31" i="33"/>
  <c r="G31" i="33"/>
  <c r="G30" i="33"/>
  <c r="F31" i="33"/>
  <c r="H30" i="33"/>
  <c r="F30" i="33"/>
  <c r="I30" i="33"/>
  <c r="R91" i="75" l="1" a="1"/>
  <c r="R91" i="75" s="1"/>
  <c r="Q91" i="75" a="1"/>
  <c r="Q91" i="75" s="1"/>
  <c r="AF91" i="75" a="1"/>
  <c r="AF91" i="75" s="1"/>
  <c r="Z91" i="75" a="1"/>
  <c r="Z91" i="75" s="1"/>
  <c r="AC91" i="75" a="1"/>
  <c r="AC91" i="75" s="1"/>
  <c r="S91" i="75" a="1"/>
  <c r="S91" i="75" s="1"/>
  <c r="N91" i="75" a="1"/>
  <c r="N91" i="75" s="1"/>
  <c r="V91" i="75" a="1"/>
  <c r="V91" i="75" s="1"/>
  <c r="AA91" i="75" a="1"/>
  <c r="AA91" i="75" s="1"/>
  <c r="O91" i="75" a="1"/>
  <c r="O91" i="75" s="1"/>
  <c r="K91" i="75" a="1"/>
  <c r="K91" i="75" s="1"/>
  <c r="L91" i="75" a="1"/>
  <c r="L91" i="75" s="1"/>
  <c r="M91" i="75" a="1"/>
  <c r="M91" i="75" s="1"/>
  <c r="P91" i="75" a="1"/>
  <c r="P91" i="75" s="1"/>
  <c r="W91" i="75" a="1"/>
  <c r="W91" i="75" s="1"/>
  <c r="AB91" i="75" a="1"/>
  <c r="AB91" i="75" s="1"/>
  <c r="U91" i="75" a="1"/>
  <c r="U91" i="75" s="1"/>
  <c r="J91" i="75" a="1"/>
  <c r="J91" i="75" s="1"/>
  <c r="X91" i="75" a="1"/>
  <c r="X91" i="75" s="1"/>
  <c r="H91" i="75"/>
  <c r="T91" i="75" a="1"/>
  <c r="T91" i="75" s="1"/>
  <c r="I91" i="75" a="1"/>
  <c r="I91" i="75" s="1"/>
  <c r="L31" i="33"/>
  <c r="Y91" i="75" a="1"/>
  <c r="Y91" i="75" s="1"/>
  <c r="AD91" i="75" a="1"/>
  <c r="AD91" i="75" s="1"/>
  <c r="AE91" i="75" a="1"/>
  <c r="AE91" i="75" s="1"/>
  <c r="L30" i="3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<sst xmlns="http://schemas.openxmlformats.org/spreadsheetml/2006/main" count="927" uniqueCount="358">
  <si>
    <t>Powercor</t>
  </si>
  <si>
    <t>Horsham REFCL</t>
  </si>
  <si>
    <t>Model number:</t>
  </si>
  <si>
    <t>PV</t>
  </si>
  <si>
    <t>Preferred Option</t>
  </si>
  <si>
    <t>Total risk cost</t>
  </si>
  <si>
    <t>Single REFCL</t>
  </si>
  <si>
    <t>NPV</t>
  </si>
  <si>
    <t>SUMMARY</t>
  </si>
  <si>
    <t>RESULTS</t>
  </si>
  <si>
    <t>PV of costs</t>
  </si>
  <si>
    <t>PV of benefits</t>
  </si>
  <si>
    <t>Option</t>
  </si>
  <si>
    <t>Preferred option:</t>
  </si>
  <si>
    <t>PREFERRED OPTION</t>
  </si>
  <si>
    <t>Expenditure forecast</t>
  </si>
  <si>
    <t>Total</t>
  </si>
  <si>
    <t>Capital expenditure</t>
  </si>
  <si>
    <t>Operating expenditure</t>
  </si>
  <si>
    <t>CHART</t>
  </si>
  <si>
    <t>Capex and risk ($M, 2026)</t>
  </si>
  <si>
    <t>SENSITIVITIES</t>
  </si>
  <si>
    <t>Sensitivity</t>
  </si>
  <si>
    <t>Preferred option</t>
  </si>
  <si>
    <t>Project</t>
  </si>
  <si>
    <t>Business:</t>
  </si>
  <si>
    <t xml:space="preserve">Descripton: </t>
  </si>
  <si>
    <t xml:space="preserve">Date of cost inputs: </t>
  </si>
  <si>
    <t>December</t>
  </si>
  <si>
    <t>Description</t>
  </si>
  <si>
    <t>No change to existing practices</t>
  </si>
  <si>
    <t>Install Single REFCL at HSM ZSS in 2029-30</t>
  </si>
  <si>
    <t>Install covered conductor for HSM feeders</t>
  </si>
  <si>
    <t>Install three REFCLs (one per Tx) at HSM ZSS in 2029-30</t>
  </si>
  <si>
    <t>Compliance project</t>
  </si>
  <si>
    <t>No</t>
  </si>
  <si>
    <t>Expenditure starts</t>
  </si>
  <si>
    <t>2026-27</t>
  </si>
  <si>
    <t>[start]</t>
  </si>
  <si>
    <t>Timing &amp; WACC</t>
  </si>
  <si>
    <t>Input dollars</t>
  </si>
  <si>
    <t>[input_dollars]</t>
  </si>
  <si>
    <t>Pre-tax real WACC</t>
  </si>
  <si>
    <t>[real_disc]</t>
  </si>
  <si>
    <t>VCR date</t>
  </si>
  <si>
    <t>[vcr_date]</t>
  </si>
  <si>
    <t>Analysis period (years)</t>
  </si>
  <si>
    <t>[years]\</t>
  </si>
  <si>
    <t>Output dollars</t>
  </si>
  <si>
    <t>[output_dollars]</t>
  </si>
  <si>
    <t>Other benefits date</t>
  </si>
  <si>
    <t>[custval_date]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</si>
  <si>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 input date</t>
    </r>
  </si>
  <si>
    <t>VCR</t>
  </si>
  <si>
    <t>Enter ZSS code &gt;&gt;</t>
  </si>
  <si>
    <t>HSM</t>
  </si>
  <si>
    <t>Horsham</t>
  </si>
  <si>
    <t>2024 VCR ($/MWh)</t>
  </si>
  <si>
    <t>Risks</t>
  </si>
  <si>
    <t>SAFETY</t>
  </si>
  <si>
    <t>Value of statistical life</t>
  </si>
  <si>
    <t>Value of injury</t>
  </si>
  <si>
    <t>^ Public or employee</t>
  </si>
  <si>
    <t>Incident type</t>
  </si>
  <si>
    <t>Value</t>
  </si>
  <si>
    <t>Probability</t>
  </si>
  <si>
    <t>DF selected</t>
  </si>
  <si>
    <t>Description/comment</t>
  </si>
  <si>
    <t>Safety (fatality)</t>
  </si>
  <si>
    <t>Safety (injury)</t>
  </si>
  <si>
    <t>UNPLANNED REPLACEMENT/REPAIR</t>
  </si>
  <si>
    <t>Major failure (replace)</t>
  </si>
  <si>
    <t>Minor failure (repair)</t>
  </si>
  <si>
    <t>Premium for failure</t>
  </si>
  <si>
    <t>Other benefits</t>
  </si>
  <si>
    <t>ENVIRONMENTAL</t>
  </si>
  <si>
    <t>2027-28</t>
  </si>
  <si>
    <t>2028-29</t>
  </si>
  <si>
    <t>2029-30</t>
  </si>
  <si>
    <t>2030-31</t>
  </si>
  <si>
    <t>2031-32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</si>
  <si>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</t>
    </r>
  </si>
  <si>
    <t>$/kWh</t>
  </si>
  <si>
    <t>per MWh</t>
  </si>
  <si>
    <t>Sensitivities</t>
  </si>
  <si>
    <t>Capex</t>
  </si>
  <si>
    <t>Total benefits</t>
  </si>
  <si>
    <t>OPTION 1 (base case)</t>
  </si>
  <si>
    <t>Count</t>
  </si>
  <si>
    <r>
      <t>Value of CO</t>
    </r>
    <r>
      <rPr>
        <i/>
        <vertAlign val="subscript"/>
        <sz val="7.65"/>
        <color theme="1" tint="0.499984740745262"/>
        <rFont val="Calibri"/>
        <family val="2"/>
      </rPr>
      <t>2</t>
    </r>
    <r>
      <rPr>
        <i/>
        <sz val="9"/>
        <color theme="1" tint="0.499984740745262"/>
        <rFont val="Calibri"/>
        <family val="2"/>
        <scheme val="minor"/>
      </rPr>
      <t xml:space="preserve"> reductions</t>
    </r>
  </si>
  <si>
    <t>$/MWh</t>
  </si>
  <si>
    <t>Units</t>
  </si>
  <si>
    <t>INVESTMENT &amp; OPERATING COST</t>
  </si>
  <si>
    <t>Asset life (yrs)</t>
  </si>
  <si>
    <t>&lt; Enter description &gt;</t>
  </si>
  <si>
    <t>RISK ASSUMPTIONS</t>
  </si>
  <si>
    <t>PoF (major)</t>
  </si>
  <si>
    <t>PoF (reparable)</t>
  </si>
  <si>
    <t>Energy at risk (weighted)</t>
  </si>
  <si>
    <t>MWh</t>
  </si>
  <si>
    <t>Energy at risk value</t>
  </si>
  <si>
    <t>Safety consequence</t>
  </si>
  <si>
    <t>(after DF)</t>
  </si>
  <si>
    <t>Unplanned replacements</t>
  </si>
  <si>
    <t>Environmental consequence</t>
  </si>
  <si>
    <t>Bushfire risk</t>
  </si>
  <si>
    <t>&lt; Other risk - enter description &gt;</t>
  </si>
  <si>
    <t>OTHER BENEFITS</t>
  </si>
  <si>
    <r>
      <t>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</si>
  <si>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r>
      <t>Value of 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</si>
  <si>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t>$</t>
  </si>
  <si>
    <t>Reliability in worst-served areas</t>
  </si>
  <si>
    <t>Network resilience</t>
  </si>
  <si>
    <t>Enabling solar exports</t>
  </si>
  <si>
    <t>Aesthetics</t>
  </si>
  <si>
    <t>$/customer</t>
  </si>
  <si>
    <t>customers</t>
  </si>
  <si>
    <t>Customer value of time (res)</t>
  </si>
  <si>
    <t>$/customer min</t>
  </si>
  <si>
    <t>mins</t>
  </si>
  <si>
    <t>Customer value of time (bus)</t>
  </si>
  <si>
    <t>Communication</t>
  </si>
  <si>
    <t>Information accessibility</t>
  </si>
  <si>
    <t>Other benefits 1</t>
  </si>
  <si>
    <t>Other benefits 2</t>
  </si>
  <si>
    <t>Total other benefits</t>
  </si>
  <si>
    <t>Risks mitigated vs base case</t>
  </si>
  <si>
    <t>Cumulative capex</t>
  </si>
  <si>
    <t>Annualised capex</t>
  </si>
  <si>
    <t>Total annualised capex</t>
  </si>
  <si>
    <t>Risk mitigated</t>
  </si>
  <si>
    <t>Other benefits value</t>
  </si>
  <si>
    <t>Net benefits</t>
  </si>
  <si>
    <t>OPTION 2</t>
  </si>
  <si>
    <t>First capex year</t>
  </si>
  <si>
    <t>First year</t>
  </si>
  <si>
    <t>OPTION 3</t>
  </si>
  <si>
    <t>Covered conductor</t>
  </si>
  <si>
    <t>OPTION 4</t>
  </si>
  <si>
    <t>Three REFCLs</t>
  </si>
  <si>
    <t>OPTION 5</t>
  </si>
  <si>
    <t>CONSOLIDATED</t>
  </si>
  <si>
    <t>Discount factor</t>
  </si>
  <si>
    <t>Analysis period</t>
  </si>
  <si>
    <t>COSTS</t>
  </si>
  <si>
    <t>CHART DATA</t>
  </si>
  <si>
    <t>Energy at risk</t>
  </si>
  <si>
    <t>SENSITIVITY CALCULATIONS</t>
  </si>
  <si>
    <t>Option 2</t>
  </si>
  <si>
    <t>Option 3</t>
  </si>
  <si>
    <t>Option 4</t>
  </si>
  <si>
    <t>Option 5</t>
  </si>
  <si>
    <t>Max</t>
  </si>
  <si>
    <t>Preferred</t>
  </si>
  <si>
    <t>None</t>
  </si>
  <si>
    <t>WORKINGS - COSTS</t>
  </si>
  <si>
    <t>Option 1 (base case) - no change to existing practices</t>
  </si>
  <si>
    <t>Total capital costs</t>
  </si>
  <si>
    <t>Total operating costs</t>
  </si>
  <si>
    <t xml:space="preserve">Project duration </t>
  </si>
  <si>
    <t>years</t>
  </si>
  <si>
    <t>Option 2 - Install single REFCL at Horsham (HSM) ZSS</t>
  </si>
  <si>
    <t>ZSS single REFCL costs</t>
  </si>
  <si>
    <t>in 2023 $</t>
  </si>
  <si>
    <t>Network distribution cost</t>
  </si>
  <si>
    <t>Total capital cost</t>
  </si>
  <si>
    <t>Assuming project spans across 2 years</t>
  </si>
  <si>
    <t>Option 2 capital cost</t>
  </si>
  <si>
    <t>Option 3 - Install covered conductor for Horsham feeders</t>
  </si>
  <si>
    <t>km</t>
  </si>
  <si>
    <t>Covered conductor unit cost</t>
  </si>
  <si>
    <t>Option 3 capital cost</t>
  </si>
  <si>
    <t>Option 4 - Install Three REFCLs (one per Tx) at HSM ZSS in 2029-30 as per Bushfire Mitigation Regulation performance requirements</t>
  </si>
  <si>
    <t>ZSS 3 REFCL costs</t>
  </si>
  <si>
    <t>WORKINGS - RISKS</t>
  </si>
  <si>
    <t>Conversion from June 2022 to December 2023</t>
  </si>
  <si>
    <t xml:space="preserve">Annual bushfire risk </t>
  </si>
  <si>
    <t>Sourced from Bushfire Risk Model</t>
  </si>
  <si>
    <t>Safety risk from contact</t>
  </si>
  <si>
    <t>Disproportionate factor for loss of human life</t>
  </si>
  <si>
    <t>Annual safety risk cost</t>
  </si>
  <si>
    <t>$/km</t>
  </si>
  <si>
    <t>Safety risk</t>
  </si>
  <si>
    <t>Option 2 - Install Single REFCL at Horsham (HSM) ZSS in 2029-30</t>
  </si>
  <si>
    <t>Risk reduction after project is completed</t>
  </si>
  <si>
    <t>54% per CSIRO model with one REFCL per transformer; reduced to 50% with single REFCL</t>
  </si>
  <si>
    <t>Risk reduction profile</t>
  </si>
  <si>
    <t>Risk reduction effectiveness</t>
  </si>
  <si>
    <t>ACIL Allen RIS report</t>
  </si>
  <si>
    <t>Paper: "Safety-Related Contact Currents for Humans Touching Medium Voltage Covered Conductor"</t>
  </si>
  <si>
    <t>ESCALATION &amp; OTHER</t>
  </si>
  <si>
    <t>Year end</t>
  </si>
  <si>
    <t>Actual/forecast CPI (June to June)</t>
  </si>
  <si>
    <t>HY ending</t>
  </si>
  <si>
    <t>FY ending</t>
  </si>
  <si>
    <t>Actual cumulative HY escalation</t>
  </si>
  <si>
    <t>Convert from input dollars</t>
  </si>
  <si>
    <t>To output dollars</t>
  </si>
  <si>
    <t>Conversion from input dollars to output dollars</t>
  </si>
  <si>
    <t>Convert from VCR date</t>
  </si>
  <si>
    <t>To input dollars</t>
  </si>
  <si>
    <t>VCR escalation</t>
  </si>
  <si>
    <t>Start_year</t>
  </si>
  <si>
    <t>FIRST YEAR</t>
  </si>
  <si>
    <t>Option included</t>
  </si>
  <si>
    <t>Option 1 (base case)</t>
  </si>
  <si>
    <t>Message</t>
  </si>
  <si>
    <t>DATA</t>
  </si>
  <si>
    <t>Options</t>
  </si>
  <si>
    <t>Not used</t>
  </si>
  <si>
    <t>Text</t>
  </si>
  <si>
    <t>Flags for compliance project</t>
  </si>
  <si>
    <t>Option1</t>
  </si>
  <si>
    <t>Option2</t>
  </si>
  <si>
    <t>Option3</t>
  </si>
  <si>
    <t>Option4</t>
  </si>
  <si>
    <t>Option5</t>
  </si>
  <si>
    <t>Yes</t>
  </si>
  <si>
    <t>Not applicable (compliance)</t>
  </si>
  <si>
    <t xml:space="preserve"> </t>
  </si>
  <si>
    <t>For conditional formatting of preferred option on Summary :</t>
  </si>
  <si>
    <t>Categories</t>
  </si>
  <si>
    <t>Short categ</t>
  </si>
  <si>
    <t>Benefits</t>
  </si>
  <si>
    <t>Flag to include</t>
  </si>
  <si>
    <t>Defined value</t>
  </si>
  <si>
    <t>Unserved energy</t>
  </si>
  <si>
    <t>Energy</t>
  </si>
  <si>
    <t>Safety</t>
  </si>
  <si>
    <t>Unplanned replacement</t>
  </si>
  <si>
    <t>UnRepl</t>
  </si>
  <si>
    <t>Bushfire</t>
  </si>
  <si>
    <t>Fire</t>
  </si>
  <si>
    <t>Carbon</t>
  </si>
  <si>
    <t>Other</t>
  </si>
  <si>
    <t>Customers impacted</t>
  </si>
  <si>
    <t>Customer value of time - residential</t>
  </si>
  <si>
    <t>Customer minutes</t>
  </si>
  <si>
    <t>Customer value of time - business</t>
  </si>
  <si>
    <t>Value of benefits</t>
  </si>
  <si>
    <t>per customer impacted</t>
  </si>
  <si>
    <t>per minute customer time</t>
  </si>
  <si>
    <t>Conversions</t>
  </si>
  <si>
    <t>thous_conv</t>
  </si>
  <si>
    <t>mill_conv</t>
  </si>
  <si>
    <t>Enter asset life</t>
  </si>
  <si>
    <t>Error message</t>
  </si>
  <si>
    <t>Remove inputs prior to start year</t>
  </si>
  <si>
    <t>Disproportionate factors applied to various bushfire and other risk valuations</t>
  </si>
  <si>
    <t>- Select -</t>
  </si>
  <si>
    <t>Harm to property from network</t>
  </si>
  <si>
    <t>Harm to property from bushfire</t>
  </si>
  <si>
    <t>Harm to environment</t>
  </si>
  <si>
    <t>Safety - Public trespass</t>
  </si>
  <si>
    <t>Safety - Single fatality or serious injury ^</t>
  </si>
  <si>
    <r>
      <t xml:space="preserve">Safety from bushfire in </t>
    </r>
    <r>
      <rPr>
        <sz val="8"/>
        <color theme="1"/>
        <rFont val="Calibri"/>
        <family val="2"/>
      </rPr>
      <t>HBRA</t>
    </r>
  </si>
  <si>
    <t>Safety - Multiple fatality or serious injury ^</t>
  </si>
  <si>
    <t>Safety from bushfire (REFCL declared areas)</t>
  </si>
  <si>
    <t>Safety from bushfire (electric line construction areas)</t>
  </si>
  <si>
    <t>DROPDOWN LISTS</t>
  </si>
  <si>
    <t>Business</t>
  </si>
  <si>
    <t>Type</t>
  </si>
  <si>
    <t>Include</t>
  </si>
  <si>
    <t>Dollar inputs - month</t>
  </si>
  <si>
    <t>Not used options</t>
  </si>
  <si>
    <t>Dollar inputs - year</t>
  </si>
  <si>
    <t>Compliance</t>
  </si>
  <si>
    <t>Capex first year</t>
  </si>
  <si>
    <t>CitiPower</t>
  </si>
  <si>
    <t>CP</t>
  </si>
  <si>
    <t>CP:</t>
  </si>
  <si>
    <t>June</t>
  </si>
  <si>
    <t>CY</t>
  </si>
  <si>
    <t>PA</t>
  </si>
  <si>
    <t>PAL:</t>
  </si>
  <si>
    <t>FY</t>
  </si>
  <si>
    <t>2025-26</t>
  </si>
  <si>
    <t>United Energy</t>
  </si>
  <si>
    <t>UE</t>
  </si>
  <si>
    <t>UE:</t>
  </si>
  <si>
    <t>Opex</t>
  </si>
  <si>
    <t>2024-25</t>
  </si>
  <si>
    <t>Total bare 22kV line length</t>
  </si>
  <si>
    <t>Length of Horsham bare 22kV overhead feeders</t>
  </si>
  <si>
    <t>Effectiveness of REFCL in reducing safety risk from contact</t>
  </si>
  <si>
    <t>Effectiveness of covered conductor in reducing safety risk from contact</t>
  </si>
  <si>
    <t>Distribution line works (line hardening and REFCL reliability)</t>
  </si>
  <si>
    <t>Primary</t>
  </si>
  <si>
    <t>Secondary</t>
  </si>
  <si>
    <t>Comparative completed tranche 3 single REFCL ZSS works</t>
  </si>
  <si>
    <t>MBN</t>
  </si>
  <si>
    <t>ZSS primary costs</t>
  </si>
  <si>
    <t>ZSS secondary costs</t>
  </si>
  <si>
    <t>KRT</t>
  </si>
  <si>
    <t>STL</t>
  </si>
  <si>
    <t>Average (MBN, KRT, STL)</t>
  </si>
  <si>
    <t>Volume</t>
  </si>
  <si>
    <t>Project Management, Planning &amp; Design</t>
  </si>
  <si>
    <t>Hardening - 1ph Sites</t>
  </si>
  <si>
    <t>Hardening - 3ph Sites</t>
  </si>
  <si>
    <t>Balancing - Rephase / Fusing</t>
  </si>
  <si>
    <t>Balancing - Conductor Work</t>
  </si>
  <si>
    <t>Balancing - 1ph CBU</t>
  </si>
  <si>
    <t>Balancing - 3ph CBU</t>
  </si>
  <si>
    <t>Balancing - Fuse Saver 40A</t>
  </si>
  <si>
    <t>Balancing - Fuse Saver 100A</t>
  </si>
  <si>
    <t>Balancing - Fuse Saver 200A</t>
  </si>
  <si>
    <t>Balancing - Gas Switches</t>
  </si>
  <si>
    <t>Balancing - Test Site</t>
  </si>
  <si>
    <t>Compatability - Regulators</t>
  </si>
  <si>
    <t>Compatability - Regulators CL7 Only</t>
  </si>
  <si>
    <t>Miscellaneous - NVD Blocking</t>
  </si>
  <si>
    <t>Asset Resilience  - Offline Test</t>
  </si>
  <si>
    <t>Asset Resilience  - Online Test</t>
  </si>
  <si>
    <t>Asset Resilience  - Cable Repair</t>
  </si>
  <si>
    <t>Asset Resilience  - Cable Replacement</t>
  </si>
  <si>
    <t>ACR Replacements</t>
  </si>
  <si>
    <t>Switch/Sectionaliser Earth Fault Indication</t>
  </si>
  <si>
    <t>Distribution line works - line hardening unit rates
Based on Tranche 3 completed works</t>
  </si>
  <si>
    <t>Distribution line works - REFCL reliability (ACR replacements)
Based on completed 2024 projects</t>
  </si>
  <si>
    <t>GHP011 REFCL ACR Replacement</t>
  </si>
  <si>
    <t>GHP021 REFCL ACR Replacement</t>
  </si>
  <si>
    <t>TQY021 REFCL ACR Replacement</t>
  </si>
  <si>
    <t>WPD022 REFCL ACR Replacement</t>
  </si>
  <si>
    <t>WPD033 REFCL ACR Replacement</t>
  </si>
  <si>
    <t>Lyonville P15B REFCL ACR Replacement</t>
  </si>
  <si>
    <t>Average unit rate</t>
  </si>
  <si>
    <t>Distribution line costs - REFCL reliability (switch/sectionaliser)
Based on trial 2021 projects</t>
  </si>
  <si>
    <t>BAS022 A'Eberle REFCL Project</t>
  </si>
  <si>
    <t>CLC A'Eberle REFCL Project</t>
  </si>
  <si>
    <t>3.3.13</t>
  </si>
  <si>
    <t>Revised regulatory proposal 2026-31</t>
  </si>
  <si>
    <t>REFCL safety assessment</t>
  </si>
  <si>
    <t>Risk reduction effectiveness x % of the year in Fire mode</t>
  </si>
  <si>
    <t>REFCL proportion of year in fire mode</t>
  </si>
  <si>
    <t>Residual safety risk</t>
  </si>
  <si>
    <t>Residual bushfire risk</t>
  </si>
  <si>
    <t>Benefits start on completion</t>
  </si>
  <si>
    <t>Benefits commence on completion</t>
  </si>
  <si>
    <t>Benefits commence during project works</t>
  </si>
  <si>
    <t>Total safety risk cost for Horsham feeders pa</t>
  </si>
  <si>
    <t>Average fatal or serious incident HV contacts across total bare 22kV network</t>
  </si>
  <si>
    <t>Average from September 2015 to September 2025</t>
  </si>
  <si>
    <t>Covered conductor length for Horsham feeders</t>
  </si>
  <si>
    <t>per km</t>
  </si>
  <si>
    <t>Option 4 capital cost</t>
  </si>
  <si>
    <t>Category</t>
  </si>
  <si>
    <t>Labour ($2023)</t>
  </si>
  <si>
    <t>Materials ($2023)</t>
  </si>
  <si>
    <t>Contract ($2023)</t>
  </si>
  <si>
    <t xml:space="preserve">Total ($2023) </t>
  </si>
  <si>
    <t>ZSS HSM single REFCL</t>
  </si>
  <si>
    <t>Category - ZSS HSM single REFCL
Estimated and informed by comparative Tranche 3 projects</t>
  </si>
  <si>
    <t>Category - Distribution Line Works
Line hardening and REFCL reliability</t>
  </si>
  <si>
    <t>Distribution line works (hardening)</t>
  </si>
  <si>
    <t>Distribution line works (REFCL reliability)</t>
  </si>
  <si>
    <t>COST INPUTS</t>
  </si>
  <si>
    <t>Powercor - IR013 - minimising bushfire risk cost estimates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</si>
</sst>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6" formatCode="&quot;$&quot;#,##0;[Red]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??_);_(@_)"/>
    <numFmt numFmtId="165" formatCode="_-* #,##0_-;* \(#,##0\)_-;_-* &quot;-&quot;??_-;_-@_-"/>
    <numFmt numFmtId="166" formatCode="#,##0_);\(#,##0\);\-\-_)"/>
    <numFmt numFmtId="167" formatCode="#,##0;[Red]\ \-#,##0;\ &quot;-&quot;"/>
    <numFmt numFmtId="168" formatCode="&quot;$&quot;\ mmm\ yyyy"/>
    <numFmt numFmtId="169" formatCode="&quot;$&quot;#,##0.00"/>
    <numFmt numFmtId="170" formatCode="&quot;$&quot;#,##0"/>
    <numFmt numFmtId="171" formatCode="0.000"/>
    <numFmt numFmtId="172" formatCode="mmmm"/>
    <numFmt numFmtId="173" formatCode="#,##0;[Red]\ \(#,##0\);\ &quot;-&quot;"/>
    <numFmt numFmtId="174" formatCode="0.0000"/>
    <numFmt numFmtId="175" formatCode="#,##0.000;[Red]\ \-#,##0.000;\ &quot;-&quot;"/>
    <numFmt numFmtId="176" formatCode="#,##0;[Red]\ \ \-\ #,##0;\ &quot;-&quot;"/>
    <numFmt numFmtId="177" formatCode="#,##0.00;[Red]\ \-#,##0.00;\ &quot;-&quot;"/>
    <numFmt numFmtId="178" formatCode="#,##0.0;[Red]\ \(#,##0.0\);\ &quot;-&quot;"/>
    <numFmt numFmtId="179" formatCode="#,##0.0;[Red]\ \-#,##0.0;\ &quot;-&quot;"/>
    <numFmt numFmtId="180" formatCode="&quot;$&quot;#,##0;\ \-&quot;$&quot;#,##0;\ &quot;-&quot;"/>
    <numFmt numFmtId="181" formatCode="0;\ \-0;\ &quot;&quot;"/>
    <numFmt numFmtId="182" formatCode="#,##0.00000;[Red]\ \-#,##0.00000;\ &quot;-&quot;"/>
    <numFmt numFmtId="183" formatCode="0;\ \-0;\ &quot;-&quot;"/>
    <numFmt numFmtId="184" formatCode="#,##0.000000;\ \-#,##0.000000;\ &quot;-&quot;"/>
    <numFmt numFmtId="185" formatCode="#,##0;\ \-#,##0;\ &quot;-&quot;"/>
    <numFmt numFmtId="186" formatCode="&quot;year &quot;#"/>
    <numFmt numFmtId="187" formatCode="#,##0.0000000;[Red]\ \-#,##0.0000000;\ &quot;-&quot;"/>
    <numFmt numFmtId="188" formatCode="&quot;$&quot;&quot;m&quot;\ mmm\ yyyy"/>
    <numFmt numFmtId="189" formatCode="\+0%;[Red]\ \ \-0%;\ &quot;-&quot;"/>
    <numFmt numFmtId="190" formatCode="#,##0.00_ ;[Red]\-#,##0.00\ "/>
    <numFmt numFmtId="191" formatCode="#,##0.0;[Red]\ \-#,##0.0;\ &quot;&quot;"/>
    <numFmt numFmtId="192" formatCode="0.000000000000000"/>
    <numFmt numFmtId="193" formatCode="0%;[Red]\ \ \-0%;\ &quot;-&quot;"/>
    <numFmt numFmtId="194" formatCode="mmm\ yyyy"/>
    <numFmt numFmtId="195" formatCode="#,##0.000_);\(#,##0.000\);\-\-_)"/>
    <numFmt numFmtId="196" formatCode="_-&quot;$&quot;* #,##0_-;\-&quot;$&quot;* #,##0_-;_-&quot;$&quot;* &quot;-&quot;??_-;_-@_-"/>
    <numFmt numFmtId="197" formatCode="_-* #,##0_-;\-* #,##0_-;_-* &quot;-&quot;??_-;_-@_-"/>
    <numFmt numFmtId="198" formatCode="0.0%"/>
    <numFmt numFmtId="199" formatCode="_-[$$-C09]* #,##0.00_-;\-[$$-C09]* #,##0.00_-;_-[$$-C09]* &quot;-&quot;??_-;_-@_-"/>
    <numFmt numFmtId="200" formatCode="0.0"/>
    <numFmt numFmtId="201" formatCode="d\ mmmm\ yyyy"/>
    <numFmt numFmtId="202" formatCode="#,##0_ ;[Red]\-#,##0\ ;\ &quot;&quot;"/>
    <numFmt numFmtId="203" formatCode="&quot;(&quot;&quot;$&quot;\ ###0&quot;)&quot;"/>
  </numFmts>
  <fonts count="121" x14ac:knownFonts="1"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3"/>
      <name val="Arial"/>
      <family val="2"/>
    </font>
    <font>
      <sz val="11"/>
      <color theme="1"/>
      <name val="Arial"/>
      <family val="2"/>
    </font>
    <font>
      <sz val="10"/>
      <color theme="0" tint="-0.3499862666707357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9" tint="-0.499984740745262"/>
      <name val="Arial"/>
      <family val="2"/>
    </font>
    <font>
      <sz val="10"/>
      <color theme="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34998626667073579"/>
      <name val="Arial"/>
      <family val="2"/>
    </font>
    <font>
      <b/>
      <sz val="14"/>
      <color indexed="9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2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indexed="9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3333FF"/>
      <name val="Calibri"/>
      <family val="2"/>
      <scheme val="minor"/>
    </font>
    <font>
      <sz val="8"/>
      <color rgb="FF767676"/>
      <name val="Arial"/>
      <family val="2"/>
    </font>
    <font>
      <vertAlign val="subscript"/>
      <sz val="8.5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9"/>
      <name val="Calibri"/>
      <family val="2"/>
    </font>
    <font>
      <sz val="10"/>
      <color rgb="FF0000CC"/>
      <name val="Calibri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3333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  <font>
      <b/>
      <i/>
      <sz val="9"/>
      <color theme="1" tint="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indexed="9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theme="1"/>
      <name val="Verdana"/>
      <family val="2"/>
    </font>
    <font>
      <b/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8"/>
      <color theme="1"/>
      <name val="Calibri"/>
      <family val="2"/>
    </font>
    <font>
      <i/>
      <vertAlign val="subscript"/>
      <sz val="7.65"/>
      <color theme="1" tint="0.499984740745262"/>
      <name val="Calibri"/>
      <family val="2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color theme="1"/>
      <name val="Verdana"/>
      <family val="2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1"/>
      <name val="Verdana"/>
      <family val="2"/>
    </font>
    <font>
      <b/>
      <sz val="10"/>
      <color theme="5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9"/>
      <name val="Calibri"/>
      <family val="2"/>
    </font>
    <font>
      <i/>
      <sz val="10"/>
      <color rgb="FF000000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name val="Verdana"/>
      <family val="2"/>
    </font>
    <font>
      <sz val="10"/>
      <color theme="1"/>
      <name val="Verdana"/>
      <family val="2"/>
    </font>
    <font>
      <i/>
      <sz val="9"/>
      <color theme="1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  <font>
      <sz val="10"/>
      <color indexed="9"/>
      <name val="Calibri"/>
      <family val="2"/>
    </font>
    <font>
      <sz val="9"/>
      <color rgb="FFFFFFFF"/>
      <name val="Calibri"/>
      <family val="2"/>
      <scheme val="minor"/>
    </font>
    <font>
      <b/>
      <sz val="14"/>
      <color theme="1"/>
      <name val="Calibri"/>
      <family val="2"/>
    </font>
    <font>
      <sz val="8"/>
      <color rgb="FF000000"/>
      <name val="Arial"/>
      <family val="2"/>
    </font>
    <font>
      <sz val="10"/>
      <color rgb="FF7030A0"/>
      <name val="Calibri"/>
      <family val="2"/>
      <scheme val="minor"/>
    </font>
    <font>
      <i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9"/>
      <color rgb="FFFFFFFF"/>
      <name val="Calibri"/>
      <family val="2"/>
      <scheme val="minor"/>
    </font>
    <font>
      <sz val="10"/>
      <color rgb="FF3333FF"/>
      <name val="Calibri"/>
      <family val="2"/>
    </font>
    <font>
      <i/>
      <sz val="10"/>
      <color rgb="FF3333FF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</fonts>
  <fills count="5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3366"/>
        <bgColor indexed="64"/>
      </patternFill>
    </fill>
    <fill>
      <patternFill patternType="solid">
        <fgColor rgb="FF0054A8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rgb="FFCC33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  <fill>
      <patternFill patternType="solid">
        <fgColor rgb="FFCBDDEB"/>
        <bgColor indexed="64"/>
      </patternFill>
    </fill>
    <fill>
      <patternFill patternType="solid">
        <fgColor theme="3" tint="0.89999084444715716"/>
        <bgColor indexed="64"/>
      </patternFill>
    </fill>
  </fills>
  <borders count="29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3">
    <xf numFmtId="0" fontId="0" fillId="0" borderId="0"/>
    <xf numFmtId="0" fontId="7" fillId="0" borderId="0"/>
    <xf numFmtId="0" fontId="3" fillId="2" borderId="1" applyNumberFormat="0" applyAlignment="0">
      <alignment horizontal="right"/>
      <protection locked="0"/>
    </xf>
    <xf numFmtId="164" fontId="4" fillId="0" borderId="0" applyFont="0" applyFill="0" applyBorder="0" applyAlignment="0" applyProtection="0"/>
    <xf numFmtId="165" fontId="5" fillId="3" borderId="2" applyAlignment="0"/>
    <xf numFmtId="0" fontId="15" fillId="0" borderId="0" applyNumberFormat="0"/>
    <xf numFmtId="0" fontId="6" fillId="0" borderId="3" applyNumberFormat="0" applyAlignment="0"/>
    <xf numFmtId="0" fontId="4" fillId="0" borderId="4" applyNumberFormat="0" applyFont="0" applyFill="0" applyAlignment="0"/>
    <xf numFmtId="0" fontId="6" fillId="0" borderId="0"/>
    <xf numFmtId="0" fontId="7" fillId="1" borderId="0"/>
    <xf numFmtId="0" fontId="8" fillId="4" borderId="5" applyNumberFormat="0" applyAlignment="0"/>
    <xf numFmtId="0" fontId="9" fillId="5" borderId="3" applyNumberFormat="0">
      <alignment horizontal="centerContinuous" vertical="center" wrapText="1"/>
    </xf>
    <xf numFmtId="0" fontId="10" fillId="4" borderId="6" applyNumberFormat="0" applyAlignment="0"/>
    <xf numFmtId="0" fontId="11" fillId="0" borderId="0" applyNumberFormat="0"/>
    <xf numFmtId="0" fontId="13" fillId="7" borderId="0"/>
    <xf numFmtId="0" fontId="14" fillId="0" borderId="0"/>
    <xf numFmtId="166" fontId="12" fillId="6" borderId="0"/>
    <xf numFmtId="166" fontId="16" fillId="6" borderId="0"/>
    <xf numFmtId="0" fontId="17" fillId="0" borderId="0"/>
    <xf numFmtId="9" fontId="20" fillId="0" borderId="0" applyFont="0" applyFill="0" applyBorder="0" applyAlignment="0" applyProtection="0"/>
    <xf numFmtId="0" fontId="20" fillId="0" borderId="0"/>
    <xf numFmtId="0" fontId="30" fillId="9" borderId="0" applyNumberFormat="0">
      <alignment horizontal="center"/>
    </xf>
    <xf numFmtId="170" fontId="23" fillId="0" borderId="8" applyNumberFormat="0" applyProtection="0">
      <alignment horizontal="right"/>
    </xf>
    <xf numFmtId="10" fontId="29" fillId="2" borderId="0" applyNumberFormat="0" applyAlignment="0" applyProtection="0"/>
    <xf numFmtId="10" fontId="49" fillId="12" borderId="0" applyNumberFormat="0" applyBorder="0" applyAlignment="0" applyProtection="0"/>
    <xf numFmtId="0" fontId="6" fillId="0" borderId="0"/>
    <xf numFmtId="0" fontId="81" fillId="0" borderId="0"/>
    <xf numFmtId="9" fontId="81" fillId="0" borderId="0" applyFont="0" applyFill="0" applyBorder="0" applyAlignment="0" applyProtection="0"/>
    <xf numFmtId="0" fontId="20" fillId="0" borderId="0"/>
    <xf numFmtId="44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0" fontId="97" fillId="0" borderId="0" applyFill="0" applyBorder="0"/>
    <xf numFmtId="44" fontId="20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9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103" fillId="0" borderId="16" applyNumberFormat="0" applyFill="0" applyAlignment="0" applyProtection="0"/>
    <xf numFmtId="0" fontId="104" fillId="0" borderId="17" applyNumberFormat="0" applyFill="0" applyAlignment="0" applyProtection="0"/>
    <xf numFmtId="0" fontId="105" fillId="0" borderId="18" applyNumberFormat="0" applyFill="0" applyAlignment="0" applyProtection="0"/>
    <xf numFmtId="0" fontId="105" fillId="0" borderId="0" applyNumberFormat="0" applyFill="0" applyBorder="0" applyAlignment="0" applyProtection="0"/>
    <xf numFmtId="0" fontId="106" fillId="19" borderId="0" applyNumberFormat="0" applyBorder="0" applyAlignment="0" applyProtection="0"/>
    <xf numFmtId="0" fontId="107" fillId="20" borderId="0" applyNumberFormat="0" applyBorder="0" applyAlignment="0" applyProtection="0"/>
    <xf numFmtId="0" fontId="108" fillId="21" borderId="0" applyNumberFormat="0" applyBorder="0" applyAlignment="0" applyProtection="0"/>
    <xf numFmtId="0" fontId="109" fillId="22" borderId="19" applyNumberFormat="0" applyAlignment="0" applyProtection="0"/>
    <xf numFmtId="0" fontId="110" fillId="23" borderId="20" applyNumberFormat="0" applyAlignment="0" applyProtection="0"/>
    <xf numFmtId="0" fontId="111" fillId="23" borderId="19" applyNumberFormat="0" applyAlignment="0" applyProtection="0"/>
    <xf numFmtId="0" fontId="112" fillId="0" borderId="21" applyNumberFormat="0" applyFill="0" applyAlignment="0" applyProtection="0"/>
    <xf numFmtId="0" fontId="102" fillId="24" borderId="22" applyNumberFormat="0" applyAlignment="0" applyProtection="0"/>
    <xf numFmtId="0" fontId="113" fillId="0" borderId="0" applyNumberFormat="0" applyFill="0" applyBorder="0" applyAlignment="0" applyProtection="0"/>
    <xf numFmtId="0" fontId="65" fillId="0" borderId="24" applyNumberFormat="0" applyFill="0" applyAlignment="0" applyProtection="0"/>
    <xf numFmtId="0" fontId="114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114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14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14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114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114" fillId="46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0" borderId="0"/>
    <xf numFmtId="0" fontId="20" fillId="25" borderId="23" applyNumberFormat="0" applyFont="0" applyAlignment="0" applyProtection="0"/>
    <xf numFmtId="0" fontId="115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17" fillId="0" borderId="0" applyNumberFormat="0" applyFill="0" applyBorder="0" applyProtection="0"/>
    <xf numFmtId="0" fontId="116" fillId="50" borderId="25" applyNumberFormat="0" applyProtection="0"/>
    <xf numFmtId="199" fontId="2" fillId="0" borderId="0" applyFont="0" applyFill="0" applyBorder="0" applyAlignment="0" applyProtection="0"/>
    <xf numFmtId="0" fontId="63" fillId="51" borderId="26" applyNumberFormat="0" applyProtection="0"/>
    <xf numFmtId="0" fontId="1" fillId="0" borderId="0"/>
  </cellStyleXfs>
  <cellXfs count="417">
    <xf numFmtId="0" fontId="0" fillId="0" borderId="0" xfId="0"/>
    <xf numFmtId="0" fontId="17" fillId="0" borderId="0" xfId="18"/>
    <xf numFmtId="0" fontId="17" fillId="0" borderId="0" xfId="18" applyAlignment="1">
      <alignment horizontal="right"/>
    </xf>
    <xf numFmtId="0" fontId="19" fillId="0" borderId="0" xfId="18" applyFont="1"/>
    <xf numFmtId="0" fontId="18" fillId="0" borderId="0" xfId="18" applyFont="1" applyAlignment="1">
      <alignment vertical="center"/>
    </xf>
    <xf numFmtId="0" fontId="22" fillId="0" borderId="0" xfId="18" applyFont="1"/>
    <xf numFmtId="0" fontId="17" fillId="0" borderId="0" xfId="0" applyFont="1"/>
    <xf numFmtId="0" fontId="24" fillId="0" borderId="0" xfId="8" applyFont="1"/>
    <xf numFmtId="0" fontId="25" fillId="0" borderId="0" xfId="0" applyFont="1"/>
    <xf numFmtId="166" fontId="27" fillId="8" borderId="0" xfId="16" applyFont="1" applyFill="1"/>
    <xf numFmtId="0" fontId="17" fillId="0" borderId="0" xfId="18" applyAlignment="1">
      <alignment horizontal="left"/>
    </xf>
    <xf numFmtId="0" fontId="29" fillId="2" borderId="0" xfId="0" applyFont="1" applyFill="1"/>
    <xf numFmtId="0" fontId="19" fillId="0" borderId="0" xfId="0" applyFont="1"/>
    <xf numFmtId="166" fontId="27" fillId="10" borderId="0" xfId="16" applyFont="1" applyFill="1"/>
    <xf numFmtId="0" fontId="21" fillId="11" borderId="0" xfId="18" applyFont="1" applyFill="1" applyAlignment="1">
      <alignment vertical="center"/>
    </xf>
    <xf numFmtId="0" fontId="21" fillId="11" borderId="0" xfId="18" applyFont="1" applyFill="1" applyAlignment="1">
      <alignment horizontal="right" vertical="center"/>
    </xf>
    <xf numFmtId="0" fontId="26" fillId="11" borderId="0" xfId="18" applyFont="1" applyFill="1" applyAlignment="1">
      <alignment vertical="center"/>
    </xf>
    <xf numFmtId="166" fontId="33" fillId="10" borderId="0" xfId="16" applyFont="1" applyFill="1"/>
    <xf numFmtId="166" fontId="34" fillId="10" borderId="0" xfId="16" applyFont="1" applyFill="1" applyAlignment="1">
      <alignment horizontal="right"/>
    </xf>
    <xf numFmtId="0" fontId="17" fillId="0" borderId="0" xfId="0" applyFont="1" applyAlignment="1">
      <alignment horizontal="left"/>
    </xf>
    <xf numFmtId="0" fontId="23" fillId="0" borderId="0" xfId="18" applyFont="1"/>
    <xf numFmtId="0" fontId="17" fillId="2" borderId="0" xfId="0" applyFont="1" applyFill="1"/>
    <xf numFmtId="172" fontId="17" fillId="0" borderId="0" xfId="0" applyNumberFormat="1" applyFont="1"/>
    <xf numFmtId="172" fontId="17" fillId="2" borderId="0" xfId="0" applyNumberFormat="1" applyFont="1" applyFill="1" applyAlignment="1">
      <alignment horizontal="left"/>
    </xf>
    <xf numFmtId="0" fontId="19" fillId="0" borderId="0" xfId="18" applyFont="1" applyAlignment="1">
      <alignment horizontal="left"/>
    </xf>
    <xf numFmtId="0" fontId="17" fillId="2" borderId="0" xfId="0" quotePrefix="1" applyFont="1" applyFill="1"/>
    <xf numFmtId="0" fontId="19" fillId="0" borderId="7" xfId="18" applyFont="1" applyBorder="1" applyAlignment="1">
      <alignment horizontal="left"/>
    </xf>
    <xf numFmtId="0" fontId="19" fillId="0" borderId="7" xfId="18" applyFont="1" applyBorder="1"/>
    <xf numFmtId="167" fontId="18" fillId="0" borderId="0" xfId="18" applyNumberFormat="1" applyFont="1" applyAlignment="1">
      <alignment horizontal="right" vertical="center"/>
    </xf>
    <xf numFmtId="167" fontId="29" fillId="2" borderId="8" xfId="18" applyNumberFormat="1" applyFont="1" applyFill="1" applyBorder="1" applyAlignment="1">
      <alignment horizontal="right" vertical="center"/>
    </xf>
    <xf numFmtId="0" fontId="36" fillId="0" borderId="0" xfId="8" applyFont="1"/>
    <xf numFmtId="0" fontId="37" fillId="0" borderId="0" xfId="18" applyFont="1"/>
    <xf numFmtId="0" fontId="17" fillId="13" borderId="4" xfId="18" applyFill="1" applyBorder="1" applyAlignment="1">
      <alignment horizontal="left"/>
    </xf>
    <xf numFmtId="1" fontId="29" fillId="2" borderId="0" xfId="18" quotePrefix="1" applyNumberFormat="1" applyFont="1" applyFill="1" applyAlignment="1">
      <alignment horizontal="center"/>
    </xf>
    <xf numFmtId="166" fontId="40" fillId="0" borderId="0" xfId="18" applyNumberFormat="1" applyFont="1" applyAlignment="1">
      <alignment horizontal="left"/>
    </xf>
    <xf numFmtId="10" fontId="29" fillId="2" borderId="0" xfId="23" applyNumberFormat="1"/>
    <xf numFmtId="171" fontId="35" fillId="2" borderId="0" xfId="18" applyNumberFormat="1" applyFont="1" applyFill="1" applyAlignment="1">
      <alignment horizontal="right"/>
    </xf>
    <xf numFmtId="14" fontId="17" fillId="0" borderId="0" xfId="0" applyNumberFormat="1" applyFont="1"/>
    <xf numFmtId="1" fontId="17" fillId="2" borderId="0" xfId="0" applyNumberFormat="1" applyFont="1" applyFill="1" applyAlignment="1">
      <alignment horizontal="left"/>
    </xf>
    <xf numFmtId="14" fontId="19" fillId="0" borderId="7" xfId="18" applyNumberFormat="1" applyFont="1" applyBorder="1"/>
    <xf numFmtId="0" fontId="42" fillId="0" borderId="7" xfId="18" quotePrefix="1" applyFont="1" applyBorder="1" applyAlignment="1">
      <alignment horizontal="left"/>
    </xf>
    <xf numFmtId="14" fontId="39" fillId="2" borderId="7" xfId="23" applyNumberFormat="1" applyFont="1" applyBorder="1"/>
    <xf numFmtId="166" fontId="27" fillId="10" borderId="0" xfId="16" applyFont="1" applyFill="1" applyAlignment="1">
      <alignment horizontal="left"/>
    </xf>
    <xf numFmtId="0" fontId="0" fillId="0" borderId="0" xfId="0" applyAlignment="1">
      <alignment horizontal="left"/>
    </xf>
    <xf numFmtId="168" fontId="32" fillId="0" borderId="7" xfId="18" applyNumberFormat="1" applyFont="1" applyBorder="1" applyAlignment="1">
      <alignment horizontal="left" vertical="center"/>
    </xf>
    <xf numFmtId="0" fontId="23" fillId="0" borderId="0" xfId="18" applyFont="1" applyAlignment="1">
      <alignment horizontal="left"/>
    </xf>
    <xf numFmtId="167" fontId="32" fillId="0" borderId="4" xfId="18" applyNumberFormat="1" applyFont="1" applyBorder="1" applyAlignment="1">
      <alignment horizontal="right" vertical="center"/>
    </xf>
    <xf numFmtId="0" fontId="19" fillId="0" borderId="7" xfId="0" applyFont="1" applyBorder="1"/>
    <xf numFmtId="168" fontId="43" fillId="10" borderId="0" xfId="18" applyNumberFormat="1" applyFont="1" applyFill="1" applyAlignment="1">
      <alignment horizontal="center" vertical="center"/>
    </xf>
    <xf numFmtId="0" fontId="19" fillId="0" borderId="7" xfId="0" applyFont="1" applyBorder="1" applyAlignment="1">
      <alignment horizontal="right"/>
    </xf>
    <xf numFmtId="166" fontId="44" fillId="10" borderId="0" xfId="16" applyFont="1" applyFill="1"/>
    <xf numFmtId="0" fontId="29" fillId="2" borderId="0" xfId="18" applyFont="1" applyFill="1" applyAlignment="1">
      <alignment horizontal="left"/>
    </xf>
    <xf numFmtId="167" fontId="18" fillId="0" borderId="0" xfId="18" applyNumberFormat="1" applyFont="1" applyAlignment="1">
      <alignment horizontal="left" vertical="center"/>
    </xf>
    <xf numFmtId="0" fontId="17" fillId="0" borderId="7" xfId="0" applyFont="1" applyBorder="1"/>
    <xf numFmtId="172" fontId="29" fillId="2" borderId="9" xfId="18" quotePrefix="1" applyNumberFormat="1" applyFont="1" applyFill="1" applyBorder="1" applyAlignment="1">
      <alignment horizontal="left"/>
    </xf>
    <xf numFmtId="0" fontId="18" fillId="0" borderId="0" xfId="18" applyFont="1" applyAlignment="1">
      <alignment horizontal="left" vertical="top"/>
    </xf>
    <xf numFmtId="168" fontId="17" fillId="0" borderId="0" xfId="18" applyNumberFormat="1" applyAlignment="1">
      <alignment horizontal="left"/>
    </xf>
    <xf numFmtId="172" fontId="17" fillId="2" borderId="0" xfId="0" quotePrefix="1" applyNumberFormat="1" applyFont="1" applyFill="1" applyAlignment="1">
      <alignment horizontal="left"/>
    </xf>
    <xf numFmtId="0" fontId="47" fillId="0" borderId="0" xfId="0" applyFont="1" applyAlignment="1">
      <alignment horizontal="right"/>
    </xf>
    <xf numFmtId="0" fontId="45" fillId="0" borderId="0" xfId="0" applyFont="1" applyAlignment="1">
      <alignment horizontal="left" indent="1"/>
    </xf>
    <xf numFmtId="168" fontId="23" fillId="0" borderId="8" xfId="22" applyNumberFormat="1">
      <alignment horizontal="right"/>
    </xf>
    <xf numFmtId="0" fontId="48" fillId="0" borderId="0" xfId="18" quotePrefix="1" applyFont="1" applyAlignment="1">
      <alignment horizontal="left"/>
    </xf>
    <xf numFmtId="168" fontId="46" fillId="0" borderId="0" xfId="23" applyNumberFormat="1" applyFont="1" applyFill="1" applyAlignment="1">
      <alignment horizontal="right"/>
    </xf>
    <xf numFmtId="0" fontId="19" fillId="0" borderId="7" xfId="18" applyFont="1" applyBorder="1" applyAlignment="1">
      <alignment horizontal="right"/>
    </xf>
    <xf numFmtId="0" fontId="46" fillId="0" borderId="0" xfId="18" applyFont="1" applyAlignment="1">
      <alignment horizontal="left" indent="1"/>
    </xf>
    <xf numFmtId="0" fontId="17" fillId="0" borderId="0" xfId="18" applyAlignment="1">
      <alignment horizontal="left" vertical="top" wrapText="1"/>
    </xf>
    <xf numFmtId="0" fontId="19" fillId="0" borderId="7" xfId="18" applyFont="1" applyBorder="1" applyAlignment="1">
      <alignment horizontal="left" vertical="top"/>
    </xf>
    <xf numFmtId="0" fontId="17" fillId="0" borderId="7" xfId="18" applyBorder="1" applyAlignment="1">
      <alignment horizontal="left" vertical="top"/>
    </xf>
    <xf numFmtId="14" fontId="17" fillId="0" borderId="0" xfId="18" applyNumberFormat="1"/>
    <xf numFmtId="14" fontId="17" fillId="0" borderId="7" xfId="18" applyNumberFormat="1" applyBorder="1"/>
    <xf numFmtId="14" fontId="29" fillId="2" borderId="0" xfId="18" applyNumberFormat="1" applyFont="1" applyFill="1"/>
    <xf numFmtId="10" fontId="36" fillId="0" borderId="0" xfId="23" applyNumberFormat="1" applyFont="1" applyFill="1"/>
    <xf numFmtId="0" fontId="28" fillId="0" borderId="0" xfId="0" applyFont="1"/>
    <xf numFmtId="166" fontId="33" fillId="10" borderId="0" xfId="16" applyFont="1" applyFill="1" applyAlignment="1">
      <alignment horizontal="center"/>
    </xf>
    <xf numFmtId="0" fontId="25" fillId="0" borderId="0" xfId="0" applyFont="1" applyAlignment="1">
      <alignment horizontal="center"/>
    </xf>
    <xf numFmtId="176" fontId="18" fillId="0" borderId="0" xfId="18" applyNumberFormat="1" applyFont="1" applyAlignment="1">
      <alignment horizontal="right" vertical="center"/>
    </xf>
    <xf numFmtId="49" fontId="17" fillId="2" borderId="0" xfId="0" applyNumberFormat="1" applyFont="1" applyFill="1" applyAlignment="1">
      <alignment horizontal="left"/>
    </xf>
    <xf numFmtId="0" fontId="52" fillId="0" borderId="7" xfId="18" applyFont="1" applyBorder="1"/>
    <xf numFmtId="0" fontId="53" fillId="0" borderId="7" xfId="18" applyFont="1" applyBorder="1" applyAlignment="1">
      <alignment vertical="center"/>
    </xf>
    <xf numFmtId="0" fontId="38" fillId="0" borderId="7" xfId="18" applyFont="1" applyBorder="1" applyAlignment="1">
      <alignment vertical="center"/>
    </xf>
    <xf numFmtId="173" fontId="17" fillId="0" borderId="0" xfId="18" applyNumberFormat="1"/>
    <xf numFmtId="0" fontId="23" fillId="13" borderId="8" xfId="22" applyNumberFormat="1" applyFill="1" applyAlignment="1">
      <alignment horizontal="left"/>
    </xf>
    <xf numFmtId="0" fontId="54" fillId="0" borderId="0" xfId="18" applyFont="1"/>
    <xf numFmtId="167" fontId="36" fillId="2" borderId="0" xfId="18" applyNumberFormat="1" applyFont="1" applyFill="1" applyAlignment="1">
      <alignment horizontal="right" vertical="center"/>
    </xf>
    <xf numFmtId="173" fontId="18" fillId="0" borderId="0" xfId="18" applyNumberFormat="1" applyFont="1" applyAlignment="1">
      <alignment horizontal="right" vertical="center"/>
    </xf>
    <xf numFmtId="0" fontId="41" fillId="0" borderId="0" xfId="8" applyFont="1"/>
    <xf numFmtId="175" fontId="47" fillId="0" borderId="0" xfId="18" applyNumberFormat="1" applyFont="1" applyAlignment="1">
      <alignment horizontal="right" vertical="center"/>
    </xf>
    <xf numFmtId="0" fontId="41" fillId="0" borderId="0" xfId="8" applyFont="1" applyAlignment="1">
      <alignment horizontal="center"/>
    </xf>
    <xf numFmtId="0" fontId="47" fillId="0" borderId="0" xfId="18" applyFont="1" applyAlignment="1">
      <alignment horizontal="right"/>
    </xf>
    <xf numFmtId="49" fontId="17" fillId="0" borderId="0" xfId="0" applyNumberFormat="1" applyFont="1"/>
    <xf numFmtId="178" fontId="17" fillId="0" borderId="0" xfId="18" applyNumberFormat="1" applyAlignment="1">
      <alignment vertical="top" wrapText="1"/>
    </xf>
    <xf numFmtId="178" fontId="18" fillId="13" borderId="0" xfId="18" applyNumberFormat="1" applyFont="1" applyFill="1" applyAlignment="1">
      <alignment horizontal="right" vertical="center"/>
    </xf>
    <xf numFmtId="179" fontId="18" fillId="0" borderId="0" xfId="18" applyNumberFormat="1" applyFont="1" applyAlignment="1">
      <alignment horizontal="right" vertical="center"/>
    </xf>
    <xf numFmtId="176" fontId="32" fillId="0" borderId="0" xfId="18" applyNumberFormat="1" applyFont="1" applyAlignment="1">
      <alignment horizontal="right" vertical="center"/>
    </xf>
    <xf numFmtId="0" fontId="51" fillId="0" borderId="0" xfId="0" applyFont="1"/>
    <xf numFmtId="167" fontId="32" fillId="0" borderId="0" xfId="18" applyNumberFormat="1" applyFont="1" applyAlignment="1">
      <alignment horizontal="right" vertical="center"/>
    </xf>
    <xf numFmtId="166" fontId="40" fillId="0" borderId="4" xfId="18" applyNumberFormat="1" applyFont="1" applyBorder="1" applyAlignment="1">
      <alignment horizontal="left"/>
    </xf>
    <xf numFmtId="0" fontId="17" fillId="0" borderId="4" xfId="18" applyBorder="1"/>
    <xf numFmtId="0" fontId="53" fillId="0" borderId="0" xfId="18" applyFont="1" applyAlignment="1">
      <alignment vertical="center"/>
    </xf>
    <xf numFmtId="169" fontId="23" fillId="0" borderId="8" xfId="22" applyNumberFormat="1">
      <alignment horizontal="right"/>
    </xf>
    <xf numFmtId="170" fontId="23" fillId="0" borderId="8" xfId="22" applyNumberFormat="1">
      <alignment horizontal="right"/>
    </xf>
    <xf numFmtId="0" fontId="50" fillId="0" borderId="0" xfId="8" applyFont="1"/>
    <xf numFmtId="0" fontId="38" fillId="0" borderId="7" xfId="18" applyFont="1" applyBorder="1" applyAlignment="1">
      <alignment horizontal="right" vertical="center"/>
    </xf>
    <xf numFmtId="0" fontId="24" fillId="0" borderId="0" xfId="8" applyFont="1" applyAlignment="1">
      <alignment horizontal="left"/>
    </xf>
    <xf numFmtId="0" fontId="19" fillId="0" borderId="4" xfId="0" applyFont="1" applyBorder="1" applyAlignment="1">
      <alignment horizontal="left"/>
    </xf>
    <xf numFmtId="0" fontId="57" fillId="0" borderId="0" xfId="18" applyFont="1"/>
    <xf numFmtId="0" fontId="17" fillId="0" borderId="0" xfId="20" applyFont="1"/>
    <xf numFmtId="0" fontId="17" fillId="0" borderId="0" xfId="20" applyFont="1" applyAlignment="1">
      <alignment horizontal="center"/>
    </xf>
    <xf numFmtId="0" fontId="17" fillId="0" borderId="0" xfId="20" applyFont="1" applyAlignment="1">
      <alignment horizontal="left"/>
    </xf>
    <xf numFmtId="0" fontId="47" fillId="0" borderId="0" xfId="20" applyFont="1" applyAlignment="1">
      <alignment horizontal="right"/>
    </xf>
    <xf numFmtId="0" fontId="20" fillId="0" borderId="0" xfId="20"/>
    <xf numFmtId="0" fontId="17" fillId="2" borderId="0" xfId="20" applyFont="1" applyFill="1"/>
    <xf numFmtId="180" fontId="17" fillId="0" borderId="0" xfId="20" applyNumberFormat="1" applyFont="1" applyAlignment="1">
      <alignment horizontal="center"/>
    </xf>
    <xf numFmtId="180" fontId="23" fillId="0" borderId="8" xfId="22" applyNumberFormat="1">
      <alignment horizontal="right"/>
    </xf>
    <xf numFmtId="167" fontId="17" fillId="0" borderId="0" xfId="18" applyNumberFormat="1" applyAlignment="1">
      <alignment horizontal="right" vertical="center"/>
    </xf>
    <xf numFmtId="167" fontId="17" fillId="14" borderId="0" xfId="18" applyNumberFormat="1" applyFill="1" applyAlignment="1">
      <alignment horizontal="right" vertical="center"/>
    </xf>
    <xf numFmtId="49" fontId="17" fillId="0" borderId="0" xfId="18" applyNumberFormat="1"/>
    <xf numFmtId="182" fontId="29" fillId="2" borderId="8" xfId="18" applyNumberFormat="1" applyFont="1" applyFill="1" applyBorder="1" applyAlignment="1">
      <alignment horizontal="right" vertical="center"/>
    </xf>
    <xf numFmtId="176" fontId="17" fillId="0" borderId="0" xfId="18" applyNumberFormat="1"/>
    <xf numFmtId="2" fontId="17" fillId="0" borderId="0" xfId="18" applyNumberFormat="1"/>
    <xf numFmtId="178" fontId="32" fillId="0" borderId="0" xfId="18" applyNumberFormat="1" applyFont="1" applyAlignment="1">
      <alignment horizontal="right" vertical="center"/>
    </xf>
    <xf numFmtId="178" fontId="61" fillId="0" borderId="0" xfId="18" applyNumberFormat="1" applyFont="1" applyAlignment="1">
      <alignment horizontal="right" vertical="center"/>
    </xf>
    <xf numFmtId="0" fontId="26" fillId="11" borderId="0" xfId="18" applyFont="1" applyFill="1" applyAlignment="1">
      <alignment horizontal="right" vertical="center"/>
    </xf>
    <xf numFmtId="167" fontId="18" fillId="0" borderId="4" xfId="18" applyNumberFormat="1" applyFont="1" applyBorder="1" applyAlignment="1">
      <alignment horizontal="right" vertical="center"/>
    </xf>
    <xf numFmtId="0" fontId="17" fillId="0" borderId="4" xfId="0" applyFont="1" applyBorder="1" applyAlignment="1">
      <alignment horizontal="left"/>
    </xf>
    <xf numFmtId="0" fontId="17" fillId="2" borderId="0" xfId="18" applyFill="1"/>
    <xf numFmtId="14" fontId="62" fillId="0" borderId="0" xfId="0" applyNumberFormat="1" applyFont="1"/>
    <xf numFmtId="0" fontId="61" fillId="0" borderId="0" xfId="18" applyFont="1" applyAlignment="1">
      <alignment vertical="center"/>
    </xf>
    <xf numFmtId="167" fontId="29" fillId="2" borderId="0" xfId="18" applyNumberFormat="1" applyFont="1" applyFill="1" applyAlignment="1">
      <alignment horizontal="right" vertical="center"/>
    </xf>
    <xf numFmtId="167" fontId="0" fillId="0" borderId="0" xfId="0" applyNumberFormat="1"/>
    <xf numFmtId="167" fontId="25" fillId="0" borderId="0" xfId="0" applyNumberFormat="1" applyFont="1"/>
    <xf numFmtId="0" fontId="47" fillId="2" borderId="0" xfId="18" applyFont="1" applyFill="1" applyAlignment="1">
      <alignment horizontal="right"/>
    </xf>
    <xf numFmtId="0" fontId="19" fillId="0" borderId="0" xfId="18" applyFont="1" applyAlignment="1">
      <alignment horizontal="center"/>
    </xf>
    <xf numFmtId="167" fontId="36" fillId="2" borderId="0" xfId="18" applyNumberFormat="1" applyFont="1" applyFill="1" applyAlignment="1">
      <alignment horizontal="left" vertical="center"/>
    </xf>
    <xf numFmtId="170" fontId="29" fillId="2" borderId="0" xfId="23" applyNumberFormat="1" applyAlignment="1">
      <alignment horizontal="right"/>
    </xf>
    <xf numFmtId="183" fontId="49" fillId="2" borderId="0" xfId="24" applyNumberFormat="1" applyFill="1" applyAlignment="1">
      <alignment horizontal="right"/>
    </xf>
    <xf numFmtId="0" fontId="19" fillId="0" borderId="7" xfId="0" applyFont="1" applyBorder="1" applyAlignment="1">
      <alignment horizontal="left"/>
    </xf>
    <xf numFmtId="0" fontId="19" fillId="0" borderId="7" xfId="0" applyFont="1" applyBorder="1" applyAlignment="1">
      <alignment horizontal="center"/>
    </xf>
    <xf numFmtId="9" fontId="29" fillId="2" borderId="0" xfId="23" applyNumberFormat="1" applyAlignment="1">
      <alignment horizontal="right"/>
    </xf>
    <xf numFmtId="175" fontId="47" fillId="0" borderId="0" xfId="18" applyNumberFormat="1" applyFont="1" applyAlignment="1">
      <alignment horizontal="left" vertical="center"/>
    </xf>
    <xf numFmtId="0" fontId="19" fillId="0" borderId="0" xfId="0" applyFont="1" applyAlignment="1">
      <alignment horizontal="center"/>
    </xf>
    <xf numFmtId="184" fontId="29" fillId="2" borderId="8" xfId="23" applyNumberFormat="1" applyBorder="1" applyAlignment="1">
      <alignment horizontal="right"/>
    </xf>
    <xf numFmtId="184" fontId="29" fillId="2" borderId="10" xfId="23" applyNumberFormat="1" applyBorder="1" applyAlignment="1">
      <alignment horizontal="right"/>
    </xf>
    <xf numFmtId="0" fontId="29" fillId="2" borderId="8" xfId="23" applyNumberFormat="1" applyBorder="1" applyAlignment="1">
      <alignment horizontal="center"/>
    </xf>
    <xf numFmtId="185" fontId="29" fillId="2" borderId="10" xfId="23" applyNumberFormat="1" applyBorder="1" applyAlignment="1">
      <alignment horizontal="center"/>
    </xf>
    <xf numFmtId="169" fontId="17" fillId="0" borderId="0" xfId="0" applyNumberFormat="1" applyFont="1"/>
    <xf numFmtId="0" fontId="36" fillId="0" borderId="0" xfId="18" applyFont="1"/>
    <xf numFmtId="179" fontId="29" fillId="2" borderId="8" xfId="18" applyNumberFormat="1" applyFont="1" applyFill="1" applyBorder="1" applyAlignment="1">
      <alignment horizontal="right" vertical="center"/>
    </xf>
    <xf numFmtId="187" fontId="29" fillId="2" borderId="8" xfId="18" applyNumberFormat="1" applyFont="1" applyFill="1" applyBorder="1" applyAlignment="1">
      <alignment horizontal="right" vertical="center"/>
    </xf>
    <xf numFmtId="179" fontId="32" fillId="0" borderId="0" xfId="18" applyNumberFormat="1" applyFont="1" applyAlignment="1">
      <alignment horizontal="right" vertical="center"/>
    </xf>
    <xf numFmtId="0" fontId="17" fillId="0" borderId="7" xfId="18" applyBorder="1"/>
    <xf numFmtId="0" fontId="18" fillId="0" borderId="11" xfId="18" applyFont="1" applyBorder="1" applyAlignment="1">
      <alignment vertical="center"/>
    </xf>
    <xf numFmtId="0" fontId="17" fillId="0" borderId="11" xfId="18" applyBorder="1"/>
    <xf numFmtId="173" fontId="18" fillId="0" borderId="11" xfId="18" applyNumberFormat="1" applyFont="1" applyBorder="1" applyAlignment="1">
      <alignment horizontal="right" vertical="center"/>
    </xf>
    <xf numFmtId="167" fontId="18" fillId="0" borderId="11" xfId="18" applyNumberFormat="1" applyFont="1" applyBorder="1" applyAlignment="1">
      <alignment horizontal="right" vertical="center"/>
    </xf>
    <xf numFmtId="0" fontId="57" fillId="0" borderId="11" xfId="0" applyFont="1" applyBorder="1"/>
    <xf numFmtId="166" fontId="40" fillId="0" borderId="11" xfId="18" applyNumberFormat="1" applyFont="1" applyBorder="1" applyAlignment="1">
      <alignment horizontal="left"/>
    </xf>
    <xf numFmtId="167" fontId="32" fillId="0" borderId="11" xfId="18" applyNumberFormat="1" applyFont="1" applyBorder="1" applyAlignment="1">
      <alignment horizontal="right" vertical="center"/>
    </xf>
    <xf numFmtId="0" fontId="17" fillId="0" borderId="11" xfId="0" applyFont="1" applyBorder="1"/>
    <xf numFmtId="0" fontId="26" fillId="15" borderId="0" xfId="18" applyFont="1" applyFill="1" applyAlignment="1">
      <alignment vertical="center"/>
    </xf>
    <xf numFmtId="0" fontId="26" fillId="15" borderId="0" xfId="18" applyFont="1" applyFill="1" applyAlignment="1">
      <alignment horizontal="right" vertical="center"/>
    </xf>
    <xf numFmtId="0" fontId="21" fillId="15" borderId="0" xfId="18" applyFont="1" applyFill="1" applyAlignment="1">
      <alignment horizontal="right" vertical="center"/>
    </xf>
    <xf numFmtId="188" fontId="17" fillId="0" borderId="7" xfId="18" applyNumberFormat="1" applyBorder="1" applyAlignment="1">
      <alignment horizontal="center"/>
    </xf>
    <xf numFmtId="188" fontId="17" fillId="0" borderId="7" xfId="18" applyNumberFormat="1" applyBorder="1" applyAlignment="1">
      <alignment horizontal="left"/>
    </xf>
    <xf numFmtId="179" fontId="17" fillId="0" borderId="0" xfId="0" applyNumberFormat="1" applyFont="1"/>
    <xf numFmtId="186" fontId="17" fillId="0" borderId="0" xfId="18" applyNumberFormat="1" applyAlignment="1">
      <alignment horizontal="left"/>
    </xf>
    <xf numFmtId="171" fontId="41" fillId="0" borderId="0" xfId="8" applyNumberFormat="1" applyFont="1"/>
    <xf numFmtId="1" fontId="41" fillId="0" borderId="0" xfId="8" applyNumberFormat="1" applyFont="1"/>
    <xf numFmtId="167" fontId="24" fillId="0" borderId="0" xfId="8" applyNumberFormat="1" applyFont="1"/>
    <xf numFmtId="167" fontId="24" fillId="0" borderId="0" xfId="8" applyNumberFormat="1" applyFont="1" applyAlignment="1">
      <alignment horizontal="right"/>
    </xf>
    <xf numFmtId="0" fontId="24" fillId="0" borderId="7" xfId="8" applyFont="1" applyBorder="1" applyAlignment="1">
      <alignment horizontal="left"/>
    </xf>
    <xf numFmtId="0" fontId="25" fillId="0" borderId="7" xfId="0" applyFont="1" applyBorder="1" applyAlignment="1">
      <alignment horizontal="center"/>
    </xf>
    <xf numFmtId="0" fontId="25" fillId="0" borderId="7" xfId="0" applyFont="1" applyBorder="1"/>
    <xf numFmtId="0" fontId="63" fillId="0" borderId="12" xfId="0" applyFont="1" applyBorder="1"/>
    <xf numFmtId="0" fontId="24" fillId="2" borderId="0" xfId="8" applyFont="1" applyFill="1" applyAlignment="1">
      <alignment horizontal="left"/>
    </xf>
    <xf numFmtId="2" fontId="17" fillId="2" borderId="0" xfId="18" applyNumberFormat="1" applyFill="1"/>
    <xf numFmtId="2" fontId="23" fillId="0" borderId="8" xfId="22" applyNumberFormat="1" applyAlignment="1">
      <alignment horizontal="left"/>
    </xf>
    <xf numFmtId="168" fontId="64" fillId="10" borderId="0" xfId="18" applyNumberFormat="1" applyFont="1" applyFill="1" applyAlignment="1">
      <alignment horizontal="center" vertical="center"/>
    </xf>
    <xf numFmtId="168" fontId="64" fillId="10" borderId="0" xfId="18" applyNumberFormat="1" applyFont="1" applyFill="1" applyAlignment="1">
      <alignment horizontal="left" vertical="center"/>
    </xf>
    <xf numFmtId="0" fontId="65" fillId="0" borderId="0" xfId="18" applyFont="1"/>
    <xf numFmtId="0" fontId="66" fillId="0" borderId="7" xfId="18" applyFont="1" applyBorder="1" applyAlignment="1">
      <alignment vertical="center"/>
    </xf>
    <xf numFmtId="0" fontId="67" fillId="0" borderId="0" xfId="18" applyFont="1"/>
    <xf numFmtId="0" fontId="62" fillId="0" borderId="0" xfId="0" applyFont="1"/>
    <xf numFmtId="168" fontId="67" fillId="0" borderId="0" xfId="18" applyNumberFormat="1" applyFont="1" applyAlignment="1">
      <alignment horizontal="left"/>
    </xf>
    <xf numFmtId="0" fontId="66" fillId="0" borderId="0" xfId="18" applyFont="1" applyAlignment="1">
      <alignment vertical="center"/>
    </xf>
    <xf numFmtId="168" fontId="68" fillId="0" borderId="0" xfId="18" applyNumberFormat="1" applyFont="1" applyAlignment="1">
      <alignment horizontal="left"/>
    </xf>
    <xf numFmtId="168" fontId="69" fillId="0" borderId="0" xfId="18" applyNumberFormat="1" applyFont="1" applyAlignment="1">
      <alignment horizontal="left" vertical="center"/>
    </xf>
    <xf numFmtId="0" fontId="66" fillId="0" borderId="0" xfId="18" applyFont="1" applyAlignment="1">
      <alignment horizontal="left" vertical="center"/>
    </xf>
    <xf numFmtId="0" fontId="67" fillId="0" borderId="0" xfId="18" applyFont="1" applyAlignment="1">
      <alignment horizontal="left"/>
    </xf>
    <xf numFmtId="0" fontId="70" fillId="0" borderId="0" xfId="18" applyFont="1" applyAlignment="1">
      <alignment horizontal="left" vertical="center"/>
    </xf>
    <xf numFmtId="0" fontId="69" fillId="0" borderId="0" xfId="18" applyFont="1" applyAlignment="1">
      <alignment horizontal="left" vertical="center"/>
    </xf>
    <xf numFmtId="168" fontId="69" fillId="0" borderId="11" xfId="18" applyNumberFormat="1" applyFont="1" applyBorder="1" applyAlignment="1">
      <alignment horizontal="left" vertical="center"/>
    </xf>
    <xf numFmtId="168" fontId="71" fillId="0" borderId="0" xfId="18" applyNumberFormat="1" applyFont="1" applyAlignment="1">
      <alignment horizontal="left" vertical="center"/>
    </xf>
    <xf numFmtId="0" fontId="72" fillId="0" borderId="0" xfId="0" applyFont="1"/>
    <xf numFmtId="0" fontId="48" fillId="0" borderId="0" xfId="18" applyFont="1"/>
    <xf numFmtId="0" fontId="73" fillId="11" borderId="0" xfId="18" applyFont="1" applyFill="1" applyAlignment="1">
      <alignment horizontal="right" vertical="center"/>
    </xf>
    <xf numFmtId="167" fontId="69" fillId="0" borderId="0" xfId="18" applyNumberFormat="1" applyFont="1" applyAlignment="1">
      <alignment horizontal="right" vertical="center"/>
    </xf>
    <xf numFmtId="0" fontId="66" fillId="0" borderId="7" xfId="18" applyFont="1" applyBorder="1" applyAlignment="1">
      <alignment horizontal="right" vertical="center"/>
    </xf>
    <xf numFmtId="166" fontId="75" fillId="10" borderId="0" xfId="16" applyFont="1" applyFill="1" applyAlignment="1">
      <alignment horizontal="right"/>
    </xf>
    <xf numFmtId="0" fontId="74" fillId="0" borderId="0" xfId="8" applyFont="1" applyAlignment="1">
      <alignment horizontal="right"/>
    </xf>
    <xf numFmtId="168" fontId="69" fillId="0" borderId="0" xfId="18" applyNumberFormat="1" applyFont="1" applyAlignment="1">
      <alignment horizontal="right" vertical="center"/>
    </xf>
    <xf numFmtId="168" fontId="71" fillId="0" borderId="0" xfId="18" applyNumberFormat="1" applyFont="1" applyAlignment="1">
      <alignment horizontal="right" vertical="center"/>
    </xf>
    <xf numFmtId="168" fontId="69" fillId="0" borderId="4" xfId="18" applyNumberFormat="1" applyFont="1" applyBorder="1" applyAlignment="1">
      <alignment horizontal="right" vertical="center"/>
    </xf>
    <xf numFmtId="0" fontId="67" fillId="0" borderId="0" xfId="18" applyFont="1" applyAlignment="1">
      <alignment horizontal="right"/>
    </xf>
    <xf numFmtId="0" fontId="67" fillId="0" borderId="0" xfId="0" applyFont="1" applyAlignment="1">
      <alignment horizontal="right"/>
    </xf>
    <xf numFmtId="0" fontId="76" fillId="0" borderId="0" xfId="18" applyFont="1" applyAlignment="1">
      <alignment vertical="center"/>
    </xf>
    <xf numFmtId="0" fontId="28" fillId="0" borderId="0" xfId="18" applyFont="1"/>
    <xf numFmtId="178" fontId="76" fillId="0" borderId="0" xfId="18" applyNumberFormat="1" applyFont="1" applyAlignment="1">
      <alignment horizontal="right" vertical="center"/>
    </xf>
    <xf numFmtId="167" fontId="50" fillId="0" borderId="0" xfId="8" applyNumberFormat="1" applyFont="1"/>
    <xf numFmtId="166" fontId="77" fillId="0" borderId="0" xfId="18" applyNumberFormat="1" applyFont="1" applyAlignment="1">
      <alignment horizontal="left"/>
    </xf>
    <xf numFmtId="0" fontId="78" fillId="0" borderId="11" xfId="0" applyFont="1" applyBorder="1"/>
    <xf numFmtId="166" fontId="77" fillId="0" borderId="11" xfId="18" applyNumberFormat="1" applyFont="1" applyBorder="1" applyAlignment="1">
      <alignment horizontal="left"/>
    </xf>
    <xf numFmtId="0" fontId="28" fillId="0" borderId="11" xfId="18" applyFont="1" applyBorder="1" applyAlignment="1">
      <alignment horizontal="right"/>
    </xf>
    <xf numFmtId="0" fontId="79" fillId="0" borderId="0" xfId="18" applyFont="1"/>
    <xf numFmtId="168" fontId="46" fillId="0" borderId="0" xfId="23" applyNumberFormat="1" applyFont="1" applyFill="1" applyAlignment="1">
      <alignment horizontal="left"/>
    </xf>
    <xf numFmtId="0" fontId="47" fillId="0" borderId="0" xfId="20" applyFont="1" applyAlignment="1">
      <alignment horizontal="center"/>
    </xf>
    <xf numFmtId="174" fontId="17" fillId="0" borderId="0" xfId="18" applyNumberFormat="1"/>
    <xf numFmtId="189" fontId="17" fillId="0" borderId="0" xfId="18" applyNumberFormat="1"/>
    <xf numFmtId="190" fontId="17" fillId="0" borderId="0" xfId="0" applyNumberFormat="1" applyFont="1"/>
    <xf numFmtId="0" fontId="38" fillId="0" borderId="0" xfId="18" applyFont="1" applyAlignment="1">
      <alignment vertical="center"/>
    </xf>
    <xf numFmtId="0" fontId="38" fillId="0" borderId="0" xfId="18" applyFont="1" applyAlignment="1">
      <alignment horizontal="right" vertical="center"/>
    </xf>
    <xf numFmtId="167" fontId="17" fillId="0" borderId="0" xfId="18" applyNumberFormat="1"/>
    <xf numFmtId="0" fontId="81" fillId="0" borderId="0" xfId="0" applyFont="1"/>
    <xf numFmtId="172" fontId="17" fillId="0" borderId="0" xfId="0" applyNumberFormat="1" applyFont="1" applyAlignment="1">
      <alignment horizontal="left"/>
    </xf>
    <xf numFmtId="9" fontId="17" fillId="0" borderId="0" xfId="18" applyNumberFormat="1"/>
    <xf numFmtId="0" fontId="36" fillId="0" borderId="0" xfId="18" applyFont="1" applyAlignment="1">
      <alignment vertical="center"/>
    </xf>
    <xf numFmtId="171" fontId="41" fillId="0" borderId="0" xfId="8" applyNumberFormat="1" applyFont="1" applyAlignment="1">
      <alignment horizontal="right"/>
    </xf>
    <xf numFmtId="0" fontId="82" fillId="0" borderId="0" xfId="0" applyFont="1"/>
    <xf numFmtId="185" fontId="17" fillId="0" borderId="0" xfId="0" applyNumberFormat="1" applyFont="1" applyAlignment="1">
      <alignment horizontal="left"/>
    </xf>
    <xf numFmtId="0" fontId="19" fillId="0" borderId="0" xfId="0" applyFont="1" applyAlignment="1">
      <alignment horizontal="right"/>
    </xf>
    <xf numFmtId="181" fontId="17" fillId="0" borderId="0" xfId="0" applyNumberFormat="1" applyFont="1" applyAlignment="1">
      <alignment horizontal="left"/>
    </xf>
    <xf numFmtId="181" fontId="17" fillId="0" borderId="14" xfId="0" applyNumberFormat="1" applyFont="1" applyBorder="1" applyAlignment="1">
      <alignment horizontal="left"/>
    </xf>
    <xf numFmtId="191" fontId="17" fillId="0" borderId="0" xfId="0" applyNumberFormat="1" applyFont="1" applyAlignment="1">
      <alignment horizontal="center"/>
    </xf>
    <xf numFmtId="0" fontId="83" fillId="0" borderId="0" xfId="0" applyFont="1"/>
    <xf numFmtId="191" fontId="18" fillId="0" borderId="11" xfId="18" applyNumberFormat="1" applyFont="1" applyBorder="1" applyAlignment="1">
      <alignment horizontal="right" vertical="center"/>
    </xf>
    <xf numFmtId="191" fontId="18" fillId="0" borderId="0" xfId="18" applyNumberFormat="1" applyFont="1" applyAlignment="1">
      <alignment horizontal="right" vertical="center"/>
    </xf>
    <xf numFmtId="0" fontId="17" fillId="0" borderId="0" xfId="0" applyFont="1" applyAlignment="1">
      <alignment horizontal="center"/>
    </xf>
    <xf numFmtId="0" fontId="81" fillId="0" borderId="0" xfId="0" applyFont="1" applyAlignment="1">
      <alignment horizontal="center"/>
    </xf>
    <xf numFmtId="0" fontId="17" fillId="0" borderId="7" xfId="0" applyFont="1" applyBorder="1" applyAlignment="1">
      <alignment horizontal="center"/>
    </xf>
    <xf numFmtId="179" fontId="18" fillId="0" borderId="11" xfId="18" applyNumberFormat="1" applyFont="1" applyBorder="1" applyAlignment="1">
      <alignment horizontal="right" vertical="center"/>
    </xf>
    <xf numFmtId="181" fontId="84" fillId="0" borderId="0" xfId="0" applyNumberFormat="1" applyFont="1" applyAlignment="1">
      <alignment horizontal="center"/>
    </xf>
    <xf numFmtId="179" fontId="25" fillId="0" borderId="0" xfId="0" applyNumberFormat="1" applyFont="1"/>
    <xf numFmtId="0" fontId="29" fillId="2" borderId="0" xfId="18" applyFont="1" applyFill="1"/>
    <xf numFmtId="181" fontId="19" fillId="0" borderId="14" xfId="0" applyNumberFormat="1" applyFont="1" applyBorder="1" applyAlignment="1">
      <alignment horizontal="left"/>
    </xf>
    <xf numFmtId="191" fontId="32" fillId="0" borderId="11" xfId="18" applyNumberFormat="1" applyFont="1" applyBorder="1" applyAlignment="1">
      <alignment horizontal="right" vertical="center"/>
    </xf>
    <xf numFmtId="191" fontId="85" fillId="0" borderId="14" xfId="0" applyNumberFormat="1" applyFont="1" applyBorder="1" applyAlignment="1">
      <alignment horizontal="center"/>
    </xf>
    <xf numFmtId="188" fontId="25" fillId="0" borderId="7" xfId="18" applyNumberFormat="1" applyFont="1" applyBorder="1" applyAlignment="1">
      <alignment horizontal="left"/>
    </xf>
    <xf numFmtId="0" fontId="32" fillId="0" borderId="0" xfId="18" applyFont="1" applyAlignment="1">
      <alignment horizontal="left" vertical="top"/>
    </xf>
    <xf numFmtId="0" fontId="39" fillId="2" borderId="0" xfId="0" applyFont="1" applyFill="1"/>
    <xf numFmtId="192" fontId="0" fillId="0" borderId="0" xfId="0" applyNumberFormat="1"/>
    <xf numFmtId="167" fontId="17" fillId="0" borderId="0" xfId="18" applyNumberFormat="1" applyAlignment="1">
      <alignment horizontal="right"/>
    </xf>
    <xf numFmtId="168" fontId="25" fillId="0" borderId="0" xfId="0" applyNumberFormat="1" applyFont="1"/>
    <xf numFmtId="0" fontId="25" fillId="0" borderId="0" xfId="0" applyFont="1" applyAlignment="1">
      <alignment wrapText="1"/>
    </xf>
    <xf numFmtId="168" fontId="29" fillId="2" borderId="0" xfId="24" applyNumberFormat="1" applyFont="1" applyFill="1" applyAlignment="1">
      <alignment horizontal="left" vertical="center"/>
    </xf>
    <xf numFmtId="0" fontId="82" fillId="0" borderId="7" xfId="18" applyFont="1" applyBorder="1"/>
    <xf numFmtId="183" fontId="17" fillId="0" borderId="0" xfId="18" applyNumberFormat="1" applyAlignment="1">
      <alignment horizontal="left"/>
    </xf>
    <xf numFmtId="193" fontId="17" fillId="0" borderId="0" xfId="18" applyNumberFormat="1"/>
    <xf numFmtId="10" fontId="29" fillId="2" borderId="0" xfId="24" quotePrefix="1" applyNumberFormat="1" applyFont="1" applyFill="1"/>
    <xf numFmtId="168" fontId="29" fillId="2" borderId="0" xfId="24" applyNumberFormat="1" applyFont="1" applyFill="1" applyAlignment="1">
      <alignment horizontal="right"/>
    </xf>
    <xf numFmtId="0" fontId="29" fillId="2" borderId="0" xfId="24" applyNumberFormat="1" applyFont="1" applyFill="1"/>
    <xf numFmtId="168" fontId="29" fillId="2" borderId="0" xfId="24" applyNumberFormat="1" applyFont="1" applyFill="1" applyAlignment="1">
      <alignment horizontal="right" vertical="center"/>
    </xf>
    <xf numFmtId="170" fontId="29" fillId="2" borderId="0" xfId="24" applyNumberFormat="1" applyFont="1" applyFill="1" applyBorder="1" applyAlignment="1">
      <alignment horizontal="right"/>
    </xf>
    <xf numFmtId="169" fontId="29" fillId="2" borderId="0" xfId="24" applyNumberFormat="1" applyFont="1" applyFill="1" applyBorder="1" applyAlignment="1">
      <alignment horizontal="right"/>
    </xf>
    <xf numFmtId="189" fontId="29" fillId="2" borderId="0" xfId="23" applyNumberFormat="1" applyAlignment="1">
      <alignment horizontal="right"/>
    </xf>
    <xf numFmtId="189" fontId="39" fillId="2" borderId="0" xfId="23" applyNumberFormat="1" applyFont="1" applyAlignment="1">
      <alignment horizontal="right"/>
    </xf>
    <xf numFmtId="185" fontId="23" fillId="0" borderId="8" xfId="22" applyNumberFormat="1" applyAlignment="1">
      <alignment horizontal="center"/>
    </xf>
    <xf numFmtId="0" fontId="20" fillId="16" borderId="0" xfId="20" applyFill="1"/>
    <xf numFmtId="0" fontId="86" fillId="0" borderId="0" xfId="20" applyFont="1"/>
    <xf numFmtId="0" fontId="87" fillId="0" borderId="0" xfId="20" applyFont="1"/>
    <xf numFmtId="0" fontId="88" fillId="0" borderId="0" xfId="20" applyFont="1"/>
    <xf numFmtId="0" fontId="89" fillId="0" borderId="0" xfId="20" applyFont="1"/>
    <xf numFmtId="0" fontId="90" fillId="0" borderId="0" xfId="20" applyFont="1"/>
    <xf numFmtId="0" fontId="91" fillId="0" borderId="0" xfId="20" applyFont="1"/>
    <xf numFmtId="0" fontId="93" fillId="0" borderId="0" xfId="20" applyFont="1"/>
    <xf numFmtId="194" fontId="94" fillId="10" borderId="0" xfId="16" applyNumberFormat="1" applyFont="1" applyFill="1" applyAlignment="1">
      <alignment horizontal="right"/>
    </xf>
    <xf numFmtId="194" fontId="95" fillId="15" borderId="0" xfId="18" applyNumberFormat="1" applyFont="1" applyFill="1" applyAlignment="1">
      <alignment horizontal="right" vertical="center"/>
    </xf>
    <xf numFmtId="168" fontId="29" fillId="2" borderId="0" xfId="23" applyNumberFormat="1" applyAlignment="1">
      <alignment horizontal="right"/>
    </xf>
    <xf numFmtId="0" fontId="17" fillId="0" borderId="0" xfId="0" applyFont="1" applyAlignment="1">
      <alignment horizontal="left" indent="2"/>
    </xf>
    <xf numFmtId="195" fontId="27" fillId="8" borderId="0" xfId="16" applyNumberFormat="1" applyFont="1" applyFill="1"/>
    <xf numFmtId="166" fontId="27" fillId="8" borderId="0" xfId="16" applyFont="1" applyFill="1" applyAlignment="1">
      <alignment horizontal="left"/>
    </xf>
    <xf numFmtId="0" fontId="96" fillId="0" borderId="0" xfId="18" applyFont="1"/>
    <xf numFmtId="195" fontId="17" fillId="0" borderId="0" xfId="18" applyNumberFormat="1"/>
    <xf numFmtId="0" fontId="26" fillId="17" borderId="0" xfId="18" applyFont="1" applyFill="1" applyAlignment="1">
      <alignment vertical="center"/>
    </xf>
    <xf numFmtId="195" fontId="26" fillId="17" borderId="0" xfId="18" applyNumberFormat="1" applyFont="1" applyFill="1" applyAlignment="1">
      <alignment vertical="center"/>
    </xf>
    <xf numFmtId="0" fontId="26" fillId="17" borderId="0" xfId="18" applyFont="1" applyFill="1" applyAlignment="1">
      <alignment horizontal="left" vertical="center"/>
    </xf>
    <xf numFmtId="0" fontId="69" fillId="0" borderId="0" xfId="34" applyFont="1"/>
    <xf numFmtId="195" fontId="69" fillId="0" borderId="0" xfId="34" applyNumberFormat="1" applyFont="1"/>
    <xf numFmtId="0" fontId="69" fillId="0" borderId="0" xfId="34" applyFont="1" applyAlignment="1">
      <alignment horizontal="left"/>
    </xf>
    <xf numFmtId="0" fontId="17" fillId="8" borderId="0" xfId="18" applyFill="1"/>
    <xf numFmtId="0" fontId="58" fillId="8" borderId="0" xfId="18" applyFont="1" applyFill="1"/>
    <xf numFmtId="0" fontId="59" fillId="8" borderId="0" xfId="18" applyFont="1" applyFill="1"/>
    <xf numFmtId="0" fontId="98" fillId="0" borderId="0" xfId="18" applyFont="1"/>
    <xf numFmtId="196" fontId="17" fillId="0" borderId="0" xfId="18" applyNumberFormat="1"/>
    <xf numFmtId="0" fontId="17" fillId="18" borderId="0" xfId="18" applyFill="1" applyAlignment="1">
      <alignment horizontal="right"/>
    </xf>
    <xf numFmtId="0" fontId="59" fillId="8" borderId="0" xfId="18" applyFont="1" applyFill="1" applyAlignment="1">
      <alignment horizontal="right"/>
    </xf>
    <xf numFmtId="197" fontId="17" fillId="2" borderId="0" xfId="31" applyNumberFormat="1" applyFont="1" applyFill="1"/>
    <xf numFmtId="0" fontId="99" fillId="0" borderId="0" xfId="18" applyFont="1"/>
    <xf numFmtId="196" fontId="17" fillId="0" borderId="0" xfId="32" applyNumberFormat="1" applyFont="1"/>
    <xf numFmtId="196" fontId="17" fillId="0" borderId="0" xfId="32" applyNumberFormat="1" applyFont="1" applyAlignment="1">
      <alignment horizontal="left"/>
    </xf>
    <xf numFmtId="195" fontId="36" fillId="0" borderId="0" xfId="18" applyNumberFormat="1" applyFont="1"/>
    <xf numFmtId="196" fontId="36" fillId="0" borderId="0" xfId="32" applyNumberFormat="1" applyFont="1"/>
    <xf numFmtId="0" fontId="100" fillId="0" borderId="0" xfId="18" applyFont="1"/>
    <xf numFmtId="0" fontId="100" fillId="0" borderId="0" xfId="18" applyFont="1" applyAlignment="1">
      <alignment horizontal="right"/>
    </xf>
    <xf numFmtId="196" fontId="100" fillId="0" borderId="0" xfId="32" applyNumberFormat="1" applyFont="1"/>
    <xf numFmtId="196" fontId="17" fillId="0" borderId="0" xfId="35" applyNumberFormat="1" applyFont="1" applyFill="1" applyBorder="1"/>
    <xf numFmtId="196" fontId="17" fillId="0" borderId="0" xfId="35" applyNumberFormat="1" applyFont="1" applyFill="1"/>
    <xf numFmtId="198" fontId="17" fillId="0" borderId="0" xfId="18" applyNumberFormat="1"/>
    <xf numFmtId="168" fontId="67" fillId="0" borderId="0" xfId="18" quotePrefix="1" applyNumberFormat="1" applyFont="1" applyAlignment="1">
      <alignment horizontal="left"/>
    </xf>
    <xf numFmtId="0" fontId="23" fillId="0" borderId="8" xfId="22" applyNumberFormat="1">
      <alignment horizontal="right"/>
    </xf>
    <xf numFmtId="197" fontId="23" fillId="0" borderId="8" xfId="22" applyNumberFormat="1">
      <alignment horizontal="right"/>
    </xf>
    <xf numFmtId="3" fontId="17" fillId="0" borderId="0" xfId="18" applyNumberFormat="1"/>
    <xf numFmtId="177" fontId="36" fillId="2" borderId="0" xfId="18" applyNumberFormat="1" applyFont="1" applyFill="1" applyAlignment="1">
      <alignment horizontal="right" vertical="center"/>
    </xf>
    <xf numFmtId="14" fontId="87" fillId="16" borderId="0" xfId="20" applyNumberFormat="1" applyFont="1" applyFill="1"/>
    <xf numFmtId="2" fontId="90" fillId="0" borderId="0" xfId="20" applyNumberFormat="1" applyFont="1" applyAlignment="1">
      <alignment horizontal="left"/>
    </xf>
    <xf numFmtId="201" fontId="92" fillId="0" borderId="0" xfId="20" applyNumberFormat="1" applyFont="1" applyAlignment="1">
      <alignment horizontal="left"/>
    </xf>
    <xf numFmtId="202" fontId="22" fillId="0" borderId="0" xfId="18" applyNumberFormat="1" applyFont="1" applyAlignment="1">
      <alignment horizontal="left" indent="1"/>
    </xf>
    <xf numFmtId="202" fontId="60" fillId="0" borderId="0" xfId="18" applyNumberFormat="1" applyFont="1" applyAlignment="1">
      <alignment horizontal="left" indent="1"/>
    </xf>
    <xf numFmtId="0" fontId="36" fillId="0" borderId="0" xfId="18" applyFont="1" applyAlignment="1">
      <alignment horizontal="left"/>
    </xf>
    <xf numFmtId="198" fontId="23" fillId="0" borderId="8" xfId="22" applyNumberFormat="1">
      <alignment horizontal="right"/>
    </xf>
    <xf numFmtId="0" fontId="28" fillId="0" borderId="0" xfId="18" applyFont="1" applyAlignment="1">
      <alignment horizontal="left"/>
    </xf>
    <xf numFmtId="9" fontId="29" fillId="2" borderId="8" xfId="18" applyNumberFormat="1" applyFont="1" applyFill="1" applyBorder="1"/>
    <xf numFmtId="170" fontId="117" fillId="2" borderId="8" xfId="22" applyNumberFormat="1" applyFont="1" applyFill="1">
      <alignment horizontal="right"/>
    </xf>
    <xf numFmtId="197" fontId="29" fillId="2" borderId="8" xfId="23" applyNumberFormat="1" applyBorder="1"/>
    <xf numFmtId="200" fontId="29" fillId="2" borderId="8" xfId="33" applyNumberFormat="1" applyFont="1" applyFill="1" applyBorder="1"/>
    <xf numFmtId="0" fontId="19" fillId="0" borderId="0" xfId="92" applyFont="1" applyAlignment="1">
      <alignment wrapText="1"/>
    </xf>
    <xf numFmtId="0" fontId="17" fillId="0" borderId="0" xfId="92" applyFont="1" applyAlignment="1">
      <alignment vertical="center" wrapText="1"/>
    </xf>
    <xf numFmtId="6" fontId="17" fillId="0" borderId="0" xfId="92" applyNumberFormat="1" applyFont="1" applyAlignment="1">
      <alignment vertical="center" wrapText="1"/>
    </xf>
    <xf numFmtId="0" fontId="17" fillId="0" borderId="0" xfId="92" applyFont="1" applyAlignment="1">
      <alignment horizontal="center" vertical="center" wrapText="1"/>
    </xf>
    <xf numFmtId="6" fontId="18" fillId="0" borderId="0" xfId="92" applyNumberFormat="1" applyFont="1" applyAlignment="1">
      <alignment horizontal="right" vertical="center"/>
    </xf>
    <xf numFmtId="0" fontId="58" fillId="5" borderId="12" xfId="92" applyFont="1" applyFill="1" applyBorder="1" applyAlignment="1">
      <alignment horizontal="center" vertical="top" wrapText="1"/>
    </xf>
    <xf numFmtId="0" fontId="58" fillId="5" borderId="28" xfId="92" applyFont="1" applyFill="1" applyBorder="1" applyAlignment="1">
      <alignment horizontal="center" vertical="top" wrapText="1"/>
    </xf>
    <xf numFmtId="0" fontId="19" fillId="52" borderId="3" xfId="92" applyFont="1" applyFill="1" applyBorder="1" applyAlignment="1">
      <alignment vertical="center" wrapText="1"/>
    </xf>
    <xf numFmtId="0" fontId="58" fillId="5" borderId="27" xfId="92" applyFont="1" applyFill="1" applyBorder="1" applyAlignment="1">
      <alignment vertical="center" wrapText="1"/>
    </xf>
    <xf numFmtId="0" fontId="58" fillId="5" borderId="12" xfId="92" applyFont="1" applyFill="1" applyBorder="1" applyAlignment="1">
      <alignment vertical="center" wrapText="1"/>
    </xf>
    <xf numFmtId="0" fontId="58" fillId="5" borderId="27" xfId="92" applyFont="1" applyFill="1" applyBorder="1" applyAlignment="1">
      <alignment vertical="top" wrapText="1"/>
    </xf>
    <xf numFmtId="0" fontId="58" fillId="5" borderId="3" xfId="92" applyFont="1" applyFill="1" applyBorder="1" applyAlignment="1">
      <alignment horizontal="center" vertical="top" wrapText="1"/>
    </xf>
    <xf numFmtId="0" fontId="17" fillId="0" borderId="0" xfId="92" applyFont="1" applyAlignment="1">
      <alignment horizontal="left" vertical="center" wrapText="1"/>
    </xf>
    <xf numFmtId="6" fontId="19" fillId="0" borderId="0" xfId="92" applyNumberFormat="1" applyFont="1" applyAlignment="1">
      <alignment vertical="center" wrapText="1"/>
    </xf>
    <xf numFmtId="0" fontId="17" fillId="0" borderId="11" xfId="92" applyFont="1" applyBorder="1" applyAlignment="1">
      <alignment horizontal="left" vertical="center" wrapText="1"/>
    </xf>
    <xf numFmtId="6" fontId="17" fillId="0" borderId="11" xfId="92" applyNumberFormat="1" applyFont="1" applyBorder="1" applyAlignment="1">
      <alignment vertical="center" wrapText="1"/>
    </xf>
    <xf numFmtId="9" fontId="118" fillId="2" borderId="0" xfId="23" applyNumberFormat="1" applyFont="1" applyAlignment="1">
      <alignment horizontal="right"/>
    </xf>
    <xf numFmtId="203" fontId="28" fillId="0" borderId="0" xfId="92" quotePrefix="1" applyNumberFormat="1" applyFont="1" applyAlignment="1">
      <alignment vertical="center"/>
    </xf>
    <xf numFmtId="0" fontId="58" fillId="8" borderId="0" xfId="18" applyFont="1" applyFill="1" applyAlignment="1">
      <alignment horizontal="left"/>
    </xf>
    <xf numFmtId="0" fontId="19" fillId="0" borderId="4" xfId="18" applyFont="1" applyBorder="1" applyAlignment="1">
      <alignment horizontal="left"/>
    </xf>
    <xf numFmtId="0" fontId="19" fillId="0" borderId="4" xfId="18" applyFont="1" applyBorder="1"/>
    <xf numFmtId="196" fontId="19" fillId="0" borderId="4" xfId="18" applyNumberFormat="1" applyFont="1" applyBorder="1"/>
    <xf numFmtId="168" fontId="67" fillId="0" borderId="4" xfId="18" applyNumberFormat="1" applyFont="1" applyBorder="1" applyAlignment="1">
      <alignment horizontal="left"/>
    </xf>
    <xf numFmtId="6" fontId="19" fillId="0" borderId="4" xfId="92" applyNumberFormat="1" applyFont="1" applyBorder="1" applyAlignment="1">
      <alignment vertical="center" wrapText="1"/>
    </xf>
    <xf numFmtId="6" fontId="23" fillId="0" borderId="8" xfId="22" applyNumberFormat="1">
      <alignment horizontal="right"/>
    </xf>
    <xf numFmtId="0" fontId="17" fillId="0" borderId="4" xfId="18" applyBorder="1" applyAlignment="1">
      <alignment horizontal="left"/>
    </xf>
    <xf numFmtId="197" fontId="29" fillId="2" borderId="0" xfId="31" applyNumberFormat="1" applyFont="1" applyFill="1"/>
    <xf numFmtId="6" fontId="117" fillId="2" borderId="0" xfId="22" applyNumberFormat="1" applyFont="1" applyFill="1" applyBorder="1">
      <alignment horizontal="right"/>
    </xf>
    <xf numFmtId="6" fontId="117" fillId="2" borderId="7" xfId="22" applyNumberFormat="1" applyFont="1" applyFill="1" applyBorder="1">
      <alignment horizontal="right"/>
    </xf>
    <xf numFmtId="0" fontId="19" fillId="0" borderId="0" xfId="92" applyFont="1" applyAlignment="1">
      <alignment vertical="center" wrapText="1"/>
    </xf>
    <xf numFmtId="0" fontId="58" fillId="8" borderId="0" xfId="92" applyFont="1" applyFill="1" applyAlignment="1">
      <alignment vertical="center" wrapText="1"/>
    </xf>
    <xf numFmtId="0" fontId="58" fillId="8" borderId="0" xfId="92" applyFont="1" applyFill="1" applyAlignment="1">
      <alignment horizontal="center" vertical="center" wrapText="1"/>
    </xf>
    <xf numFmtId="0" fontId="58" fillId="8" borderId="3" xfId="92" applyFont="1" applyFill="1" applyBorder="1" applyAlignment="1">
      <alignment horizontal="center" vertical="center" wrapText="1"/>
    </xf>
    <xf numFmtId="6" fontId="17" fillId="0" borderId="3" xfId="92" applyNumberFormat="1" applyFont="1" applyBorder="1" applyAlignment="1">
      <alignment vertical="center" wrapText="1"/>
    </xf>
    <xf numFmtId="6" fontId="19" fillId="0" borderId="3" xfId="92" applyNumberFormat="1" applyFont="1" applyBorder="1" applyAlignment="1">
      <alignment vertical="center" wrapText="1"/>
    </xf>
    <xf numFmtId="0" fontId="58" fillId="8" borderId="0" xfId="92" applyFont="1" applyFill="1" applyAlignment="1">
      <alignment vertical="top" wrapText="1"/>
    </xf>
    <xf numFmtId="6" fontId="18" fillId="0" borderId="3" xfId="92" applyNumberFormat="1" applyFont="1" applyBorder="1" applyAlignment="1">
      <alignment horizontal="right" vertical="center"/>
    </xf>
    <xf numFmtId="6" fontId="19" fillId="52" borderId="3" xfId="92" applyNumberFormat="1" applyFont="1" applyFill="1" applyBorder="1" applyAlignment="1">
      <alignment vertical="center" wrapText="1"/>
    </xf>
    <xf numFmtId="6" fontId="38" fillId="52" borderId="3" xfId="92" applyNumberFormat="1" applyFont="1" applyFill="1" applyBorder="1" applyAlignment="1">
      <alignment vertical="center" wrapText="1"/>
    </xf>
    <xf numFmtId="0" fontId="19" fillId="52" borderId="3" xfId="92" applyFont="1" applyFill="1" applyBorder="1" applyAlignment="1">
      <alignment horizontal="center" vertical="center" wrapText="1"/>
    </xf>
    <xf numFmtId="0" fontId="18" fillId="0" borderId="3" xfId="92" applyFont="1" applyBorder="1" applyAlignment="1">
      <alignment vertical="center" wrapText="1"/>
    </xf>
    <xf numFmtId="0" fontId="19" fillId="0" borderId="3" xfId="92" applyFont="1" applyBorder="1" applyAlignment="1">
      <alignment vertical="center" wrapText="1"/>
    </xf>
    <xf numFmtId="0" fontId="119" fillId="0" borderId="3" xfId="92" applyFont="1" applyBorder="1" applyAlignment="1">
      <alignment vertical="center" wrapText="1"/>
    </xf>
    <xf numFmtId="6" fontId="119" fillId="0" borderId="3" xfId="92" applyNumberFormat="1" applyFont="1" applyBorder="1" applyAlignment="1">
      <alignment vertical="center" wrapText="1"/>
    </xf>
    <xf numFmtId="6" fontId="120" fillId="0" borderId="3" xfId="92" applyNumberFormat="1" applyFont="1" applyBorder="1" applyAlignment="1">
      <alignment vertical="center" wrapText="1"/>
    </xf>
    <xf numFmtId="0" fontId="36" fillId="0" borderId="3" xfId="92" applyFont="1" applyBorder="1" applyAlignment="1">
      <alignment vertical="center" wrapText="1"/>
    </xf>
    <xf numFmtId="0" fontId="38" fillId="0" borderId="3" xfId="92" applyFont="1" applyBorder="1" applyAlignment="1">
      <alignment vertical="center" wrapText="1"/>
    </xf>
    <xf numFmtId="6" fontId="36" fillId="0" borderId="3" xfId="92" applyNumberFormat="1" applyFont="1" applyBorder="1" applyAlignment="1">
      <alignment vertical="center" wrapText="1"/>
    </xf>
    <xf numFmtId="6" fontId="38" fillId="0" borderId="3" xfId="92" applyNumberFormat="1" applyFont="1" applyBorder="1" applyAlignment="1">
      <alignment vertical="center" wrapText="1"/>
    </xf>
    <xf numFmtId="6" fontId="119" fillId="0" borderId="0" xfId="92" applyNumberFormat="1" applyFont="1" applyAlignment="1">
      <alignment vertical="center" wrapText="1"/>
    </xf>
    <xf numFmtId="6" fontId="120" fillId="0" borderId="0" xfId="92" applyNumberFormat="1" applyFont="1" applyAlignment="1">
      <alignment vertical="center" wrapText="1"/>
    </xf>
    <xf numFmtId="0" fontId="36" fillId="0" borderId="4" xfId="92" applyFont="1" applyBorder="1" applyAlignment="1">
      <alignment vertical="center" wrapText="1"/>
    </xf>
    <xf numFmtId="0" fontId="38" fillId="0" borderId="4" xfId="92" applyFont="1" applyBorder="1" applyAlignment="1">
      <alignment vertical="center" wrapText="1"/>
    </xf>
    <xf numFmtId="6" fontId="36" fillId="0" borderId="0" xfId="92" applyNumberFormat="1" applyFont="1" applyAlignment="1">
      <alignment vertical="center" wrapText="1"/>
    </xf>
    <xf numFmtId="6" fontId="38" fillId="0" borderId="0" xfId="92" applyNumberFormat="1" applyFont="1" applyAlignment="1">
      <alignment vertical="center" wrapText="1"/>
    </xf>
    <xf numFmtId="0" fontId="18" fillId="0" borderId="0" xfId="92" applyFont="1" applyAlignment="1">
      <alignment vertical="center" wrapText="1"/>
    </xf>
    <xf numFmtId="170" fontId="17" fillId="0" borderId="3" xfId="92" applyNumberFormat="1" applyFont="1" applyBorder="1" applyAlignment="1">
      <alignment vertical="center" wrapText="1"/>
    </xf>
    <xf numFmtId="170" fontId="17" fillId="0" borderId="27" xfId="92" applyNumberFormat="1" applyFont="1" applyBorder="1" applyAlignment="1">
      <alignment vertical="center" wrapText="1"/>
    </xf>
    <xf numFmtId="170" fontId="19" fillId="0" borderId="3" xfId="92" applyNumberFormat="1" applyFont="1" applyBorder="1" applyAlignment="1">
      <alignment vertical="center" wrapText="1"/>
    </xf>
    <xf numFmtId="0" fontId="18" fillId="0" borderId="27" xfId="92" applyFont="1" applyBorder="1" applyAlignment="1">
      <alignment vertical="center" wrapText="1"/>
    </xf>
    <xf numFmtId="170" fontId="17" fillId="0" borderId="28" xfId="92" applyNumberFormat="1" applyFont="1" applyBorder="1" applyAlignment="1">
      <alignment vertical="center" wrapText="1"/>
    </xf>
    <xf numFmtId="0" fontId="19" fillId="0" borderId="27" xfId="92" applyFont="1" applyBorder="1" applyAlignment="1">
      <alignment vertical="center" wrapText="1"/>
    </xf>
    <xf numFmtId="170" fontId="19" fillId="0" borderId="28" xfId="92" applyNumberFormat="1" applyFont="1" applyBorder="1" applyAlignment="1">
      <alignment vertical="center" wrapText="1"/>
    </xf>
    <xf numFmtId="0" fontId="17" fillId="0" borderId="27" xfId="92" applyFont="1" applyBorder="1" applyAlignment="1">
      <alignment vertical="center" wrapText="1"/>
    </xf>
    <xf numFmtId="0" fontId="17" fillId="0" borderId="3" xfId="92" applyFont="1" applyBorder="1" applyAlignment="1">
      <alignment vertical="center" wrapText="1"/>
    </xf>
    <xf numFmtId="0" fontId="32" fillId="0" borderId="27" xfId="92" applyFont="1" applyBorder="1" applyAlignment="1">
      <alignment vertical="center" wrapText="1"/>
    </xf>
    <xf numFmtId="0" fontId="32" fillId="0" borderId="3" xfId="92" applyFont="1" applyBorder="1" applyAlignment="1">
      <alignment vertical="center" wrapText="1"/>
    </xf>
    <xf numFmtId="6" fontId="18" fillId="0" borderId="3" xfId="92" applyNumberFormat="1" applyFont="1" applyBorder="1" applyAlignment="1">
      <alignment horizontal="right" vertical="center" wrapText="1"/>
    </xf>
    <xf numFmtId="0" fontId="17" fillId="13" borderId="4" xfId="18" applyFill="1" applyBorder="1" applyAlignment="1">
      <alignment horizontal="left" vertical="top"/>
    </xf>
    <xf numFmtId="0" fontId="17" fillId="0" borderId="4" xfId="18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7" fillId="0" borderId="0" xfId="18" applyAlignment="1">
      <alignment horizontal="left" vertical="top" wrapText="1"/>
    </xf>
    <xf numFmtId="0" fontId="0" fillId="0" borderId="0" xfId="0" applyAlignment="1">
      <alignment horizontal="left" vertical="top" wrapText="1"/>
    </xf>
    <xf numFmtId="185" fontId="29" fillId="2" borderId="13" xfId="23" applyNumberFormat="1" applyBorder="1" applyAlignment="1">
      <alignment horizontal="left"/>
    </xf>
    <xf numFmtId="185" fontId="29" fillId="2" borderId="14" xfId="23" applyNumberFormat="1" applyBorder="1" applyAlignment="1">
      <alignment horizontal="left"/>
    </xf>
    <xf numFmtId="185" fontId="29" fillId="2" borderId="15" xfId="23" applyNumberFormat="1" applyBorder="1" applyAlignment="1">
      <alignment horizontal="left"/>
    </xf>
    <xf numFmtId="0" fontId="39" fillId="2" borderId="0" xfId="0" applyFont="1" applyFill="1" applyAlignment="1">
      <alignment horizontal="left"/>
    </xf>
    <xf numFmtId="0" fontId="29" fillId="2" borderId="0" xfId="24" applyNumberFormat="1" applyFont="1" applyFill="1" applyBorder="1" applyAlignment="1">
      <alignment horizontal="left" vertical="top"/>
    </xf>
    <xf numFmtId="0" fontId="29" fillId="2" borderId="0" xfId="18" applyFont="1" applyFill="1" applyAlignment="1">
      <alignment horizontal="left" vertical="top"/>
    </xf>
    <xf numFmtId="0" fontId="19" fillId="52" borderId="27" xfId="92" applyFont="1" applyFill="1" applyBorder="1" applyAlignment="1">
      <alignment horizontal="left" vertical="center" wrapText="1"/>
    </xf>
    <xf numFmtId="0" fontId="19" fillId="52" borderId="28" xfId="92" applyFont="1" applyFill="1" applyBorder="1" applyAlignment="1">
      <alignment horizontal="left" vertical="center" wrapText="1"/>
    </xf>
    <xf numFmtId="0" fontId="119" fillId="0" borderId="4" xfId="92" applyFont="1" applyBorder="1" applyAlignment="1">
      <alignment horizontal="center" vertical="center" wrapText="1"/>
    </xf>
    <xf numFmtId="0" fontId="18" fillId="0" borderId="27" xfId="92" applyFont="1" applyBorder="1" applyAlignment="1">
      <alignment horizontal="left" vertical="center" wrapText="1"/>
    </xf>
    <xf numFmtId="0" fontId="18" fillId="0" borderId="28" xfId="92" applyFont="1" applyBorder="1" applyAlignment="1">
      <alignment horizontal="left" vertical="center" wrapText="1"/>
    </xf>
    <xf numFmtId="0" fontId="17" fillId="0" borderId="4" xfId="92" applyFont="1" applyBorder="1" applyAlignment="1">
      <alignment horizontal="center" vertical="center" wrapText="1"/>
    </xf>
    <xf numFmtId="0" fontId="32" fillId="0" borderId="27" xfId="92" applyFont="1" applyBorder="1" applyAlignment="1">
      <alignment horizontal="left" vertical="center" wrapText="1"/>
    </xf>
    <xf numFmtId="0" fontId="32" fillId="0" borderId="28" xfId="92" applyFont="1" applyBorder="1" applyAlignment="1">
      <alignment horizontal="left" vertical="center" wrapText="1"/>
    </xf>
    <xf numFmtId="0" fontId="19" fillId="0" borderId="27" xfId="92" applyFont="1" applyBorder="1" applyAlignment="1">
      <alignment horizontal="left" vertical="center" wrapText="1"/>
    </xf>
    <xf numFmtId="0" fontId="19" fillId="0" borderId="28" xfId="92" applyFont="1" applyBorder="1" applyAlignment="1">
      <alignment horizontal="left" vertical="center" wrapText="1"/>
    </xf>
    <xf numFmtId="0" fontId="17" fillId="0" borderId="27" xfId="92" applyFont="1" applyBorder="1" applyAlignment="1">
      <alignment horizontal="left" vertical="center" wrapText="1"/>
    </xf>
    <xf numFmtId="0" fontId="17" fillId="0" borderId="28" xfId="92" applyFont="1" applyBorder="1" applyAlignment="1">
      <alignment horizontal="left" vertical="center" wrapText="1"/>
    </xf>
    <xf numFmtId="0" fontId="58" fillId="5" borderId="27" xfId="92" applyFont="1" applyFill="1" applyBorder="1" applyAlignment="1">
      <alignment horizontal="left" vertical="top" wrapText="1"/>
    </xf>
    <xf numFmtId="0" fontId="58" fillId="5" borderId="12" xfId="92" applyFont="1" applyFill="1" applyBorder="1" applyAlignment="1">
      <alignment horizontal="left" vertical="top" wrapText="1"/>
    </xf>
  </cellXfs>
  <cellStyles count="93">
    <cellStyle name="20% - Accent1 2" xfId="57" xr:uid="{9A2E55C0-6611-43C9-AE88-2B38858268E2}"/>
    <cellStyle name="20% - Accent2 2" xfId="61" xr:uid="{1D3FE3E6-1C31-46DD-8371-22DFEA99171A}"/>
    <cellStyle name="20% - Accent3 2" xfId="65" xr:uid="{7A33975A-D280-46D7-92EB-E9718211148D}"/>
    <cellStyle name="20% - Accent4 2" xfId="69" xr:uid="{98C609C6-6C56-423A-8893-4FE596436A3D}"/>
    <cellStyle name="20% - Accent5 2" xfId="73" xr:uid="{D1B1ED05-19DB-461F-9816-53428E3A0BA6}"/>
    <cellStyle name="20% - Accent6 2" xfId="77" xr:uid="{AF79ABF0-DDA9-4AEE-99F2-C6BF1B80F643}"/>
    <cellStyle name="40% - Accent1 2" xfId="58" xr:uid="{C4245309-8706-4CDE-AD1E-5DC90991B37C}"/>
    <cellStyle name="40% - Accent2 2" xfId="62" xr:uid="{0557A0D7-F439-4286-9492-3AC24A5B3B5B}"/>
    <cellStyle name="40% - Accent3 2" xfId="66" xr:uid="{322CD496-E1CA-4BBD-A525-4E0DF03F4D83}"/>
    <cellStyle name="40% - Accent4 2" xfId="70" xr:uid="{7DFCF89D-EDA5-45F4-9F71-2A0CF37BB114}"/>
    <cellStyle name="40% - Accent5 2" xfId="74" xr:uid="{60B94E99-6D7C-43E9-88FF-DA281B039887}"/>
    <cellStyle name="40% - Accent6 2" xfId="78" xr:uid="{FEFD0647-7FAE-458C-84D9-C354DFC72945}"/>
    <cellStyle name="60% - Accent1 2" xfId="59" xr:uid="{681F2CA7-BD2E-43CE-B7D4-9780707191E9}"/>
    <cellStyle name="60% - Accent2 2" xfId="63" xr:uid="{D559B890-2EFC-4636-BE68-A735C799F487}"/>
    <cellStyle name="60% - Accent3 2" xfId="67" xr:uid="{68F34156-3589-4F68-A19A-8E9F18D2581F}"/>
    <cellStyle name="60% - Accent4 2" xfId="71" xr:uid="{B7D1BF33-5EE3-477F-A6C3-584C5AF57AC8}"/>
    <cellStyle name="60% - Accent5 2" xfId="75" xr:uid="{205D8299-9FA1-452D-8B54-32C34555B7CE}"/>
    <cellStyle name="60% - Accent6 2" xfId="79" xr:uid="{8D279D46-17F6-4A16-B956-EAEB40AE6CDB}"/>
    <cellStyle name="Accent1 2" xfId="56" xr:uid="{90AD3D1A-FFD6-466E-908E-BAC3279872B0}"/>
    <cellStyle name="Accent2 2" xfId="60" xr:uid="{DF71868C-520B-44F1-9FB6-63FC8DEAED93}"/>
    <cellStyle name="Accent3 2" xfId="64" xr:uid="{7F1F0ADF-784A-47DC-918B-23F3BB33B0D8}"/>
    <cellStyle name="Accent4 2" xfId="68" xr:uid="{F92072A0-E40A-4FE0-828A-1EC98FA0F21D}"/>
    <cellStyle name="Accent5 2" xfId="72" xr:uid="{ABB376C2-5DFA-4087-9C1D-F18C0726DD7F}"/>
    <cellStyle name="Accent6 2" xfId="76" xr:uid="{D5709BB5-340A-4484-A700-AAE4643CAE43}"/>
    <cellStyle name="Assumption" xfId="23" xr:uid="{E21B85CB-AE39-493C-90CF-A6033D394DF7}"/>
    <cellStyle name="Bad 2" xfId="47" xr:uid="{141D9F6A-3FE5-425B-B537-057229195C9D}"/>
    <cellStyle name="Base_Input" xfId="12" xr:uid="{00000000-0005-0000-0000-000000000000}"/>
    <cellStyle name="Calculation 2" xfId="51" xr:uid="{0F071A88-C3E8-4289-8F71-28576B796F0C}"/>
    <cellStyle name="Check Cell 2" xfId="53" xr:uid="{8A8354C2-0E0D-45CE-A85B-E85A6B0ADF45}"/>
    <cellStyle name="Comma" xfId="31" builtinId="3"/>
    <cellStyle name="Comma [0] 2" xfId="3" xr:uid="{00000000-0005-0000-0000-000002000000}"/>
    <cellStyle name="Comma 2" xfId="30" xr:uid="{50BDA386-AB13-404C-8C84-0EDF43721243}"/>
    <cellStyle name="Comma 3" xfId="85" xr:uid="{0A730D1B-7FA7-4772-9E5B-F4380362416A}"/>
    <cellStyle name="Comma 4" xfId="86" xr:uid="{603F33C6-C576-4DE8-96AF-E1A4761595C8}"/>
    <cellStyle name="Comma 5" xfId="87" xr:uid="{1D7D1F38-F817-4CCE-A82D-BD10A0C31251}"/>
    <cellStyle name="Currency" xfId="32" builtinId="4"/>
    <cellStyle name="Currency 2" xfId="38" xr:uid="{5822BCED-12AE-4C05-AF70-8ECC35D1719E}"/>
    <cellStyle name="Currency 2 2" xfId="29" xr:uid="{F29057D5-5718-441F-8CAD-00B1D320E1EF}"/>
    <cellStyle name="Currency 3" xfId="35" xr:uid="{7CB822DB-A8C3-4E70-8095-312184FDC55F}"/>
    <cellStyle name="Currency 3 2" xfId="84" xr:uid="{F5E5A126-4382-4EFE-A30A-5917BBE46BAD}"/>
    <cellStyle name="Currency 3 3" xfId="90" xr:uid="{53E162A1-39DC-47F4-8539-FB58918D7176}"/>
    <cellStyle name="Currency 4" xfId="83" xr:uid="{37F74A57-0078-4C20-B0F5-D655F606D81C}"/>
    <cellStyle name="Empty_Cell" xfId="9" xr:uid="{00000000-0005-0000-0000-000004000000}"/>
    <cellStyle name="Explanatory Text" xfId="1" builtinId="53" customBuiltin="1"/>
    <cellStyle name="Explanatory Text 2" xfId="82" xr:uid="{66AF5675-286D-426E-ADB0-A42E1A77BF36}"/>
    <cellStyle name="Fixed_input" xfId="24" xr:uid="{0B0B930C-107A-4F05-8A3E-C5F6EECE17A8}"/>
    <cellStyle name="Flag" xfId="4" xr:uid="{00000000-0005-0000-0000-000006000000}"/>
    <cellStyle name="Good 2" xfId="46" xr:uid="{673EF580-50ED-490B-BBD9-678E9B4A306D}"/>
    <cellStyle name="Header1" xfId="16" xr:uid="{00000000-0005-0000-0000-000007000000}"/>
    <cellStyle name="Header1A" xfId="17" xr:uid="{00000000-0005-0000-0000-000008000000}"/>
    <cellStyle name="Header2" xfId="14" xr:uid="{00000000-0005-0000-0000-000009000000}"/>
    <cellStyle name="Header3" xfId="5" xr:uid="{00000000-0005-0000-0000-00000A000000}"/>
    <cellStyle name="Header4" xfId="15" xr:uid="{00000000-0005-0000-0000-00000B000000}"/>
    <cellStyle name="Heading 1 2" xfId="42" xr:uid="{014A1D0D-91FC-44D3-B6F0-04D73080DBCC}"/>
    <cellStyle name="Heading 2 2" xfId="43" xr:uid="{976DA48D-5937-4C07-8D87-31CA8F5D7D7D}"/>
    <cellStyle name="Heading 3 2" xfId="44" xr:uid="{1B1F2BE0-11CB-46D0-AFEF-AF943355A100}"/>
    <cellStyle name="Heading 4 2" xfId="45" xr:uid="{F06B0E94-D685-4AC9-B10C-1B0AE78E1215}"/>
    <cellStyle name="Input 2" xfId="49" xr:uid="{39E09F59-568E-4F51-A2DA-6050A6A7FE95}"/>
    <cellStyle name="Insheet" xfId="6" xr:uid="{00000000-0005-0000-0000-00000D000000}"/>
    <cellStyle name="Line_SubTotal" xfId="7" xr:uid="{00000000-0005-0000-0000-00000E000000}"/>
    <cellStyle name="Linked Cell 2" xfId="52" xr:uid="{953CE3EC-EC5E-48AB-99EF-2C2392995E2E}"/>
    <cellStyle name="Neutral 2" xfId="48" xr:uid="{342A716A-AEC6-4624-85DF-5382C24B1DAC}"/>
    <cellStyle name="Normal" xfId="0" builtinId="0" customBuiltin="1"/>
    <cellStyle name="Normal 10" xfId="8" xr:uid="{00000000-0005-0000-0000-000011000000}"/>
    <cellStyle name="Normal 2" xfId="18" xr:uid="{59EBAEB1-13C8-4373-8DB4-B4C525DCEC98}"/>
    <cellStyle name="Normal 2 2" xfId="25" xr:uid="{D49C4081-9D03-4C8F-8778-34555D4B3E0F}"/>
    <cellStyle name="Normal 3" xfId="20" xr:uid="{9D4C47DD-E890-4097-9475-8567B8B53D92}"/>
    <cellStyle name="Normal 3 2" xfId="26" xr:uid="{50613177-AD5A-4CE0-A391-A4160267F944}"/>
    <cellStyle name="Normal 4" xfId="34" xr:uid="{48B8949C-927B-4407-B885-796B6DA7C5A5}"/>
    <cellStyle name="Normal 5" xfId="39" xr:uid="{EA5EFA95-0F19-4997-BEFD-D99FAE87620A}"/>
    <cellStyle name="Normal 6" xfId="40" xr:uid="{967D9695-F271-4BBC-B3B5-DBD0D21643C0}"/>
    <cellStyle name="Normal 6 2" xfId="88" xr:uid="{69109969-8987-48A5-B20A-65B29FB7BC38}"/>
    <cellStyle name="Normal 7" xfId="80" xr:uid="{BF671258-F7A3-400C-AAC8-C1B956E86D73}"/>
    <cellStyle name="Normal 8" xfId="28" xr:uid="{A72DEBFF-D704-40A2-B10B-0D568324BDB3}"/>
    <cellStyle name="Normal 9" xfId="92" xr:uid="{B224F12F-C977-41FB-8BAF-5FC96D4DB870}"/>
    <cellStyle name="Note 2" xfId="81" xr:uid="{39C21213-A21B-4B79-B2E7-4D4533A1F507}"/>
    <cellStyle name="Offsheet" xfId="10" xr:uid="{00000000-0005-0000-0000-000012000000}"/>
    <cellStyle name="Output 2" xfId="50" xr:uid="{66217FB2-5B84-4DA7-B893-104C64A0B92A}"/>
    <cellStyle name="Percent" xfId="33" builtinId="5"/>
    <cellStyle name="Percent 2" xfId="19" xr:uid="{39961233-90E2-46DE-A48A-52E8009F685E}"/>
    <cellStyle name="Percent 2 2" xfId="27" xr:uid="{E4F6E093-BFA5-41AA-B689-F440D86C5D1D}"/>
    <cellStyle name="Percent 3" xfId="37" xr:uid="{4CC94FC5-5202-462D-8871-B6B596F077B7}"/>
    <cellStyle name="Percent 4" xfId="41" xr:uid="{490611EE-CA2D-4158-88EA-A36AFBB8FEAE}"/>
    <cellStyle name="Result" xfId="22" xr:uid="{6557DBFB-C674-4413-A044-F9C12EE60C25}"/>
    <cellStyle name="Table Heading" xfId="89" xr:uid="{C37081BB-FB8C-4339-8BC5-67BD35561F8F}"/>
    <cellStyle name="Table Total Row" xfId="91" xr:uid="{9632ED1C-75A2-4FD9-86C4-A5CFE71DF897}"/>
    <cellStyle name="Table_Heading" xfId="11" xr:uid="{00000000-0005-0000-0000-000013000000}"/>
    <cellStyle name="Title" xfId="36" builtinId="15" customBuiltin="1"/>
    <cellStyle name="Total 2" xfId="55" xr:uid="{001491F0-4008-4595-A975-662F19FE218E}"/>
    <cellStyle name="Unit" xfId="13" xr:uid="{00000000-0005-0000-0000-000014000000}"/>
    <cellStyle name="Units" xfId="21" xr:uid="{1AB48B31-3307-411F-96E5-E0E849D0DDE8}"/>
    <cellStyle name="User_Input_Actual" xfId="2" xr:uid="{00000000-0005-0000-0000-000015000000}"/>
    <cellStyle name="Warning Text 2" xfId="54" xr:uid="{F6971B1E-ED43-480C-B083-01BF8077C647}"/>
  </cellStyles>
  <dxfs count="2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1" tint="0.499984740745262"/>
      </font>
    </dxf>
    <dxf>
      <font>
        <color rgb="FFFF0000"/>
      </font>
    </dxf>
    <dxf>
      <font>
        <b val="0"/>
        <i val="0"/>
        <color theme="1" tint="0.34998626667073579"/>
      </font>
    </dxf>
    <dxf>
      <fill>
        <patternFill>
          <bgColor rgb="FFCCFFFF"/>
        </patternFill>
      </fill>
    </dxf>
    <dxf>
      <font>
        <color theme="0" tint="-0.24994659260841701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colors>
    <mruColors>
      <color rgb="FF3333FF"/>
      <color rgb="FFFFFFCC"/>
      <color rgb="FF0054A8"/>
      <color rgb="FF66FFFF"/>
      <color rgb="FF00215B"/>
      <color rgb="FFF2F2F2"/>
      <color rgb="FFFABFA8"/>
      <color rgb="FF882B3C"/>
      <color rgb="FFEE2A24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2419270833333327E-2"/>
          <c:y val="9.2846486361162939E-2"/>
          <c:w val="0.89336527777777774"/>
          <c:h val="0.71628514056224879"/>
        </c:manualLayout>
      </c:layout>
      <c:lineChart>
        <c:grouping val="standard"/>
        <c:varyColors val="0"/>
        <c:ser>
          <c:idx val="0"/>
          <c:order val="0"/>
          <c:tx>
            <c:strRef>
              <c:f>Consol!$H$91</c:f>
              <c:strCache>
                <c:ptCount val="1"/>
                <c:pt idx="0">
                  <c:v>Option 2 annualised capex</c:v>
                </c:pt>
              </c:strCache>
            </c:strRef>
          </c:tx>
          <c:spPr>
            <a:ln w="28575" cap="rnd">
              <a:solidFill>
                <a:srgbClr val="EE2A24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Consol!$I$91:$R$91</c:f>
              <c:numCache>
                <c:formatCode>#,##0.0;[Red]\ \-#,##0.0;\ "-"</c:formatCode>
                <c:ptCount val="10"/>
                <c:pt idx="0">
                  <c:v>0.99117357502455716</c:v>
                </c:pt>
                <c:pt idx="1">
                  <c:v>0.99117357502455716</c:v>
                </c:pt>
                <c:pt idx="2">
                  <c:v>0.99117357502455716</c:v>
                </c:pt>
                <c:pt idx="3">
                  <c:v>0.99117357502455716</c:v>
                </c:pt>
                <c:pt idx="4">
                  <c:v>0.99117357502455716</c:v>
                </c:pt>
                <c:pt idx="5">
                  <c:v>0.99117357502455716</c:v>
                </c:pt>
                <c:pt idx="6">
                  <c:v>0.99117357502455716</c:v>
                </c:pt>
                <c:pt idx="7">
                  <c:v>0.99117357502455716</c:v>
                </c:pt>
                <c:pt idx="8">
                  <c:v>0.99117357502455716</c:v>
                </c:pt>
                <c:pt idx="9">
                  <c:v>0.99117357502455716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80-440B-9C44-4F49152E2503}"/>
            </c:ext>
          </c:extLst>
        </c:ser>
        <c:ser>
          <c:idx val="1"/>
          <c:order val="1"/>
          <c:tx>
            <c:strRef>
              <c:f>Consol!$H$92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ln w="28575" cap="rnd">
              <a:solidFill>
                <a:srgbClr val="FABFA8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Consol!$I$92:$R$92</c:f>
              <c:numCache>
                <c:formatCode>#,##0.0;[Red]\ \-#,##0.0;\ "-"</c:formatCode>
                <c:ptCount val="10"/>
                <c:pt idx="0">
                  <c:v>3.2722727145519594</c:v>
                </c:pt>
                <c:pt idx="1">
                  <c:v>3.2722727145519594</c:v>
                </c:pt>
                <c:pt idx="2">
                  <c:v>3.2722727145519594</c:v>
                </c:pt>
                <c:pt idx="3">
                  <c:v>3.2722727145519594</c:v>
                </c:pt>
                <c:pt idx="4">
                  <c:v>3.2722727145519594</c:v>
                </c:pt>
                <c:pt idx="5">
                  <c:v>3.2722727145519594</c:v>
                </c:pt>
                <c:pt idx="6">
                  <c:v>3.2722727145519594</c:v>
                </c:pt>
                <c:pt idx="7">
                  <c:v>3.2722727145519594</c:v>
                </c:pt>
                <c:pt idx="8">
                  <c:v>3.2722727145519594</c:v>
                </c:pt>
                <c:pt idx="9">
                  <c:v>3.2722727145519594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80-440B-9C44-4F49152E2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8026431"/>
        <c:axId val="1578022271"/>
      </c:line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-#,##0.0;\ &quot;-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</c:valAx>
      <c:spPr>
        <a:solidFill>
          <a:srgbClr val="F2F2F2"/>
        </a:solidFill>
      </c:spPr>
    </c:plotArea>
    <c:legend>
      <c:legendPos val="b"/>
      <c:layout>
        <c:manualLayout>
          <c:xMode val="edge"/>
          <c:yMode val="edge"/>
          <c:x val="0.11724253472222222"/>
          <c:y val="0.895394146278088"/>
          <c:w val="0.7429276041666667"/>
          <c:h val="8.31411888515463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590550</xdr:colOff>
      <xdr:row>1</xdr:row>
      <xdr:rowOff>19050</xdr:rowOff>
    </xdr:from>
    <xdr:to>
      <xdr:col>10</xdr:col>
      <xdr:colOff>247650</xdr:colOff>
      <xdr:row>5</xdr:row>
      <xdr:rowOff>19050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7B0DFB7-A4DA-8835-9143-74793CE3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62600" y="209550"/>
          <a:ext cx="8763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114609</xdr:colOff>
      <xdr:row>38</xdr:row>
      <xdr:rowOff>110318</xdr:rowOff>
    </xdr:from>
    <xdr:to>
      <xdr:col>5</xdr:col>
      <xdr:colOff>125991</xdr:colOff>
      <xdr:row>57</xdr:row>
      <xdr:rowOff>117553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F4FA90B-26EA-4B2F-BB30-10702267B2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729751</xdr:colOff>
          <xdr:row>8</xdr:row>
          <xdr:rowOff>118773</xdr:rowOff>
        </xdr:from>
        <xdr:to>
          <xdr:col>13</xdr:col>
          <xdr:colOff>61447</xdr:colOff>
          <xdr:row>10</xdr:row>
          <xdr:rowOff>131089</xdr:rowOff>
        </xdr:to>
        <xdr:pic>
          <xdr:nvPicPr>
            <xdr:cNvPr id="3" name="Picture 2">
              <a:extLst>
                <a:ext uri="{FF2B5EF4-FFF2-40B4-BE49-F238E27FC236}">
                  <a16:creationId xmlns:a16="http://schemas.microsoft.com/office/drawing/2014/main" id="{E82B1651-56B8-002E-EA93-9D5D6C5D809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Y$31:$AB$32" spid="_x0000_s3982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5799168" y="1536940"/>
              <a:ext cx="3596779" cy="329816"/>
            </a:xfrm>
            <a:prstGeom prst="rect">
              <a:avLst/>
            </a:prstGeom>
            <a:solidFill>
              <a:schemeClr val="bg1"/>
            </a:solidFill>
            <a:effectLst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433916</xdr:colOff>
          <xdr:row>0</xdr:row>
          <xdr:rowOff>232834</xdr:rowOff>
        </xdr:from>
        <xdr:to>
          <xdr:col>18</xdr:col>
          <xdr:colOff>535516</xdr:colOff>
          <xdr:row>6</xdr:row>
          <xdr:rowOff>83609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8F508DEC-47D7-CD31-F6EB-2DEF0BD75E9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Y$14:$Y$19" spid="_x0000_s39830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1641666" y="232834"/>
              <a:ext cx="1477433" cy="962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93A8B-21F5-49D4-989F-F3848DBC1145}">
  <sheetPr codeName="Sheet11">
    <tabColor theme="2" tint="-0.749992370372631"/>
  </sheetPr>
  <dimension ref="A1:S41"/>
  <sheetViews>
    <sheetView showGridLines="0" tabSelected="1" workbookViewId="0">
      <selection activeCell="A40" sqref="A40"/>
    </sheetView>
  </sheetViews>
  <sheetFormatPr defaultColWidth="0" defaultRowHeight="15" customHeight="1" zeroHeight="1" x14ac:dyDescent="0.25"/>
  <cols>
    <col min="1" max="1" width="8" style="110" customWidth="1"/>
    <col min="2" max="2" width="1.875" style="110" customWidth="1"/>
    <col min="3" max="3" width="14" style="110" customWidth="1"/>
    <col min="4" max="4" width="8" style="110" customWidth="1"/>
    <col min="5" max="5" width="9.375" style="110" customWidth="1"/>
    <col min="6" max="11" width="8" style="110" customWidth="1"/>
    <col min="12" max="19" width="8" style="110" hidden="1" customWidth="1"/>
    <col min="20" max="16384" width="0" style="110" hidden="1"/>
  </cols>
  <sheetData>
    <row r="1" spans="1:19" x14ac:dyDescent="0.25">
      <c r="A1" s="266"/>
    </row>
    <row r="2" spans="1:19" ht="23.25" x14ac:dyDescent="0.35">
      <c r="A2" s="266"/>
      <c r="C2" s="267" t="s">
        <v>0</v>
      </c>
      <c r="D2" s="268"/>
      <c r="E2" s="268"/>
    </row>
    <row r="3" spans="1:19" ht="15.75" x14ac:dyDescent="0.25">
      <c r="A3" s="266"/>
      <c r="C3" s="269" t="s">
        <v>331</v>
      </c>
      <c r="D3" s="268"/>
      <c r="E3" s="268"/>
    </row>
    <row r="4" spans="1:19" x14ac:dyDescent="0.25">
      <c r="A4" s="266"/>
      <c r="D4" s="268"/>
      <c r="E4" s="268"/>
    </row>
    <row r="5" spans="1:19" x14ac:dyDescent="0.25">
      <c r="A5" s="266"/>
      <c r="C5" s="270" t="s">
        <v>1</v>
      </c>
    </row>
    <row r="6" spans="1:19" x14ac:dyDescent="0.25">
      <c r="A6" s="266"/>
      <c r="C6" s="271" t="s">
        <v>2</v>
      </c>
      <c r="D6" s="313" t="s">
        <v>330</v>
      </c>
      <c r="E6" s="271"/>
    </row>
    <row r="7" spans="1:19" x14ac:dyDescent="0.25">
      <c r="A7" s="266"/>
      <c r="F7" s="272"/>
      <c r="G7" s="272"/>
      <c r="H7" s="272"/>
      <c r="J7" s="272"/>
      <c r="K7" s="272"/>
      <c r="L7" s="272"/>
      <c r="M7" s="272"/>
      <c r="N7" s="272"/>
      <c r="O7" s="272"/>
      <c r="P7" s="272"/>
      <c r="Q7" s="272"/>
      <c r="R7" s="272"/>
      <c r="S7" s="272"/>
    </row>
    <row r="8" spans="1:19" x14ac:dyDescent="0.25">
      <c r="A8" s="266"/>
      <c r="C8" s="314">
        <v>45992</v>
      </c>
      <c r="F8" s="272"/>
      <c r="G8" s="272"/>
      <c r="H8" s="272"/>
      <c r="J8" s="272"/>
      <c r="K8" s="272"/>
      <c r="L8" s="272"/>
      <c r="M8" s="272"/>
      <c r="N8" s="272"/>
      <c r="O8" s="272"/>
      <c r="P8" s="272"/>
      <c r="Q8" s="272"/>
      <c r="R8" s="272"/>
      <c r="S8" s="272"/>
    </row>
    <row r="9" spans="1:19" x14ac:dyDescent="0.25">
      <c r="A9" s="266"/>
      <c r="C9" s="273"/>
      <c r="D9" s="273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72"/>
      <c r="S9" s="272"/>
    </row>
    <row r="10" spans="1:19" x14ac:dyDescent="0.25">
      <c r="A10" s="266"/>
      <c r="C10" s="273"/>
      <c r="D10" s="273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</row>
    <row r="11" spans="1:19" x14ac:dyDescent="0.25">
      <c r="A11" s="266"/>
      <c r="C11" s="273"/>
      <c r="D11" s="273"/>
      <c r="F11" s="272"/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72"/>
      <c r="S11" s="272"/>
    </row>
    <row r="12" spans="1:19" x14ac:dyDescent="0.25">
      <c r="A12" s="266"/>
      <c r="C12" s="273"/>
      <c r="D12" s="273"/>
      <c r="F12" s="272"/>
      <c r="G12" s="272"/>
      <c r="H12" s="272"/>
      <c r="I12" s="272"/>
      <c r="J12" s="272"/>
      <c r="K12" s="272"/>
      <c r="L12" s="272"/>
      <c r="M12" s="272"/>
      <c r="N12" s="272"/>
      <c r="O12" s="272"/>
      <c r="P12" s="272"/>
      <c r="Q12" s="272"/>
      <c r="R12" s="272"/>
      <c r="S12" s="272"/>
    </row>
    <row r="13" spans="1:19" x14ac:dyDescent="0.25">
      <c r="A13" s="266"/>
      <c r="C13" s="273"/>
      <c r="D13" s="273"/>
      <c r="F13" s="272"/>
      <c r="G13" s="272"/>
      <c r="H13" s="272"/>
      <c r="I13" s="272"/>
      <c r="J13" s="272"/>
      <c r="K13" s="272"/>
      <c r="L13" s="272"/>
      <c r="M13" s="272"/>
      <c r="N13" s="272"/>
      <c r="O13" s="272"/>
      <c r="P13" s="272"/>
      <c r="Q13" s="272"/>
      <c r="R13" s="272"/>
      <c r="S13" s="272"/>
    </row>
    <row r="14" spans="1:19" x14ac:dyDescent="0.25">
      <c r="A14" s="266"/>
      <c r="C14" s="272"/>
      <c r="D14" s="272"/>
      <c r="E14" s="272"/>
      <c r="F14" s="272"/>
      <c r="G14" s="272"/>
      <c r="H14" s="272"/>
      <c r="I14" s="272"/>
      <c r="J14" s="272"/>
      <c r="K14" s="272"/>
      <c r="L14" s="272"/>
      <c r="M14" s="272"/>
      <c r="N14" s="272"/>
      <c r="O14" s="272"/>
      <c r="P14" s="272"/>
      <c r="Q14" s="272"/>
      <c r="R14" s="272"/>
      <c r="S14" s="272"/>
    </row>
    <row r="15" spans="1:19" x14ac:dyDescent="0.25">
      <c r="A15" s="266"/>
      <c r="C15" s="270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72"/>
      <c r="S15" s="272"/>
    </row>
    <row r="16" spans="1:19" x14ac:dyDescent="0.25">
      <c r="A16" s="266"/>
      <c r="C16" s="270"/>
      <c r="D16" s="272"/>
      <c r="E16" s="272"/>
      <c r="F16" s="272"/>
      <c r="G16" s="272"/>
      <c r="H16" s="272"/>
      <c r="I16" s="272"/>
      <c r="J16" s="272"/>
      <c r="K16" s="272"/>
      <c r="L16" s="272"/>
      <c r="M16" s="272"/>
      <c r="N16" s="272"/>
      <c r="O16" s="272"/>
      <c r="P16" s="272"/>
      <c r="Q16" s="272"/>
      <c r="R16" s="272"/>
      <c r="S16" s="272"/>
    </row>
    <row r="17" spans="1:19" x14ac:dyDescent="0.25">
      <c r="A17" s="266"/>
      <c r="C17" s="272"/>
      <c r="D17" s="272"/>
      <c r="E17" s="272"/>
      <c r="F17" s="272"/>
      <c r="G17" s="272"/>
      <c r="H17" s="272"/>
      <c r="I17" s="272"/>
      <c r="J17" s="272"/>
      <c r="K17" s="272"/>
      <c r="L17" s="272"/>
      <c r="M17" s="272"/>
      <c r="N17" s="272"/>
      <c r="O17" s="272"/>
      <c r="P17" s="272"/>
      <c r="Q17" s="272"/>
      <c r="R17" s="272"/>
      <c r="S17" s="272"/>
    </row>
    <row r="18" spans="1:19" x14ac:dyDescent="0.25">
      <c r="A18" s="266"/>
      <c r="C18" s="272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  <c r="R18" s="272"/>
      <c r="S18" s="272"/>
    </row>
    <row r="19" spans="1:19" x14ac:dyDescent="0.25">
      <c r="A19" s="266"/>
      <c r="C19" s="272"/>
      <c r="D19" s="272"/>
      <c r="E19" s="272"/>
      <c r="F19" s="272"/>
      <c r="G19"/>
      <c r="H19" s="272"/>
      <c r="I19" s="272"/>
      <c r="J19" s="272"/>
      <c r="K19" s="272"/>
      <c r="L19" s="272"/>
      <c r="M19" s="272"/>
      <c r="N19" s="272"/>
      <c r="O19" s="272"/>
      <c r="P19" s="272"/>
      <c r="Q19" s="272"/>
      <c r="R19" s="272"/>
      <c r="S19" s="272"/>
    </row>
    <row r="20" spans="1:19" x14ac:dyDescent="0.25">
      <c r="A20" s="266"/>
      <c r="C20" s="272"/>
      <c r="D20" s="272"/>
      <c r="E20" s="272"/>
      <c r="F20" s="272"/>
      <c r="G20" s="272"/>
      <c r="H20" s="272"/>
      <c r="I20" s="272"/>
      <c r="J20" s="272"/>
      <c r="K20" s="272"/>
      <c r="L20" s="272"/>
      <c r="M20" s="272"/>
      <c r="N20" s="272"/>
      <c r="O20" s="272"/>
      <c r="P20" s="272"/>
      <c r="Q20" s="272"/>
      <c r="R20" s="272"/>
      <c r="S20" s="272"/>
    </row>
    <row r="21" spans="1:19" x14ac:dyDescent="0.25">
      <c r="A21" s="266"/>
      <c r="C21" s="272"/>
      <c r="D21" s="272"/>
      <c r="E21" s="272"/>
      <c r="F21" s="272"/>
      <c r="G21" s="272"/>
      <c r="H21" s="272"/>
      <c r="I21" s="272"/>
      <c r="J21" s="272"/>
      <c r="K21" s="272"/>
      <c r="L21" s="272"/>
      <c r="M21" s="272"/>
      <c r="N21" s="272"/>
      <c r="O21" s="272"/>
      <c r="P21" s="272"/>
      <c r="Q21" s="272"/>
      <c r="R21" s="272"/>
      <c r="S21" s="272"/>
    </row>
    <row r="22" spans="1:19" x14ac:dyDescent="0.25">
      <c r="A22" s="266"/>
      <c r="C22" s="272"/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72"/>
      <c r="S22" s="272"/>
    </row>
    <row r="23" spans="1:19" x14ac:dyDescent="0.25">
      <c r="A23" s="266"/>
      <c r="C23" s="272"/>
      <c r="D23" s="272"/>
      <c r="E23" s="272"/>
      <c r="F23" s="272"/>
      <c r="G23" s="272"/>
      <c r="H23" s="272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</row>
    <row r="24" spans="1:19" x14ac:dyDescent="0.25">
      <c r="A24" s="266"/>
      <c r="C24" s="272"/>
      <c r="D24" s="272"/>
      <c r="E24" s="272"/>
      <c r="F24" s="272"/>
      <c r="G24" s="272"/>
      <c r="H24" s="272"/>
      <c r="I24" s="272"/>
      <c r="J24" s="272"/>
      <c r="K24" s="272"/>
      <c r="L24" s="272"/>
      <c r="M24" s="272"/>
      <c r="N24" s="272"/>
      <c r="O24" s="272"/>
      <c r="P24" s="272"/>
      <c r="Q24" s="272"/>
      <c r="R24" s="272"/>
      <c r="S24" s="272"/>
    </row>
    <row r="25" spans="1:19" x14ac:dyDescent="0.25">
      <c r="A25" s="266"/>
      <c r="C25" s="272"/>
      <c r="D25" s="272"/>
      <c r="E25" s="272"/>
      <c r="F25" s="272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72"/>
      <c r="S25" s="272"/>
    </row>
    <row r="26" spans="1:19" x14ac:dyDescent="0.25">
      <c r="A26" s="266"/>
      <c r="C26" s="272"/>
      <c r="D26" s="272"/>
      <c r="E26" s="272"/>
      <c r="F26" s="272"/>
      <c r="G26" s="272"/>
      <c r="H26" s="272"/>
      <c r="I26" s="272"/>
      <c r="J26" s="272"/>
      <c r="K26" s="272"/>
      <c r="L26" s="272"/>
      <c r="M26" s="272"/>
      <c r="N26" s="272"/>
      <c r="O26" s="272"/>
      <c r="P26" s="272"/>
      <c r="Q26" s="272"/>
      <c r="R26" s="272"/>
      <c r="S26" s="272"/>
    </row>
    <row r="27" spans="1:19" x14ac:dyDescent="0.25">
      <c r="A27" s="266"/>
      <c r="C27" s="272"/>
      <c r="D27" s="272"/>
      <c r="E27" s="272"/>
      <c r="F27" s="272"/>
      <c r="G27" s="272"/>
      <c r="H27" s="272"/>
      <c r="I27" s="272"/>
      <c r="J27" s="272"/>
      <c r="K27" s="272"/>
      <c r="L27" s="272"/>
      <c r="M27" s="272"/>
      <c r="N27" s="272"/>
      <c r="O27" s="272"/>
      <c r="P27" s="272"/>
      <c r="Q27" s="272"/>
      <c r="R27" s="272"/>
      <c r="S27" s="272"/>
    </row>
    <row r="28" spans="1:19" x14ac:dyDescent="0.25">
      <c r="A28" s="266"/>
      <c r="C28" s="272"/>
      <c r="D28" s="272"/>
      <c r="E28" s="272"/>
      <c r="F28" s="272"/>
      <c r="G28" s="272"/>
      <c r="H28" s="272"/>
      <c r="I28" s="272"/>
      <c r="J28" s="272"/>
      <c r="K28" s="272"/>
      <c r="L28" s="272"/>
      <c r="M28" s="272"/>
      <c r="N28" s="272"/>
      <c r="O28" s="272"/>
      <c r="P28" s="272"/>
      <c r="Q28" s="272"/>
      <c r="R28" s="272"/>
      <c r="S28" s="272"/>
    </row>
    <row r="29" spans="1:19" x14ac:dyDescent="0.25">
      <c r="A29" s="266"/>
      <c r="C29" s="272"/>
      <c r="D29" s="272"/>
      <c r="E29" s="272"/>
      <c r="F29" s="272"/>
      <c r="G29" s="272"/>
      <c r="H29" s="272"/>
      <c r="I29" s="272"/>
      <c r="J29" s="272"/>
      <c r="K29" s="272"/>
      <c r="L29" s="272"/>
      <c r="M29" s="272"/>
      <c r="N29" s="272"/>
      <c r="O29" s="272"/>
      <c r="P29" s="272"/>
      <c r="Q29" s="272"/>
      <c r="R29" s="272"/>
      <c r="S29" s="272"/>
    </row>
    <row r="30" spans="1:19" x14ac:dyDescent="0.25">
      <c r="A30" s="266"/>
      <c r="C30" s="272"/>
      <c r="E30" s="272"/>
      <c r="F30" s="272"/>
      <c r="G30" s="272"/>
      <c r="H30" s="272"/>
      <c r="I30" s="272"/>
      <c r="J30" s="272"/>
      <c r="K30" s="272"/>
      <c r="L30" s="272"/>
      <c r="M30" s="272"/>
      <c r="N30" s="272"/>
      <c r="O30" s="272"/>
      <c r="P30" s="272"/>
      <c r="Q30" s="272"/>
      <c r="R30" s="272"/>
      <c r="S30" s="272"/>
    </row>
    <row r="31" spans="1:19" x14ac:dyDescent="0.25">
      <c r="A31" s="266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  <c r="R31" s="272"/>
      <c r="S31" s="272"/>
    </row>
    <row r="32" spans="1:19" x14ac:dyDescent="0.25">
      <c r="A32" s="266"/>
      <c r="C32" s="272"/>
      <c r="D32" s="272"/>
      <c r="E32" s="272"/>
      <c r="F32" s="272"/>
      <c r="G32" s="272"/>
      <c r="H32" s="272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</row>
    <row r="33" spans="1:19" x14ac:dyDescent="0.25">
      <c r="A33" s="266"/>
      <c r="E33" s="272"/>
      <c r="F33" s="272"/>
      <c r="G33" s="272"/>
      <c r="H33" s="272"/>
      <c r="I33" s="272"/>
      <c r="J33" s="272"/>
      <c r="K33" s="272"/>
      <c r="L33" s="272"/>
      <c r="M33" s="272"/>
      <c r="N33" s="272"/>
      <c r="O33" s="272"/>
      <c r="P33" s="272"/>
      <c r="Q33" s="272"/>
      <c r="R33" s="272"/>
      <c r="S33" s="272"/>
    </row>
    <row r="34" spans="1:19" x14ac:dyDescent="0.25">
      <c r="A34" s="266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272"/>
      <c r="Q34" s="272"/>
      <c r="R34" s="272"/>
      <c r="S34" s="272"/>
    </row>
    <row r="35" spans="1:19" x14ac:dyDescent="0.25">
      <c r="A35" s="266"/>
      <c r="C35" s="272"/>
      <c r="D35" s="272"/>
      <c r="E35" s="272"/>
      <c r="F35" s="272"/>
      <c r="G35" s="272"/>
      <c r="H35" s="272"/>
      <c r="I35" s="272"/>
      <c r="J35" s="272"/>
      <c r="K35" s="272"/>
      <c r="L35" s="272"/>
      <c r="M35" s="272"/>
      <c r="N35" s="272"/>
      <c r="O35" s="272"/>
      <c r="P35" s="272"/>
      <c r="Q35" s="272"/>
      <c r="R35" s="272"/>
      <c r="S35" s="272"/>
    </row>
    <row r="36" spans="1:19" x14ac:dyDescent="0.25">
      <c r="A36" s="266"/>
    </row>
    <row r="37" spans="1:19" x14ac:dyDescent="0.25">
      <c r="A37" s="266"/>
    </row>
    <row r="38" spans="1:19" x14ac:dyDescent="0.25">
      <c r="A38" s="266"/>
    </row>
    <row r="39" spans="1:19" x14ac:dyDescent="0.25">
      <c r="A39" s="266"/>
    </row>
    <row r="40" spans="1:19" x14ac:dyDescent="0.25">
      <c r="A40" s="266">
        <f ca="1">_xlfn.SHEETS()</f>
        <v>15</v>
      </c>
    </row>
    <row r="41" spans="1:19" x14ac:dyDescent="0.25">
      <c r="A41" s="312">
        <v>45786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1737E-41CF-42A2-A119-76A4B8382B50}">
  <sheetPr codeName="Sheet19">
    <tabColor rgb="FFFFFF00"/>
    <pageSetUpPr fitToPage="1"/>
  </sheetPr>
  <dimension ref="A1:AK1328"/>
  <sheetViews>
    <sheetView showGridLines="0" zoomScale="85" zoomScaleNormal="85" workbookViewId="0"/>
  </sheetViews>
  <sheetFormatPr defaultColWidth="0" defaultRowHeight="12.75" zeroHeight="1" outlineLevelRow="1" x14ac:dyDescent="0.2"/>
  <cols>
    <col min="1" max="1" width="8.125" style="8" customWidth="1"/>
    <col min="2" max="2" width="20.75" style="8" customWidth="1"/>
    <col min="3" max="3" width="20.5" style="8" customWidth="1"/>
    <col min="4" max="4" width="16.875" style="8" bestFit="1" customWidth="1"/>
    <col min="5" max="5" width="12.375" style="8" customWidth="1"/>
    <col min="6" max="6" width="14.25" customWidth="1"/>
    <col min="7" max="7" width="11.625" style="8" customWidth="1"/>
    <col min="8" max="8" width="10" style="8" customWidth="1"/>
    <col min="9" max="33" width="11" style="8" customWidth="1"/>
    <col min="34" max="35" width="9" style="8" customWidth="1"/>
    <col min="36" max="37" width="0" style="8" hidden="1" customWidth="1"/>
    <col min="38" max="16384" width="9" style="8" hidden="1"/>
  </cols>
  <sheetData>
    <row r="1" spans="1:33" s="6" customFormat="1" ht="18.75" x14ac:dyDescent="0.3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3" s="6" customFormat="1" ht="18.75" x14ac:dyDescent="0.3">
      <c r="A2" s="50" t="str">
        <f>proj</f>
        <v>Horsham REFCL</v>
      </c>
      <c r="B2" s="50"/>
      <c r="C2" s="50"/>
      <c r="D2" s="50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3" s="2" customFormat="1" ht="18.75" x14ac:dyDescent="0.3">
      <c r="A3" s="179" t="s">
        <v>147</v>
      </c>
      <c r="B3" s="5"/>
      <c r="D3" s="31"/>
      <c r="E3" s="31"/>
      <c r="F3" s="31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3" s="2" customFormat="1" ht="6.75" customHeight="1" x14ac:dyDescent="0.2">
      <c r="A4" s="101"/>
      <c r="B4" s="101"/>
      <c r="D4" s="85"/>
      <c r="E4" s="85"/>
      <c r="F4" s="85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</row>
    <row r="5" spans="1:33" s="2" customFormat="1" hidden="1" outlineLevel="1" x14ac:dyDescent="0.2">
      <c r="A5" s="85" t="s">
        <v>142</v>
      </c>
      <c r="B5" s="85"/>
      <c r="D5" s="86"/>
      <c r="E5" s="85"/>
      <c r="F5" s="85"/>
      <c r="G5" s="88"/>
      <c r="H5" s="166">
        <f>Consol!H5</f>
        <v>0</v>
      </c>
      <c r="I5" s="166">
        <f>Consol!I5</f>
        <v>0.98294637436598087</v>
      </c>
      <c r="J5" s="166">
        <f>Consol!J5</f>
        <v>0.94970664189949849</v>
      </c>
      <c r="K5" s="166">
        <f>Consol!K5</f>
        <v>0.91759095835700344</v>
      </c>
      <c r="L5" s="166">
        <f>Consol!L5</f>
        <v>0.88656131242222558</v>
      </c>
      <c r="M5" s="166">
        <f>Consol!M5</f>
        <v>0.85658097818572532</v>
      </c>
      <c r="N5" s="166">
        <f>Consol!N5</f>
        <v>0.8276144716770294</v>
      </c>
      <c r="O5" s="166">
        <f>Consol!O5</f>
        <v>0.79962750886669509</v>
      </c>
      <c r="P5" s="166">
        <f>Consol!P5</f>
        <v>0.77258696508859437</v>
      </c>
      <c r="Q5" s="166">
        <f>Consol!Q5</f>
        <v>0.74646083583439071</v>
      </c>
      <c r="R5" s="166">
        <f>Consol!R5</f>
        <v>0.72121819887380756</v>
      </c>
      <c r="S5" s="166">
        <f>Consol!S5</f>
        <v>0.69682917765585273</v>
      </c>
      <c r="T5" s="166">
        <f>Consol!T5</f>
        <v>0.67326490594768384</v>
      </c>
      <c r="U5" s="166">
        <f>Consol!U5</f>
        <v>0.6504974936692598</v>
      </c>
      <c r="V5" s="166">
        <f>Consol!V5</f>
        <v>0.62849999388334288</v>
      </c>
      <c r="W5" s="166">
        <f>Consol!W5</f>
        <v>0.60724637090178057</v>
      </c>
      <c r="X5" s="166">
        <f>Consol!X5</f>
        <v>0.58671146947031949</v>
      </c>
      <c r="Y5" s="166">
        <f>Consol!Y5</f>
        <v>0.56687098499547783</v>
      </c>
      <c r="Z5" s="166">
        <f>Consol!Z5</f>
        <v>0.54770143477823952</v>
      </c>
      <c r="AA5" s="166">
        <f>Consol!AA5</f>
        <v>0.52918013022052135</v>
      </c>
      <c r="AB5" s="166">
        <f>Consol!AB5</f>
        <v>0.5112851499715183</v>
      </c>
      <c r="AC5" s="166">
        <f>Consol!AC5</f>
        <v>0.4939953139821433</v>
      </c>
      <c r="AD5" s="166">
        <f>Consol!AD5</f>
        <v>0.47729015843685346</v>
      </c>
      <c r="AE5" s="166">
        <f>Consol!AE5</f>
        <v>0.46114991153319179</v>
      </c>
      <c r="AF5" s="166">
        <f>Consol!AF5</f>
        <v>0.4455554700803786</v>
      </c>
      <c r="AG5" s="166">
        <f>Consol!AG5</f>
        <v>0.43048837688925473</v>
      </c>
    </row>
    <row r="6" spans="1:33" s="2" customFormat="1" hidden="1" outlineLevel="1" x14ac:dyDescent="0.2">
      <c r="A6" s="167" t="str">
        <f>'Option1 (base case)'!A6</f>
        <v>Count</v>
      </c>
      <c r="B6" s="85"/>
      <c r="D6" s="86"/>
      <c r="E6" s="85"/>
      <c r="F6" s="85"/>
      <c r="G6" s="88"/>
      <c r="H6" s="167">
        <f>Consol!H6</f>
        <v>0</v>
      </c>
      <c r="I6" s="167">
        <f>Consol!I6</f>
        <v>1</v>
      </c>
      <c r="J6" s="167">
        <f>Consol!J6</f>
        <v>2</v>
      </c>
      <c r="K6" s="167">
        <f>Consol!K6</f>
        <v>3</v>
      </c>
      <c r="L6" s="167">
        <f>Consol!L6</f>
        <v>4</v>
      </c>
      <c r="M6" s="167">
        <f>Consol!M6</f>
        <v>5</v>
      </c>
      <c r="N6" s="167">
        <f>Consol!N6</f>
        <v>6</v>
      </c>
      <c r="O6" s="167">
        <f>Consol!O6</f>
        <v>7</v>
      </c>
      <c r="P6" s="167">
        <f>Consol!P6</f>
        <v>8</v>
      </c>
      <c r="Q6" s="167">
        <f>Consol!Q6</f>
        <v>9</v>
      </c>
      <c r="R6" s="167">
        <f>Consol!R6</f>
        <v>10</v>
      </c>
      <c r="S6" s="167">
        <f>Consol!S6</f>
        <v>11</v>
      </c>
      <c r="T6" s="167">
        <f>Consol!T6</f>
        <v>12</v>
      </c>
      <c r="U6" s="167">
        <f>Consol!U6</f>
        <v>13</v>
      </c>
      <c r="V6" s="167">
        <f>Consol!V6</f>
        <v>14</v>
      </c>
      <c r="W6" s="167">
        <f>Consol!W6</f>
        <v>15</v>
      </c>
      <c r="X6" s="167">
        <f>Consol!X6</f>
        <v>16</v>
      </c>
      <c r="Y6" s="167">
        <f>Consol!Y6</f>
        <v>17</v>
      </c>
      <c r="Z6" s="167">
        <f>Consol!Z6</f>
        <v>18</v>
      </c>
      <c r="AA6" s="167">
        <f>Consol!AA6</f>
        <v>19</v>
      </c>
      <c r="AB6" s="167">
        <f>Consol!AB6</f>
        <v>20</v>
      </c>
      <c r="AC6" s="167">
        <f>Consol!AC6</f>
        <v>21</v>
      </c>
      <c r="AD6" s="167">
        <f>Consol!AD6</f>
        <v>22</v>
      </c>
      <c r="AE6" s="167">
        <f>Consol!AE6</f>
        <v>23</v>
      </c>
      <c r="AF6" s="167">
        <f>Consol!AF6</f>
        <v>24</v>
      </c>
      <c r="AG6" s="167">
        <f>Consol!AG6</f>
        <v>25</v>
      </c>
    </row>
    <row r="7" spans="1:33" s="2" customFormat="1" collapsed="1" x14ac:dyDescent="0.2">
      <c r="A7" s="85" t="s">
        <v>143</v>
      </c>
      <c r="B7" s="85"/>
      <c r="D7" s="86"/>
      <c r="E7" s="85"/>
      <c r="F7" s="85"/>
      <c r="G7" s="88"/>
      <c r="H7" s="226" t="b">
        <f>Consol!H7</f>
        <v>1</v>
      </c>
      <c r="I7" s="226" t="b">
        <f>Consol!I7</f>
        <v>1</v>
      </c>
      <c r="J7" s="226" t="b">
        <f>Consol!J7</f>
        <v>1</v>
      </c>
      <c r="K7" s="226" t="b">
        <f>Consol!K7</f>
        <v>1</v>
      </c>
      <c r="L7" s="226" t="b">
        <f>Consol!L7</f>
        <v>1</v>
      </c>
      <c r="M7" s="226" t="b">
        <f>Consol!M7</f>
        <v>1</v>
      </c>
      <c r="N7" s="226" t="b">
        <f>Consol!N7</f>
        <v>1</v>
      </c>
      <c r="O7" s="226" t="b">
        <f>Consol!O7</f>
        <v>1</v>
      </c>
      <c r="P7" s="226" t="b">
        <f>Consol!P7</f>
        <v>1</v>
      </c>
      <c r="Q7" s="226" t="b">
        <f>Consol!Q7</f>
        <v>1</v>
      </c>
      <c r="R7" s="226" t="b">
        <f>Consol!R7</f>
        <v>1</v>
      </c>
      <c r="S7" s="226" t="b">
        <f>Consol!S7</f>
        <v>1</v>
      </c>
      <c r="T7" s="226" t="b">
        <f>Consol!T7</f>
        <v>1</v>
      </c>
      <c r="U7" s="226" t="b">
        <f>Consol!U7</f>
        <v>1</v>
      </c>
      <c r="V7" s="226" t="b">
        <f>Consol!V7</f>
        <v>1</v>
      </c>
      <c r="W7" s="226" t="b">
        <f>Consol!W7</f>
        <v>1</v>
      </c>
      <c r="X7" s="226" t="b">
        <f>Consol!X7</f>
        <v>1</v>
      </c>
      <c r="Y7" s="226" t="b">
        <f>Consol!Y7</f>
        <v>1</v>
      </c>
      <c r="Z7" s="226" t="b">
        <f>Consol!Z7</f>
        <v>1</v>
      </c>
      <c r="AA7" s="226" t="b">
        <f>Consol!AA7</f>
        <v>1</v>
      </c>
      <c r="AB7" s="226" t="b">
        <f>Consol!AB7</f>
        <v>1</v>
      </c>
      <c r="AC7" s="226" t="b">
        <f>Consol!AC7</f>
        <v>1</v>
      </c>
      <c r="AD7" s="226" t="b">
        <f>Consol!AD7</f>
        <v>1</v>
      </c>
      <c r="AE7" s="226" t="b">
        <f>Consol!AE7</f>
        <v>1</v>
      </c>
      <c r="AF7" s="226" t="b">
        <f>Consol!AF7</f>
        <v>0</v>
      </c>
      <c r="AG7" s="226" t="b">
        <f>Consol!AG7</f>
        <v>0</v>
      </c>
    </row>
    <row r="8" spans="1:33" s="2" customFormat="1" ht="4.5" customHeight="1" x14ac:dyDescent="0.2"/>
    <row r="9" spans="1:33" s="2" customFormat="1" ht="15" x14ac:dyDescent="0.25">
      <c r="A9" s="17"/>
      <c r="B9" s="17"/>
      <c r="C9" s="17"/>
      <c r="D9" s="17"/>
      <c r="E9" s="17"/>
      <c r="F9" s="73"/>
      <c r="G9" s="18"/>
      <c r="H9" s="18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3" s="2" customFormat="1" x14ac:dyDescent="0.2">
      <c r="D10" s="7"/>
      <c r="E10" s="7"/>
      <c r="G10" s="196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3" s="2" customFormat="1" ht="15" x14ac:dyDescent="0.2">
      <c r="A11" s="78"/>
      <c r="B11" s="78"/>
      <c r="C11" s="78"/>
      <c r="D11" s="79"/>
      <c r="E11" s="79"/>
      <c r="F11" s="63" t="s">
        <v>3</v>
      </c>
      <c r="G11" s="197"/>
      <c r="H11" s="102" t="str" cm="1">
        <f t="array" ref="H11">IF(H6=$D$4,UPPER($A$4),IF(H6=end, "END", ""))</f>
        <v/>
      </c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</row>
    <row r="12" spans="1:33" s="2" customFormat="1" x14ac:dyDescent="0.2">
      <c r="A12" s="219"/>
      <c r="B12" s="219"/>
      <c r="C12" s="219"/>
      <c r="D12" s="219"/>
      <c r="E12" s="219"/>
      <c r="F12" s="219"/>
      <c r="G12" s="220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>
        <f>Consol!AA36</f>
        <v>478863.16896610486</v>
      </c>
      <c r="AA12" s="28">
        <f>Consol!AB36</f>
        <v>478863.16896610486</v>
      </c>
      <c r="AB12" s="28">
        <f>Consol!AC36</f>
        <v>478863.16896610486</v>
      </c>
      <c r="AC12" s="28">
        <f>Consol!AD36</f>
        <v>478863.16896610486</v>
      </c>
      <c r="AD12" s="28">
        <f>Consol!AE36</f>
        <v>478863.16896610486</v>
      </c>
      <c r="AE12" s="28">
        <f>Consol!AF36</f>
        <v>0</v>
      </c>
      <c r="AF12" s="28">
        <f>Consol!AG36</f>
        <v>0</v>
      </c>
      <c r="AG12" s="220"/>
    </row>
    <row r="13" spans="1:33" s="2" customFormat="1" x14ac:dyDescent="0.2">
      <c r="A13" s="219"/>
      <c r="B13" s="219"/>
      <c r="C13" s="219"/>
      <c r="D13" s="219"/>
      <c r="E13" s="219"/>
      <c r="F13" s="219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</row>
    <row r="14" spans="1:33" s="2" customFormat="1" x14ac:dyDescent="0.2">
      <c r="A14" s="225" t="s">
        <v>87</v>
      </c>
      <c r="B14" s="225" t="s">
        <v>7</v>
      </c>
      <c r="C14" s="225" t="s">
        <v>132</v>
      </c>
      <c r="D14" s="225" t="str">
        <f>A14&amp;B14</f>
        <v>OPTION 1 (base case)NPV</v>
      </c>
      <c r="E14" s="217"/>
      <c r="F14" s="28">
        <f>SUMPRODUCT($H14:$AG14, $H$5:$AG$5)</f>
        <v>0</v>
      </c>
      <c r="G14" s="220"/>
      <c r="H14" s="28">
        <f>'Option1 (base case)'!I87*conv_2026</f>
        <v>0</v>
      </c>
      <c r="I14" s="28">
        <f>'Option1 (base case)'!J87*conv_2026</f>
        <v>0</v>
      </c>
      <c r="J14" s="28">
        <f>'Option1 (base case)'!K87*conv_2026</f>
        <v>0</v>
      </c>
      <c r="K14" s="28">
        <f>'Option1 (base case)'!L87*conv_2026</f>
        <v>0</v>
      </c>
      <c r="L14" s="28">
        <f>'Option1 (base case)'!M87*conv_2026</f>
        <v>0</v>
      </c>
      <c r="M14" s="28">
        <f>'Option1 (base case)'!N87*conv_2026</f>
        <v>0</v>
      </c>
      <c r="N14" s="28">
        <f>'Option1 (base case)'!O87*conv_2026</f>
        <v>0</v>
      </c>
      <c r="O14" s="28">
        <f>'Option1 (base case)'!P87*conv_2026</f>
        <v>0</v>
      </c>
      <c r="P14" s="28">
        <f>'Option1 (base case)'!Q87*conv_2026</f>
        <v>0</v>
      </c>
      <c r="Q14" s="28">
        <f>'Option1 (base case)'!R87*conv_2026</f>
        <v>0</v>
      </c>
      <c r="R14" s="28">
        <f>'Option1 (base case)'!S87*conv_2026</f>
        <v>0</v>
      </c>
      <c r="S14" s="28">
        <f>'Option1 (base case)'!T87*conv_2026</f>
        <v>0</v>
      </c>
      <c r="T14" s="28">
        <f>'Option1 (base case)'!U87*conv_2026</f>
        <v>0</v>
      </c>
      <c r="U14" s="28">
        <f>'Option1 (base case)'!V87*conv_2026</f>
        <v>0</v>
      </c>
      <c r="V14" s="28">
        <f>'Option1 (base case)'!W87*conv_2026</f>
        <v>0</v>
      </c>
      <c r="W14" s="28">
        <f>'Option1 (base case)'!X87*conv_2026</f>
        <v>0</v>
      </c>
      <c r="X14" s="28">
        <f>'Option1 (base case)'!Y87*conv_2026</f>
        <v>0</v>
      </c>
      <c r="Y14" s="28">
        <f>'Option1 (base case)'!Z87*conv_2026</f>
        <v>0</v>
      </c>
      <c r="Z14" s="28">
        <f>'Option1 (base case)'!AA87*conv_2026</f>
        <v>0</v>
      </c>
      <c r="AA14" s="28">
        <f>'Option1 (base case)'!AB87*conv_2026</f>
        <v>0</v>
      </c>
      <c r="AB14" s="28">
        <f>'Option1 (base case)'!AC87*conv_2026</f>
        <v>0</v>
      </c>
      <c r="AC14" s="28">
        <f>'Option1 (base case)'!AD87*conv_2026</f>
        <v>0</v>
      </c>
      <c r="AD14" s="28">
        <f>'Option1 (base case)'!AE87*conv_2026</f>
        <v>0</v>
      </c>
      <c r="AE14" s="28">
        <f>'Option1 (base case)'!AF87*conv_2026</f>
        <v>0</v>
      </c>
      <c r="AF14" s="28">
        <f>'Option1 (base case)'!AG87*conv_2026</f>
        <v>0</v>
      </c>
      <c r="AG14" s="28">
        <f>'Option1 (base case)'!AH87*conv_2026</f>
        <v>0</v>
      </c>
    </row>
    <row r="15" spans="1:33" s="2" customFormat="1" x14ac:dyDescent="0.2">
      <c r="A15" s="219"/>
      <c r="B15" s="219"/>
      <c r="C15" s="219"/>
      <c r="D15" s="219"/>
      <c r="E15" s="219"/>
      <c r="F15" s="219"/>
      <c r="G15" s="220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</row>
    <row r="16" spans="1:33" s="2" customFormat="1" x14ac:dyDescent="0.2">
      <c r="A16" s="225" t="s">
        <v>87</v>
      </c>
      <c r="B16" s="225" t="str">
        <f>'Option1 (base case)'!A110</f>
        <v>sens1</v>
      </c>
      <c r="C16" s="225" t="str">
        <f>'Option1 (base case)'!C110</f>
        <v>Capex 10% higher</v>
      </c>
      <c r="D16" s="225" t="str">
        <f t="shared" ref="D16:D23" si="0">A16&amp;B16</f>
        <v>OPTION 1 (base case)sens1</v>
      </c>
      <c r="E16" s="217"/>
      <c r="F16" s="28">
        <f>SUMPRODUCT($H16:$AG16, $H$5:$AG$5)</f>
        <v>0</v>
      </c>
      <c r="G16" s="220"/>
      <c r="H16" s="28">
        <f>(INDEX('Option1 (base case)'!H$106:H$117, MATCH($D16, 'Option1 (base case)'!$G$106:$G$117,0)))*conv_2026*H$7</f>
        <v>0</v>
      </c>
      <c r="I16" s="28">
        <f>(INDEX('Option1 (base case)'!I$106:I$117, MATCH($D16, 'Option1 (base case)'!$G$106:$G$117,0)))*conv_2026*I$7</f>
        <v>0</v>
      </c>
      <c r="J16" s="28">
        <f>(INDEX('Option1 (base case)'!J$106:J$117, MATCH($D16, 'Option1 (base case)'!$G$106:$G$117,0)))*conv_2026*J$7</f>
        <v>0</v>
      </c>
      <c r="K16" s="28">
        <f>(INDEX('Option1 (base case)'!K$106:K$117, MATCH($D16, 'Option1 (base case)'!$G$106:$G$117,0)))*conv_2026*K$7</f>
        <v>0</v>
      </c>
      <c r="L16" s="28">
        <f>(INDEX('Option1 (base case)'!L$106:L$117, MATCH($D16, 'Option1 (base case)'!$G$106:$G$117,0)))*conv_2026*L$7</f>
        <v>0</v>
      </c>
      <c r="M16" s="28">
        <f>(INDEX('Option1 (base case)'!M$106:M$117, MATCH($D16, 'Option1 (base case)'!$G$106:$G$117,0)))*conv_2026*M$7</f>
        <v>0</v>
      </c>
      <c r="N16" s="28">
        <f>(INDEX('Option1 (base case)'!N$106:N$117, MATCH($D16, 'Option1 (base case)'!$G$106:$G$117,0)))*conv_2026*N$7</f>
        <v>0</v>
      </c>
      <c r="O16" s="28">
        <f>(INDEX('Option1 (base case)'!O$106:O$117, MATCH($D16, 'Option1 (base case)'!$G$106:$G$117,0)))*conv_2026*O$7</f>
        <v>0</v>
      </c>
      <c r="P16" s="28">
        <f>(INDEX('Option1 (base case)'!P$106:P$117, MATCH($D16, 'Option1 (base case)'!$G$106:$G$117,0)))*conv_2026*P$7</f>
        <v>0</v>
      </c>
      <c r="Q16" s="28">
        <f>(INDEX('Option1 (base case)'!Q$106:Q$117, MATCH($D16, 'Option1 (base case)'!$G$106:$G$117,0)))*conv_2026*Q$7</f>
        <v>0</v>
      </c>
      <c r="R16" s="28">
        <f>(INDEX('Option1 (base case)'!R$106:R$117, MATCH($D16, 'Option1 (base case)'!$G$106:$G$117,0)))*conv_2026*R$7</f>
        <v>0</v>
      </c>
      <c r="S16" s="28">
        <f>(INDEX('Option1 (base case)'!S$106:S$117, MATCH($D16, 'Option1 (base case)'!$G$106:$G$117,0)))*conv_2026*S$7</f>
        <v>0</v>
      </c>
      <c r="T16" s="28">
        <f>(INDEX('Option1 (base case)'!T$106:T$117, MATCH($D16, 'Option1 (base case)'!$G$106:$G$117,0)))*conv_2026*T$7</f>
        <v>0</v>
      </c>
      <c r="U16" s="28">
        <f>(INDEX('Option1 (base case)'!U$106:U$117, MATCH($D16, 'Option1 (base case)'!$G$106:$G$117,0)))*conv_2026*U$7</f>
        <v>0</v>
      </c>
      <c r="V16" s="28">
        <f>(INDEX('Option1 (base case)'!V$106:V$117, MATCH($D16, 'Option1 (base case)'!$G$106:$G$117,0)))*conv_2026*V$7</f>
        <v>0</v>
      </c>
      <c r="W16" s="28">
        <f>(INDEX('Option1 (base case)'!W$106:W$117, MATCH($D16, 'Option1 (base case)'!$G$106:$G$117,0)))*conv_2026*W$7</f>
        <v>0</v>
      </c>
      <c r="X16" s="28">
        <f>(INDEX('Option1 (base case)'!X$106:X$117, MATCH($D16, 'Option1 (base case)'!$G$106:$G$117,0)))*conv_2026*X$7</f>
        <v>0</v>
      </c>
      <c r="Y16" s="28">
        <f>(INDEX('Option1 (base case)'!Y$106:Y$117, MATCH($D16, 'Option1 (base case)'!$G$106:$G$117,0)))*conv_2026*Y$7</f>
        <v>0</v>
      </c>
      <c r="Z16" s="28">
        <f>(INDEX('Option1 (base case)'!Z$106:Z$117, MATCH($D16, 'Option1 (base case)'!$G$106:$G$117,0)))*conv_2026*Z$7</f>
        <v>0</v>
      </c>
      <c r="AA16" s="28">
        <f>(INDEX('Option1 (base case)'!AA$106:AA$117, MATCH($D16, 'Option1 (base case)'!$G$106:$G$117,0)))*conv_2026*AA$7</f>
        <v>0</v>
      </c>
      <c r="AB16" s="28">
        <f>(INDEX('Option1 (base case)'!AB$106:AB$117, MATCH($D16, 'Option1 (base case)'!$G$106:$G$117,0)))*conv_2026*AB$7</f>
        <v>0</v>
      </c>
      <c r="AC16" s="28">
        <f>(INDEX('Option1 (base case)'!AC$106:AC$117, MATCH($D16, 'Option1 (base case)'!$G$106:$G$117,0)))*conv_2026*AC$7</f>
        <v>0</v>
      </c>
      <c r="AD16" s="28">
        <f>(INDEX('Option1 (base case)'!AD$106:AD$117, MATCH($D16, 'Option1 (base case)'!$G$106:$G$117,0)))*conv_2026*AD$7</f>
        <v>0</v>
      </c>
      <c r="AE16" s="28">
        <f>(INDEX('Option1 (base case)'!AE$106:AE$117, MATCH($D16, 'Option1 (base case)'!$G$106:$G$117,0)))*conv_2026*AE$7</f>
        <v>0</v>
      </c>
      <c r="AF16" s="28">
        <f>(INDEX('Option1 (base case)'!AF$106:AF$117, MATCH($D16, 'Option1 (base case)'!$G$106:$G$117,0)))*conv_2026*AF$7</f>
        <v>0</v>
      </c>
      <c r="AG16" s="28">
        <f>(INDEX('Option1 (base case)'!AG$106:AG$117, MATCH($D16, 'Option1 (base case)'!$G$106:$G$117,0)))*conv_2026*AG$7</f>
        <v>0</v>
      </c>
    </row>
    <row r="17" spans="1:35" s="2" customFormat="1" x14ac:dyDescent="0.2">
      <c r="A17" s="225" t="s">
        <v>87</v>
      </c>
      <c r="B17" s="225" t="str">
        <f>'Option1 (base case)'!A111</f>
        <v>sens2</v>
      </c>
      <c r="C17" s="225" t="str">
        <f>'Option1 (base case)'!C111</f>
        <v>Capex 10% lower</v>
      </c>
      <c r="D17" s="225" t="str">
        <f t="shared" si="0"/>
        <v>OPTION 1 (base case)sens2</v>
      </c>
      <c r="E17" s="217"/>
      <c r="F17" s="28">
        <f t="shared" ref="F17:F23" si="1">SUMPRODUCT($H17:$AG17, $H$5:$AG$5)</f>
        <v>0</v>
      </c>
      <c r="G17" s="225"/>
      <c r="H17" s="28">
        <f>(INDEX('Option1 (base case)'!H$106:H$117, MATCH($D17, 'Option1 (base case)'!$G$106:$G$117,0)))*conv_2026*H$7</f>
        <v>0</v>
      </c>
      <c r="I17" s="28">
        <f>(INDEX('Option1 (base case)'!I$106:I$117, MATCH($D17, 'Option1 (base case)'!$G$106:$G$117,0)))*conv_2026*I$7</f>
        <v>0</v>
      </c>
      <c r="J17" s="28">
        <f>(INDEX('Option1 (base case)'!J$106:J$117, MATCH($D17, 'Option1 (base case)'!$G$106:$G$117,0)))*conv_2026*J$7</f>
        <v>0</v>
      </c>
      <c r="K17" s="28">
        <f>(INDEX('Option1 (base case)'!K$106:K$117, MATCH($D17, 'Option1 (base case)'!$G$106:$G$117,0)))*conv_2026*K$7</f>
        <v>0</v>
      </c>
      <c r="L17" s="28">
        <f>(INDEX('Option1 (base case)'!L$106:L$117, MATCH($D17, 'Option1 (base case)'!$G$106:$G$117,0)))*conv_2026*L$7</f>
        <v>0</v>
      </c>
      <c r="M17" s="28">
        <f>(INDEX('Option1 (base case)'!M$106:M$117, MATCH($D17, 'Option1 (base case)'!$G$106:$G$117,0)))*conv_2026*M$7</f>
        <v>0</v>
      </c>
      <c r="N17" s="28">
        <f>(INDEX('Option1 (base case)'!N$106:N$117, MATCH($D17, 'Option1 (base case)'!$G$106:$G$117,0)))*conv_2026*N$7</f>
        <v>0</v>
      </c>
      <c r="O17" s="28">
        <f>(INDEX('Option1 (base case)'!O$106:O$117, MATCH($D17, 'Option1 (base case)'!$G$106:$G$117,0)))*conv_2026*O$7</f>
        <v>0</v>
      </c>
      <c r="P17" s="28">
        <f>(INDEX('Option1 (base case)'!P$106:P$117, MATCH($D17, 'Option1 (base case)'!$G$106:$G$117,0)))*conv_2026*P$7</f>
        <v>0</v>
      </c>
      <c r="Q17" s="28">
        <f>(INDEX('Option1 (base case)'!Q$106:Q$117, MATCH($D17, 'Option1 (base case)'!$G$106:$G$117,0)))*conv_2026*Q$7</f>
        <v>0</v>
      </c>
      <c r="R17" s="28">
        <f>(INDEX('Option1 (base case)'!R$106:R$117, MATCH($D17, 'Option1 (base case)'!$G$106:$G$117,0)))*conv_2026*R$7</f>
        <v>0</v>
      </c>
      <c r="S17" s="28">
        <f>(INDEX('Option1 (base case)'!S$106:S$117, MATCH($D17, 'Option1 (base case)'!$G$106:$G$117,0)))*conv_2026*S$7</f>
        <v>0</v>
      </c>
      <c r="T17" s="28">
        <f>(INDEX('Option1 (base case)'!T$106:T$117, MATCH($D17, 'Option1 (base case)'!$G$106:$G$117,0)))*conv_2026*T$7</f>
        <v>0</v>
      </c>
      <c r="U17" s="28">
        <f>(INDEX('Option1 (base case)'!U$106:U$117, MATCH($D17, 'Option1 (base case)'!$G$106:$G$117,0)))*conv_2026*U$7</f>
        <v>0</v>
      </c>
      <c r="V17" s="28">
        <f>(INDEX('Option1 (base case)'!V$106:V$117, MATCH($D17, 'Option1 (base case)'!$G$106:$G$117,0)))*conv_2026*V$7</f>
        <v>0</v>
      </c>
      <c r="W17" s="28">
        <f>(INDEX('Option1 (base case)'!W$106:W$117, MATCH($D17, 'Option1 (base case)'!$G$106:$G$117,0)))*conv_2026*W$7</f>
        <v>0</v>
      </c>
      <c r="X17" s="28">
        <f>(INDEX('Option1 (base case)'!X$106:X$117, MATCH($D17, 'Option1 (base case)'!$G$106:$G$117,0)))*conv_2026*X$7</f>
        <v>0</v>
      </c>
      <c r="Y17" s="28">
        <f>(INDEX('Option1 (base case)'!Y$106:Y$117, MATCH($D17, 'Option1 (base case)'!$G$106:$G$117,0)))*conv_2026*Y$7</f>
        <v>0</v>
      </c>
      <c r="Z17" s="28">
        <f>(INDEX('Option1 (base case)'!Z$106:Z$117, MATCH($D17, 'Option1 (base case)'!$G$106:$G$117,0)))*conv_2026*Z$7</f>
        <v>0</v>
      </c>
      <c r="AA17" s="28">
        <f>(INDEX('Option1 (base case)'!AA$106:AA$117, MATCH($D17, 'Option1 (base case)'!$G$106:$G$117,0)))*conv_2026*AA$7</f>
        <v>0</v>
      </c>
      <c r="AB17" s="28">
        <f>(INDEX('Option1 (base case)'!AB$106:AB$117, MATCH($D17, 'Option1 (base case)'!$G$106:$G$117,0)))*conv_2026*AB$7</f>
        <v>0</v>
      </c>
      <c r="AC17" s="28">
        <f>(INDEX('Option1 (base case)'!AC$106:AC$117, MATCH($D17, 'Option1 (base case)'!$G$106:$G$117,0)))*conv_2026*AC$7</f>
        <v>0</v>
      </c>
      <c r="AD17" s="28">
        <f>(INDEX('Option1 (base case)'!AD$106:AD$117, MATCH($D17, 'Option1 (base case)'!$G$106:$G$117,0)))*conv_2026*AD$7</f>
        <v>0</v>
      </c>
      <c r="AE17" s="28">
        <f>(INDEX('Option1 (base case)'!AE$106:AE$117, MATCH($D17, 'Option1 (base case)'!$G$106:$G$117,0)))*conv_2026*AE$7</f>
        <v>0</v>
      </c>
      <c r="AF17" s="28">
        <f>(INDEX('Option1 (base case)'!AF$106:AF$117, MATCH($D17, 'Option1 (base case)'!$G$106:$G$117,0)))*conv_2026*AF$7</f>
        <v>0</v>
      </c>
      <c r="AG17" s="28">
        <f>(INDEX('Option1 (base case)'!AG$106:AG$117, MATCH($D17, 'Option1 (base case)'!$G$106:$G$117,0)))*conv_2026*AG$7</f>
        <v>0</v>
      </c>
      <c r="AH17" s="6"/>
      <c r="AI17" s="6"/>
    </row>
    <row r="18" spans="1:35" s="2" customFormat="1" x14ac:dyDescent="0.2">
      <c r="A18" s="225" t="s">
        <v>87</v>
      </c>
      <c r="B18" s="225" t="str">
        <f>'Option1 (base case)'!A112</f>
        <v>sens3</v>
      </c>
      <c r="C18" s="225" t="str">
        <f>'Option1 (base case)'!C112</f>
        <v>Total benefits 10% higher</v>
      </c>
      <c r="D18" s="225" t="str">
        <f t="shared" si="0"/>
        <v>OPTION 1 (base case)sens3</v>
      </c>
      <c r="E18" s="217"/>
      <c r="F18" s="28">
        <f t="shared" si="1"/>
        <v>0</v>
      </c>
      <c r="G18" s="6"/>
      <c r="H18" s="28">
        <f>(INDEX('Option1 (base case)'!H$106:H$117, MATCH($D18, 'Option1 (base case)'!$G$106:$G$117,0)))*conv_2026*H$7</f>
        <v>0</v>
      </c>
      <c r="I18" s="28">
        <f>(INDEX('Option1 (base case)'!I$106:I$117, MATCH($D18, 'Option1 (base case)'!$G$106:$G$117,0)))*conv_2026*I$7</f>
        <v>0</v>
      </c>
      <c r="J18" s="28">
        <f>(INDEX('Option1 (base case)'!J$106:J$117, MATCH($D18, 'Option1 (base case)'!$G$106:$G$117,0)))*conv_2026*J$7</f>
        <v>0</v>
      </c>
      <c r="K18" s="28">
        <f>(INDEX('Option1 (base case)'!K$106:K$117, MATCH($D18, 'Option1 (base case)'!$G$106:$G$117,0)))*conv_2026*K$7</f>
        <v>0</v>
      </c>
      <c r="L18" s="28">
        <f>(INDEX('Option1 (base case)'!L$106:L$117, MATCH($D18, 'Option1 (base case)'!$G$106:$G$117,0)))*conv_2026*L$7</f>
        <v>0</v>
      </c>
      <c r="M18" s="28">
        <f>(INDEX('Option1 (base case)'!M$106:M$117, MATCH($D18, 'Option1 (base case)'!$G$106:$G$117,0)))*conv_2026*M$7</f>
        <v>0</v>
      </c>
      <c r="N18" s="28">
        <f>(INDEX('Option1 (base case)'!N$106:N$117, MATCH($D18, 'Option1 (base case)'!$G$106:$G$117,0)))*conv_2026*N$7</f>
        <v>0</v>
      </c>
      <c r="O18" s="28">
        <f>(INDEX('Option1 (base case)'!O$106:O$117, MATCH($D18, 'Option1 (base case)'!$G$106:$G$117,0)))*conv_2026*O$7</f>
        <v>0</v>
      </c>
      <c r="P18" s="28">
        <f>(INDEX('Option1 (base case)'!P$106:P$117, MATCH($D18, 'Option1 (base case)'!$G$106:$G$117,0)))*conv_2026*P$7</f>
        <v>0</v>
      </c>
      <c r="Q18" s="28">
        <f>(INDEX('Option1 (base case)'!Q$106:Q$117, MATCH($D18, 'Option1 (base case)'!$G$106:$G$117,0)))*conv_2026*Q$7</f>
        <v>0</v>
      </c>
      <c r="R18" s="28">
        <f>(INDEX('Option1 (base case)'!R$106:R$117, MATCH($D18, 'Option1 (base case)'!$G$106:$G$117,0)))*conv_2026*R$7</f>
        <v>0</v>
      </c>
      <c r="S18" s="28">
        <f>(INDEX('Option1 (base case)'!S$106:S$117, MATCH($D18, 'Option1 (base case)'!$G$106:$G$117,0)))*conv_2026*S$7</f>
        <v>0</v>
      </c>
      <c r="T18" s="28">
        <f>(INDEX('Option1 (base case)'!T$106:T$117, MATCH($D18, 'Option1 (base case)'!$G$106:$G$117,0)))*conv_2026*T$7</f>
        <v>0</v>
      </c>
      <c r="U18" s="28">
        <f>(INDEX('Option1 (base case)'!U$106:U$117, MATCH($D18, 'Option1 (base case)'!$G$106:$G$117,0)))*conv_2026*U$7</f>
        <v>0</v>
      </c>
      <c r="V18" s="28">
        <f>(INDEX('Option1 (base case)'!V$106:V$117, MATCH($D18, 'Option1 (base case)'!$G$106:$G$117,0)))*conv_2026*V$7</f>
        <v>0</v>
      </c>
      <c r="W18" s="28">
        <f>(INDEX('Option1 (base case)'!W$106:W$117, MATCH($D18, 'Option1 (base case)'!$G$106:$G$117,0)))*conv_2026*W$7</f>
        <v>0</v>
      </c>
      <c r="X18" s="28">
        <f>(INDEX('Option1 (base case)'!X$106:X$117, MATCH($D18, 'Option1 (base case)'!$G$106:$G$117,0)))*conv_2026*X$7</f>
        <v>0</v>
      </c>
      <c r="Y18" s="28">
        <f>(INDEX('Option1 (base case)'!Y$106:Y$117, MATCH($D18, 'Option1 (base case)'!$G$106:$G$117,0)))*conv_2026*Y$7</f>
        <v>0</v>
      </c>
      <c r="Z18" s="28">
        <f>(INDEX('Option1 (base case)'!Z$106:Z$117, MATCH($D18, 'Option1 (base case)'!$G$106:$G$117,0)))*conv_2026*Z$7</f>
        <v>0</v>
      </c>
      <c r="AA18" s="28">
        <f>(INDEX('Option1 (base case)'!AA$106:AA$117, MATCH($D18, 'Option1 (base case)'!$G$106:$G$117,0)))*conv_2026*AA$7</f>
        <v>0</v>
      </c>
      <c r="AB18" s="28">
        <f>(INDEX('Option1 (base case)'!AB$106:AB$117, MATCH($D18, 'Option1 (base case)'!$G$106:$G$117,0)))*conv_2026*AB$7</f>
        <v>0</v>
      </c>
      <c r="AC18" s="28">
        <f>(INDEX('Option1 (base case)'!AC$106:AC$117, MATCH($D18, 'Option1 (base case)'!$G$106:$G$117,0)))*conv_2026*AC$7</f>
        <v>0</v>
      </c>
      <c r="AD18" s="28">
        <f>(INDEX('Option1 (base case)'!AD$106:AD$117, MATCH($D18, 'Option1 (base case)'!$G$106:$G$117,0)))*conv_2026*AD$7</f>
        <v>0</v>
      </c>
      <c r="AE18" s="28">
        <f>(INDEX('Option1 (base case)'!AE$106:AE$117, MATCH($D18, 'Option1 (base case)'!$G$106:$G$117,0)))*conv_2026*AE$7</f>
        <v>0</v>
      </c>
      <c r="AF18" s="28">
        <f>(INDEX('Option1 (base case)'!AF$106:AF$117, MATCH($D18, 'Option1 (base case)'!$G$106:$G$117,0)))*conv_2026*AF$7</f>
        <v>0</v>
      </c>
      <c r="AG18" s="28">
        <f>(INDEX('Option1 (base case)'!AG$106:AG$117, MATCH($D18, 'Option1 (base case)'!$G$106:$G$117,0)))*conv_2026*AG$7</f>
        <v>0</v>
      </c>
      <c r="AH18" s="6"/>
      <c r="AI18" s="6"/>
    </row>
    <row r="19" spans="1:35" s="2" customFormat="1" x14ac:dyDescent="0.2">
      <c r="A19" s="225" t="s">
        <v>87</v>
      </c>
      <c r="B19" s="225" t="str">
        <f>'Option1 (base case)'!A113</f>
        <v>sens4</v>
      </c>
      <c r="C19" s="225" t="str">
        <f>'Option1 (base case)'!C113</f>
        <v>Total benefits 10% lower</v>
      </c>
      <c r="D19" s="225" t="str">
        <f t="shared" si="0"/>
        <v>OPTION 1 (base case)sens4</v>
      </c>
      <c r="E19" s="217"/>
      <c r="F19" s="28">
        <f t="shared" si="1"/>
        <v>0</v>
      </c>
      <c r="G19" s="6"/>
      <c r="H19" s="28">
        <f>(INDEX('Option1 (base case)'!H$106:H$117, MATCH($D19, 'Option1 (base case)'!$G$106:$G$117,0)))*conv_2026*H$7</f>
        <v>0</v>
      </c>
      <c r="I19" s="28">
        <f>(INDEX('Option1 (base case)'!I$106:I$117, MATCH($D19, 'Option1 (base case)'!$G$106:$G$117,0)))*conv_2026*I$7</f>
        <v>0</v>
      </c>
      <c r="J19" s="28">
        <f>(INDEX('Option1 (base case)'!J$106:J$117, MATCH($D19, 'Option1 (base case)'!$G$106:$G$117,0)))*conv_2026*J$7</f>
        <v>0</v>
      </c>
      <c r="K19" s="28">
        <f>(INDEX('Option1 (base case)'!K$106:K$117, MATCH($D19, 'Option1 (base case)'!$G$106:$G$117,0)))*conv_2026*K$7</f>
        <v>0</v>
      </c>
      <c r="L19" s="28">
        <f>(INDEX('Option1 (base case)'!L$106:L$117, MATCH($D19, 'Option1 (base case)'!$G$106:$G$117,0)))*conv_2026*L$7</f>
        <v>0</v>
      </c>
      <c r="M19" s="28">
        <f>(INDEX('Option1 (base case)'!M$106:M$117, MATCH($D19, 'Option1 (base case)'!$G$106:$G$117,0)))*conv_2026*M$7</f>
        <v>0</v>
      </c>
      <c r="N19" s="28">
        <f>(INDEX('Option1 (base case)'!N$106:N$117, MATCH($D19, 'Option1 (base case)'!$G$106:$G$117,0)))*conv_2026*N$7</f>
        <v>0</v>
      </c>
      <c r="O19" s="28">
        <f>(INDEX('Option1 (base case)'!O$106:O$117, MATCH($D19, 'Option1 (base case)'!$G$106:$G$117,0)))*conv_2026*O$7</f>
        <v>0</v>
      </c>
      <c r="P19" s="28">
        <f>(INDEX('Option1 (base case)'!P$106:P$117, MATCH($D19, 'Option1 (base case)'!$G$106:$G$117,0)))*conv_2026*P$7</f>
        <v>0</v>
      </c>
      <c r="Q19" s="28">
        <f>(INDEX('Option1 (base case)'!Q$106:Q$117, MATCH($D19, 'Option1 (base case)'!$G$106:$G$117,0)))*conv_2026*Q$7</f>
        <v>0</v>
      </c>
      <c r="R19" s="28">
        <f>(INDEX('Option1 (base case)'!R$106:R$117, MATCH($D19, 'Option1 (base case)'!$G$106:$G$117,0)))*conv_2026*R$7</f>
        <v>0</v>
      </c>
      <c r="S19" s="28">
        <f>(INDEX('Option1 (base case)'!S$106:S$117, MATCH($D19, 'Option1 (base case)'!$G$106:$G$117,0)))*conv_2026*S$7</f>
        <v>0</v>
      </c>
      <c r="T19" s="28">
        <f>(INDEX('Option1 (base case)'!T$106:T$117, MATCH($D19, 'Option1 (base case)'!$G$106:$G$117,0)))*conv_2026*T$7</f>
        <v>0</v>
      </c>
      <c r="U19" s="28">
        <f>(INDEX('Option1 (base case)'!U$106:U$117, MATCH($D19, 'Option1 (base case)'!$G$106:$G$117,0)))*conv_2026*U$7</f>
        <v>0</v>
      </c>
      <c r="V19" s="28">
        <f>(INDEX('Option1 (base case)'!V$106:V$117, MATCH($D19, 'Option1 (base case)'!$G$106:$G$117,0)))*conv_2026*V$7</f>
        <v>0</v>
      </c>
      <c r="W19" s="28">
        <f>(INDEX('Option1 (base case)'!W$106:W$117, MATCH($D19, 'Option1 (base case)'!$G$106:$G$117,0)))*conv_2026*W$7</f>
        <v>0</v>
      </c>
      <c r="X19" s="28">
        <f>(INDEX('Option1 (base case)'!X$106:X$117, MATCH($D19, 'Option1 (base case)'!$G$106:$G$117,0)))*conv_2026*X$7</f>
        <v>0</v>
      </c>
      <c r="Y19" s="28">
        <f>(INDEX('Option1 (base case)'!Y$106:Y$117, MATCH($D19, 'Option1 (base case)'!$G$106:$G$117,0)))*conv_2026*Y$7</f>
        <v>0</v>
      </c>
      <c r="Z19" s="28">
        <f>(INDEX('Option1 (base case)'!Z$106:Z$117, MATCH($D19, 'Option1 (base case)'!$G$106:$G$117,0)))*conv_2026*Z$7</f>
        <v>0</v>
      </c>
      <c r="AA19" s="28">
        <f>(INDEX('Option1 (base case)'!AA$106:AA$117, MATCH($D19, 'Option1 (base case)'!$G$106:$G$117,0)))*conv_2026*AA$7</f>
        <v>0</v>
      </c>
      <c r="AB19" s="28">
        <f>(INDEX('Option1 (base case)'!AB$106:AB$117, MATCH($D19, 'Option1 (base case)'!$G$106:$G$117,0)))*conv_2026*AB$7</f>
        <v>0</v>
      </c>
      <c r="AC19" s="28">
        <f>(INDEX('Option1 (base case)'!AC$106:AC$117, MATCH($D19, 'Option1 (base case)'!$G$106:$G$117,0)))*conv_2026*AC$7</f>
        <v>0</v>
      </c>
      <c r="AD19" s="28">
        <f>(INDEX('Option1 (base case)'!AD$106:AD$117, MATCH($D19, 'Option1 (base case)'!$G$106:$G$117,0)))*conv_2026*AD$7</f>
        <v>0</v>
      </c>
      <c r="AE19" s="28">
        <f>(INDEX('Option1 (base case)'!AE$106:AE$117, MATCH($D19, 'Option1 (base case)'!$G$106:$G$117,0)))*conv_2026*AE$7</f>
        <v>0</v>
      </c>
      <c r="AF19" s="28">
        <f>(INDEX('Option1 (base case)'!AF$106:AF$117, MATCH($D19, 'Option1 (base case)'!$G$106:$G$117,0)))*conv_2026*AF$7</f>
        <v>0</v>
      </c>
      <c r="AG19" s="28">
        <f>(INDEX('Option1 (base case)'!AG$106:AG$117, MATCH($D19, 'Option1 (base case)'!$G$106:$G$117,0)))*conv_2026*AG$7</f>
        <v>0</v>
      </c>
      <c r="AH19" s="6"/>
      <c r="AI19" s="6"/>
    </row>
    <row r="20" spans="1:35" s="2" customFormat="1" x14ac:dyDescent="0.2">
      <c r="A20" s="225" t="s">
        <v>87</v>
      </c>
      <c r="B20" s="225" t="str">
        <f>'Option1 (base case)'!A114</f>
        <v>sens5</v>
      </c>
      <c r="C20" s="225" t="str">
        <f>'Option1 (base case)'!C114</f>
        <v>Capex 10% higher &amp; Total benefits 10% lower</v>
      </c>
      <c r="D20" s="225" t="str">
        <f t="shared" si="0"/>
        <v>OPTION 1 (base case)sens5</v>
      </c>
      <c r="E20" s="217"/>
      <c r="F20" s="28">
        <f t="shared" si="1"/>
        <v>0</v>
      </c>
      <c r="G20" s="6"/>
      <c r="H20" s="28">
        <f>(INDEX('Option1 (base case)'!H$106:H$117, MATCH($D20, 'Option1 (base case)'!$G$106:$G$117,0)))*conv_2026*H$7</f>
        <v>0</v>
      </c>
      <c r="I20" s="28">
        <f>(INDEX('Option1 (base case)'!I$106:I$117, MATCH($D20, 'Option1 (base case)'!$G$106:$G$117,0)))*conv_2026*I$7</f>
        <v>0</v>
      </c>
      <c r="J20" s="28">
        <f>(INDEX('Option1 (base case)'!J$106:J$117, MATCH($D20, 'Option1 (base case)'!$G$106:$G$117,0)))*conv_2026*J$7</f>
        <v>0</v>
      </c>
      <c r="K20" s="28">
        <f>(INDEX('Option1 (base case)'!K$106:K$117, MATCH($D20, 'Option1 (base case)'!$G$106:$G$117,0)))*conv_2026*K$7</f>
        <v>0</v>
      </c>
      <c r="L20" s="28">
        <f>(INDEX('Option1 (base case)'!L$106:L$117, MATCH($D20, 'Option1 (base case)'!$G$106:$G$117,0)))*conv_2026*L$7</f>
        <v>0</v>
      </c>
      <c r="M20" s="28">
        <f>(INDEX('Option1 (base case)'!M$106:M$117, MATCH($D20, 'Option1 (base case)'!$G$106:$G$117,0)))*conv_2026*M$7</f>
        <v>0</v>
      </c>
      <c r="N20" s="28">
        <f>(INDEX('Option1 (base case)'!N$106:N$117, MATCH($D20, 'Option1 (base case)'!$G$106:$G$117,0)))*conv_2026*N$7</f>
        <v>0</v>
      </c>
      <c r="O20" s="28">
        <f>(INDEX('Option1 (base case)'!O$106:O$117, MATCH($D20, 'Option1 (base case)'!$G$106:$G$117,0)))*conv_2026*O$7</f>
        <v>0</v>
      </c>
      <c r="P20" s="28">
        <f>(INDEX('Option1 (base case)'!P$106:P$117, MATCH($D20, 'Option1 (base case)'!$G$106:$G$117,0)))*conv_2026*P$7</f>
        <v>0</v>
      </c>
      <c r="Q20" s="28">
        <f>(INDEX('Option1 (base case)'!Q$106:Q$117, MATCH($D20, 'Option1 (base case)'!$G$106:$G$117,0)))*conv_2026*Q$7</f>
        <v>0</v>
      </c>
      <c r="R20" s="28">
        <f>(INDEX('Option1 (base case)'!R$106:R$117, MATCH($D20, 'Option1 (base case)'!$G$106:$G$117,0)))*conv_2026*R$7</f>
        <v>0</v>
      </c>
      <c r="S20" s="28">
        <f>(INDEX('Option1 (base case)'!S$106:S$117, MATCH($D20, 'Option1 (base case)'!$G$106:$G$117,0)))*conv_2026*S$7</f>
        <v>0</v>
      </c>
      <c r="T20" s="28">
        <f>(INDEX('Option1 (base case)'!T$106:T$117, MATCH($D20, 'Option1 (base case)'!$G$106:$G$117,0)))*conv_2026*T$7</f>
        <v>0</v>
      </c>
      <c r="U20" s="28">
        <f>(INDEX('Option1 (base case)'!U$106:U$117, MATCH($D20, 'Option1 (base case)'!$G$106:$G$117,0)))*conv_2026*U$7</f>
        <v>0</v>
      </c>
      <c r="V20" s="28">
        <f>(INDEX('Option1 (base case)'!V$106:V$117, MATCH($D20, 'Option1 (base case)'!$G$106:$G$117,0)))*conv_2026*V$7</f>
        <v>0</v>
      </c>
      <c r="W20" s="28">
        <f>(INDEX('Option1 (base case)'!W$106:W$117, MATCH($D20, 'Option1 (base case)'!$G$106:$G$117,0)))*conv_2026*W$7</f>
        <v>0</v>
      </c>
      <c r="X20" s="28">
        <f>(INDEX('Option1 (base case)'!X$106:X$117, MATCH($D20, 'Option1 (base case)'!$G$106:$G$117,0)))*conv_2026*X$7</f>
        <v>0</v>
      </c>
      <c r="Y20" s="28">
        <f>(INDEX('Option1 (base case)'!Y$106:Y$117, MATCH($D20, 'Option1 (base case)'!$G$106:$G$117,0)))*conv_2026*Y$7</f>
        <v>0</v>
      </c>
      <c r="Z20" s="28">
        <f>(INDEX('Option1 (base case)'!Z$106:Z$117, MATCH($D20, 'Option1 (base case)'!$G$106:$G$117,0)))*conv_2026*Z$7</f>
        <v>0</v>
      </c>
      <c r="AA20" s="28">
        <f>(INDEX('Option1 (base case)'!AA$106:AA$117, MATCH($D20, 'Option1 (base case)'!$G$106:$G$117,0)))*conv_2026*AA$7</f>
        <v>0</v>
      </c>
      <c r="AB20" s="28">
        <f>(INDEX('Option1 (base case)'!AB$106:AB$117, MATCH($D20, 'Option1 (base case)'!$G$106:$G$117,0)))*conv_2026*AB$7</f>
        <v>0</v>
      </c>
      <c r="AC20" s="28">
        <f>(INDEX('Option1 (base case)'!AC$106:AC$117, MATCH($D20, 'Option1 (base case)'!$G$106:$G$117,0)))*conv_2026*AC$7</f>
        <v>0</v>
      </c>
      <c r="AD20" s="28">
        <f>(INDEX('Option1 (base case)'!AD$106:AD$117, MATCH($D20, 'Option1 (base case)'!$G$106:$G$117,0)))*conv_2026*AD$7</f>
        <v>0</v>
      </c>
      <c r="AE20" s="28">
        <f>(INDEX('Option1 (base case)'!AE$106:AE$117, MATCH($D20, 'Option1 (base case)'!$G$106:$G$117,0)))*conv_2026*AE$7</f>
        <v>0</v>
      </c>
      <c r="AF20" s="28">
        <f>(INDEX('Option1 (base case)'!AF$106:AF$117, MATCH($D20, 'Option1 (base case)'!$G$106:$G$117,0)))*conv_2026*AF$7</f>
        <v>0</v>
      </c>
      <c r="AG20" s="28">
        <f>(INDEX('Option1 (base case)'!AG$106:AG$117, MATCH($D20, 'Option1 (base case)'!$G$106:$G$117,0)))*conv_2026*AG$7</f>
        <v>0</v>
      </c>
      <c r="AH20" s="6"/>
      <c r="AI20" s="6"/>
    </row>
    <row r="21" spans="1:35" s="2" customFormat="1" x14ac:dyDescent="0.2">
      <c r="A21" s="225" t="s">
        <v>87</v>
      </c>
      <c r="B21" s="225" t="str">
        <f>'Option1 (base case)'!A115</f>
        <v>sens</v>
      </c>
      <c r="C21" s="225">
        <f>'Option1 (base case)'!C115</f>
        <v>0</v>
      </c>
      <c r="D21" s="225" t="str">
        <f t="shared" si="0"/>
        <v>OPTION 1 (base case)sens</v>
      </c>
      <c r="E21" s="217"/>
      <c r="F21" s="28">
        <f t="shared" si="1"/>
        <v>0</v>
      </c>
      <c r="G21" s="6"/>
      <c r="H21" s="28">
        <f>(INDEX('Option1 (base case)'!H$106:H$117, MATCH($D21, 'Option1 (base case)'!$G$106:$G$117,0)))*conv_2026*H$7</f>
        <v>0</v>
      </c>
      <c r="I21" s="28">
        <f>(INDEX('Option1 (base case)'!I$106:I$117, MATCH($D21, 'Option1 (base case)'!$G$106:$G$117,0)))*conv_2026*I$7</f>
        <v>0</v>
      </c>
      <c r="J21" s="28">
        <f>(INDEX('Option1 (base case)'!J$106:J$117, MATCH($D21, 'Option1 (base case)'!$G$106:$G$117,0)))*conv_2026*J$7</f>
        <v>0</v>
      </c>
      <c r="K21" s="28">
        <f>(INDEX('Option1 (base case)'!K$106:K$117, MATCH($D21, 'Option1 (base case)'!$G$106:$G$117,0)))*conv_2026*K$7</f>
        <v>0</v>
      </c>
      <c r="L21" s="28">
        <f>(INDEX('Option1 (base case)'!L$106:L$117, MATCH($D21, 'Option1 (base case)'!$G$106:$G$117,0)))*conv_2026*L$7</f>
        <v>0</v>
      </c>
      <c r="M21" s="28">
        <f>(INDEX('Option1 (base case)'!M$106:M$117, MATCH($D21, 'Option1 (base case)'!$G$106:$G$117,0)))*conv_2026*M$7</f>
        <v>0</v>
      </c>
      <c r="N21" s="28">
        <f>(INDEX('Option1 (base case)'!N$106:N$117, MATCH($D21, 'Option1 (base case)'!$G$106:$G$117,0)))*conv_2026*N$7</f>
        <v>0</v>
      </c>
      <c r="O21" s="28">
        <f>(INDEX('Option1 (base case)'!O$106:O$117, MATCH($D21, 'Option1 (base case)'!$G$106:$G$117,0)))*conv_2026*O$7</f>
        <v>0</v>
      </c>
      <c r="P21" s="28">
        <f>(INDEX('Option1 (base case)'!P$106:P$117, MATCH($D21, 'Option1 (base case)'!$G$106:$G$117,0)))*conv_2026*P$7</f>
        <v>0</v>
      </c>
      <c r="Q21" s="28">
        <f>(INDEX('Option1 (base case)'!Q$106:Q$117, MATCH($D21, 'Option1 (base case)'!$G$106:$G$117,0)))*conv_2026*Q$7</f>
        <v>0</v>
      </c>
      <c r="R21" s="28">
        <f>(INDEX('Option1 (base case)'!R$106:R$117, MATCH($D21, 'Option1 (base case)'!$G$106:$G$117,0)))*conv_2026*R$7</f>
        <v>0</v>
      </c>
      <c r="S21" s="28">
        <f>(INDEX('Option1 (base case)'!S$106:S$117, MATCH($D21, 'Option1 (base case)'!$G$106:$G$117,0)))*conv_2026*S$7</f>
        <v>0</v>
      </c>
      <c r="T21" s="28">
        <f>(INDEX('Option1 (base case)'!T$106:T$117, MATCH($D21, 'Option1 (base case)'!$G$106:$G$117,0)))*conv_2026*T$7</f>
        <v>0</v>
      </c>
      <c r="U21" s="28">
        <f>(INDEX('Option1 (base case)'!U$106:U$117, MATCH($D21, 'Option1 (base case)'!$G$106:$G$117,0)))*conv_2026*U$7</f>
        <v>0</v>
      </c>
      <c r="V21" s="28">
        <f>(INDEX('Option1 (base case)'!V$106:V$117, MATCH($D21, 'Option1 (base case)'!$G$106:$G$117,0)))*conv_2026*V$7</f>
        <v>0</v>
      </c>
      <c r="W21" s="28">
        <f>(INDEX('Option1 (base case)'!W$106:W$117, MATCH($D21, 'Option1 (base case)'!$G$106:$G$117,0)))*conv_2026*W$7</f>
        <v>0</v>
      </c>
      <c r="X21" s="28">
        <f>(INDEX('Option1 (base case)'!X$106:X$117, MATCH($D21, 'Option1 (base case)'!$G$106:$G$117,0)))*conv_2026*X$7</f>
        <v>0</v>
      </c>
      <c r="Y21" s="28">
        <f>(INDEX('Option1 (base case)'!Y$106:Y$117, MATCH($D21, 'Option1 (base case)'!$G$106:$G$117,0)))*conv_2026*Y$7</f>
        <v>0</v>
      </c>
      <c r="Z21" s="28">
        <f>(INDEX('Option1 (base case)'!Z$106:Z$117, MATCH($D21, 'Option1 (base case)'!$G$106:$G$117,0)))*conv_2026*Z$7</f>
        <v>0</v>
      </c>
      <c r="AA21" s="28">
        <f>(INDEX('Option1 (base case)'!AA$106:AA$117, MATCH($D21, 'Option1 (base case)'!$G$106:$G$117,0)))*conv_2026*AA$7</f>
        <v>0</v>
      </c>
      <c r="AB21" s="28">
        <f>(INDEX('Option1 (base case)'!AB$106:AB$117, MATCH($D21, 'Option1 (base case)'!$G$106:$G$117,0)))*conv_2026*AB$7</f>
        <v>0</v>
      </c>
      <c r="AC21" s="28">
        <f>(INDEX('Option1 (base case)'!AC$106:AC$117, MATCH($D21, 'Option1 (base case)'!$G$106:$G$117,0)))*conv_2026*AC$7</f>
        <v>0</v>
      </c>
      <c r="AD21" s="28">
        <f>(INDEX('Option1 (base case)'!AD$106:AD$117, MATCH($D21, 'Option1 (base case)'!$G$106:$G$117,0)))*conv_2026*AD$7</f>
        <v>0</v>
      </c>
      <c r="AE21" s="28">
        <f>(INDEX('Option1 (base case)'!AE$106:AE$117, MATCH($D21, 'Option1 (base case)'!$G$106:$G$117,0)))*conv_2026*AE$7</f>
        <v>0</v>
      </c>
      <c r="AF21" s="28">
        <f>(INDEX('Option1 (base case)'!AF$106:AF$117, MATCH($D21, 'Option1 (base case)'!$G$106:$G$117,0)))*conv_2026*AF$7</f>
        <v>0</v>
      </c>
      <c r="AG21" s="28">
        <f>(INDEX('Option1 (base case)'!AG$106:AG$117, MATCH($D21, 'Option1 (base case)'!$G$106:$G$117,0)))*conv_2026*AG$7</f>
        <v>0</v>
      </c>
      <c r="AH21" s="6"/>
      <c r="AI21" s="6"/>
    </row>
    <row r="22" spans="1:35" s="2" customFormat="1" x14ac:dyDescent="0.2">
      <c r="A22" s="225" t="s">
        <v>87</v>
      </c>
      <c r="B22" s="225" t="str">
        <f>'Option1 (base case)'!A116</f>
        <v>sens</v>
      </c>
      <c r="C22" s="225">
        <f>'Option1 (base case)'!C116</f>
        <v>0</v>
      </c>
      <c r="D22" s="225" t="str">
        <f t="shared" si="0"/>
        <v>OPTION 1 (base case)sens</v>
      </c>
      <c r="E22" s="217"/>
      <c r="F22" s="28">
        <f t="shared" si="1"/>
        <v>0</v>
      </c>
      <c r="G22" s="6"/>
      <c r="H22" s="28">
        <f>(INDEX('Option1 (base case)'!H$106:H$117, MATCH($D22, 'Option1 (base case)'!$G$106:$G$117,0)))*conv_2026*H$7</f>
        <v>0</v>
      </c>
      <c r="I22" s="28">
        <f>(INDEX('Option1 (base case)'!I$106:I$117, MATCH($D22, 'Option1 (base case)'!$G$106:$G$117,0)))*conv_2026*I$7</f>
        <v>0</v>
      </c>
      <c r="J22" s="28">
        <f>(INDEX('Option1 (base case)'!J$106:J$117, MATCH($D22, 'Option1 (base case)'!$G$106:$G$117,0)))*conv_2026*J$7</f>
        <v>0</v>
      </c>
      <c r="K22" s="28">
        <f>(INDEX('Option1 (base case)'!K$106:K$117, MATCH($D22, 'Option1 (base case)'!$G$106:$G$117,0)))*conv_2026*K$7</f>
        <v>0</v>
      </c>
      <c r="L22" s="28">
        <f>(INDEX('Option1 (base case)'!L$106:L$117, MATCH($D22, 'Option1 (base case)'!$G$106:$G$117,0)))*conv_2026*L$7</f>
        <v>0</v>
      </c>
      <c r="M22" s="28">
        <f>(INDEX('Option1 (base case)'!M$106:M$117, MATCH($D22, 'Option1 (base case)'!$G$106:$G$117,0)))*conv_2026*M$7</f>
        <v>0</v>
      </c>
      <c r="N22" s="28">
        <f>(INDEX('Option1 (base case)'!N$106:N$117, MATCH($D22, 'Option1 (base case)'!$G$106:$G$117,0)))*conv_2026*N$7</f>
        <v>0</v>
      </c>
      <c r="O22" s="28">
        <f>(INDEX('Option1 (base case)'!O$106:O$117, MATCH($D22, 'Option1 (base case)'!$G$106:$G$117,0)))*conv_2026*O$7</f>
        <v>0</v>
      </c>
      <c r="P22" s="28">
        <f>(INDEX('Option1 (base case)'!P$106:P$117, MATCH($D22, 'Option1 (base case)'!$G$106:$G$117,0)))*conv_2026*P$7</f>
        <v>0</v>
      </c>
      <c r="Q22" s="28">
        <f>(INDEX('Option1 (base case)'!Q$106:Q$117, MATCH($D22, 'Option1 (base case)'!$G$106:$G$117,0)))*conv_2026*Q$7</f>
        <v>0</v>
      </c>
      <c r="R22" s="28">
        <f>(INDEX('Option1 (base case)'!R$106:R$117, MATCH($D22, 'Option1 (base case)'!$G$106:$G$117,0)))*conv_2026*R$7</f>
        <v>0</v>
      </c>
      <c r="S22" s="28">
        <f>(INDEX('Option1 (base case)'!S$106:S$117, MATCH($D22, 'Option1 (base case)'!$G$106:$G$117,0)))*conv_2026*S$7</f>
        <v>0</v>
      </c>
      <c r="T22" s="28">
        <f>(INDEX('Option1 (base case)'!T$106:T$117, MATCH($D22, 'Option1 (base case)'!$G$106:$G$117,0)))*conv_2026*T$7</f>
        <v>0</v>
      </c>
      <c r="U22" s="28">
        <f>(INDEX('Option1 (base case)'!U$106:U$117, MATCH($D22, 'Option1 (base case)'!$G$106:$G$117,0)))*conv_2026*U$7</f>
        <v>0</v>
      </c>
      <c r="V22" s="28">
        <f>(INDEX('Option1 (base case)'!V$106:V$117, MATCH($D22, 'Option1 (base case)'!$G$106:$G$117,0)))*conv_2026*V$7</f>
        <v>0</v>
      </c>
      <c r="W22" s="28">
        <f>(INDEX('Option1 (base case)'!W$106:W$117, MATCH($D22, 'Option1 (base case)'!$G$106:$G$117,0)))*conv_2026*W$7</f>
        <v>0</v>
      </c>
      <c r="X22" s="28">
        <f>(INDEX('Option1 (base case)'!X$106:X$117, MATCH($D22, 'Option1 (base case)'!$G$106:$G$117,0)))*conv_2026*X$7</f>
        <v>0</v>
      </c>
      <c r="Y22" s="28">
        <f>(INDEX('Option1 (base case)'!Y$106:Y$117, MATCH($D22, 'Option1 (base case)'!$G$106:$G$117,0)))*conv_2026*Y$7</f>
        <v>0</v>
      </c>
      <c r="Z22" s="28">
        <f>(INDEX('Option1 (base case)'!Z$106:Z$117, MATCH($D22, 'Option1 (base case)'!$G$106:$G$117,0)))*conv_2026*Z$7</f>
        <v>0</v>
      </c>
      <c r="AA22" s="28">
        <f>(INDEX('Option1 (base case)'!AA$106:AA$117, MATCH($D22, 'Option1 (base case)'!$G$106:$G$117,0)))*conv_2026*AA$7</f>
        <v>0</v>
      </c>
      <c r="AB22" s="28">
        <f>(INDEX('Option1 (base case)'!AB$106:AB$117, MATCH($D22, 'Option1 (base case)'!$G$106:$G$117,0)))*conv_2026*AB$7</f>
        <v>0</v>
      </c>
      <c r="AC22" s="28">
        <f>(INDEX('Option1 (base case)'!AC$106:AC$117, MATCH($D22, 'Option1 (base case)'!$G$106:$G$117,0)))*conv_2026*AC$7</f>
        <v>0</v>
      </c>
      <c r="AD22" s="28">
        <f>(INDEX('Option1 (base case)'!AD$106:AD$117, MATCH($D22, 'Option1 (base case)'!$G$106:$G$117,0)))*conv_2026*AD$7</f>
        <v>0</v>
      </c>
      <c r="AE22" s="28">
        <f>(INDEX('Option1 (base case)'!AE$106:AE$117, MATCH($D22, 'Option1 (base case)'!$G$106:$G$117,0)))*conv_2026*AE$7</f>
        <v>0</v>
      </c>
      <c r="AF22" s="28">
        <f>(INDEX('Option1 (base case)'!AF$106:AF$117, MATCH($D22, 'Option1 (base case)'!$G$106:$G$117,0)))*conv_2026*AF$7</f>
        <v>0</v>
      </c>
      <c r="AG22" s="28">
        <f>(INDEX('Option1 (base case)'!AG$106:AG$117, MATCH($D22, 'Option1 (base case)'!$G$106:$G$117,0)))*conv_2026*AG$7</f>
        <v>0</v>
      </c>
      <c r="AH22" s="6"/>
      <c r="AI22" s="6"/>
    </row>
    <row r="23" spans="1:35" s="2" customFormat="1" x14ac:dyDescent="0.2">
      <c r="A23" s="225" t="s">
        <v>87</v>
      </c>
      <c r="B23" s="225" t="str">
        <f>'Option1 (base case)'!A117</f>
        <v>sens</v>
      </c>
      <c r="C23" s="225">
        <f>'Option1 (base case)'!C117</f>
        <v>0</v>
      </c>
      <c r="D23" s="225" t="str">
        <f t="shared" si="0"/>
        <v>OPTION 1 (base case)sens</v>
      </c>
      <c r="E23" s="217"/>
      <c r="F23" s="28">
        <f t="shared" si="1"/>
        <v>0</v>
      </c>
      <c r="G23" s="6"/>
      <c r="H23" s="28">
        <f>(INDEX('Option1 (base case)'!H$106:H$117, MATCH($D23, 'Option1 (base case)'!$G$106:$G$117,0)))*conv_2026*H$7</f>
        <v>0</v>
      </c>
      <c r="I23" s="28">
        <f>(INDEX('Option1 (base case)'!I$106:I$117, MATCH($D23, 'Option1 (base case)'!$G$106:$G$117,0)))*conv_2026*I$7</f>
        <v>0</v>
      </c>
      <c r="J23" s="28">
        <f>(INDEX('Option1 (base case)'!J$106:J$117, MATCH($D23, 'Option1 (base case)'!$G$106:$G$117,0)))*conv_2026*J$7</f>
        <v>0</v>
      </c>
      <c r="K23" s="28">
        <f>(INDEX('Option1 (base case)'!K$106:K$117, MATCH($D23, 'Option1 (base case)'!$G$106:$G$117,0)))*conv_2026*K$7</f>
        <v>0</v>
      </c>
      <c r="L23" s="28">
        <f>(INDEX('Option1 (base case)'!L$106:L$117, MATCH($D23, 'Option1 (base case)'!$G$106:$G$117,0)))*conv_2026*L$7</f>
        <v>0</v>
      </c>
      <c r="M23" s="28">
        <f>(INDEX('Option1 (base case)'!M$106:M$117, MATCH($D23, 'Option1 (base case)'!$G$106:$G$117,0)))*conv_2026*M$7</f>
        <v>0</v>
      </c>
      <c r="N23" s="28">
        <f>(INDEX('Option1 (base case)'!N$106:N$117, MATCH($D23, 'Option1 (base case)'!$G$106:$G$117,0)))*conv_2026*N$7</f>
        <v>0</v>
      </c>
      <c r="O23" s="28">
        <f>(INDEX('Option1 (base case)'!O$106:O$117, MATCH($D23, 'Option1 (base case)'!$G$106:$G$117,0)))*conv_2026*O$7</f>
        <v>0</v>
      </c>
      <c r="P23" s="28">
        <f>(INDEX('Option1 (base case)'!P$106:P$117, MATCH($D23, 'Option1 (base case)'!$G$106:$G$117,0)))*conv_2026*P$7</f>
        <v>0</v>
      </c>
      <c r="Q23" s="28">
        <f>(INDEX('Option1 (base case)'!Q$106:Q$117, MATCH($D23, 'Option1 (base case)'!$G$106:$G$117,0)))*conv_2026*Q$7</f>
        <v>0</v>
      </c>
      <c r="R23" s="28">
        <f>(INDEX('Option1 (base case)'!R$106:R$117, MATCH($D23, 'Option1 (base case)'!$G$106:$G$117,0)))*conv_2026*R$7</f>
        <v>0</v>
      </c>
      <c r="S23" s="28">
        <f>(INDEX('Option1 (base case)'!S$106:S$117, MATCH($D23, 'Option1 (base case)'!$G$106:$G$117,0)))*conv_2026*S$7</f>
        <v>0</v>
      </c>
      <c r="T23" s="28">
        <f>(INDEX('Option1 (base case)'!T$106:T$117, MATCH($D23, 'Option1 (base case)'!$G$106:$G$117,0)))*conv_2026*T$7</f>
        <v>0</v>
      </c>
      <c r="U23" s="28">
        <f>(INDEX('Option1 (base case)'!U$106:U$117, MATCH($D23, 'Option1 (base case)'!$G$106:$G$117,0)))*conv_2026*U$7</f>
        <v>0</v>
      </c>
      <c r="V23" s="28">
        <f>(INDEX('Option1 (base case)'!V$106:V$117, MATCH($D23, 'Option1 (base case)'!$G$106:$G$117,0)))*conv_2026*V$7</f>
        <v>0</v>
      </c>
      <c r="W23" s="28">
        <f>(INDEX('Option1 (base case)'!W$106:W$117, MATCH($D23, 'Option1 (base case)'!$G$106:$G$117,0)))*conv_2026*W$7</f>
        <v>0</v>
      </c>
      <c r="X23" s="28">
        <f>(INDEX('Option1 (base case)'!X$106:X$117, MATCH($D23, 'Option1 (base case)'!$G$106:$G$117,0)))*conv_2026*X$7</f>
        <v>0</v>
      </c>
      <c r="Y23" s="28">
        <f>(INDEX('Option1 (base case)'!Y$106:Y$117, MATCH($D23, 'Option1 (base case)'!$G$106:$G$117,0)))*conv_2026*Y$7</f>
        <v>0</v>
      </c>
      <c r="Z23" s="28">
        <f>(INDEX('Option1 (base case)'!Z$106:Z$117, MATCH($D23, 'Option1 (base case)'!$G$106:$G$117,0)))*conv_2026*Z$7</f>
        <v>0</v>
      </c>
      <c r="AA23" s="28">
        <f>(INDEX('Option1 (base case)'!AA$106:AA$117, MATCH($D23, 'Option1 (base case)'!$G$106:$G$117,0)))*conv_2026*AA$7</f>
        <v>0</v>
      </c>
      <c r="AB23" s="28">
        <f>(INDEX('Option1 (base case)'!AB$106:AB$117, MATCH($D23, 'Option1 (base case)'!$G$106:$G$117,0)))*conv_2026*AB$7</f>
        <v>0</v>
      </c>
      <c r="AC23" s="28">
        <f>(INDEX('Option1 (base case)'!AC$106:AC$117, MATCH($D23, 'Option1 (base case)'!$G$106:$G$117,0)))*conv_2026*AC$7</f>
        <v>0</v>
      </c>
      <c r="AD23" s="28">
        <f>(INDEX('Option1 (base case)'!AD$106:AD$117, MATCH($D23, 'Option1 (base case)'!$G$106:$G$117,0)))*conv_2026*AD$7</f>
        <v>0</v>
      </c>
      <c r="AE23" s="28">
        <f>(INDEX('Option1 (base case)'!AE$106:AE$117, MATCH($D23, 'Option1 (base case)'!$G$106:$G$117,0)))*conv_2026*AE$7</f>
        <v>0</v>
      </c>
      <c r="AF23" s="28">
        <f>(INDEX('Option1 (base case)'!AF$106:AF$117, MATCH($D23, 'Option1 (base case)'!$G$106:$G$117,0)))*conv_2026*AF$7</f>
        <v>0</v>
      </c>
      <c r="AG23" s="28">
        <f>(INDEX('Option1 (base case)'!AG$106:AG$117, MATCH($D23, 'Option1 (base case)'!$G$106:$G$117,0)))*conv_2026*AG$7</f>
        <v>0</v>
      </c>
      <c r="AH23" s="6"/>
      <c r="AI23" s="6"/>
    </row>
    <row r="24" spans="1:35" s="2" customFormat="1" x14ac:dyDescent="0.2">
      <c r="A24" s="219"/>
      <c r="B24" s="219"/>
      <c r="C24" s="219"/>
      <c r="D24" s="219"/>
      <c r="E24" s="219"/>
      <c r="F24" s="219"/>
      <c r="G24" s="220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</row>
    <row r="25" spans="1:35" s="2" customFormat="1" x14ac:dyDescent="0.2">
      <c r="A25" s="219"/>
      <c r="B25" s="219"/>
      <c r="C25" s="219"/>
      <c r="D25" s="219"/>
      <c r="E25" s="219"/>
      <c r="F25" s="219"/>
      <c r="G25" s="220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</row>
    <row r="26" spans="1:35" s="2" customFormat="1" x14ac:dyDescent="0.2">
      <c r="A26" s="219"/>
      <c r="B26" s="219"/>
      <c r="C26" s="219"/>
      <c r="D26" s="219"/>
      <c r="E26" s="219"/>
      <c r="F26" s="219"/>
      <c r="G26" s="220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1:35" s="2" customFormat="1" x14ac:dyDescent="0.2">
      <c r="A27" s="219"/>
      <c r="B27" s="219"/>
      <c r="C27" s="219"/>
      <c r="D27" s="219"/>
      <c r="E27" s="219"/>
      <c r="F27" s="219"/>
      <c r="G27" s="220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5" s="2" customFormat="1" x14ac:dyDescent="0.2">
      <c r="A28" s="225" t="s">
        <v>148</v>
      </c>
      <c r="B28" s="225" t="s">
        <v>7</v>
      </c>
      <c r="C28" s="225" t="s">
        <v>132</v>
      </c>
      <c r="D28" s="225" t="str">
        <f>A28&amp;B28</f>
        <v>Option 2NPV</v>
      </c>
      <c r="E28" s="217"/>
      <c r="F28" s="28">
        <f>SUMPRODUCT($H28:$AG28, $H$5:$AG$5)</f>
        <v>4985700.4614876602</v>
      </c>
      <c r="G28" s="220"/>
      <c r="H28" s="28">
        <f>(INDEX(Option2!H$106:H$117, MATCH($D28, Option2!$G$106:$G$117,0)))*conv_2026*H$7</f>
        <v>0</v>
      </c>
      <c r="I28" s="28">
        <f>(INDEX(Option2!I$106:I$117, MATCH($D28, Option2!$G$106:$G$117,0)))*conv_2026*I$7</f>
        <v>0</v>
      </c>
      <c r="J28" s="28">
        <f>(INDEX(Option2!J$106:J$117, MATCH($D28, Option2!$G$106:$G$117,0)))*conv_2026*J$7</f>
        <v>0</v>
      </c>
      <c r="K28" s="28">
        <f>(INDEX(Option2!K$106:K$117, MATCH($D28, Option2!$G$106:$G$117,0)))*conv_2026*K$7</f>
        <v>0</v>
      </c>
      <c r="L28" s="28">
        <f>(INDEX(Option2!L$106:L$117, MATCH($D28, Option2!$G$106:$G$117,0)))*conv_2026*L$7</f>
        <v>0</v>
      </c>
      <c r="M28" s="28">
        <f>(INDEX(Option2!M$106:M$117, MATCH($D28, Option2!$G$106:$G$117,0)))*conv_2026*M$7</f>
        <v>-495586.78751227859</v>
      </c>
      <c r="N28" s="28">
        <f>(INDEX(Option2!N$106:N$117, MATCH($D28, Option2!$G$106:$G$117,0)))*conv_2026*N$7</f>
        <v>478863.16896610486</v>
      </c>
      <c r="O28" s="28">
        <f>(INDEX(Option2!O$106:O$117, MATCH($D28, Option2!$G$106:$G$117,0)))*conv_2026*O$7</f>
        <v>478863.16896610486</v>
      </c>
      <c r="P28" s="28">
        <f>(INDEX(Option2!P$106:P$117, MATCH($D28, Option2!$G$106:$G$117,0)))*conv_2026*P$7</f>
        <v>478863.16896610486</v>
      </c>
      <c r="Q28" s="28">
        <f>(INDEX(Option2!Q$106:Q$117, MATCH($D28, Option2!$G$106:$G$117,0)))*conv_2026*Q$7</f>
        <v>478863.16896610486</v>
      </c>
      <c r="R28" s="28">
        <f>(INDEX(Option2!R$106:R$117, MATCH($D28, Option2!$G$106:$G$117,0)))*conv_2026*R$7</f>
        <v>478863.16896610486</v>
      </c>
      <c r="S28" s="28">
        <f>(INDEX(Option2!S$106:S$117, MATCH($D28, Option2!$G$106:$G$117,0)))*conv_2026*S$7</f>
        <v>478863.16896610486</v>
      </c>
      <c r="T28" s="28">
        <f>(INDEX(Option2!T$106:T$117, MATCH($D28, Option2!$G$106:$G$117,0)))*conv_2026*T$7</f>
        <v>478863.16896610486</v>
      </c>
      <c r="U28" s="28">
        <f>(INDEX(Option2!U$106:U$117, MATCH($D28, Option2!$G$106:$G$117,0)))*conv_2026*U$7</f>
        <v>478863.16896610486</v>
      </c>
      <c r="V28" s="28">
        <f>(INDEX(Option2!V$106:V$117, MATCH($D28, Option2!$G$106:$G$117,0)))*conv_2026*V$7</f>
        <v>478863.16896610486</v>
      </c>
      <c r="W28" s="28">
        <f>(INDEX(Option2!W$106:W$117, MATCH($D28, Option2!$G$106:$G$117,0)))*conv_2026*W$7</f>
        <v>478863.16896610486</v>
      </c>
      <c r="X28" s="28">
        <f>(INDEX(Option2!X$106:X$117, MATCH($D28, Option2!$G$106:$G$117,0)))*conv_2026*X$7</f>
        <v>478863.16896610486</v>
      </c>
      <c r="Y28" s="28">
        <f>(INDEX(Option2!Y$106:Y$117, MATCH($D28, Option2!$G$106:$G$117,0)))*conv_2026*Y$7</f>
        <v>478863.16896610486</v>
      </c>
      <c r="Z28" s="28">
        <f>(INDEX(Option2!Z$106:Z$117, MATCH($D28, Option2!$G$106:$G$117,0)))*conv_2026*Z$7</f>
        <v>478863.16896610486</v>
      </c>
      <c r="AA28" s="28">
        <f>(INDEX(Option2!AA$106:AA$117, MATCH($D28, Option2!$G$106:$G$117,0)))*conv_2026*AA$7</f>
        <v>478863.16896610486</v>
      </c>
      <c r="AB28" s="28">
        <f>(INDEX(Option2!AB$106:AB$117, MATCH($D28, Option2!$G$106:$G$117,0)))*conv_2026*AB$7</f>
        <v>478863.16896610486</v>
      </c>
      <c r="AC28" s="28">
        <f>(INDEX(Option2!AC$106:AC$117, MATCH($D28, Option2!$G$106:$G$117,0)))*conv_2026*AC$7</f>
        <v>478863.16896610486</v>
      </c>
      <c r="AD28" s="28">
        <f>(INDEX(Option2!AD$106:AD$117, MATCH($D28, Option2!$G$106:$G$117,0)))*conv_2026*AD$7</f>
        <v>478863.16896610486</v>
      </c>
      <c r="AE28" s="28">
        <f>(INDEX(Option2!AE$106:AE$117, MATCH($D28, Option2!$G$106:$G$117,0)))*conv_2026*AE$7</f>
        <v>478863.16896610486</v>
      </c>
      <c r="AF28" s="28">
        <f>(INDEX(Option2!AF$106:AF$117, MATCH($D28, Option2!$G$106:$G$117,0)))*conv_2026*AF$7</f>
        <v>0</v>
      </c>
      <c r="AG28" s="28">
        <f>(INDEX(Option2!AG$106:AG$117, MATCH($D28, Option2!$G$106:$G$117,0)))*conv_2026*AG$7</f>
        <v>0</v>
      </c>
    </row>
    <row r="29" spans="1:35" s="2" customFormat="1" x14ac:dyDescent="0.2">
      <c r="A29" s="219"/>
      <c r="B29" s="219"/>
      <c r="C29" s="219"/>
      <c r="D29" s="219"/>
      <c r="E29" s="219"/>
      <c r="F29" s="219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</row>
    <row r="30" spans="1:35" s="2" customFormat="1" x14ac:dyDescent="0.2">
      <c r="A30" s="225" t="s">
        <v>148</v>
      </c>
      <c r="B30" s="225" t="str">
        <f>Option2!A110</f>
        <v>sens1</v>
      </c>
      <c r="C30" s="225" t="str">
        <f>Option2!C110</f>
        <v>Capex 10% higher</v>
      </c>
      <c r="D30" s="225" t="str">
        <f t="shared" ref="D30:D37" si="2">A30&amp;B30</f>
        <v>Option 2sens1</v>
      </c>
      <c r="E30" s="217"/>
      <c r="F30" s="28">
        <f>SUMPRODUCT($H30:$AG30, $H$5:$AG$5)</f>
        <v>3823418.5142231509</v>
      </c>
      <c r="G30" s="220"/>
      <c r="H30" s="28">
        <f>IF($B30=0,0, (INDEX(Option2!H$106:H$117, MATCH($D30, Option2!$G$106:$G$117,0)))*conv_2026*H$7)</f>
        <v>0</v>
      </c>
      <c r="I30" s="28">
        <f>IF($B30=0,0, (INDEX(Option2!I$106:I$117, MATCH($D30, Option2!$G$106:$G$117,0)))*conv_2026*I$7)</f>
        <v>0</v>
      </c>
      <c r="J30" s="28">
        <f>IF($B30=0,0, (INDEX(Option2!J$106:J$117, MATCH($D30, Option2!$G$106:$G$117,0)))*conv_2026*J$7)</f>
        <v>0</v>
      </c>
      <c r="K30" s="28">
        <f>IF($B30=0,0, (INDEX(Option2!K$106:K$117, MATCH($D30, Option2!$G$106:$G$117,0)))*conv_2026*K$7)</f>
        <v>0</v>
      </c>
      <c r="L30" s="28">
        <f>IF($B30=0,0, (INDEX(Option2!L$106:L$117, MATCH($D30, Option2!$G$106:$G$117,0)))*conv_2026*L$7)</f>
        <v>0</v>
      </c>
      <c r="M30" s="28">
        <f>IF($B30=0,0, (INDEX(Option2!M$106:M$117, MATCH($D30, Option2!$G$106:$G$117,0)))*conv_2026*M$7)</f>
        <v>-545145.46626350645</v>
      </c>
      <c r="N30" s="28">
        <f>IF($B30=0,0, (INDEX(Option2!N$106:N$117, MATCH($D30, Option2!$G$106:$G$117,0)))*conv_2026*N$7)</f>
        <v>379745.81146364909</v>
      </c>
      <c r="O30" s="28">
        <f>IF($B30=0,0, (INDEX(Option2!O$106:O$117, MATCH($D30, Option2!$G$106:$G$117,0)))*conv_2026*O$7)</f>
        <v>379745.81146364909</v>
      </c>
      <c r="P30" s="28">
        <f>IF($B30=0,0, (INDEX(Option2!P$106:P$117, MATCH($D30, Option2!$G$106:$G$117,0)))*conv_2026*P$7)</f>
        <v>379745.81146364909</v>
      </c>
      <c r="Q30" s="28">
        <f>IF($B30=0,0, (INDEX(Option2!Q$106:Q$117, MATCH($D30, Option2!$G$106:$G$117,0)))*conv_2026*Q$7)</f>
        <v>379745.81146364909</v>
      </c>
      <c r="R30" s="28">
        <f>IF($B30=0,0, (INDEX(Option2!R$106:R$117, MATCH($D30, Option2!$G$106:$G$117,0)))*conv_2026*R$7)</f>
        <v>379745.81146364909</v>
      </c>
      <c r="S30" s="28">
        <f>IF($B30=0,0, (INDEX(Option2!S$106:S$117, MATCH($D30, Option2!$G$106:$G$117,0)))*conv_2026*S$7)</f>
        <v>379745.81146364909</v>
      </c>
      <c r="T30" s="28">
        <f>IF($B30=0,0, (INDEX(Option2!T$106:T$117, MATCH($D30, Option2!$G$106:$G$117,0)))*conv_2026*T$7)</f>
        <v>379745.81146364909</v>
      </c>
      <c r="U30" s="28">
        <f>IF($B30=0,0, (INDEX(Option2!U$106:U$117, MATCH($D30, Option2!$G$106:$G$117,0)))*conv_2026*U$7)</f>
        <v>379745.81146364909</v>
      </c>
      <c r="V30" s="28">
        <f>IF($B30=0,0, (INDEX(Option2!V$106:V$117, MATCH($D30, Option2!$G$106:$G$117,0)))*conv_2026*V$7)</f>
        <v>379745.81146364909</v>
      </c>
      <c r="W30" s="28">
        <f>IF($B30=0,0, (INDEX(Option2!W$106:W$117, MATCH($D30, Option2!$G$106:$G$117,0)))*conv_2026*W$7)</f>
        <v>379745.81146364909</v>
      </c>
      <c r="X30" s="28">
        <f>IF($B30=0,0, (INDEX(Option2!X$106:X$117, MATCH($D30, Option2!$G$106:$G$117,0)))*conv_2026*X$7)</f>
        <v>379745.81146364909</v>
      </c>
      <c r="Y30" s="28">
        <f>IF($B30=0,0, (INDEX(Option2!Y$106:Y$117, MATCH($D30, Option2!$G$106:$G$117,0)))*conv_2026*Y$7)</f>
        <v>379745.81146364909</v>
      </c>
      <c r="Z30" s="28">
        <f>IF($B30=0,0, (INDEX(Option2!Z$106:Z$117, MATCH($D30, Option2!$G$106:$G$117,0)))*conv_2026*Z$7)</f>
        <v>379745.81146364909</v>
      </c>
      <c r="AA30" s="28">
        <f>IF($B30=0,0, (INDEX(Option2!AA$106:AA$117, MATCH($D30, Option2!$G$106:$G$117,0)))*conv_2026*AA$7)</f>
        <v>379745.81146364909</v>
      </c>
      <c r="AB30" s="28">
        <f>IF($B30=0,0, (INDEX(Option2!AB$106:AB$117, MATCH($D30, Option2!$G$106:$G$117,0)))*conv_2026*AB$7)</f>
        <v>379745.81146364909</v>
      </c>
      <c r="AC30" s="28">
        <f>IF($B30=0,0, (INDEX(Option2!AC$106:AC$117, MATCH($D30, Option2!$G$106:$G$117,0)))*conv_2026*AC$7)</f>
        <v>379745.81146364909</v>
      </c>
      <c r="AD30" s="28">
        <f>IF($B30=0,0, (INDEX(Option2!AD$106:AD$117, MATCH($D30, Option2!$G$106:$G$117,0)))*conv_2026*AD$7)</f>
        <v>379745.81146364909</v>
      </c>
      <c r="AE30" s="28">
        <f>IF($B30=0,0, (INDEX(Option2!AE$106:AE$117, MATCH($D30, Option2!$G$106:$G$117,0)))*conv_2026*AE$7)</f>
        <v>379745.81146364909</v>
      </c>
      <c r="AF30" s="28">
        <f>IF($B30=0,0, (INDEX(Option2!AF$106:AF$117, MATCH($D30, Option2!$G$106:$G$117,0)))*conv_2026*AF$7)</f>
        <v>0</v>
      </c>
      <c r="AG30" s="28">
        <f>IF($B30=0,0, (INDEX(Option2!AG$106:AG$117, MATCH($D30, Option2!$G$106:$G$117,0)))*conv_2026*AG$7)</f>
        <v>0</v>
      </c>
    </row>
    <row r="31" spans="1:35" s="6" customFormat="1" x14ac:dyDescent="0.2">
      <c r="A31" s="225" t="s">
        <v>148</v>
      </c>
      <c r="B31" s="225" t="str">
        <f>Option2!A111</f>
        <v>sens2</v>
      </c>
      <c r="C31" s="225" t="str">
        <f>Option2!C111</f>
        <v>Capex 10% lower</v>
      </c>
      <c r="D31" s="225" t="str">
        <f t="shared" si="2"/>
        <v>Option 2sens2</v>
      </c>
      <c r="E31" s="217"/>
      <c r="F31" s="28">
        <f t="shared" ref="F31:F37" si="3">SUMPRODUCT($H31:$AG31, $H$5:$AG$5)</f>
        <v>6147982.4087521704</v>
      </c>
      <c r="G31" s="225"/>
      <c r="H31" s="28">
        <f>IF($B31=0,0, (INDEX(Option2!H$106:H$117, MATCH($D31, Option2!$G$106:$G$117,0)))*conv_2026*H$7)</f>
        <v>0</v>
      </c>
      <c r="I31" s="28">
        <f>IF($B31=0,0, (INDEX(Option2!I$106:I$117, MATCH($D31, Option2!$G$106:$G$117,0)))*conv_2026*I$7)</f>
        <v>0</v>
      </c>
      <c r="J31" s="28">
        <f>IF($B31=0,0, (INDEX(Option2!J$106:J$117, MATCH($D31, Option2!$G$106:$G$117,0)))*conv_2026*J$7)</f>
        <v>0</v>
      </c>
      <c r="K31" s="28">
        <f>IF($B31=0,0, (INDEX(Option2!K$106:K$117, MATCH($D31, Option2!$G$106:$G$117,0)))*conv_2026*K$7)</f>
        <v>0</v>
      </c>
      <c r="L31" s="28">
        <f>IF($B31=0,0, (INDEX(Option2!L$106:L$117, MATCH($D31, Option2!$G$106:$G$117,0)))*conv_2026*L$7)</f>
        <v>0</v>
      </c>
      <c r="M31" s="28">
        <f>IF($B31=0,0, (INDEX(Option2!M$106:M$117, MATCH($D31, Option2!$G$106:$G$117,0)))*conv_2026*M$7)</f>
        <v>-446028.10876105068</v>
      </c>
      <c r="N31" s="28">
        <f>IF($B31=0,0, (INDEX(Option2!N$106:N$117, MATCH($D31, Option2!$G$106:$G$117,0)))*conv_2026*N$7)</f>
        <v>577980.52646856057</v>
      </c>
      <c r="O31" s="28">
        <f>IF($B31=0,0, (INDEX(Option2!O$106:O$117, MATCH($D31, Option2!$G$106:$G$117,0)))*conv_2026*O$7)</f>
        <v>577980.52646856057</v>
      </c>
      <c r="P31" s="28">
        <f>IF($B31=0,0, (INDEX(Option2!P$106:P$117, MATCH($D31, Option2!$G$106:$G$117,0)))*conv_2026*P$7)</f>
        <v>577980.52646856057</v>
      </c>
      <c r="Q31" s="28">
        <f>IF($B31=0,0, (INDEX(Option2!Q$106:Q$117, MATCH($D31, Option2!$G$106:$G$117,0)))*conv_2026*Q$7)</f>
        <v>577980.52646856057</v>
      </c>
      <c r="R31" s="28">
        <f>IF($B31=0,0, (INDEX(Option2!R$106:R$117, MATCH($D31, Option2!$G$106:$G$117,0)))*conv_2026*R$7)</f>
        <v>577980.52646856057</v>
      </c>
      <c r="S31" s="28">
        <f>IF($B31=0,0, (INDEX(Option2!S$106:S$117, MATCH($D31, Option2!$G$106:$G$117,0)))*conv_2026*S$7)</f>
        <v>577980.52646856057</v>
      </c>
      <c r="T31" s="28">
        <f>IF($B31=0,0, (INDEX(Option2!T$106:T$117, MATCH($D31, Option2!$G$106:$G$117,0)))*conv_2026*T$7)</f>
        <v>577980.52646856057</v>
      </c>
      <c r="U31" s="28">
        <f>IF($B31=0,0, (INDEX(Option2!U$106:U$117, MATCH($D31, Option2!$G$106:$G$117,0)))*conv_2026*U$7)</f>
        <v>577980.52646856057</v>
      </c>
      <c r="V31" s="28">
        <f>IF($B31=0,0, (INDEX(Option2!V$106:V$117, MATCH($D31, Option2!$G$106:$G$117,0)))*conv_2026*V$7)</f>
        <v>577980.52646856057</v>
      </c>
      <c r="W31" s="28">
        <f>IF($B31=0,0, (INDEX(Option2!W$106:W$117, MATCH($D31, Option2!$G$106:$G$117,0)))*conv_2026*W$7)</f>
        <v>577980.52646856057</v>
      </c>
      <c r="X31" s="28">
        <f>IF($B31=0,0, (INDEX(Option2!X$106:X$117, MATCH($D31, Option2!$G$106:$G$117,0)))*conv_2026*X$7)</f>
        <v>577980.52646856057</v>
      </c>
      <c r="Y31" s="28">
        <f>IF($B31=0,0, (INDEX(Option2!Y$106:Y$117, MATCH($D31, Option2!$G$106:$G$117,0)))*conv_2026*Y$7)</f>
        <v>577980.52646856057</v>
      </c>
      <c r="Z31" s="28">
        <f>IF($B31=0,0, (INDEX(Option2!Z$106:Z$117, MATCH($D31, Option2!$G$106:$G$117,0)))*conv_2026*Z$7)</f>
        <v>577980.52646856057</v>
      </c>
      <c r="AA31" s="28">
        <f>IF($B31=0,0, (INDEX(Option2!AA$106:AA$117, MATCH($D31, Option2!$G$106:$G$117,0)))*conv_2026*AA$7)</f>
        <v>577980.52646856057</v>
      </c>
      <c r="AB31" s="28">
        <f>IF($B31=0,0, (INDEX(Option2!AB$106:AB$117, MATCH($D31, Option2!$G$106:$G$117,0)))*conv_2026*AB$7)</f>
        <v>577980.52646856057</v>
      </c>
      <c r="AC31" s="28">
        <f>IF($B31=0,0, (INDEX(Option2!AC$106:AC$117, MATCH($D31, Option2!$G$106:$G$117,0)))*conv_2026*AC$7)</f>
        <v>577980.52646856057</v>
      </c>
      <c r="AD31" s="28">
        <f>IF($B31=0,0, (INDEX(Option2!AD$106:AD$117, MATCH($D31, Option2!$G$106:$G$117,0)))*conv_2026*AD$7)</f>
        <v>577980.52646856057</v>
      </c>
      <c r="AE31" s="28">
        <f>IF($B31=0,0, (INDEX(Option2!AE$106:AE$117, MATCH($D31, Option2!$G$106:$G$117,0)))*conv_2026*AE$7)</f>
        <v>577980.52646856057</v>
      </c>
      <c r="AF31" s="28">
        <f>IF($B31=0,0, (INDEX(Option2!AF$106:AF$117, MATCH($D31, Option2!$G$106:$G$117,0)))*conv_2026*AF$7)</f>
        <v>0</v>
      </c>
      <c r="AG31" s="28">
        <f>IF($B31=0,0, (INDEX(Option2!AG$106:AG$117, MATCH($D31, Option2!$G$106:$G$117,0)))*conv_2026*AG$7)</f>
        <v>0</v>
      </c>
    </row>
    <row r="32" spans="1:35" s="6" customFormat="1" x14ac:dyDescent="0.2">
      <c r="A32" s="225" t="s">
        <v>148</v>
      </c>
      <c r="B32" s="225" t="str">
        <f>Option2!A112</f>
        <v>sens3</v>
      </c>
      <c r="C32" s="225" t="str">
        <f>Option2!C112</f>
        <v>Total benefits 10% higher</v>
      </c>
      <c r="D32" s="225" t="str">
        <f t="shared" si="2"/>
        <v>Option 2sens3</v>
      </c>
      <c r="E32" s="217"/>
      <c r="F32" s="28">
        <f t="shared" si="3"/>
        <v>6646552.4549009362</v>
      </c>
      <c r="H32" s="28">
        <f>IF($B32=0,0, (INDEX(Option2!H$106:H$117, MATCH($D32, Option2!$G$106:$G$117,0)))*conv_2026*H$7)</f>
        <v>0</v>
      </c>
      <c r="I32" s="28">
        <f>IF($B32=0,0, (INDEX(Option2!I$106:I$117, MATCH($D32, Option2!$G$106:$G$117,0)))*conv_2026*I$7)</f>
        <v>0</v>
      </c>
      <c r="J32" s="28">
        <f>IF($B32=0,0, (INDEX(Option2!J$106:J$117, MATCH($D32, Option2!$G$106:$G$117,0)))*conv_2026*J$7)</f>
        <v>0</v>
      </c>
      <c r="K32" s="28">
        <f>IF($B32=0,0, (INDEX(Option2!K$106:K$117, MATCH($D32, Option2!$G$106:$G$117,0)))*conv_2026*K$7)</f>
        <v>0</v>
      </c>
      <c r="L32" s="28">
        <f>IF($B32=0,0, (INDEX(Option2!L$106:L$117, MATCH($D32, Option2!$G$106:$G$117,0)))*conv_2026*L$7)</f>
        <v>0</v>
      </c>
      <c r="M32" s="28">
        <f>IF($B32=0,0, (INDEX(Option2!M$106:M$117, MATCH($D32, Option2!$G$106:$G$117,0)))*conv_2026*M$7)</f>
        <v>-495586.78751227859</v>
      </c>
      <c r="N32" s="28">
        <f>IF($B32=0,0, (INDEX(Option2!N$106:N$117, MATCH($D32, Option2!$G$106:$G$117,0)))*conv_2026*N$7)</f>
        <v>625866.84336517111</v>
      </c>
      <c r="O32" s="28">
        <f>IF($B32=0,0, (INDEX(Option2!O$106:O$117, MATCH($D32, Option2!$G$106:$G$117,0)))*conv_2026*O$7)</f>
        <v>625866.84336517111</v>
      </c>
      <c r="P32" s="28">
        <f>IF($B32=0,0, (INDEX(Option2!P$106:P$117, MATCH($D32, Option2!$G$106:$G$117,0)))*conv_2026*P$7)</f>
        <v>625866.84336517111</v>
      </c>
      <c r="Q32" s="28">
        <f>IF($B32=0,0, (INDEX(Option2!Q$106:Q$117, MATCH($D32, Option2!$G$106:$G$117,0)))*conv_2026*Q$7)</f>
        <v>625866.84336517111</v>
      </c>
      <c r="R32" s="28">
        <f>IF($B32=0,0, (INDEX(Option2!R$106:R$117, MATCH($D32, Option2!$G$106:$G$117,0)))*conv_2026*R$7)</f>
        <v>625866.84336517111</v>
      </c>
      <c r="S32" s="28">
        <f>IF($B32=0,0, (INDEX(Option2!S$106:S$117, MATCH($D32, Option2!$G$106:$G$117,0)))*conv_2026*S$7)</f>
        <v>625866.84336517111</v>
      </c>
      <c r="T32" s="28">
        <f>IF($B32=0,0, (INDEX(Option2!T$106:T$117, MATCH($D32, Option2!$G$106:$G$117,0)))*conv_2026*T$7)</f>
        <v>625866.84336517111</v>
      </c>
      <c r="U32" s="28">
        <f>IF($B32=0,0, (INDEX(Option2!U$106:U$117, MATCH($D32, Option2!$G$106:$G$117,0)))*conv_2026*U$7)</f>
        <v>625866.84336517111</v>
      </c>
      <c r="V32" s="28">
        <f>IF($B32=0,0, (INDEX(Option2!V$106:V$117, MATCH($D32, Option2!$G$106:$G$117,0)))*conv_2026*V$7)</f>
        <v>625866.84336517111</v>
      </c>
      <c r="W32" s="28">
        <f>IF($B32=0,0, (INDEX(Option2!W$106:W$117, MATCH($D32, Option2!$G$106:$G$117,0)))*conv_2026*W$7)</f>
        <v>625866.84336517111</v>
      </c>
      <c r="X32" s="28">
        <f>IF($B32=0,0, (INDEX(Option2!X$106:X$117, MATCH($D32, Option2!$G$106:$G$117,0)))*conv_2026*X$7)</f>
        <v>625866.84336517111</v>
      </c>
      <c r="Y32" s="28">
        <f>IF($B32=0,0, (INDEX(Option2!Y$106:Y$117, MATCH($D32, Option2!$G$106:$G$117,0)))*conv_2026*Y$7)</f>
        <v>625866.84336517111</v>
      </c>
      <c r="Z32" s="28">
        <f>IF($B32=0,0, (INDEX(Option2!Z$106:Z$117, MATCH($D32, Option2!$G$106:$G$117,0)))*conv_2026*Z$7)</f>
        <v>625866.84336517111</v>
      </c>
      <c r="AA32" s="28">
        <f>IF($B32=0,0, (INDEX(Option2!AA$106:AA$117, MATCH($D32, Option2!$G$106:$G$117,0)))*conv_2026*AA$7)</f>
        <v>625866.84336517111</v>
      </c>
      <c r="AB32" s="28">
        <f>IF($B32=0,0, (INDEX(Option2!AB$106:AB$117, MATCH($D32, Option2!$G$106:$G$117,0)))*conv_2026*AB$7)</f>
        <v>625866.84336517111</v>
      </c>
      <c r="AC32" s="28">
        <f>IF($B32=0,0, (INDEX(Option2!AC$106:AC$117, MATCH($D32, Option2!$G$106:$G$117,0)))*conv_2026*AC$7)</f>
        <v>625866.84336517111</v>
      </c>
      <c r="AD32" s="28">
        <f>IF($B32=0,0, (INDEX(Option2!AD$106:AD$117, MATCH($D32, Option2!$G$106:$G$117,0)))*conv_2026*AD$7)</f>
        <v>625866.84336517111</v>
      </c>
      <c r="AE32" s="28">
        <f>IF($B32=0,0, (INDEX(Option2!AE$106:AE$117, MATCH($D32, Option2!$G$106:$G$117,0)))*conv_2026*AE$7)</f>
        <v>625866.84336517111</v>
      </c>
      <c r="AF32" s="28">
        <f>IF($B32=0,0, (INDEX(Option2!AF$106:AF$117, MATCH($D32, Option2!$G$106:$G$117,0)))*conv_2026*AF$7)</f>
        <v>0</v>
      </c>
      <c r="AG32" s="28">
        <f>IF($B32=0,0, (INDEX(Option2!AG$106:AG$117, MATCH($D32, Option2!$G$106:$G$117,0)))*conv_2026*AG$7)</f>
        <v>0</v>
      </c>
    </row>
    <row r="33" spans="1:35" s="6" customFormat="1" x14ac:dyDescent="0.2">
      <c r="A33" s="225" t="s">
        <v>148</v>
      </c>
      <c r="B33" s="225" t="str">
        <f>Option2!A113</f>
        <v>sens4</v>
      </c>
      <c r="C33" s="225" t="str">
        <f>Option2!C113</f>
        <v>Total benefits 10% lower</v>
      </c>
      <c r="D33" s="225" t="str">
        <f t="shared" si="2"/>
        <v>Option 2sens4</v>
      </c>
      <c r="E33" s="217"/>
      <c r="F33" s="28">
        <f t="shared" si="3"/>
        <v>3324848.4680743851</v>
      </c>
      <c r="H33" s="28">
        <f>IF($B33=0,0, (INDEX(Option2!H$106:H$117, MATCH($D33, Option2!$G$106:$G$117,0)))*conv_2026*H$7)</f>
        <v>0</v>
      </c>
      <c r="I33" s="28">
        <f>IF($B33=0,0, (INDEX(Option2!I$106:I$117, MATCH($D33, Option2!$G$106:$G$117,0)))*conv_2026*I$7)</f>
        <v>0</v>
      </c>
      <c r="J33" s="28">
        <f>IF($B33=0,0, (INDEX(Option2!J$106:J$117, MATCH($D33, Option2!$G$106:$G$117,0)))*conv_2026*J$7)</f>
        <v>0</v>
      </c>
      <c r="K33" s="28">
        <f>IF($B33=0,0, (INDEX(Option2!K$106:K$117, MATCH($D33, Option2!$G$106:$G$117,0)))*conv_2026*K$7)</f>
        <v>0</v>
      </c>
      <c r="L33" s="28">
        <f>IF($B33=0,0, (INDEX(Option2!L$106:L$117, MATCH($D33, Option2!$G$106:$G$117,0)))*conv_2026*L$7)</f>
        <v>0</v>
      </c>
      <c r="M33" s="28">
        <f>IF($B33=0,0, (INDEX(Option2!M$106:M$117, MATCH($D33, Option2!$G$106:$G$117,0)))*conv_2026*M$7)</f>
        <v>-495586.78751227859</v>
      </c>
      <c r="N33" s="28">
        <f>IF($B33=0,0, (INDEX(Option2!N$106:N$117, MATCH($D33, Option2!$G$106:$G$117,0)))*conv_2026*N$7)</f>
        <v>331859.49456703861</v>
      </c>
      <c r="O33" s="28">
        <f>IF($B33=0,0, (INDEX(Option2!O$106:O$117, MATCH($D33, Option2!$G$106:$G$117,0)))*conv_2026*O$7)</f>
        <v>331859.49456703861</v>
      </c>
      <c r="P33" s="28">
        <f>IF($B33=0,0, (INDEX(Option2!P$106:P$117, MATCH($D33, Option2!$G$106:$G$117,0)))*conv_2026*P$7)</f>
        <v>331859.49456703861</v>
      </c>
      <c r="Q33" s="28">
        <f>IF($B33=0,0, (INDEX(Option2!Q$106:Q$117, MATCH($D33, Option2!$G$106:$G$117,0)))*conv_2026*Q$7)</f>
        <v>331859.49456703861</v>
      </c>
      <c r="R33" s="28">
        <f>IF($B33=0,0, (INDEX(Option2!R$106:R$117, MATCH($D33, Option2!$G$106:$G$117,0)))*conv_2026*R$7)</f>
        <v>331859.49456703861</v>
      </c>
      <c r="S33" s="28">
        <f>IF($B33=0,0, (INDEX(Option2!S$106:S$117, MATCH($D33, Option2!$G$106:$G$117,0)))*conv_2026*S$7)</f>
        <v>331859.49456703861</v>
      </c>
      <c r="T33" s="28">
        <f>IF($B33=0,0, (INDEX(Option2!T$106:T$117, MATCH($D33, Option2!$G$106:$G$117,0)))*conv_2026*T$7)</f>
        <v>331859.49456703861</v>
      </c>
      <c r="U33" s="28">
        <f>IF($B33=0,0, (INDEX(Option2!U$106:U$117, MATCH($D33, Option2!$G$106:$G$117,0)))*conv_2026*U$7)</f>
        <v>331859.49456703861</v>
      </c>
      <c r="V33" s="28">
        <f>IF($B33=0,0, (INDEX(Option2!V$106:V$117, MATCH($D33, Option2!$G$106:$G$117,0)))*conv_2026*V$7)</f>
        <v>331859.49456703861</v>
      </c>
      <c r="W33" s="28">
        <f>IF($B33=0,0, (INDEX(Option2!W$106:W$117, MATCH($D33, Option2!$G$106:$G$117,0)))*conv_2026*W$7)</f>
        <v>331859.49456703861</v>
      </c>
      <c r="X33" s="28">
        <f>IF($B33=0,0, (INDEX(Option2!X$106:X$117, MATCH($D33, Option2!$G$106:$G$117,0)))*conv_2026*X$7)</f>
        <v>331859.49456703861</v>
      </c>
      <c r="Y33" s="28">
        <f>IF($B33=0,0, (INDEX(Option2!Y$106:Y$117, MATCH($D33, Option2!$G$106:$G$117,0)))*conv_2026*Y$7)</f>
        <v>331859.49456703861</v>
      </c>
      <c r="Z33" s="28">
        <f>IF($B33=0,0, (INDEX(Option2!Z$106:Z$117, MATCH($D33, Option2!$G$106:$G$117,0)))*conv_2026*Z$7)</f>
        <v>331859.49456703861</v>
      </c>
      <c r="AA33" s="28">
        <f>IF($B33=0,0, (INDEX(Option2!AA$106:AA$117, MATCH($D33, Option2!$G$106:$G$117,0)))*conv_2026*AA$7)</f>
        <v>331859.49456703861</v>
      </c>
      <c r="AB33" s="28">
        <f>IF($B33=0,0, (INDEX(Option2!AB$106:AB$117, MATCH($D33, Option2!$G$106:$G$117,0)))*conv_2026*AB$7)</f>
        <v>331859.49456703861</v>
      </c>
      <c r="AC33" s="28">
        <f>IF($B33=0,0, (INDEX(Option2!AC$106:AC$117, MATCH($D33, Option2!$G$106:$G$117,0)))*conv_2026*AC$7)</f>
        <v>331859.49456703861</v>
      </c>
      <c r="AD33" s="28">
        <f>IF($B33=0,0, (INDEX(Option2!AD$106:AD$117, MATCH($D33, Option2!$G$106:$G$117,0)))*conv_2026*AD$7)</f>
        <v>331859.49456703861</v>
      </c>
      <c r="AE33" s="28">
        <f>IF($B33=0,0, (INDEX(Option2!AE$106:AE$117, MATCH($D33, Option2!$G$106:$G$117,0)))*conv_2026*AE$7)</f>
        <v>331859.49456703861</v>
      </c>
      <c r="AF33" s="28">
        <f>IF($B33=0,0, (INDEX(Option2!AF$106:AF$117, MATCH($D33, Option2!$G$106:$G$117,0)))*conv_2026*AF$7)</f>
        <v>0</v>
      </c>
      <c r="AG33" s="28">
        <f>IF($B33=0,0, (INDEX(Option2!AG$106:AG$117, MATCH($D33, Option2!$G$106:$G$117,0)))*conv_2026*AG$7)</f>
        <v>0</v>
      </c>
    </row>
    <row r="34" spans="1:35" s="6" customFormat="1" x14ac:dyDescent="0.2">
      <c r="A34" s="225" t="s">
        <v>148</v>
      </c>
      <c r="B34" s="225" t="str">
        <f>Option2!A114</f>
        <v>sens5</v>
      </c>
      <c r="C34" s="225" t="str">
        <f>Option2!C114</f>
        <v>Capex 10% higher &amp; Total benefits 10% lower</v>
      </c>
      <c r="D34" s="225" t="str">
        <f t="shared" si="2"/>
        <v>Option 2sens5</v>
      </c>
      <c r="E34" s="217"/>
      <c r="F34" s="28">
        <f t="shared" si="3"/>
        <v>2162566.5208098758</v>
      </c>
      <c r="H34" s="28">
        <f>IF($B34=0,0, (INDEX(Option2!H$106:H$117, MATCH($D34, Option2!$G$106:$G$117,0)))*conv_2026*H$7)</f>
        <v>0</v>
      </c>
      <c r="I34" s="28">
        <f>IF($B34=0,0, (INDEX(Option2!I$106:I$117, MATCH($D34, Option2!$G$106:$G$117,0)))*conv_2026*I$7)</f>
        <v>0</v>
      </c>
      <c r="J34" s="28">
        <f>IF($B34=0,0, (INDEX(Option2!J$106:J$117, MATCH($D34, Option2!$G$106:$G$117,0)))*conv_2026*J$7)</f>
        <v>0</v>
      </c>
      <c r="K34" s="28">
        <f>IF($B34=0,0, (INDEX(Option2!K$106:K$117, MATCH($D34, Option2!$G$106:$G$117,0)))*conv_2026*K$7)</f>
        <v>0</v>
      </c>
      <c r="L34" s="28">
        <f>IF($B34=0,0, (INDEX(Option2!L$106:L$117, MATCH($D34, Option2!$G$106:$G$117,0)))*conv_2026*L$7)</f>
        <v>0</v>
      </c>
      <c r="M34" s="28">
        <f>IF($B34=0,0, (INDEX(Option2!M$106:M$117, MATCH($D34, Option2!$G$106:$G$117,0)))*conv_2026*M$7)</f>
        <v>-545145.46626350645</v>
      </c>
      <c r="N34" s="28">
        <f>IF($B34=0,0, (INDEX(Option2!N$106:N$117, MATCH($D34, Option2!$G$106:$G$117,0)))*conv_2026*N$7)</f>
        <v>232742.13706458296</v>
      </c>
      <c r="O34" s="28">
        <f>IF($B34=0,0, (INDEX(Option2!O$106:O$117, MATCH($D34, Option2!$G$106:$G$117,0)))*conv_2026*O$7)</f>
        <v>232742.13706458296</v>
      </c>
      <c r="P34" s="28">
        <f>IF($B34=0,0, (INDEX(Option2!P$106:P$117, MATCH($D34, Option2!$G$106:$G$117,0)))*conv_2026*P$7)</f>
        <v>232742.13706458296</v>
      </c>
      <c r="Q34" s="28">
        <f>IF($B34=0,0, (INDEX(Option2!Q$106:Q$117, MATCH($D34, Option2!$G$106:$G$117,0)))*conv_2026*Q$7)</f>
        <v>232742.13706458296</v>
      </c>
      <c r="R34" s="28">
        <f>IF($B34=0,0, (INDEX(Option2!R$106:R$117, MATCH($D34, Option2!$G$106:$G$117,0)))*conv_2026*R$7)</f>
        <v>232742.13706458296</v>
      </c>
      <c r="S34" s="28">
        <f>IF($B34=0,0, (INDEX(Option2!S$106:S$117, MATCH($D34, Option2!$G$106:$G$117,0)))*conv_2026*S$7)</f>
        <v>232742.13706458296</v>
      </c>
      <c r="T34" s="28">
        <f>IF($B34=0,0, (INDEX(Option2!T$106:T$117, MATCH($D34, Option2!$G$106:$G$117,0)))*conv_2026*T$7)</f>
        <v>232742.13706458296</v>
      </c>
      <c r="U34" s="28">
        <f>IF($B34=0,0, (INDEX(Option2!U$106:U$117, MATCH($D34, Option2!$G$106:$G$117,0)))*conv_2026*U$7)</f>
        <v>232742.13706458296</v>
      </c>
      <c r="V34" s="28">
        <f>IF($B34=0,0, (INDEX(Option2!V$106:V$117, MATCH($D34, Option2!$G$106:$G$117,0)))*conv_2026*V$7)</f>
        <v>232742.13706458296</v>
      </c>
      <c r="W34" s="28">
        <f>IF($B34=0,0, (INDEX(Option2!W$106:W$117, MATCH($D34, Option2!$G$106:$G$117,0)))*conv_2026*W$7)</f>
        <v>232742.13706458296</v>
      </c>
      <c r="X34" s="28">
        <f>IF($B34=0,0, (INDEX(Option2!X$106:X$117, MATCH($D34, Option2!$G$106:$G$117,0)))*conv_2026*X$7)</f>
        <v>232742.13706458296</v>
      </c>
      <c r="Y34" s="28">
        <f>IF($B34=0,0, (INDEX(Option2!Y$106:Y$117, MATCH($D34, Option2!$G$106:$G$117,0)))*conv_2026*Y$7)</f>
        <v>232742.13706458296</v>
      </c>
      <c r="Z34" s="28">
        <f>IF($B34=0,0, (INDEX(Option2!Z$106:Z$117, MATCH($D34, Option2!$G$106:$G$117,0)))*conv_2026*Z$7)</f>
        <v>232742.13706458296</v>
      </c>
      <c r="AA34" s="28">
        <f>IF($B34=0,0, (INDEX(Option2!AA$106:AA$117, MATCH($D34, Option2!$G$106:$G$117,0)))*conv_2026*AA$7)</f>
        <v>232742.13706458296</v>
      </c>
      <c r="AB34" s="28">
        <f>IF($B34=0,0, (INDEX(Option2!AB$106:AB$117, MATCH($D34, Option2!$G$106:$G$117,0)))*conv_2026*AB$7)</f>
        <v>232742.13706458296</v>
      </c>
      <c r="AC34" s="28">
        <f>IF($B34=0,0, (INDEX(Option2!AC$106:AC$117, MATCH($D34, Option2!$G$106:$G$117,0)))*conv_2026*AC$7)</f>
        <v>232742.13706458296</v>
      </c>
      <c r="AD34" s="28">
        <f>IF($B34=0,0, (INDEX(Option2!AD$106:AD$117, MATCH($D34, Option2!$G$106:$G$117,0)))*conv_2026*AD$7)</f>
        <v>232742.13706458296</v>
      </c>
      <c r="AE34" s="28">
        <f>IF($B34=0,0, (INDEX(Option2!AE$106:AE$117, MATCH($D34, Option2!$G$106:$G$117,0)))*conv_2026*AE$7)</f>
        <v>232742.13706458296</v>
      </c>
      <c r="AF34" s="28">
        <f>IF($B34=0,0, (INDEX(Option2!AF$106:AF$117, MATCH($D34, Option2!$G$106:$G$117,0)))*conv_2026*AF$7)</f>
        <v>0</v>
      </c>
      <c r="AG34" s="28">
        <f>IF($B34=0,0, (INDEX(Option2!AG$106:AG$117, MATCH($D34, Option2!$G$106:$G$117,0)))*conv_2026*AG$7)</f>
        <v>0</v>
      </c>
    </row>
    <row r="35" spans="1:35" s="6" customFormat="1" x14ac:dyDescent="0.2">
      <c r="A35" s="225" t="s">
        <v>148</v>
      </c>
      <c r="B35" s="225" t="str">
        <f>Option2!A115</f>
        <v>sens</v>
      </c>
      <c r="C35" s="225">
        <f>Option2!C115</f>
        <v>0</v>
      </c>
      <c r="D35" s="225" t="str">
        <f t="shared" si="2"/>
        <v>Option 2sens</v>
      </c>
      <c r="E35" s="217"/>
      <c r="F35" s="28">
        <f t="shared" si="3"/>
        <v>4985700.4614876602</v>
      </c>
      <c r="H35" s="28">
        <f>IF($B35=0,0, (INDEX(Option2!H$106:H$117, MATCH($D35, Option2!$G$106:$G$117,0)))*conv_2026*H$7)</f>
        <v>0</v>
      </c>
      <c r="I35" s="28">
        <f>IF($B35=0,0, (INDEX(Option2!I$106:I$117, MATCH($D35, Option2!$G$106:$G$117,0)))*conv_2026*I$7)</f>
        <v>0</v>
      </c>
      <c r="J35" s="28">
        <f>IF($B35=0,0, (INDEX(Option2!J$106:J$117, MATCH($D35, Option2!$G$106:$G$117,0)))*conv_2026*J$7)</f>
        <v>0</v>
      </c>
      <c r="K35" s="28">
        <f>IF($B35=0,0, (INDEX(Option2!K$106:K$117, MATCH($D35, Option2!$G$106:$G$117,0)))*conv_2026*K$7)</f>
        <v>0</v>
      </c>
      <c r="L35" s="28">
        <f>IF($B35=0,0, (INDEX(Option2!L$106:L$117, MATCH($D35, Option2!$G$106:$G$117,0)))*conv_2026*L$7)</f>
        <v>0</v>
      </c>
      <c r="M35" s="28">
        <f>IF($B35=0,0, (INDEX(Option2!M$106:M$117, MATCH($D35, Option2!$G$106:$G$117,0)))*conv_2026*M$7)</f>
        <v>-495586.78751227859</v>
      </c>
      <c r="N35" s="28">
        <f>IF($B35=0,0, (INDEX(Option2!N$106:N$117, MATCH($D35, Option2!$G$106:$G$117,0)))*conv_2026*N$7)</f>
        <v>478863.16896610486</v>
      </c>
      <c r="O35" s="28">
        <f>IF($B35=0,0, (INDEX(Option2!O$106:O$117, MATCH($D35, Option2!$G$106:$G$117,0)))*conv_2026*O$7)</f>
        <v>478863.16896610486</v>
      </c>
      <c r="P35" s="28">
        <f>IF($B35=0,0, (INDEX(Option2!P$106:P$117, MATCH($D35, Option2!$G$106:$G$117,0)))*conv_2026*P$7)</f>
        <v>478863.16896610486</v>
      </c>
      <c r="Q35" s="28">
        <f>IF($B35=0,0, (INDEX(Option2!Q$106:Q$117, MATCH($D35, Option2!$G$106:$G$117,0)))*conv_2026*Q$7)</f>
        <v>478863.16896610486</v>
      </c>
      <c r="R35" s="28">
        <f>IF($B35=0,0, (INDEX(Option2!R$106:R$117, MATCH($D35, Option2!$G$106:$G$117,0)))*conv_2026*R$7)</f>
        <v>478863.16896610486</v>
      </c>
      <c r="S35" s="28">
        <f>IF($B35=0,0, (INDEX(Option2!S$106:S$117, MATCH($D35, Option2!$G$106:$G$117,0)))*conv_2026*S$7)</f>
        <v>478863.16896610486</v>
      </c>
      <c r="T35" s="28">
        <f>IF($B35=0,0, (INDEX(Option2!T$106:T$117, MATCH($D35, Option2!$G$106:$G$117,0)))*conv_2026*T$7)</f>
        <v>478863.16896610486</v>
      </c>
      <c r="U35" s="28">
        <f>IF($B35=0,0, (INDEX(Option2!U$106:U$117, MATCH($D35, Option2!$G$106:$G$117,0)))*conv_2026*U$7)</f>
        <v>478863.16896610486</v>
      </c>
      <c r="V35" s="28">
        <f>IF($B35=0,0, (INDEX(Option2!V$106:V$117, MATCH($D35, Option2!$G$106:$G$117,0)))*conv_2026*V$7)</f>
        <v>478863.16896610486</v>
      </c>
      <c r="W35" s="28">
        <f>IF($B35=0,0, (INDEX(Option2!W$106:W$117, MATCH($D35, Option2!$G$106:$G$117,0)))*conv_2026*W$7)</f>
        <v>478863.16896610486</v>
      </c>
      <c r="X35" s="28">
        <f>IF($B35=0,0, (INDEX(Option2!X$106:X$117, MATCH($D35, Option2!$G$106:$G$117,0)))*conv_2026*X$7)</f>
        <v>478863.16896610486</v>
      </c>
      <c r="Y35" s="28">
        <f>IF($B35=0,0, (INDEX(Option2!Y$106:Y$117, MATCH($D35, Option2!$G$106:$G$117,0)))*conv_2026*Y$7)</f>
        <v>478863.16896610486</v>
      </c>
      <c r="Z35" s="28">
        <f>IF($B35=0,0, (INDEX(Option2!Z$106:Z$117, MATCH($D35, Option2!$G$106:$G$117,0)))*conv_2026*Z$7)</f>
        <v>478863.16896610486</v>
      </c>
      <c r="AA35" s="28">
        <f>IF($B35=0,0, (INDEX(Option2!AA$106:AA$117, MATCH($D35, Option2!$G$106:$G$117,0)))*conv_2026*AA$7)</f>
        <v>478863.16896610486</v>
      </c>
      <c r="AB35" s="28">
        <f>IF($B35=0,0, (INDEX(Option2!AB$106:AB$117, MATCH($D35, Option2!$G$106:$G$117,0)))*conv_2026*AB$7)</f>
        <v>478863.16896610486</v>
      </c>
      <c r="AC35" s="28">
        <f>IF($B35=0,0, (INDEX(Option2!AC$106:AC$117, MATCH($D35, Option2!$G$106:$G$117,0)))*conv_2026*AC$7)</f>
        <v>478863.16896610486</v>
      </c>
      <c r="AD35" s="28">
        <f>IF($B35=0,0, (INDEX(Option2!AD$106:AD$117, MATCH($D35, Option2!$G$106:$G$117,0)))*conv_2026*AD$7)</f>
        <v>478863.16896610486</v>
      </c>
      <c r="AE35" s="28">
        <f>IF($B35=0,0, (INDEX(Option2!AE$106:AE$117, MATCH($D35, Option2!$G$106:$G$117,0)))*conv_2026*AE$7)</f>
        <v>478863.16896610486</v>
      </c>
      <c r="AF35" s="28">
        <f>IF($B35=0,0, (INDEX(Option2!AF$106:AF$117, MATCH($D35, Option2!$G$106:$G$117,0)))*conv_2026*AF$7)</f>
        <v>0</v>
      </c>
      <c r="AG35" s="28">
        <f>IF($B35=0,0, (INDEX(Option2!AG$106:AG$117, MATCH($D35, Option2!$G$106:$G$117,0)))*conv_2026*AG$7)</f>
        <v>0</v>
      </c>
    </row>
    <row r="36" spans="1:35" s="6" customFormat="1" x14ac:dyDescent="0.2">
      <c r="A36" s="225" t="s">
        <v>148</v>
      </c>
      <c r="B36" s="225" t="str">
        <f>Option2!A116</f>
        <v>sens</v>
      </c>
      <c r="C36" s="225">
        <f>Option2!C116</f>
        <v>0</v>
      </c>
      <c r="D36" s="225" t="str">
        <f t="shared" si="2"/>
        <v>Option 2sens</v>
      </c>
      <c r="E36" s="217"/>
      <c r="F36" s="28">
        <f t="shared" si="3"/>
        <v>4985700.4614876602</v>
      </c>
      <c r="H36" s="28">
        <f>IF($B36=0,0, (INDEX(Option2!H$106:H$117, MATCH($D36, Option2!$G$106:$G$117,0)))*conv_2026*H$7)</f>
        <v>0</v>
      </c>
      <c r="I36" s="28">
        <f>IF($B36=0,0, (INDEX(Option2!I$106:I$117, MATCH($D36, Option2!$G$106:$G$117,0)))*conv_2026*I$7)</f>
        <v>0</v>
      </c>
      <c r="J36" s="28">
        <f>IF($B36=0,0, (INDEX(Option2!J$106:J$117, MATCH($D36, Option2!$G$106:$G$117,0)))*conv_2026*J$7)</f>
        <v>0</v>
      </c>
      <c r="K36" s="28">
        <f>IF($B36=0,0, (INDEX(Option2!K$106:K$117, MATCH($D36, Option2!$G$106:$G$117,0)))*conv_2026*K$7)</f>
        <v>0</v>
      </c>
      <c r="L36" s="28">
        <f>IF($B36=0,0, (INDEX(Option2!L$106:L$117, MATCH($D36, Option2!$G$106:$G$117,0)))*conv_2026*L$7)</f>
        <v>0</v>
      </c>
      <c r="M36" s="28">
        <f>IF($B36=0,0, (INDEX(Option2!M$106:M$117, MATCH($D36, Option2!$G$106:$G$117,0)))*conv_2026*M$7)</f>
        <v>-495586.78751227859</v>
      </c>
      <c r="N36" s="28">
        <f>IF($B36=0,0, (INDEX(Option2!N$106:N$117, MATCH($D36, Option2!$G$106:$G$117,0)))*conv_2026*N$7)</f>
        <v>478863.16896610486</v>
      </c>
      <c r="O36" s="28">
        <f>IF($B36=0,0, (INDEX(Option2!O$106:O$117, MATCH($D36, Option2!$G$106:$G$117,0)))*conv_2026*O$7)</f>
        <v>478863.16896610486</v>
      </c>
      <c r="P36" s="28">
        <f>IF($B36=0,0, (INDEX(Option2!P$106:P$117, MATCH($D36, Option2!$G$106:$G$117,0)))*conv_2026*P$7)</f>
        <v>478863.16896610486</v>
      </c>
      <c r="Q36" s="28">
        <f>IF($B36=0,0, (INDEX(Option2!Q$106:Q$117, MATCH($D36, Option2!$G$106:$G$117,0)))*conv_2026*Q$7)</f>
        <v>478863.16896610486</v>
      </c>
      <c r="R36" s="28">
        <f>IF($B36=0,0, (INDEX(Option2!R$106:R$117, MATCH($D36, Option2!$G$106:$G$117,0)))*conv_2026*R$7)</f>
        <v>478863.16896610486</v>
      </c>
      <c r="S36" s="28">
        <f>IF($B36=0,0, (INDEX(Option2!S$106:S$117, MATCH($D36, Option2!$G$106:$G$117,0)))*conv_2026*S$7)</f>
        <v>478863.16896610486</v>
      </c>
      <c r="T36" s="28">
        <f>IF($B36=0,0, (INDEX(Option2!T$106:T$117, MATCH($D36, Option2!$G$106:$G$117,0)))*conv_2026*T$7)</f>
        <v>478863.16896610486</v>
      </c>
      <c r="U36" s="28">
        <f>IF($B36=0,0, (INDEX(Option2!U$106:U$117, MATCH($D36, Option2!$G$106:$G$117,0)))*conv_2026*U$7)</f>
        <v>478863.16896610486</v>
      </c>
      <c r="V36" s="28">
        <f>IF($B36=0,0, (INDEX(Option2!V$106:V$117, MATCH($D36, Option2!$G$106:$G$117,0)))*conv_2026*V$7)</f>
        <v>478863.16896610486</v>
      </c>
      <c r="W36" s="28">
        <f>IF($B36=0,0, (INDEX(Option2!W$106:W$117, MATCH($D36, Option2!$G$106:$G$117,0)))*conv_2026*W$7)</f>
        <v>478863.16896610486</v>
      </c>
      <c r="X36" s="28">
        <f>IF($B36=0,0, (INDEX(Option2!X$106:X$117, MATCH($D36, Option2!$G$106:$G$117,0)))*conv_2026*X$7)</f>
        <v>478863.16896610486</v>
      </c>
      <c r="Y36" s="28">
        <f>IF($B36=0,0, (INDEX(Option2!Y$106:Y$117, MATCH($D36, Option2!$G$106:$G$117,0)))*conv_2026*Y$7)</f>
        <v>478863.16896610486</v>
      </c>
      <c r="Z36" s="28">
        <f>IF($B36=0,0, (INDEX(Option2!Z$106:Z$117, MATCH($D36, Option2!$G$106:$G$117,0)))*conv_2026*Z$7)</f>
        <v>478863.16896610486</v>
      </c>
      <c r="AA36" s="28">
        <f>IF($B36=0,0, (INDEX(Option2!AA$106:AA$117, MATCH($D36, Option2!$G$106:$G$117,0)))*conv_2026*AA$7)</f>
        <v>478863.16896610486</v>
      </c>
      <c r="AB36" s="28">
        <f>IF($B36=0,0, (INDEX(Option2!AB$106:AB$117, MATCH($D36, Option2!$G$106:$G$117,0)))*conv_2026*AB$7)</f>
        <v>478863.16896610486</v>
      </c>
      <c r="AC36" s="28">
        <f>IF($B36=0,0, (INDEX(Option2!AC$106:AC$117, MATCH($D36, Option2!$G$106:$G$117,0)))*conv_2026*AC$7)</f>
        <v>478863.16896610486</v>
      </c>
      <c r="AD36" s="28">
        <f>IF($B36=0,0, (INDEX(Option2!AD$106:AD$117, MATCH($D36, Option2!$G$106:$G$117,0)))*conv_2026*AD$7)</f>
        <v>478863.16896610486</v>
      </c>
      <c r="AE36" s="28">
        <f>IF($B36=0,0, (INDEX(Option2!AE$106:AE$117, MATCH($D36, Option2!$G$106:$G$117,0)))*conv_2026*AE$7)</f>
        <v>478863.16896610486</v>
      </c>
      <c r="AF36" s="28">
        <f>IF($B36=0,0, (INDEX(Option2!AF$106:AF$117, MATCH($D36, Option2!$G$106:$G$117,0)))*conv_2026*AF$7)</f>
        <v>0</v>
      </c>
      <c r="AG36" s="28">
        <f>IF($B36=0,0, (INDEX(Option2!AG$106:AG$117, MATCH($D36, Option2!$G$106:$G$117,0)))*conv_2026*AG$7)</f>
        <v>0</v>
      </c>
    </row>
    <row r="37" spans="1:35" s="6" customFormat="1" x14ac:dyDescent="0.2">
      <c r="A37" s="225" t="s">
        <v>148</v>
      </c>
      <c r="B37" s="225" t="str">
        <f>Option2!A117</f>
        <v>sens</v>
      </c>
      <c r="C37" s="225">
        <f>Option2!C117</f>
        <v>0</v>
      </c>
      <c r="D37" s="225" t="str">
        <f t="shared" si="2"/>
        <v>Option 2sens</v>
      </c>
      <c r="E37" s="217"/>
      <c r="F37" s="28">
        <f t="shared" si="3"/>
        <v>4985700.4614876602</v>
      </c>
      <c r="H37" s="28">
        <f>IF($B37=0,0, (INDEX(Option2!H$106:H$117, MATCH($D37, Option2!$G$106:$G$117,0)))*conv_2026*H$7)</f>
        <v>0</v>
      </c>
      <c r="I37" s="28">
        <f>IF($B37=0,0, (INDEX(Option2!I$106:I$117, MATCH($D37, Option2!$G$106:$G$117,0)))*conv_2026*I$7)</f>
        <v>0</v>
      </c>
      <c r="J37" s="28">
        <f>IF($B37=0,0, (INDEX(Option2!J$106:J$117, MATCH($D37, Option2!$G$106:$G$117,0)))*conv_2026*J$7)</f>
        <v>0</v>
      </c>
      <c r="K37" s="28">
        <f>IF($B37=0,0, (INDEX(Option2!K$106:K$117, MATCH($D37, Option2!$G$106:$G$117,0)))*conv_2026*K$7)</f>
        <v>0</v>
      </c>
      <c r="L37" s="28">
        <f>IF($B37=0,0, (INDEX(Option2!L$106:L$117, MATCH($D37, Option2!$G$106:$G$117,0)))*conv_2026*L$7)</f>
        <v>0</v>
      </c>
      <c r="M37" s="28">
        <f>IF($B37=0,0, (INDEX(Option2!M$106:M$117, MATCH($D37, Option2!$G$106:$G$117,0)))*conv_2026*M$7)</f>
        <v>-495586.78751227859</v>
      </c>
      <c r="N37" s="28">
        <f>IF($B37=0,0, (INDEX(Option2!N$106:N$117, MATCH($D37, Option2!$G$106:$G$117,0)))*conv_2026*N$7)</f>
        <v>478863.16896610486</v>
      </c>
      <c r="O37" s="28">
        <f>IF($B37=0,0, (INDEX(Option2!O$106:O$117, MATCH($D37, Option2!$G$106:$G$117,0)))*conv_2026*O$7)</f>
        <v>478863.16896610486</v>
      </c>
      <c r="P37" s="28">
        <f>IF($B37=0,0, (INDEX(Option2!P$106:P$117, MATCH($D37, Option2!$G$106:$G$117,0)))*conv_2026*P$7)</f>
        <v>478863.16896610486</v>
      </c>
      <c r="Q37" s="28">
        <f>IF($B37=0,0, (INDEX(Option2!Q$106:Q$117, MATCH($D37, Option2!$G$106:$G$117,0)))*conv_2026*Q$7)</f>
        <v>478863.16896610486</v>
      </c>
      <c r="R37" s="28">
        <f>IF($B37=0,0, (INDEX(Option2!R$106:R$117, MATCH($D37, Option2!$G$106:$G$117,0)))*conv_2026*R$7)</f>
        <v>478863.16896610486</v>
      </c>
      <c r="S37" s="28">
        <f>IF($B37=0,0, (INDEX(Option2!S$106:S$117, MATCH($D37, Option2!$G$106:$G$117,0)))*conv_2026*S$7)</f>
        <v>478863.16896610486</v>
      </c>
      <c r="T37" s="28">
        <f>IF($B37=0,0, (INDEX(Option2!T$106:T$117, MATCH($D37, Option2!$G$106:$G$117,0)))*conv_2026*T$7)</f>
        <v>478863.16896610486</v>
      </c>
      <c r="U37" s="28">
        <f>IF($B37=0,0, (INDEX(Option2!U$106:U$117, MATCH($D37, Option2!$G$106:$G$117,0)))*conv_2026*U$7)</f>
        <v>478863.16896610486</v>
      </c>
      <c r="V37" s="28">
        <f>IF($B37=0,0, (INDEX(Option2!V$106:V$117, MATCH($D37, Option2!$G$106:$G$117,0)))*conv_2026*V$7)</f>
        <v>478863.16896610486</v>
      </c>
      <c r="W37" s="28">
        <f>IF($B37=0,0, (INDEX(Option2!W$106:W$117, MATCH($D37, Option2!$G$106:$G$117,0)))*conv_2026*W$7)</f>
        <v>478863.16896610486</v>
      </c>
      <c r="X37" s="28">
        <f>IF($B37=0,0, (INDEX(Option2!X$106:X$117, MATCH($D37, Option2!$G$106:$G$117,0)))*conv_2026*X$7)</f>
        <v>478863.16896610486</v>
      </c>
      <c r="Y37" s="28">
        <f>IF($B37=0,0, (INDEX(Option2!Y$106:Y$117, MATCH($D37, Option2!$G$106:$G$117,0)))*conv_2026*Y$7)</f>
        <v>478863.16896610486</v>
      </c>
      <c r="Z37" s="28">
        <f>IF($B37=0,0, (INDEX(Option2!Z$106:Z$117, MATCH($D37, Option2!$G$106:$G$117,0)))*conv_2026*Z$7)</f>
        <v>478863.16896610486</v>
      </c>
      <c r="AA37" s="28">
        <f>IF($B37=0,0, (INDEX(Option2!AA$106:AA$117, MATCH($D37, Option2!$G$106:$G$117,0)))*conv_2026*AA$7)</f>
        <v>478863.16896610486</v>
      </c>
      <c r="AB37" s="28">
        <f>IF($B37=0,0, (INDEX(Option2!AB$106:AB$117, MATCH($D37, Option2!$G$106:$G$117,0)))*conv_2026*AB$7)</f>
        <v>478863.16896610486</v>
      </c>
      <c r="AC37" s="28">
        <f>IF($B37=0,0, (INDEX(Option2!AC$106:AC$117, MATCH($D37, Option2!$G$106:$G$117,0)))*conv_2026*AC$7)</f>
        <v>478863.16896610486</v>
      </c>
      <c r="AD37" s="28">
        <f>IF($B37=0,0, (INDEX(Option2!AD$106:AD$117, MATCH($D37, Option2!$G$106:$G$117,0)))*conv_2026*AD$7)</f>
        <v>478863.16896610486</v>
      </c>
      <c r="AE37" s="28">
        <f>IF($B37=0,0, (INDEX(Option2!AE$106:AE$117, MATCH($D37, Option2!$G$106:$G$117,0)))*conv_2026*AE$7)</f>
        <v>478863.16896610486</v>
      </c>
      <c r="AF37" s="28">
        <f>IF($B37=0,0, (INDEX(Option2!AF$106:AF$117, MATCH($D37, Option2!$G$106:$G$117,0)))*conv_2026*AF$7)</f>
        <v>0</v>
      </c>
      <c r="AG37" s="28">
        <f>IF($B37=0,0, (INDEX(Option2!AG$106:AG$117, MATCH($D37, Option2!$G$106:$G$117,0)))*conv_2026*AG$7)</f>
        <v>0</v>
      </c>
    </row>
    <row r="38" spans="1:35" s="6" customFormat="1" x14ac:dyDescent="0.2">
      <c r="A38" s="225"/>
      <c r="B38" s="225"/>
      <c r="C38" s="225"/>
      <c r="D38" s="225"/>
      <c r="E38" s="225"/>
      <c r="F38" s="28"/>
      <c r="H38" s="225"/>
      <c r="I38" s="225"/>
      <c r="J38" s="225"/>
      <c r="K38" s="225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</row>
    <row r="39" spans="1:35" s="6" customFormat="1" x14ac:dyDescent="0.2">
      <c r="A39" s="225"/>
      <c r="B39" s="225"/>
      <c r="C39" s="225"/>
      <c r="D39" s="225"/>
      <c r="E39" s="225"/>
      <c r="F39" s="28"/>
      <c r="H39" s="225"/>
      <c r="I39" s="225"/>
      <c r="J39" s="225"/>
      <c r="K39" s="225"/>
      <c r="L39" s="225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</row>
    <row r="40" spans="1:35" s="6" customFormat="1" x14ac:dyDescent="0.2">
      <c r="A40" s="225"/>
      <c r="B40" s="225"/>
      <c r="C40" s="225"/>
      <c r="D40" s="225"/>
      <c r="E40" s="225"/>
      <c r="F40" s="28"/>
      <c r="H40" s="28">
        <f>Consol!H50</f>
        <v>0</v>
      </c>
      <c r="I40" s="28">
        <f>Consol!I50</f>
        <v>0</v>
      </c>
      <c r="J40" s="28">
        <f>Consol!J50</f>
        <v>0</v>
      </c>
      <c r="K40" s="28">
        <f>Consol!K50</f>
        <v>0</v>
      </c>
      <c r="L40" s="28">
        <f>Consol!L50</f>
        <v>1523215.3189948455</v>
      </c>
      <c r="M40" s="28">
        <f>Consol!M50</f>
        <v>-4039144.6348782084</v>
      </c>
      <c r="N40" s="28">
        <f>Consol!N50</f>
        <v>-9601504.5887512621</v>
      </c>
      <c r="O40" s="28">
        <f>Consol!O50</f>
        <v>-9601504.5887512621</v>
      </c>
      <c r="P40" s="28">
        <f>Consol!P50</f>
        <v>-9601504.5887512621</v>
      </c>
      <c r="Q40" s="28">
        <f>Consol!Q50</f>
        <v>-9601504.5887512621</v>
      </c>
      <c r="R40" s="28">
        <f>Consol!R50</f>
        <v>-9601504.5887512621</v>
      </c>
      <c r="S40" s="28">
        <f>Consol!S50</f>
        <v>-9601504.5887512621</v>
      </c>
      <c r="T40" s="28">
        <f>Consol!T50</f>
        <v>-9601504.5887512621</v>
      </c>
      <c r="U40" s="28">
        <f>Consol!U50</f>
        <v>-9601504.5887512621</v>
      </c>
      <c r="V40" s="28">
        <f>Consol!V50</f>
        <v>-9601504.5887512621</v>
      </c>
      <c r="W40" s="28">
        <f>Consol!W50</f>
        <v>-9601504.5887512621</v>
      </c>
      <c r="X40" s="28">
        <f>Consol!X50</f>
        <v>-9601504.5887512621</v>
      </c>
      <c r="Y40" s="28">
        <f>Consol!Y50</f>
        <v>-9601504.5887512621</v>
      </c>
      <c r="Z40" s="28">
        <f>Consol!Z50</f>
        <v>-9601504.5887512621</v>
      </c>
      <c r="AA40" s="28">
        <f>Consol!AA50</f>
        <v>-9601504.5887512621</v>
      </c>
      <c r="AB40" s="28">
        <f>Consol!AB50</f>
        <v>-9601504.5887512621</v>
      </c>
      <c r="AC40" s="28">
        <f>Consol!AC50</f>
        <v>-9601504.5887512621</v>
      </c>
      <c r="AD40" s="28">
        <f>Consol!AD50</f>
        <v>-9601504.5887512621</v>
      </c>
      <c r="AE40" s="28">
        <f>Consol!AE50</f>
        <v>-9601504.5887512621</v>
      </c>
      <c r="AF40" s="28">
        <f>Consol!AF50</f>
        <v>0</v>
      </c>
      <c r="AG40" s="28">
        <f>Consol!AG50</f>
        <v>0</v>
      </c>
    </row>
    <row r="41" spans="1:35" s="6" customFormat="1" x14ac:dyDescent="0.2">
      <c r="A41" s="225"/>
      <c r="B41" s="225"/>
      <c r="C41" s="225"/>
      <c r="D41" s="225"/>
      <c r="E41" s="225"/>
      <c r="F41" s="28"/>
      <c r="H41" s="225"/>
      <c r="I41" s="225"/>
      <c r="J41" s="225"/>
      <c r="K41" s="225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</row>
    <row r="42" spans="1:35" s="6" customFormat="1" x14ac:dyDescent="0.2">
      <c r="A42" s="225" t="s">
        <v>149</v>
      </c>
      <c r="B42" s="225" t="s">
        <v>7</v>
      </c>
      <c r="C42" s="225" t="s">
        <v>132</v>
      </c>
      <c r="D42" s="225" t="str">
        <f>A42&amp;B42</f>
        <v>Option 3NPV</v>
      </c>
      <c r="E42" s="217"/>
      <c r="F42" s="28">
        <f t="shared" ref="F42:F51" si="4">SUMPRODUCT($H42:$AG42, $H$5:$AG$5)</f>
        <v>-110587522.14718552</v>
      </c>
      <c r="G42" s="220"/>
      <c r="H42" s="28">
        <f>(INDEX(Option3!H$106:H$117, MATCH($D42, Option3!$G$106:$G$117,0)))*conv_2026*H$7</f>
        <v>0</v>
      </c>
      <c r="I42" s="28">
        <f>(INDEX(Option3!I$106:I$117, MATCH($D42, Option3!$G$106:$G$117,0)))*conv_2026*I$7</f>
        <v>0</v>
      </c>
      <c r="J42" s="28">
        <f>(INDEX(Option3!J$106:J$117, MATCH($D42, Option3!$G$106:$G$117,0)))*conv_2026*J$7</f>
        <v>0</v>
      </c>
      <c r="K42" s="28">
        <f>(INDEX(Option3!K$106:K$117, MATCH($D42, Option3!$G$106:$G$117,0)))*conv_2026*K$7</f>
        <v>0</v>
      </c>
      <c r="L42" s="28">
        <f>(INDEX(Option3!L$106:L$117, MATCH($D42, Option3!$G$106:$G$117,0)))*conv_2026*L$7</f>
        <v>1523215.3189948455</v>
      </c>
      <c r="M42" s="28">
        <f>(INDEX(Option3!M$106:M$117, MATCH($D42, Option3!$G$106:$G$117,0)))*conv_2026*M$7</f>
        <v>-4039144.6348782084</v>
      </c>
      <c r="N42" s="28">
        <f>(INDEX(Option3!N$106:N$117, MATCH($D42, Option3!$G$106:$G$117,0)))*conv_2026*N$7</f>
        <v>-9601504.5887512621</v>
      </c>
      <c r="O42" s="28">
        <f>(INDEX(Option3!O$106:O$117, MATCH($D42, Option3!$G$106:$G$117,0)))*conv_2026*O$7</f>
        <v>-9601504.5887512621</v>
      </c>
      <c r="P42" s="28">
        <f>(INDEX(Option3!P$106:P$117, MATCH($D42, Option3!$G$106:$G$117,0)))*conv_2026*P$7</f>
        <v>-9601504.5887512621</v>
      </c>
      <c r="Q42" s="28">
        <f>(INDEX(Option3!Q$106:Q$117, MATCH($D42, Option3!$G$106:$G$117,0)))*conv_2026*Q$7</f>
        <v>-9601504.5887512621</v>
      </c>
      <c r="R42" s="28">
        <f>(INDEX(Option3!R$106:R$117, MATCH($D42, Option3!$G$106:$G$117,0)))*conv_2026*R$7</f>
        <v>-9601504.5887512621</v>
      </c>
      <c r="S42" s="28">
        <f>(INDEX(Option3!S$106:S$117, MATCH($D42, Option3!$G$106:$G$117,0)))*conv_2026*S$7</f>
        <v>-9601504.5887512621</v>
      </c>
      <c r="T42" s="28">
        <f>(INDEX(Option3!T$106:T$117, MATCH($D42, Option3!$G$106:$G$117,0)))*conv_2026*T$7</f>
        <v>-9601504.5887512621</v>
      </c>
      <c r="U42" s="28">
        <f>(INDEX(Option3!U$106:U$117, MATCH($D42, Option3!$G$106:$G$117,0)))*conv_2026*U$7</f>
        <v>-9601504.5887512621</v>
      </c>
      <c r="V42" s="28">
        <f>(INDEX(Option3!V$106:V$117, MATCH($D42, Option3!$G$106:$G$117,0)))*conv_2026*V$7</f>
        <v>-9601504.5887512621</v>
      </c>
      <c r="W42" s="28">
        <f>(INDEX(Option3!W$106:W$117, MATCH($D42, Option3!$G$106:$G$117,0)))*conv_2026*W$7</f>
        <v>-9601504.5887512621</v>
      </c>
      <c r="X42" s="28">
        <f>(INDEX(Option3!X$106:X$117, MATCH($D42, Option3!$G$106:$G$117,0)))*conv_2026*X$7</f>
        <v>-9601504.5887512621</v>
      </c>
      <c r="Y42" s="28">
        <f>(INDEX(Option3!Y$106:Y$117, MATCH($D42, Option3!$G$106:$G$117,0)))*conv_2026*Y$7</f>
        <v>-9601504.5887512621</v>
      </c>
      <c r="Z42" s="28">
        <f>(INDEX(Option3!Z$106:Z$117, MATCH($D42, Option3!$G$106:$G$117,0)))*conv_2026*Z$7</f>
        <v>-9601504.5887512621</v>
      </c>
      <c r="AA42" s="28">
        <f>(INDEX(Option3!AA$106:AA$117, MATCH($D42, Option3!$G$106:$G$117,0)))*conv_2026*AA$7</f>
        <v>-9601504.5887512621</v>
      </c>
      <c r="AB42" s="28">
        <f>(INDEX(Option3!AB$106:AB$117, MATCH($D42, Option3!$G$106:$G$117,0)))*conv_2026*AB$7</f>
        <v>-9601504.5887512621</v>
      </c>
      <c r="AC42" s="28">
        <f>(INDEX(Option3!AC$106:AC$117, MATCH($D42, Option3!$G$106:$G$117,0)))*conv_2026*AC$7</f>
        <v>-9601504.5887512621</v>
      </c>
      <c r="AD42" s="28">
        <f>(INDEX(Option3!AD$106:AD$117, MATCH($D42, Option3!$G$106:$G$117,0)))*conv_2026*AD$7</f>
        <v>-9601504.5887512621</v>
      </c>
      <c r="AE42" s="28">
        <f>(INDEX(Option3!AE$106:AE$117, MATCH($D42, Option3!$G$106:$G$117,0)))*conv_2026*AE$7</f>
        <v>-9601504.5887512621</v>
      </c>
      <c r="AF42" s="28">
        <f>(INDEX(Option3!AF$106:AF$117, MATCH($D42, Option3!$G$106:$G$117,0)))*conv_2026*AF$7</f>
        <v>0</v>
      </c>
      <c r="AG42" s="28">
        <f>(INDEX(Option3!AG$106:AG$117, MATCH($D42, Option3!$G$106:$G$117,0)))*conv_2026*AG$7</f>
        <v>0</v>
      </c>
      <c r="AH42" s="2"/>
      <c r="AI42" s="2"/>
    </row>
    <row r="43" spans="1:35" s="6" customFormat="1" x14ac:dyDescent="0.2">
      <c r="A43" s="219"/>
      <c r="B43" s="219"/>
      <c r="C43" s="219"/>
      <c r="D43" s="219"/>
      <c r="E43" s="219"/>
      <c r="F43" s="219"/>
      <c r="G43" s="220"/>
      <c r="H43" s="220"/>
      <c r="I43" s="220"/>
      <c r="J43" s="220"/>
      <c r="K43" s="220"/>
      <c r="L43" s="220"/>
      <c r="M43" s="220"/>
      <c r="N43" s="220"/>
      <c r="O43" s="220"/>
      <c r="P43" s="220"/>
      <c r="Q43" s="220"/>
      <c r="R43" s="220"/>
      <c r="S43" s="220"/>
      <c r="T43" s="220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"/>
      <c r="AI43" s="2"/>
    </row>
    <row r="44" spans="1:35" s="6" customFormat="1" x14ac:dyDescent="0.2">
      <c r="A44" s="225" t="s">
        <v>149</v>
      </c>
      <c r="B44" s="225" t="str">
        <f>Option3!A110</f>
        <v>sens1</v>
      </c>
      <c r="C44" s="225" t="str">
        <f>Option3!C110</f>
        <v>Capex 10% higher</v>
      </c>
      <c r="D44" s="225" t="str">
        <f t="shared" ref="D44:D51" si="5">A44&amp;B44</f>
        <v>Option 3sens1</v>
      </c>
      <c r="E44" s="217"/>
      <c r="F44" s="28">
        <f t="shared" si="4"/>
        <v>-125418896.94836265</v>
      </c>
      <c r="G44" s="220"/>
      <c r="H44" s="28">
        <f>(INDEX(Option3!H$106:H$117, MATCH($D44, Option3!$G$106:$G$117,0)))*conv_2026*H$7</f>
        <v>0</v>
      </c>
      <c r="I44" s="28">
        <f>(INDEX(Option3!I$106:I$117, MATCH($D44, Option3!$G$106:$G$117,0)))*conv_2026*I$7</f>
        <v>0</v>
      </c>
      <c r="J44" s="28">
        <f>(INDEX(Option3!J$106:J$117, MATCH($D44, Option3!$G$106:$G$117,0)))*conv_2026*J$7</f>
        <v>0</v>
      </c>
      <c r="K44" s="28">
        <f>(INDEX(Option3!K$106:K$117, MATCH($D44, Option3!$G$106:$G$117,0)))*conv_2026*K$7</f>
        <v>0</v>
      </c>
      <c r="L44" s="28">
        <f>(INDEX(Option3!L$106:L$117, MATCH($D44, Option3!$G$106:$G$117,0)))*conv_2026*L$7</f>
        <v>1523215.3189948455</v>
      </c>
      <c r="M44" s="28">
        <f>(INDEX(Option3!M$106:M$117, MATCH($D44, Option3!$G$106:$G$117,0)))*conv_2026*M$7</f>
        <v>-4671541.3962152554</v>
      </c>
      <c r="N44" s="28">
        <f>(INDEX(Option3!N$106:N$117, MATCH($D44, Option3!$G$106:$G$117,0)))*conv_2026*N$7</f>
        <v>-10866298.111425359</v>
      </c>
      <c r="O44" s="28">
        <f>(INDEX(Option3!O$106:O$117, MATCH($D44, Option3!$G$106:$G$117,0)))*conv_2026*O$7</f>
        <v>-10866298.111425359</v>
      </c>
      <c r="P44" s="28">
        <f>(INDEX(Option3!P$106:P$117, MATCH($D44, Option3!$G$106:$G$117,0)))*conv_2026*P$7</f>
        <v>-10866298.111425359</v>
      </c>
      <c r="Q44" s="28">
        <f>(INDEX(Option3!Q$106:Q$117, MATCH($D44, Option3!$G$106:$G$117,0)))*conv_2026*Q$7</f>
        <v>-10866298.111425359</v>
      </c>
      <c r="R44" s="28">
        <f>(INDEX(Option3!R$106:R$117, MATCH($D44, Option3!$G$106:$G$117,0)))*conv_2026*R$7</f>
        <v>-10866298.111425359</v>
      </c>
      <c r="S44" s="28">
        <f>(INDEX(Option3!S$106:S$117, MATCH($D44, Option3!$G$106:$G$117,0)))*conv_2026*S$7</f>
        <v>-10866298.111425359</v>
      </c>
      <c r="T44" s="28">
        <f>(INDEX(Option3!T$106:T$117, MATCH($D44, Option3!$G$106:$G$117,0)))*conv_2026*T$7</f>
        <v>-10866298.111425359</v>
      </c>
      <c r="U44" s="28">
        <f>(INDEX(Option3!U$106:U$117, MATCH($D44, Option3!$G$106:$G$117,0)))*conv_2026*U$7</f>
        <v>-10866298.111425359</v>
      </c>
      <c r="V44" s="28">
        <f>(INDEX(Option3!V$106:V$117, MATCH($D44, Option3!$G$106:$G$117,0)))*conv_2026*V$7</f>
        <v>-10866298.111425359</v>
      </c>
      <c r="W44" s="28">
        <f>(INDEX(Option3!W$106:W$117, MATCH($D44, Option3!$G$106:$G$117,0)))*conv_2026*W$7</f>
        <v>-10866298.111425359</v>
      </c>
      <c r="X44" s="28">
        <f>(INDEX(Option3!X$106:X$117, MATCH($D44, Option3!$G$106:$G$117,0)))*conv_2026*X$7</f>
        <v>-10866298.111425359</v>
      </c>
      <c r="Y44" s="28">
        <f>(INDEX(Option3!Y$106:Y$117, MATCH($D44, Option3!$G$106:$G$117,0)))*conv_2026*Y$7</f>
        <v>-10866298.111425359</v>
      </c>
      <c r="Z44" s="28">
        <f>(INDEX(Option3!Z$106:Z$117, MATCH($D44, Option3!$G$106:$G$117,0)))*conv_2026*Z$7</f>
        <v>-10866298.111425359</v>
      </c>
      <c r="AA44" s="28">
        <f>(INDEX(Option3!AA$106:AA$117, MATCH($D44, Option3!$G$106:$G$117,0)))*conv_2026*AA$7</f>
        <v>-10866298.111425359</v>
      </c>
      <c r="AB44" s="28">
        <f>(INDEX(Option3!AB$106:AB$117, MATCH($D44, Option3!$G$106:$G$117,0)))*conv_2026*AB$7</f>
        <v>-10866298.111425359</v>
      </c>
      <c r="AC44" s="28">
        <f>(INDEX(Option3!AC$106:AC$117, MATCH($D44, Option3!$G$106:$G$117,0)))*conv_2026*AC$7</f>
        <v>-10866298.111425359</v>
      </c>
      <c r="AD44" s="28">
        <f>(INDEX(Option3!AD$106:AD$117, MATCH($D44, Option3!$G$106:$G$117,0)))*conv_2026*AD$7</f>
        <v>-10866298.111425359</v>
      </c>
      <c r="AE44" s="28">
        <f>(INDEX(Option3!AE$106:AE$117, MATCH($D44, Option3!$G$106:$G$117,0)))*conv_2026*AE$7</f>
        <v>-10866298.111425359</v>
      </c>
      <c r="AF44" s="28">
        <f>(INDEX(Option3!AF$106:AF$117, MATCH($D44, Option3!$G$106:$G$117,0)))*conv_2026*AF$7</f>
        <v>0</v>
      </c>
      <c r="AG44" s="28">
        <f>(INDEX(Option3!AG$106:AG$117, MATCH($D44, Option3!$G$106:$G$117,0)))*conv_2026*AG$7</f>
        <v>0</v>
      </c>
      <c r="AH44" s="2"/>
      <c r="AI44" s="2"/>
    </row>
    <row r="45" spans="1:35" s="6" customFormat="1" x14ac:dyDescent="0.2">
      <c r="A45" s="225" t="s">
        <v>149</v>
      </c>
      <c r="B45" s="225" t="str">
        <f>Option3!A111</f>
        <v>sens2</v>
      </c>
      <c r="C45" s="225" t="str">
        <f>Option3!C111</f>
        <v>Capex 10% lower</v>
      </c>
      <c r="D45" s="225" t="str">
        <f t="shared" si="5"/>
        <v>Option 3sens2</v>
      </c>
      <c r="E45" s="217"/>
      <c r="F45" s="28">
        <f t="shared" si="4"/>
        <v>-95756147.346008405</v>
      </c>
      <c r="G45" s="225"/>
      <c r="H45" s="28">
        <f>(INDEX(Option3!H$106:H$117, MATCH($D45, Option3!$G$106:$G$117,0)))*conv_2026*H$7</f>
        <v>0</v>
      </c>
      <c r="I45" s="28">
        <f>(INDEX(Option3!I$106:I$117, MATCH($D45, Option3!$G$106:$G$117,0)))*conv_2026*I$7</f>
        <v>0</v>
      </c>
      <c r="J45" s="28">
        <f>(INDEX(Option3!J$106:J$117, MATCH($D45, Option3!$G$106:$G$117,0)))*conv_2026*J$7</f>
        <v>0</v>
      </c>
      <c r="K45" s="28">
        <f>(INDEX(Option3!K$106:K$117, MATCH($D45, Option3!$G$106:$G$117,0)))*conv_2026*K$7</f>
        <v>0</v>
      </c>
      <c r="L45" s="28">
        <f>(INDEX(Option3!L$106:L$117, MATCH($D45, Option3!$G$106:$G$117,0)))*conv_2026*L$7</f>
        <v>1523215.3189948455</v>
      </c>
      <c r="M45" s="28">
        <f>(INDEX(Option3!M$106:M$117, MATCH($D45, Option3!$G$106:$G$117,0)))*conv_2026*M$7</f>
        <v>-3406747.8735411605</v>
      </c>
      <c r="N45" s="28">
        <f>(INDEX(Option3!N$106:N$117, MATCH($D45, Option3!$G$106:$G$117,0)))*conv_2026*N$7</f>
        <v>-8336711.0660771672</v>
      </c>
      <c r="O45" s="28">
        <f>(INDEX(Option3!O$106:O$117, MATCH($D45, Option3!$G$106:$G$117,0)))*conv_2026*O$7</f>
        <v>-8336711.0660771672</v>
      </c>
      <c r="P45" s="28">
        <f>(INDEX(Option3!P$106:P$117, MATCH($D45, Option3!$G$106:$G$117,0)))*conv_2026*P$7</f>
        <v>-8336711.0660771672</v>
      </c>
      <c r="Q45" s="28">
        <f>(INDEX(Option3!Q$106:Q$117, MATCH($D45, Option3!$G$106:$G$117,0)))*conv_2026*Q$7</f>
        <v>-8336711.0660771672</v>
      </c>
      <c r="R45" s="28">
        <f>(INDEX(Option3!R$106:R$117, MATCH($D45, Option3!$G$106:$G$117,0)))*conv_2026*R$7</f>
        <v>-8336711.0660771672</v>
      </c>
      <c r="S45" s="28">
        <f>(INDEX(Option3!S$106:S$117, MATCH($D45, Option3!$G$106:$G$117,0)))*conv_2026*S$7</f>
        <v>-8336711.0660771672</v>
      </c>
      <c r="T45" s="28">
        <f>(INDEX(Option3!T$106:T$117, MATCH($D45, Option3!$G$106:$G$117,0)))*conv_2026*T$7</f>
        <v>-8336711.0660771672</v>
      </c>
      <c r="U45" s="28">
        <f>(INDEX(Option3!U$106:U$117, MATCH($D45, Option3!$G$106:$G$117,0)))*conv_2026*U$7</f>
        <v>-8336711.0660771672</v>
      </c>
      <c r="V45" s="28">
        <f>(INDEX(Option3!V$106:V$117, MATCH($D45, Option3!$G$106:$G$117,0)))*conv_2026*V$7</f>
        <v>-8336711.0660771672</v>
      </c>
      <c r="W45" s="28">
        <f>(INDEX(Option3!W$106:W$117, MATCH($D45, Option3!$G$106:$G$117,0)))*conv_2026*W$7</f>
        <v>-8336711.0660771672</v>
      </c>
      <c r="X45" s="28">
        <f>(INDEX(Option3!X$106:X$117, MATCH($D45, Option3!$G$106:$G$117,0)))*conv_2026*X$7</f>
        <v>-8336711.0660771672</v>
      </c>
      <c r="Y45" s="28">
        <f>(INDEX(Option3!Y$106:Y$117, MATCH($D45, Option3!$G$106:$G$117,0)))*conv_2026*Y$7</f>
        <v>-8336711.0660771672</v>
      </c>
      <c r="Z45" s="28">
        <f>(INDEX(Option3!Z$106:Z$117, MATCH($D45, Option3!$G$106:$G$117,0)))*conv_2026*Z$7</f>
        <v>-8336711.0660771672</v>
      </c>
      <c r="AA45" s="28">
        <f>(INDEX(Option3!AA$106:AA$117, MATCH($D45, Option3!$G$106:$G$117,0)))*conv_2026*AA$7</f>
        <v>-8336711.0660771672</v>
      </c>
      <c r="AB45" s="28">
        <f>(INDEX(Option3!AB$106:AB$117, MATCH($D45, Option3!$G$106:$G$117,0)))*conv_2026*AB$7</f>
        <v>-8336711.0660771672</v>
      </c>
      <c r="AC45" s="28">
        <f>(INDEX(Option3!AC$106:AC$117, MATCH($D45, Option3!$G$106:$G$117,0)))*conv_2026*AC$7</f>
        <v>-8336711.0660771672</v>
      </c>
      <c r="AD45" s="28">
        <f>(INDEX(Option3!AD$106:AD$117, MATCH($D45, Option3!$G$106:$G$117,0)))*conv_2026*AD$7</f>
        <v>-8336711.0660771672</v>
      </c>
      <c r="AE45" s="28">
        <f>(INDEX(Option3!AE$106:AE$117, MATCH($D45, Option3!$G$106:$G$117,0)))*conv_2026*AE$7</f>
        <v>-8336711.0660771672</v>
      </c>
      <c r="AF45" s="28">
        <f>(INDEX(Option3!AF$106:AF$117, MATCH($D45, Option3!$G$106:$G$117,0)))*conv_2026*AF$7</f>
        <v>0</v>
      </c>
      <c r="AG45" s="28">
        <f>(INDEX(Option3!AG$106:AG$117, MATCH($D45, Option3!$G$106:$G$117,0)))*conv_2026*AG$7</f>
        <v>0</v>
      </c>
    </row>
    <row r="46" spans="1:35" s="6" customFormat="1" x14ac:dyDescent="0.2">
      <c r="A46" s="225" t="s">
        <v>149</v>
      </c>
      <c r="B46" s="225" t="str">
        <f>Option3!A112</f>
        <v>sens3</v>
      </c>
      <c r="C46" s="225" t="str">
        <f>Option3!C112</f>
        <v>Total benefits 10% higher</v>
      </c>
      <c r="D46" s="225" t="str">
        <f t="shared" si="5"/>
        <v>Option 3sens3</v>
      </c>
      <c r="E46" s="217"/>
      <c r="F46" s="28">
        <f t="shared" si="4"/>
        <v>-106814899.56072693</v>
      </c>
      <c r="H46" s="28">
        <f>(INDEX(Option3!H$106:H$117, MATCH($D46, Option3!$G$106:$G$117,0)))*conv_2026*H$7</f>
        <v>0</v>
      </c>
      <c r="I46" s="28">
        <f>(INDEX(Option3!I$106:I$117, MATCH($D46, Option3!$G$106:$G$117,0)))*conv_2026*I$7</f>
        <v>0</v>
      </c>
      <c r="J46" s="28">
        <f>(INDEX(Option3!J$106:J$117, MATCH($D46, Option3!$G$106:$G$117,0)))*conv_2026*J$7</f>
        <v>0</v>
      </c>
      <c r="K46" s="28">
        <f>(INDEX(Option3!K$106:K$117, MATCH($D46, Option3!$G$106:$G$117,0)))*conv_2026*K$7</f>
        <v>0</v>
      </c>
      <c r="L46" s="28">
        <f>(INDEX(Option3!L$106:L$117, MATCH($D46, Option3!$G$106:$G$117,0)))*conv_2026*L$7</f>
        <v>1675536.8508943301</v>
      </c>
      <c r="M46" s="28">
        <f>(INDEX(Option3!M$106:M$117, MATCH($D46, Option3!$G$106:$G$117,0)))*conv_2026*M$7</f>
        <v>-3810662.3370289817</v>
      </c>
      <c r="N46" s="28">
        <f>(INDEX(Option3!N$106:N$117, MATCH($D46, Option3!$G$106:$G$117,0)))*conv_2026*N$7</f>
        <v>-9296861.5249522924</v>
      </c>
      <c r="O46" s="28">
        <f>(INDEX(Option3!O$106:O$117, MATCH($D46, Option3!$G$106:$G$117,0)))*conv_2026*O$7</f>
        <v>-9296861.5249522924</v>
      </c>
      <c r="P46" s="28">
        <f>(INDEX(Option3!P$106:P$117, MATCH($D46, Option3!$G$106:$G$117,0)))*conv_2026*P$7</f>
        <v>-9296861.5249522924</v>
      </c>
      <c r="Q46" s="28">
        <f>(INDEX(Option3!Q$106:Q$117, MATCH($D46, Option3!$G$106:$G$117,0)))*conv_2026*Q$7</f>
        <v>-9296861.5249522924</v>
      </c>
      <c r="R46" s="28">
        <f>(INDEX(Option3!R$106:R$117, MATCH($D46, Option3!$G$106:$G$117,0)))*conv_2026*R$7</f>
        <v>-9296861.5249522924</v>
      </c>
      <c r="S46" s="28">
        <f>(INDEX(Option3!S$106:S$117, MATCH($D46, Option3!$G$106:$G$117,0)))*conv_2026*S$7</f>
        <v>-9296861.5249522924</v>
      </c>
      <c r="T46" s="28">
        <f>(INDEX(Option3!T$106:T$117, MATCH($D46, Option3!$G$106:$G$117,0)))*conv_2026*T$7</f>
        <v>-9296861.5249522924</v>
      </c>
      <c r="U46" s="28">
        <f>(INDEX(Option3!U$106:U$117, MATCH($D46, Option3!$G$106:$G$117,0)))*conv_2026*U$7</f>
        <v>-9296861.5249522924</v>
      </c>
      <c r="V46" s="28">
        <f>(INDEX(Option3!V$106:V$117, MATCH($D46, Option3!$G$106:$G$117,0)))*conv_2026*V$7</f>
        <v>-9296861.5249522924</v>
      </c>
      <c r="W46" s="28">
        <f>(INDEX(Option3!W$106:W$117, MATCH($D46, Option3!$G$106:$G$117,0)))*conv_2026*W$7</f>
        <v>-9296861.5249522924</v>
      </c>
      <c r="X46" s="28">
        <f>(INDEX(Option3!X$106:X$117, MATCH($D46, Option3!$G$106:$G$117,0)))*conv_2026*X$7</f>
        <v>-9296861.5249522924</v>
      </c>
      <c r="Y46" s="28">
        <f>(INDEX(Option3!Y$106:Y$117, MATCH($D46, Option3!$G$106:$G$117,0)))*conv_2026*Y$7</f>
        <v>-9296861.5249522924</v>
      </c>
      <c r="Z46" s="28">
        <f>(INDEX(Option3!Z$106:Z$117, MATCH($D46, Option3!$G$106:$G$117,0)))*conv_2026*Z$7</f>
        <v>-9296861.5249522924</v>
      </c>
      <c r="AA46" s="28">
        <f>(INDEX(Option3!AA$106:AA$117, MATCH($D46, Option3!$G$106:$G$117,0)))*conv_2026*AA$7</f>
        <v>-9296861.5249522924</v>
      </c>
      <c r="AB46" s="28">
        <f>(INDEX(Option3!AB$106:AB$117, MATCH($D46, Option3!$G$106:$G$117,0)))*conv_2026*AB$7</f>
        <v>-9296861.5249522924</v>
      </c>
      <c r="AC46" s="28">
        <f>(INDEX(Option3!AC$106:AC$117, MATCH($D46, Option3!$G$106:$G$117,0)))*conv_2026*AC$7</f>
        <v>-9296861.5249522924</v>
      </c>
      <c r="AD46" s="28">
        <f>(INDEX(Option3!AD$106:AD$117, MATCH($D46, Option3!$G$106:$G$117,0)))*conv_2026*AD$7</f>
        <v>-9296861.5249522924</v>
      </c>
      <c r="AE46" s="28">
        <f>(INDEX(Option3!AE$106:AE$117, MATCH($D46, Option3!$G$106:$G$117,0)))*conv_2026*AE$7</f>
        <v>-9296861.5249522924</v>
      </c>
      <c r="AF46" s="28">
        <f>(INDEX(Option3!AF$106:AF$117, MATCH($D46, Option3!$G$106:$G$117,0)))*conv_2026*AF$7</f>
        <v>0</v>
      </c>
      <c r="AG46" s="28">
        <f>(INDEX(Option3!AG$106:AG$117, MATCH($D46, Option3!$G$106:$G$117,0)))*conv_2026*AG$7</f>
        <v>0</v>
      </c>
    </row>
    <row r="47" spans="1:35" s="6" customFormat="1" x14ac:dyDescent="0.2">
      <c r="A47" s="225" t="s">
        <v>149</v>
      </c>
      <c r="B47" s="225" t="str">
        <f>Option3!A113</f>
        <v>sens4</v>
      </c>
      <c r="C47" s="225" t="str">
        <f>Option3!C113</f>
        <v>Total benefits 10% lower</v>
      </c>
      <c r="D47" s="225" t="str">
        <f t="shared" si="5"/>
        <v>Option 3sens4</v>
      </c>
      <c r="E47" s="217"/>
      <c r="F47" s="28">
        <f t="shared" si="4"/>
        <v>-114360144.73364407</v>
      </c>
      <c r="H47" s="28">
        <f>(INDEX(Option3!H$106:H$117, MATCH($D47, Option3!$G$106:$G$117,0)))*conv_2026*H$7</f>
        <v>0</v>
      </c>
      <c r="I47" s="28">
        <f>(INDEX(Option3!I$106:I$117, MATCH($D47, Option3!$G$106:$G$117,0)))*conv_2026*I$7</f>
        <v>0</v>
      </c>
      <c r="J47" s="28">
        <f>(INDEX(Option3!J$106:J$117, MATCH($D47, Option3!$G$106:$G$117,0)))*conv_2026*J$7</f>
        <v>0</v>
      </c>
      <c r="K47" s="28">
        <f>(INDEX(Option3!K$106:K$117, MATCH($D47, Option3!$G$106:$G$117,0)))*conv_2026*K$7</f>
        <v>0</v>
      </c>
      <c r="L47" s="28">
        <f>(INDEX(Option3!L$106:L$117, MATCH($D47, Option3!$G$106:$G$117,0)))*conv_2026*L$7</f>
        <v>1370893.7870953609</v>
      </c>
      <c r="M47" s="28">
        <f>(INDEX(Option3!M$106:M$117, MATCH($D47, Option3!$G$106:$G$117,0)))*conv_2026*M$7</f>
        <v>-4267626.9327274347</v>
      </c>
      <c r="N47" s="28">
        <f>(INDEX(Option3!N$106:N$117, MATCH($D47, Option3!$G$106:$G$117,0)))*conv_2026*N$7</f>
        <v>-9906147.6525502317</v>
      </c>
      <c r="O47" s="28">
        <f>(INDEX(Option3!O$106:O$117, MATCH($D47, Option3!$G$106:$G$117,0)))*conv_2026*O$7</f>
        <v>-9906147.6525502317</v>
      </c>
      <c r="P47" s="28">
        <f>(INDEX(Option3!P$106:P$117, MATCH($D47, Option3!$G$106:$G$117,0)))*conv_2026*P$7</f>
        <v>-9906147.6525502317</v>
      </c>
      <c r="Q47" s="28">
        <f>(INDEX(Option3!Q$106:Q$117, MATCH($D47, Option3!$G$106:$G$117,0)))*conv_2026*Q$7</f>
        <v>-9906147.6525502317</v>
      </c>
      <c r="R47" s="28">
        <f>(INDEX(Option3!R$106:R$117, MATCH($D47, Option3!$G$106:$G$117,0)))*conv_2026*R$7</f>
        <v>-9906147.6525502317</v>
      </c>
      <c r="S47" s="28">
        <f>(INDEX(Option3!S$106:S$117, MATCH($D47, Option3!$G$106:$G$117,0)))*conv_2026*S$7</f>
        <v>-9906147.6525502317</v>
      </c>
      <c r="T47" s="28">
        <f>(INDEX(Option3!T$106:T$117, MATCH($D47, Option3!$G$106:$G$117,0)))*conv_2026*T$7</f>
        <v>-9906147.6525502317</v>
      </c>
      <c r="U47" s="28">
        <f>(INDEX(Option3!U$106:U$117, MATCH($D47, Option3!$G$106:$G$117,0)))*conv_2026*U$7</f>
        <v>-9906147.6525502317</v>
      </c>
      <c r="V47" s="28">
        <f>(INDEX(Option3!V$106:V$117, MATCH($D47, Option3!$G$106:$G$117,0)))*conv_2026*V$7</f>
        <v>-9906147.6525502317</v>
      </c>
      <c r="W47" s="28">
        <f>(INDEX(Option3!W$106:W$117, MATCH($D47, Option3!$G$106:$G$117,0)))*conv_2026*W$7</f>
        <v>-9906147.6525502317</v>
      </c>
      <c r="X47" s="28">
        <f>(INDEX(Option3!X$106:X$117, MATCH($D47, Option3!$G$106:$G$117,0)))*conv_2026*X$7</f>
        <v>-9906147.6525502317</v>
      </c>
      <c r="Y47" s="28">
        <f>(INDEX(Option3!Y$106:Y$117, MATCH($D47, Option3!$G$106:$G$117,0)))*conv_2026*Y$7</f>
        <v>-9906147.6525502317</v>
      </c>
      <c r="Z47" s="28">
        <f>(INDEX(Option3!Z$106:Z$117, MATCH($D47, Option3!$G$106:$G$117,0)))*conv_2026*Z$7</f>
        <v>-9906147.6525502317</v>
      </c>
      <c r="AA47" s="28">
        <f>(INDEX(Option3!AA$106:AA$117, MATCH($D47, Option3!$G$106:$G$117,0)))*conv_2026*AA$7</f>
        <v>-9906147.6525502317</v>
      </c>
      <c r="AB47" s="28">
        <f>(INDEX(Option3!AB$106:AB$117, MATCH($D47, Option3!$G$106:$G$117,0)))*conv_2026*AB$7</f>
        <v>-9906147.6525502317</v>
      </c>
      <c r="AC47" s="28">
        <f>(INDEX(Option3!AC$106:AC$117, MATCH($D47, Option3!$G$106:$G$117,0)))*conv_2026*AC$7</f>
        <v>-9906147.6525502317</v>
      </c>
      <c r="AD47" s="28">
        <f>(INDEX(Option3!AD$106:AD$117, MATCH($D47, Option3!$G$106:$G$117,0)))*conv_2026*AD$7</f>
        <v>-9906147.6525502317</v>
      </c>
      <c r="AE47" s="28">
        <f>(INDEX(Option3!AE$106:AE$117, MATCH($D47, Option3!$G$106:$G$117,0)))*conv_2026*AE$7</f>
        <v>-9906147.6525502317</v>
      </c>
      <c r="AF47" s="28">
        <f>(INDEX(Option3!AF$106:AF$117, MATCH($D47, Option3!$G$106:$G$117,0)))*conv_2026*AF$7</f>
        <v>0</v>
      </c>
      <c r="AG47" s="28">
        <f>(INDEX(Option3!AG$106:AG$117, MATCH($D47, Option3!$G$106:$G$117,0)))*conv_2026*AG$7</f>
        <v>0</v>
      </c>
    </row>
    <row r="48" spans="1:35" s="6" customFormat="1" x14ac:dyDescent="0.2">
      <c r="A48" s="225" t="s">
        <v>149</v>
      </c>
      <c r="B48" s="225" t="str">
        <f>Option3!A114</f>
        <v>sens5</v>
      </c>
      <c r="C48" s="225" t="str">
        <f>Option3!C114</f>
        <v>Capex 10% higher &amp; Total benefits 10% lower</v>
      </c>
      <c r="D48" s="225" t="str">
        <f t="shared" si="5"/>
        <v>Option 3sens5</v>
      </c>
      <c r="E48" s="217"/>
      <c r="F48" s="28">
        <f t="shared" si="4"/>
        <v>-129191519.5348212</v>
      </c>
      <c r="H48" s="28">
        <f>(INDEX(Option3!H$106:H$117, MATCH($D48, Option3!$G$106:$G$117,0)))*conv_2026*H$7</f>
        <v>0</v>
      </c>
      <c r="I48" s="28">
        <f>(INDEX(Option3!I$106:I$117, MATCH($D48, Option3!$G$106:$G$117,0)))*conv_2026*I$7</f>
        <v>0</v>
      </c>
      <c r="J48" s="28">
        <f>(INDEX(Option3!J$106:J$117, MATCH($D48, Option3!$G$106:$G$117,0)))*conv_2026*J$7</f>
        <v>0</v>
      </c>
      <c r="K48" s="28">
        <f>(INDEX(Option3!K$106:K$117, MATCH($D48, Option3!$G$106:$G$117,0)))*conv_2026*K$7</f>
        <v>0</v>
      </c>
      <c r="L48" s="28">
        <f>(INDEX(Option3!L$106:L$117, MATCH($D48, Option3!$G$106:$G$117,0)))*conv_2026*L$7</f>
        <v>1370893.7870953609</v>
      </c>
      <c r="M48" s="28">
        <f>(INDEX(Option3!M$106:M$117, MATCH($D48, Option3!$G$106:$G$117,0)))*conv_2026*M$7</f>
        <v>-4900023.694064483</v>
      </c>
      <c r="N48" s="28">
        <f>(INDEX(Option3!N$106:N$117, MATCH($D48, Option3!$G$106:$G$117,0)))*conv_2026*N$7</f>
        <v>-11170941.175224325</v>
      </c>
      <c r="O48" s="28">
        <f>(INDEX(Option3!O$106:O$117, MATCH($D48, Option3!$G$106:$G$117,0)))*conv_2026*O$7</f>
        <v>-11170941.175224325</v>
      </c>
      <c r="P48" s="28">
        <f>(INDEX(Option3!P$106:P$117, MATCH($D48, Option3!$G$106:$G$117,0)))*conv_2026*P$7</f>
        <v>-11170941.175224325</v>
      </c>
      <c r="Q48" s="28">
        <f>(INDEX(Option3!Q$106:Q$117, MATCH($D48, Option3!$G$106:$G$117,0)))*conv_2026*Q$7</f>
        <v>-11170941.175224325</v>
      </c>
      <c r="R48" s="28">
        <f>(INDEX(Option3!R$106:R$117, MATCH($D48, Option3!$G$106:$G$117,0)))*conv_2026*R$7</f>
        <v>-11170941.175224325</v>
      </c>
      <c r="S48" s="28">
        <f>(INDEX(Option3!S$106:S$117, MATCH($D48, Option3!$G$106:$G$117,0)))*conv_2026*S$7</f>
        <v>-11170941.175224325</v>
      </c>
      <c r="T48" s="28">
        <f>(INDEX(Option3!T$106:T$117, MATCH($D48, Option3!$G$106:$G$117,0)))*conv_2026*T$7</f>
        <v>-11170941.175224325</v>
      </c>
      <c r="U48" s="28">
        <f>(INDEX(Option3!U$106:U$117, MATCH($D48, Option3!$G$106:$G$117,0)))*conv_2026*U$7</f>
        <v>-11170941.175224325</v>
      </c>
      <c r="V48" s="28">
        <f>(INDEX(Option3!V$106:V$117, MATCH($D48, Option3!$G$106:$G$117,0)))*conv_2026*V$7</f>
        <v>-11170941.175224325</v>
      </c>
      <c r="W48" s="28">
        <f>(INDEX(Option3!W$106:W$117, MATCH($D48, Option3!$G$106:$G$117,0)))*conv_2026*W$7</f>
        <v>-11170941.175224325</v>
      </c>
      <c r="X48" s="28">
        <f>(INDEX(Option3!X$106:X$117, MATCH($D48, Option3!$G$106:$G$117,0)))*conv_2026*X$7</f>
        <v>-11170941.175224325</v>
      </c>
      <c r="Y48" s="28">
        <f>(INDEX(Option3!Y$106:Y$117, MATCH($D48, Option3!$G$106:$G$117,0)))*conv_2026*Y$7</f>
        <v>-11170941.175224325</v>
      </c>
      <c r="Z48" s="28">
        <f>(INDEX(Option3!Z$106:Z$117, MATCH($D48, Option3!$G$106:$G$117,0)))*conv_2026*Z$7</f>
        <v>-11170941.175224325</v>
      </c>
      <c r="AA48" s="28">
        <f>(INDEX(Option3!AA$106:AA$117, MATCH($D48, Option3!$G$106:$G$117,0)))*conv_2026*AA$7</f>
        <v>-11170941.175224325</v>
      </c>
      <c r="AB48" s="28">
        <f>(INDEX(Option3!AB$106:AB$117, MATCH($D48, Option3!$G$106:$G$117,0)))*conv_2026*AB$7</f>
        <v>-11170941.175224325</v>
      </c>
      <c r="AC48" s="28">
        <f>(INDEX(Option3!AC$106:AC$117, MATCH($D48, Option3!$G$106:$G$117,0)))*conv_2026*AC$7</f>
        <v>-11170941.175224325</v>
      </c>
      <c r="AD48" s="28">
        <f>(INDEX(Option3!AD$106:AD$117, MATCH($D48, Option3!$G$106:$G$117,0)))*conv_2026*AD$7</f>
        <v>-11170941.175224325</v>
      </c>
      <c r="AE48" s="28">
        <f>(INDEX(Option3!AE$106:AE$117, MATCH($D48, Option3!$G$106:$G$117,0)))*conv_2026*AE$7</f>
        <v>-11170941.175224325</v>
      </c>
      <c r="AF48" s="28">
        <f>(INDEX(Option3!AF$106:AF$117, MATCH($D48, Option3!$G$106:$G$117,0)))*conv_2026*AF$7</f>
        <v>0</v>
      </c>
      <c r="AG48" s="28">
        <f>(INDEX(Option3!AG$106:AG$117, MATCH($D48, Option3!$G$106:$G$117,0)))*conv_2026*AG$7</f>
        <v>0</v>
      </c>
    </row>
    <row r="49" spans="1:35" s="6" customFormat="1" x14ac:dyDescent="0.2">
      <c r="A49" s="225" t="s">
        <v>149</v>
      </c>
      <c r="B49" s="225" t="str">
        <f>Option3!A115</f>
        <v>sens</v>
      </c>
      <c r="C49" s="225">
        <f>Option3!C115</f>
        <v>0</v>
      </c>
      <c r="D49" s="225" t="str">
        <f t="shared" si="5"/>
        <v>Option 3sens</v>
      </c>
      <c r="E49" s="217"/>
      <c r="F49" s="28">
        <f t="shared" si="4"/>
        <v>-110587522.14718552</v>
      </c>
      <c r="H49" s="28">
        <f>(INDEX(Option3!H$106:H$117, MATCH($D49, Option3!$G$106:$G$117,0)))*conv_2026*H$7</f>
        <v>0</v>
      </c>
      <c r="I49" s="28">
        <f>(INDEX(Option3!I$106:I$117, MATCH($D49, Option3!$G$106:$G$117,0)))*conv_2026*I$7</f>
        <v>0</v>
      </c>
      <c r="J49" s="28">
        <f>(INDEX(Option3!J$106:J$117, MATCH($D49, Option3!$G$106:$G$117,0)))*conv_2026*J$7</f>
        <v>0</v>
      </c>
      <c r="K49" s="28">
        <f>(INDEX(Option3!K$106:K$117, MATCH($D49, Option3!$G$106:$G$117,0)))*conv_2026*K$7</f>
        <v>0</v>
      </c>
      <c r="L49" s="28">
        <f>(INDEX(Option3!L$106:L$117, MATCH($D49, Option3!$G$106:$G$117,0)))*conv_2026*L$7</f>
        <v>1523215.3189948455</v>
      </c>
      <c r="M49" s="28">
        <f>(INDEX(Option3!M$106:M$117, MATCH($D49, Option3!$G$106:$G$117,0)))*conv_2026*M$7</f>
        <v>-4039144.6348782084</v>
      </c>
      <c r="N49" s="28">
        <f>(INDEX(Option3!N$106:N$117, MATCH($D49, Option3!$G$106:$G$117,0)))*conv_2026*N$7</f>
        <v>-9601504.5887512621</v>
      </c>
      <c r="O49" s="28">
        <f>(INDEX(Option3!O$106:O$117, MATCH($D49, Option3!$G$106:$G$117,0)))*conv_2026*O$7</f>
        <v>-9601504.5887512621</v>
      </c>
      <c r="P49" s="28">
        <f>(INDEX(Option3!P$106:P$117, MATCH($D49, Option3!$G$106:$G$117,0)))*conv_2026*P$7</f>
        <v>-9601504.5887512621</v>
      </c>
      <c r="Q49" s="28">
        <f>(INDEX(Option3!Q$106:Q$117, MATCH($D49, Option3!$G$106:$G$117,0)))*conv_2026*Q$7</f>
        <v>-9601504.5887512621</v>
      </c>
      <c r="R49" s="28">
        <f>(INDEX(Option3!R$106:R$117, MATCH($D49, Option3!$G$106:$G$117,0)))*conv_2026*R$7</f>
        <v>-9601504.5887512621</v>
      </c>
      <c r="S49" s="28">
        <f>(INDEX(Option3!S$106:S$117, MATCH($D49, Option3!$G$106:$G$117,0)))*conv_2026*S$7</f>
        <v>-9601504.5887512621</v>
      </c>
      <c r="T49" s="28">
        <f>(INDEX(Option3!T$106:T$117, MATCH($D49, Option3!$G$106:$G$117,0)))*conv_2026*T$7</f>
        <v>-9601504.5887512621</v>
      </c>
      <c r="U49" s="28">
        <f>(INDEX(Option3!U$106:U$117, MATCH($D49, Option3!$G$106:$G$117,0)))*conv_2026*U$7</f>
        <v>-9601504.5887512621</v>
      </c>
      <c r="V49" s="28">
        <f>(INDEX(Option3!V$106:V$117, MATCH($D49, Option3!$G$106:$G$117,0)))*conv_2026*V$7</f>
        <v>-9601504.5887512621</v>
      </c>
      <c r="W49" s="28">
        <f>(INDEX(Option3!W$106:W$117, MATCH($D49, Option3!$G$106:$G$117,0)))*conv_2026*W$7</f>
        <v>-9601504.5887512621</v>
      </c>
      <c r="X49" s="28">
        <f>(INDEX(Option3!X$106:X$117, MATCH($D49, Option3!$G$106:$G$117,0)))*conv_2026*X$7</f>
        <v>-9601504.5887512621</v>
      </c>
      <c r="Y49" s="28">
        <f>(INDEX(Option3!Y$106:Y$117, MATCH($D49, Option3!$G$106:$G$117,0)))*conv_2026*Y$7</f>
        <v>-9601504.5887512621</v>
      </c>
      <c r="Z49" s="28">
        <f>(INDEX(Option3!Z$106:Z$117, MATCH($D49, Option3!$G$106:$G$117,0)))*conv_2026*Z$7</f>
        <v>-9601504.5887512621</v>
      </c>
      <c r="AA49" s="28">
        <f>(INDEX(Option3!AA$106:AA$117, MATCH($D49, Option3!$G$106:$G$117,0)))*conv_2026*AA$7</f>
        <v>-9601504.5887512621</v>
      </c>
      <c r="AB49" s="28">
        <f>(INDEX(Option3!AB$106:AB$117, MATCH($D49, Option3!$G$106:$G$117,0)))*conv_2026*AB$7</f>
        <v>-9601504.5887512621</v>
      </c>
      <c r="AC49" s="28">
        <f>(INDEX(Option3!AC$106:AC$117, MATCH($D49, Option3!$G$106:$G$117,0)))*conv_2026*AC$7</f>
        <v>-9601504.5887512621</v>
      </c>
      <c r="AD49" s="28">
        <f>(INDEX(Option3!AD$106:AD$117, MATCH($D49, Option3!$G$106:$G$117,0)))*conv_2026*AD$7</f>
        <v>-9601504.5887512621</v>
      </c>
      <c r="AE49" s="28">
        <f>(INDEX(Option3!AE$106:AE$117, MATCH($D49, Option3!$G$106:$G$117,0)))*conv_2026*AE$7</f>
        <v>-9601504.5887512621</v>
      </c>
      <c r="AF49" s="28">
        <f>(INDEX(Option3!AF$106:AF$117, MATCH($D49, Option3!$G$106:$G$117,0)))*conv_2026*AF$7</f>
        <v>0</v>
      </c>
      <c r="AG49" s="28">
        <f>(INDEX(Option3!AG$106:AG$117, MATCH($D49, Option3!$G$106:$G$117,0)))*conv_2026*AG$7</f>
        <v>0</v>
      </c>
    </row>
    <row r="50" spans="1:35" s="6" customFormat="1" x14ac:dyDescent="0.2">
      <c r="A50" s="225" t="s">
        <v>149</v>
      </c>
      <c r="B50" s="225" t="str">
        <f>Option3!A116</f>
        <v>sens</v>
      </c>
      <c r="C50" s="225">
        <f>Option3!C116</f>
        <v>0</v>
      </c>
      <c r="D50" s="225" t="str">
        <f t="shared" si="5"/>
        <v>Option 3sens</v>
      </c>
      <c r="E50" s="217"/>
      <c r="F50" s="28">
        <f t="shared" si="4"/>
        <v>-110587522.14718552</v>
      </c>
      <c r="H50" s="28">
        <f>(INDEX(Option3!H$106:H$117, MATCH($D50, Option3!$G$106:$G$117,0)))*conv_2026*H$7</f>
        <v>0</v>
      </c>
      <c r="I50" s="28">
        <f>(INDEX(Option3!I$106:I$117, MATCH($D50, Option3!$G$106:$G$117,0)))*conv_2026*I$7</f>
        <v>0</v>
      </c>
      <c r="J50" s="28">
        <f>(INDEX(Option3!J$106:J$117, MATCH($D50, Option3!$G$106:$G$117,0)))*conv_2026*J$7</f>
        <v>0</v>
      </c>
      <c r="K50" s="28">
        <f>(INDEX(Option3!K$106:K$117, MATCH($D50, Option3!$G$106:$G$117,0)))*conv_2026*K$7</f>
        <v>0</v>
      </c>
      <c r="L50" s="28">
        <f>(INDEX(Option3!L$106:L$117, MATCH($D50, Option3!$G$106:$G$117,0)))*conv_2026*L$7</f>
        <v>1523215.3189948455</v>
      </c>
      <c r="M50" s="28">
        <f>(INDEX(Option3!M$106:M$117, MATCH($D50, Option3!$G$106:$G$117,0)))*conv_2026*M$7</f>
        <v>-4039144.6348782084</v>
      </c>
      <c r="N50" s="28">
        <f>(INDEX(Option3!N$106:N$117, MATCH($D50, Option3!$G$106:$G$117,0)))*conv_2026*N$7</f>
        <v>-9601504.5887512621</v>
      </c>
      <c r="O50" s="28">
        <f>(INDEX(Option3!O$106:O$117, MATCH($D50, Option3!$G$106:$G$117,0)))*conv_2026*O$7</f>
        <v>-9601504.5887512621</v>
      </c>
      <c r="P50" s="28">
        <f>(INDEX(Option3!P$106:P$117, MATCH($D50, Option3!$G$106:$G$117,0)))*conv_2026*P$7</f>
        <v>-9601504.5887512621</v>
      </c>
      <c r="Q50" s="28">
        <f>(INDEX(Option3!Q$106:Q$117, MATCH($D50, Option3!$G$106:$G$117,0)))*conv_2026*Q$7</f>
        <v>-9601504.5887512621</v>
      </c>
      <c r="R50" s="28">
        <f>(INDEX(Option3!R$106:R$117, MATCH($D50, Option3!$G$106:$G$117,0)))*conv_2026*R$7</f>
        <v>-9601504.5887512621</v>
      </c>
      <c r="S50" s="28">
        <f>(INDEX(Option3!S$106:S$117, MATCH($D50, Option3!$G$106:$G$117,0)))*conv_2026*S$7</f>
        <v>-9601504.5887512621</v>
      </c>
      <c r="T50" s="28">
        <f>(INDEX(Option3!T$106:T$117, MATCH($D50, Option3!$G$106:$G$117,0)))*conv_2026*T$7</f>
        <v>-9601504.5887512621</v>
      </c>
      <c r="U50" s="28">
        <f>(INDEX(Option3!U$106:U$117, MATCH($D50, Option3!$G$106:$G$117,0)))*conv_2026*U$7</f>
        <v>-9601504.5887512621</v>
      </c>
      <c r="V50" s="28">
        <f>(INDEX(Option3!V$106:V$117, MATCH($D50, Option3!$G$106:$G$117,0)))*conv_2026*V$7</f>
        <v>-9601504.5887512621</v>
      </c>
      <c r="W50" s="28">
        <f>(INDEX(Option3!W$106:W$117, MATCH($D50, Option3!$G$106:$G$117,0)))*conv_2026*W$7</f>
        <v>-9601504.5887512621</v>
      </c>
      <c r="X50" s="28">
        <f>(INDEX(Option3!X$106:X$117, MATCH($D50, Option3!$G$106:$G$117,0)))*conv_2026*X$7</f>
        <v>-9601504.5887512621</v>
      </c>
      <c r="Y50" s="28">
        <f>(INDEX(Option3!Y$106:Y$117, MATCH($D50, Option3!$G$106:$G$117,0)))*conv_2026*Y$7</f>
        <v>-9601504.5887512621</v>
      </c>
      <c r="Z50" s="28">
        <f>(INDEX(Option3!Z$106:Z$117, MATCH($D50, Option3!$G$106:$G$117,0)))*conv_2026*Z$7</f>
        <v>-9601504.5887512621</v>
      </c>
      <c r="AA50" s="28">
        <f>(INDEX(Option3!AA$106:AA$117, MATCH($D50, Option3!$G$106:$G$117,0)))*conv_2026*AA$7</f>
        <v>-9601504.5887512621</v>
      </c>
      <c r="AB50" s="28">
        <f>(INDEX(Option3!AB$106:AB$117, MATCH($D50, Option3!$G$106:$G$117,0)))*conv_2026*AB$7</f>
        <v>-9601504.5887512621</v>
      </c>
      <c r="AC50" s="28">
        <f>(INDEX(Option3!AC$106:AC$117, MATCH($D50, Option3!$G$106:$G$117,0)))*conv_2026*AC$7</f>
        <v>-9601504.5887512621</v>
      </c>
      <c r="AD50" s="28">
        <f>(INDEX(Option3!AD$106:AD$117, MATCH($D50, Option3!$G$106:$G$117,0)))*conv_2026*AD$7</f>
        <v>-9601504.5887512621</v>
      </c>
      <c r="AE50" s="28">
        <f>(INDEX(Option3!AE$106:AE$117, MATCH($D50, Option3!$G$106:$G$117,0)))*conv_2026*AE$7</f>
        <v>-9601504.5887512621</v>
      </c>
      <c r="AF50" s="28">
        <f>(INDEX(Option3!AF$106:AF$117, MATCH($D50, Option3!$G$106:$G$117,0)))*conv_2026*AF$7</f>
        <v>0</v>
      </c>
      <c r="AG50" s="28">
        <f>(INDEX(Option3!AG$106:AG$117, MATCH($D50, Option3!$G$106:$G$117,0)))*conv_2026*AG$7</f>
        <v>0</v>
      </c>
    </row>
    <row r="51" spans="1:35" s="6" customFormat="1" x14ac:dyDescent="0.2">
      <c r="A51" s="225" t="s">
        <v>149</v>
      </c>
      <c r="B51" s="225" t="str">
        <f>Option3!A117</f>
        <v>sens</v>
      </c>
      <c r="C51" s="225">
        <f>Option3!C117</f>
        <v>0</v>
      </c>
      <c r="D51" s="225" t="str">
        <f t="shared" si="5"/>
        <v>Option 3sens</v>
      </c>
      <c r="E51" s="217"/>
      <c r="F51" s="28">
        <f t="shared" si="4"/>
        <v>-110587522.14718552</v>
      </c>
      <c r="H51" s="28">
        <f>(INDEX(Option3!H$106:H$117, MATCH($D51, Option3!$G$106:$G$117,0)))*conv_2026*H$7</f>
        <v>0</v>
      </c>
      <c r="I51" s="28">
        <f>(INDEX(Option3!I$106:I$117, MATCH($D51, Option3!$G$106:$G$117,0)))*conv_2026*I$7</f>
        <v>0</v>
      </c>
      <c r="J51" s="28">
        <f>(INDEX(Option3!J$106:J$117, MATCH($D51, Option3!$G$106:$G$117,0)))*conv_2026*J$7</f>
        <v>0</v>
      </c>
      <c r="K51" s="28">
        <f>(INDEX(Option3!K$106:K$117, MATCH($D51, Option3!$G$106:$G$117,0)))*conv_2026*K$7</f>
        <v>0</v>
      </c>
      <c r="L51" s="28">
        <f>(INDEX(Option3!L$106:L$117, MATCH($D51, Option3!$G$106:$G$117,0)))*conv_2026*L$7</f>
        <v>1523215.3189948455</v>
      </c>
      <c r="M51" s="28">
        <f>(INDEX(Option3!M$106:M$117, MATCH($D51, Option3!$G$106:$G$117,0)))*conv_2026*M$7</f>
        <v>-4039144.6348782084</v>
      </c>
      <c r="N51" s="28">
        <f>(INDEX(Option3!N$106:N$117, MATCH($D51, Option3!$G$106:$G$117,0)))*conv_2026*N$7</f>
        <v>-9601504.5887512621</v>
      </c>
      <c r="O51" s="28">
        <f>(INDEX(Option3!O$106:O$117, MATCH($D51, Option3!$G$106:$G$117,0)))*conv_2026*O$7</f>
        <v>-9601504.5887512621</v>
      </c>
      <c r="P51" s="28">
        <f>(INDEX(Option3!P$106:P$117, MATCH($D51, Option3!$G$106:$G$117,0)))*conv_2026*P$7</f>
        <v>-9601504.5887512621</v>
      </c>
      <c r="Q51" s="28">
        <f>(INDEX(Option3!Q$106:Q$117, MATCH($D51, Option3!$G$106:$G$117,0)))*conv_2026*Q$7</f>
        <v>-9601504.5887512621</v>
      </c>
      <c r="R51" s="28">
        <f>(INDEX(Option3!R$106:R$117, MATCH($D51, Option3!$G$106:$G$117,0)))*conv_2026*R$7</f>
        <v>-9601504.5887512621</v>
      </c>
      <c r="S51" s="28">
        <f>(INDEX(Option3!S$106:S$117, MATCH($D51, Option3!$G$106:$G$117,0)))*conv_2026*S$7</f>
        <v>-9601504.5887512621</v>
      </c>
      <c r="T51" s="28">
        <f>(INDEX(Option3!T$106:T$117, MATCH($D51, Option3!$G$106:$G$117,0)))*conv_2026*T$7</f>
        <v>-9601504.5887512621</v>
      </c>
      <c r="U51" s="28">
        <f>(INDEX(Option3!U$106:U$117, MATCH($D51, Option3!$G$106:$G$117,0)))*conv_2026*U$7</f>
        <v>-9601504.5887512621</v>
      </c>
      <c r="V51" s="28">
        <f>(INDEX(Option3!V$106:V$117, MATCH($D51, Option3!$G$106:$G$117,0)))*conv_2026*V$7</f>
        <v>-9601504.5887512621</v>
      </c>
      <c r="W51" s="28">
        <f>(INDEX(Option3!W$106:W$117, MATCH($D51, Option3!$G$106:$G$117,0)))*conv_2026*W$7</f>
        <v>-9601504.5887512621</v>
      </c>
      <c r="X51" s="28">
        <f>(INDEX(Option3!X$106:X$117, MATCH($D51, Option3!$G$106:$G$117,0)))*conv_2026*X$7</f>
        <v>-9601504.5887512621</v>
      </c>
      <c r="Y51" s="28">
        <f>(INDEX(Option3!Y$106:Y$117, MATCH($D51, Option3!$G$106:$G$117,0)))*conv_2026*Y$7</f>
        <v>-9601504.5887512621</v>
      </c>
      <c r="Z51" s="28">
        <f>(INDEX(Option3!Z$106:Z$117, MATCH($D51, Option3!$G$106:$G$117,0)))*conv_2026*Z$7</f>
        <v>-9601504.5887512621</v>
      </c>
      <c r="AA51" s="28">
        <f>(INDEX(Option3!AA$106:AA$117, MATCH($D51, Option3!$G$106:$G$117,0)))*conv_2026*AA$7</f>
        <v>-9601504.5887512621</v>
      </c>
      <c r="AB51" s="28">
        <f>(INDEX(Option3!AB$106:AB$117, MATCH($D51, Option3!$G$106:$G$117,0)))*conv_2026*AB$7</f>
        <v>-9601504.5887512621</v>
      </c>
      <c r="AC51" s="28">
        <f>(INDEX(Option3!AC$106:AC$117, MATCH($D51, Option3!$G$106:$G$117,0)))*conv_2026*AC$7</f>
        <v>-9601504.5887512621</v>
      </c>
      <c r="AD51" s="28">
        <f>(INDEX(Option3!AD$106:AD$117, MATCH($D51, Option3!$G$106:$G$117,0)))*conv_2026*AD$7</f>
        <v>-9601504.5887512621</v>
      </c>
      <c r="AE51" s="28">
        <f>(INDEX(Option3!AE$106:AE$117, MATCH($D51, Option3!$G$106:$G$117,0)))*conv_2026*AE$7</f>
        <v>-9601504.5887512621</v>
      </c>
      <c r="AF51" s="28">
        <f>(INDEX(Option3!AF$106:AF$117, MATCH($D51, Option3!$G$106:$G$117,0)))*conv_2026*AF$7</f>
        <v>0</v>
      </c>
      <c r="AG51" s="28">
        <f>(INDEX(Option3!AG$106:AG$117, MATCH($D51, Option3!$G$106:$G$117,0)))*conv_2026*AG$7</f>
        <v>0</v>
      </c>
    </row>
    <row r="52" spans="1:35" s="6" customFormat="1" x14ac:dyDescent="0.2">
      <c r="A52" s="225"/>
      <c r="B52" s="225"/>
      <c r="C52" s="225"/>
      <c r="D52" s="225"/>
      <c r="E52" s="225"/>
      <c r="F52" s="28"/>
      <c r="H52" s="225"/>
      <c r="I52" s="225"/>
      <c r="J52" s="225"/>
      <c r="K52" s="225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</row>
    <row r="53" spans="1:35" s="6" customFormat="1" x14ac:dyDescent="0.2">
      <c r="A53" s="225"/>
      <c r="B53" s="225"/>
      <c r="C53" s="225"/>
      <c r="D53" s="225"/>
      <c r="E53" s="225"/>
      <c r="F53" s="28"/>
      <c r="H53" s="225"/>
      <c r="I53" s="225"/>
      <c r="J53" s="225"/>
      <c r="K53" s="225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</row>
    <row r="54" spans="1:35" s="6" customFormat="1" x14ac:dyDescent="0.2">
      <c r="A54" s="225"/>
      <c r="B54" s="225"/>
      <c r="C54" s="225"/>
      <c r="D54" s="225"/>
      <c r="E54" s="225"/>
      <c r="F54" s="28"/>
      <c r="H54" s="225"/>
      <c r="I54" s="225"/>
      <c r="J54" s="225"/>
      <c r="K54" s="225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</row>
    <row r="55" spans="1:35" s="6" customFormat="1" x14ac:dyDescent="0.2">
      <c r="A55" s="225"/>
      <c r="B55" s="225"/>
      <c r="C55" s="225"/>
      <c r="D55" s="225"/>
      <c r="E55" s="225"/>
      <c r="F55" s="28"/>
      <c r="H55" s="225"/>
      <c r="I55" s="225"/>
      <c r="J55" s="225"/>
      <c r="K55" s="225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</row>
    <row r="56" spans="1:35" s="6" customFormat="1" x14ac:dyDescent="0.2">
      <c r="A56" s="225" t="s">
        <v>150</v>
      </c>
      <c r="B56" s="225" t="s">
        <v>7</v>
      </c>
      <c r="C56" s="225" t="s">
        <v>132</v>
      </c>
      <c r="D56" s="225" t="str">
        <f>A56&amp;B56</f>
        <v>Option 4NPV</v>
      </c>
      <c r="E56" s="217"/>
      <c r="F56" s="28">
        <f t="shared" ref="F56:F65" si="6">SUMPRODUCT($H56:$AG56, $H$5:$AG$5)</f>
        <v>3510306.0258237384</v>
      </c>
      <c r="G56" s="220"/>
      <c r="H56" s="28">
        <f>(INDEX(Option4!H$106:H$117, MATCH($D56, Option4!$G$106:$G$117,0)))*conv_2026*H$7</f>
        <v>0</v>
      </c>
      <c r="I56" s="28">
        <f>(INDEX(Option4!I$106:I$117, MATCH($D56, Option4!$G$106:$G$117,0)))*conv_2026*I$7</f>
        <v>0</v>
      </c>
      <c r="J56" s="28">
        <f>(INDEX(Option4!J$106:J$117, MATCH($D56, Option4!$G$106:$G$117,0)))*conv_2026*J$7</f>
        <v>0</v>
      </c>
      <c r="K56" s="28">
        <f>(INDEX(Option4!K$106:K$117, MATCH($D56, Option4!$G$106:$G$117,0)))*conv_2026*K$7</f>
        <v>0</v>
      </c>
      <c r="L56" s="28">
        <f>(INDEX(Option4!L$106:L$117, MATCH($D56, Option4!$G$106:$G$117,0)))*conv_2026*L$7</f>
        <v>0</v>
      </c>
      <c r="M56" s="28">
        <f>(INDEX(Option4!M$106:M$117, MATCH($D56, Option4!$G$106:$G$117,0)))*conv_2026*M$7</f>
        <v>-604380.51651805569</v>
      </c>
      <c r="N56" s="28">
        <f>(INDEX(Option4!N$106:N$117, MATCH($D56, Option4!$G$106:$G$117,0)))*conv_2026*N$7</f>
        <v>356522.92569857772</v>
      </c>
      <c r="O56" s="28">
        <f>(INDEX(Option4!O$106:O$117, MATCH($D56, Option4!$G$106:$G$117,0)))*conv_2026*O$7</f>
        <v>356522.92569857772</v>
      </c>
      <c r="P56" s="28">
        <f>(INDEX(Option4!P$106:P$117, MATCH($D56, Option4!$G$106:$G$117,0)))*conv_2026*P$7</f>
        <v>356522.92569857772</v>
      </c>
      <c r="Q56" s="28">
        <f>(INDEX(Option4!Q$106:Q$117, MATCH($D56, Option4!$G$106:$G$117,0)))*conv_2026*Q$7</f>
        <v>356522.92569857772</v>
      </c>
      <c r="R56" s="28">
        <f>(INDEX(Option4!R$106:R$117, MATCH($D56, Option4!$G$106:$G$117,0)))*conv_2026*R$7</f>
        <v>356522.92569857772</v>
      </c>
      <c r="S56" s="28">
        <f>(INDEX(Option4!S$106:S$117, MATCH($D56, Option4!$G$106:$G$117,0)))*conv_2026*S$7</f>
        <v>356522.92569857772</v>
      </c>
      <c r="T56" s="28">
        <f>(INDEX(Option4!T$106:T$117, MATCH($D56, Option4!$G$106:$G$117,0)))*conv_2026*T$7</f>
        <v>356522.92569857772</v>
      </c>
      <c r="U56" s="28">
        <f>(INDEX(Option4!U$106:U$117, MATCH($D56, Option4!$G$106:$G$117,0)))*conv_2026*U$7</f>
        <v>356522.92569857772</v>
      </c>
      <c r="V56" s="28">
        <f>(INDEX(Option4!V$106:V$117, MATCH($D56, Option4!$G$106:$G$117,0)))*conv_2026*V$7</f>
        <v>356522.92569857772</v>
      </c>
      <c r="W56" s="28">
        <f>(INDEX(Option4!W$106:W$117, MATCH($D56, Option4!$G$106:$G$117,0)))*conv_2026*W$7</f>
        <v>356522.92569857772</v>
      </c>
      <c r="X56" s="28">
        <f>(INDEX(Option4!X$106:X$117, MATCH($D56, Option4!$G$106:$G$117,0)))*conv_2026*X$7</f>
        <v>356522.92569857772</v>
      </c>
      <c r="Y56" s="28">
        <f>(INDEX(Option4!Y$106:Y$117, MATCH($D56, Option4!$G$106:$G$117,0)))*conv_2026*Y$7</f>
        <v>356522.92569857772</v>
      </c>
      <c r="Z56" s="28">
        <f>(INDEX(Option4!Z$106:Z$117, MATCH($D56, Option4!$G$106:$G$117,0)))*conv_2026*Z$7</f>
        <v>356522.92569857772</v>
      </c>
      <c r="AA56" s="28">
        <f>(INDEX(Option4!AA$106:AA$117, MATCH($D56, Option4!$G$106:$G$117,0)))*conv_2026*AA$7</f>
        <v>356522.92569857772</v>
      </c>
      <c r="AB56" s="28">
        <f>(INDEX(Option4!AB$106:AB$117, MATCH($D56, Option4!$G$106:$G$117,0)))*conv_2026*AB$7</f>
        <v>356522.92569857772</v>
      </c>
      <c r="AC56" s="28">
        <f>(INDEX(Option4!AC$106:AC$117, MATCH($D56, Option4!$G$106:$G$117,0)))*conv_2026*AC$7</f>
        <v>356522.92569857772</v>
      </c>
      <c r="AD56" s="28">
        <f>(INDEX(Option4!AD$106:AD$117, MATCH($D56, Option4!$G$106:$G$117,0)))*conv_2026*AD$7</f>
        <v>356522.92569857772</v>
      </c>
      <c r="AE56" s="28">
        <f>(INDEX(Option4!AE$106:AE$117, MATCH($D56, Option4!$G$106:$G$117,0)))*conv_2026*AE$7</f>
        <v>356522.92569857772</v>
      </c>
      <c r="AF56" s="28">
        <f>(INDEX(Option4!AF$106:AF$117, MATCH($D56, Option4!$G$106:$G$117,0)))*conv_2026*AF$7</f>
        <v>0</v>
      </c>
      <c r="AG56" s="28">
        <f>(INDEX(Option4!AG$106:AG$117, MATCH($D56, Option4!$G$106:$G$117,0)))*conv_2026*AG$7</f>
        <v>0</v>
      </c>
      <c r="AH56" s="2"/>
      <c r="AI56" s="2"/>
    </row>
    <row r="57" spans="1:35" s="6" customFormat="1" x14ac:dyDescent="0.2">
      <c r="A57" s="219"/>
      <c r="B57" s="219"/>
      <c r="C57" s="219"/>
      <c r="D57" s="219"/>
      <c r="E57" s="219"/>
      <c r="F57" s="219"/>
      <c r="G57" s="220"/>
      <c r="H57" s="220"/>
      <c r="I57" s="220"/>
      <c r="J57" s="220"/>
      <c r="K57" s="220"/>
      <c r="L57" s="220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20"/>
      <c r="Z57" s="220"/>
      <c r="AA57" s="220"/>
      <c r="AB57" s="220"/>
      <c r="AC57" s="220"/>
      <c r="AD57" s="220"/>
      <c r="AE57" s="220"/>
      <c r="AF57" s="220"/>
      <c r="AG57" s="220"/>
      <c r="AH57" s="2"/>
      <c r="AI57" s="2"/>
    </row>
    <row r="58" spans="1:35" s="6" customFormat="1" x14ac:dyDescent="0.2">
      <c r="A58" s="225" t="s">
        <v>150</v>
      </c>
      <c r="B58" s="225" t="str">
        <f>Option4!A110</f>
        <v>sens1</v>
      </c>
      <c r="C58" s="225" t="str">
        <f>Option4!C110</f>
        <v>Capex 10% higher</v>
      </c>
      <c r="D58" s="225" t="str">
        <f t="shared" ref="D58:D65" si="7">A58&amp;B58</f>
        <v>Option 4sens1</v>
      </c>
      <c r="E58" s="217"/>
      <c r="F58" s="28">
        <f t="shared" si="6"/>
        <v>2092874.0415016562</v>
      </c>
      <c r="G58" s="220"/>
      <c r="H58" s="28">
        <f>(INDEX(Option4!H$106:H$117, MATCH($D58, Option4!$G$106:$G$117,0)))*conv_2026*H$7</f>
        <v>0</v>
      </c>
      <c r="I58" s="28">
        <f>(INDEX(Option4!I$106:I$117, MATCH($D58, Option4!$G$106:$G$117,0)))*conv_2026*I$7</f>
        <v>0</v>
      </c>
      <c r="J58" s="28">
        <f>(INDEX(Option4!J$106:J$117, MATCH($D58, Option4!$G$106:$G$117,0)))*conv_2026*J$7</f>
        <v>0</v>
      </c>
      <c r="K58" s="28">
        <f>(INDEX(Option4!K$106:K$117, MATCH($D58, Option4!$G$106:$G$117,0)))*conv_2026*K$7</f>
        <v>0</v>
      </c>
      <c r="L58" s="28">
        <f>(INDEX(Option4!L$106:L$117, MATCH($D58, Option4!$G$106:$G$117,0)))*conv_2026*L$7</f>
        <v>0</v>
      </c>
      <c r="M58" s="28">
        <f>(INDEX(Option4!M$106:M$117, MATCH($D58, Option4!$G$106:$G$117,0)))*conv_2026*M$7</f>
        <v>-664818.56816986133</v>
      </c>
      <c r="N58" s="28">
        <f>(INDEX(Option4!N$106:N$117, MATCH($D58, Option4!$G$106:$G$117,0)))*conv_2026*N$7</f>
        <v>235646.82239496661</v>
      </c>
      <c r="O58" s="28">
        <f>(INDEX(Option4!O$106:O$117, MATCH($D58, Option4!$G$106:$G$117,0)))*conv_2026*O$7</f>
        <v>235646.82239496661</v>
      </c>
      <c r="P58" s="28">
        <f>(INDEX(Option4!P$106:P$117, MATCH($D58, Option4!$G$106:$G$117,0)))*conv_2026*P$7</f>
        <v>235646.82239496661</v>
      </c>
      <c r="Q58" s="28">
        <f>(INDEX(Option4!Q$106:Q$117, MATCH($D58, Option4!$G$106:$G$117,0)))*conv_2026*Q$7</f>
        <v>235646.82239496661</v>
      </c>
      <c r="R58" s="28">
        <f>(INDEX(Option4!R$106:R$117, MATCH($D58, Option4!$G$106:$G$117,0)))*conv_2026*R$7</f>
        <v>235646.82239496661</v>
      </c>
      <c r="S58" s="28">
        <f>(INDEX(Option4!S$106:S$117, MATCH($D58, Option4!$G$106:$G$117,0)))*conv_2026*S$7</f>
        <v>235646.82239496661</v>
      </c>
      <c r="T58" s="28">
        <f>(INDEX(Option4!T$106:T$117, MATCH($D58, Option4!$G$106:$G$117,0)))*conv_2026*T$7</f>
        <v>235646.82239496661</v>
      </c>
      <c r="U58" s="28">
        <f>(INDEX(Option4!U$106:U$117, MATCH($D58, Option4!$G$106:$G$117,0)))*conv_2026*U$7</f>
        <v>235646.82239496661</v>
      </c>
      <c r="V58" s="28">
        <f>(INDEX(Option4!V$106:V$117, MATCH($D58, Option4!$G$106:$G$117,0)))*conv_2026*V$7</f>
        <v>235646.82239496661</v>
      </c>
      <c r="W58" s="28">
        <f>(INDEX(Option4!W$106:W$117, MATCH($D58, Option4!$G$106:$G$117,0)))*conv_2026*W$7</f>
        <v>235646.82239496661</v>
      </c>
      <c r="X58" s="28">
        <f>(INDEX(Option4!X$106:X$117, MATCH($D58, Option4!$G$106:$G$117,0)))*conv_2026*X$7</f>
        <v>235646.82239496661</v>
      </c>
      <c r="Y58" s="28">
        <f>(INDEX(Option4!Y$106:Y$117, MATCH($D58, Option4!$G$106:$G$117,0)))*conv_2026*Y$7</f>
        <v>235646.82239496661</v>
      </c>
      <c r="Z58" s="28">
        <f>(INDEX(Option4!Z$106:Z$117, MATCH($D58, Option4!$G$106:$G$117,0)))*conv_2026*Z$7</f>
        <v>235646.82239496661</v>
      </c>
      <c r="AA58" s="28">
        <f>(INDEX(Option4!AA$106:AA$117, MATCH($D58, Option4!$G$106:$G$117,0)))*conv_2026*AA$7</f>
        <v>235646.82239496661</v>
      </c>
      <c r="AB58" s="28">
        <f>(INDEX(Option4!AB$106:AB$117, MATCH($D58, Option4!$G$106:$G$117,0)))*conv_2026*AB$7</f>
        <v>235646.82239496661</v>
      </c>
      <c r="AC58" s="28">
        <f>(INDEX(Option4!AC$106:AC$117, MATCH($D58, Option4!$G$106:$G$117,0)))*conv_2026*AC$7</f>
        <v>235646.82239496661</v>
      </c>
      <c r="AD58" s="28">
        <f>(INDEX(Option4!AD$106:AD$117, MATCH($D58, Option4!$G$106:$G$117,0)))*conv_2026*AD$7</f>
        <v>235646.82239496661</v>
      </c>
      <c r="AE58" s="28">
        <f>(INDEX(Option4!AE$106:AE$117, MATCH($D58, Option4!$G$106:$G$117,0)))*conv_2026*AE$7</f>
        <v>235646.82239496661</v>
      </c>
      <c r="AF58" s="28">
        <f>(INDEX(Option4!AF$106:AF$117, MATCH($D58, Option4!$G$106:$G$117,0)))*conv_2026*AF$7</f>
        <v>0</v>
      </c>
      <c r="AG58" s="28">
        <f>(INDEX(Option4!AG$106:AG$117, MATCH($D58, Option4!$G$106:$G$117,0)))*conv_2026*AG$7</f>
        <v>0</v>
      </c>
      <c r="AH58" s="2"/>
      <c r="AI58" s="2"/>
    </row>
    <row r="59" spans="1:35" s="6" customFormat="1" x14ac:dyDescent="0.2">
      <c r="A59" s="225" t="s">
        <v>150</v>
      </c>
      <c r="B59" s="225" t="str">
        <f>Option4!A111</f>
        <v>sens2</v>
      </c>
      <c r="C59" s="225" t="str">
        <f>Option4!C111</f>
        <v>Capex 10% lower</v>
      </c>
      <c r="D59" s="225" t="str">
        <f t="shared" si="7"/>
        <v>Option 4sens2</v>
      </c>
      <c r="E59" s="217"/>
      <c r="F59" s="28">
        <f t="shared" si="6"/>
        <v>4927738.0101458225</v>
      </c>
      <c r="G59" s="225"/>
      <c r="H59" s="28">
        <f>(INDEX(Option4!H$106:H$117, MATCH($D59, Option4!$G$106:$G$117,0)))*conv_2026*H$7</f>
        <v>0</v>
      </c>
      <c r="I59" s="28">
        <f>(INDEX(Option4!I$106:I$117, MATCH($D59, Option4!$G$106:$G$117,0)))*conv_2026*I$7</f>
        <v>0</v>
      </c>
      <c r="J59" s="28">
        <f>(INDEX(Option4!J$106:J$117, MATCH($D59, Option4!$G$106:$G$117,0)))*conv_2026*J$7</f>
        <v>0</v>
      </c>
      <c r="K59" s="28">
        <f>(INDEX(Option4!K$106:K$117, MATCH($D59, Option4!$G$106:$G$117,0)))*conv_2026*K$7</f>
        <v>0</v>
      </c>
      <c r="L59" s="28">
        <f>(INDEX(Option4!L$106:L$117, MATCH($D59, Option4!$G$106:$G$117,0)))*conv_2026*L$7</f>
        <v>0</v>
      </c>
      <c r="M59" s="28">
        <f>(INDEX(Option4!M$106:M$117, MATCH($D59, Option4!$G$106:$G$117,0)))*conv_2026*M$7</f>
        <v>-543942.46486625017</v>
      </c>
      <c r="N59" s="28">
        <f>(INDEX(Option4!N$106:N$117, MATCH($D59, Option4!$G$106:$G$117,0)))*conv_2026*N$7</f>
        <v>477399.02900218888</v>
      </c>
      <c r="O59" s="28">
        <f>(INDEX(Option4!O$106:O$117, MATCH($D59, Option4!$G$106:$G$117,0)))*conv_2026*O$7</f>
        <v>477399.02900218888</v>
      </c>
      <c r="P59" s="28">
        <f>(INDEX(Option4!P$106:P$117, MATCH($D59, Option4!$G$106:$G$117,0)))*conv_2026*P$7</f>
        <v>477399.02900218888</v>
      </c>
      <c r="Q59" s="28">
        <f>(INDEX(Option4!Q$106:Q$117, MATCH($D59, Option4!$G$106:$G$117,0)))*conv_2026*Q$7</f>
        <v>477399.02900218888</v>
      </c>
      <c r="R59" s="28">
        <f>(INDEX(Option4!R$106:R$117, MATCH($D59, Option4!$G$106:$G$117,0)))*conv_2026*R$7</f>
        <v>477399.02900218888</v>
      </c>
      <c r="S59" s="28">
        <f>(INDEX(Option4!S$106:S$117, MATCH($D59, Option4!$G$106:$G$117,0)))*conv_2026*S$7</f>
        <v>477399.02900218888</v>
      </c>
      <c r="T59" s="28">
        <f>(INDEX(Option4!T$106:T$117, MATCH($D59, Option4!$G$106:$G$117,0)))*conv_2026*T$7</f>
        <v>477399.02900218888</v>
      </c>
      <c r="U59" s="28">
        <f>(INDEX(Option4!U$106:U$117, MATCH($D59, Option4!$G$106:$G$117,0)))*conv_2026*U$7</f>
        <v>477399.02900218888</v>
      </c>
      <c r="V59" s="28">
        <f>(INDEX(Option4!V$106:V$117, MATCH($D59, Option4!$G$106:$G$117,0)))*conv_2026*V$7</f>
        <v>477399.02900218888</v>
      </c>
      <c r="W59" s="28">
        <f>(INDEX(Option4!W$106:W$117, MATCH($D59, Option4!$G$106:$G$117,0)))*conv_2026*W$7</f>
        <v>477399.02900218888</v>
      </c>
      <c r="X59" s="28">
        <f>(INDEX(Option4!X$106:X$117, MATCH($D59, Option4!$G$106:$G$117,0)))*conv_2026*X$7</f>
        <v>477399.02900218888</v>
      </c>
      <c r="Y59" s="28">
        <f>(INDEX(Option4!Y$106:Y$117, MATCH($D59, Option4!$G$106:$G$117,0)))*conv_2026*Y$7</f>
        <v>477399.02900218888</v>
      </c>
      <c r="Z59" s="28">
        <f>(INDEX(Option4!Z$106:Z$117, MATCH($D59, Option4!$G$106:$G$117,0)))*conv_2026*Z$7</f>
        <v>477399.02900218888</v>
      </c>
      <c r="AA59" s="28">
        <f>(INDEX(Option4!AA$106:AA$117, MATCH($D59, Option4!$G$106:$G$117,0)))*conv_2026*AA$7</f>
        <v>477399.02900218888</v>
      </c>
      <c r="AB59" s="28">
        <f>(INDEX(Option4!AB$106:AB$117, MATCH($D59, Option4!$G$106:$G$117,0)))*conv_2026*AB$7</f>
        <v>477399.02900218888</v>
      </c>
      <c r="AC59" s="28">
        <f>(INDEX(Option4!AC$106:AC$117, MATCH($D59, Option4!$G$106:$G$117,0)))*conv_2026*AC$7</f>
        <v>477399.02900218888</v>
      </c>
      <c r="AD59" s="28">
        <f>(INDEX(Option4!AD$106:AD$117, MATCH($D59, Option4!$G$106:$G$117,0)))*conv_2026*AD$7</f>
        <v>477399.02900218888</v>
      </c>
      <c r="AE59" s="28">
        <f>(INDEX(Option4!AE$106:AE$117, MATCH($D59, Option4!$G$106:$G$117,0)))*conv_2026*AE$7</f>
        <v>477399.02900218888</v>
      </c>
      <c r="AF59" s="28">
        <f>(INDEX(Option4!AF$106:AF$117, MATCH($D59, Option4!$G$106:$G$117,0)))*conv_2026*AF$7</f>
        <v>0</v>
      </c>
      <c r="AG59" s="28">
        <f>(INDEX(Option4!AG$106:AG$117, MATCH($D59, Option4!$G$106:$G$117,0)))*conv_2026*AG$7</f>
        <v>0</v>
      </c>
    </row>
    <row r="60" spans="1:35" s="6" customFormat="1" x14ac:dyDescent="0.2">
      <c r="A60" s="225" t="s">
        <v>150</v>
      </c>
      <c r="B60" s="225" t="str">
        <f>Option4!A112</f>
        <v>sens3</v>
      </c>
      <c r="C60" s="225" t="str">
        <f>Option4!C112</f>
        <v>Total benefits 10% higher</v>
      </c>
      <c r="D60" s="225" t="str">
        <f t="shared" si="7"/>
        <v>Option 4sens3</v>
      </c>
      <c r="E60" s="217"/>
      <c r="F60" s="28">
        <f t="shared" si="6"/>
        <v>5278768.6127281962</v>
      </c>
      <c r="H60" s="28">
        <f>(INDEX(Option4!H$106:H$117, MATCH($D60, Option4!$G$106:$G$117,0)))*conv_2026*H$7</f>
        <v>0</v>
      </c>
      <c r="I60" s="28">
        <f>(INDEX(Option4!I$106:I$117, MATCH($D60, Option4!$G$106:$G$117,0)))*conv_2026*I$7</f>
        <v>0</v>
      </c>
      <c r="J60" s="28">
        <f>(INDEX(Option4!J$106:J$117, MATCH($D60, Option4!$G$106:$G$117,0)))*conv_2026*J$7</f>
        <v>0</v>
      </c>
      <c r="K60" s="28">
        <f>(INDEX(Option4!K$106:K$117, MATCH($D60, Option4!$G$106:$G$117,0)))*conv_2026*K$7</f>
        <v>0</v>
      </c>
      <c r="L60" s="28">
        <f>(INDEX(Option4!L$106:L$117, MATCH($D60, Option4!$G$106:$G$117,0)))*conv_2026*L$7</f>
        <v>0</v>
      </c>
      <c r="M60" s="28">
        <f>(INDEX(Option4!M$106:M$117, MATCH($D60, Option4!$G$106:$G$117,0)))*conv_2026*M$7</f>
        <v>-604380.51651805569</v>
      </c>
      <c r="N60" s="28">
        <f>(INDEX(Option4!N$106:N$117, MATCH($D60, Option4!$G$106:$G$117,0)))*conv_2026*N$7</f>
        <v>513051.32157204667</v>
      </c>
      <c r="O60" s="28">
        <f>(INDEX(Option4!O$106:O$117, MATCH($D60, Option4!$G$106:$G$117,0)))*conv_2026*O$7</f>
        <v>513051.32157204667</v>
      </c>
      <c r="P60" s="28">
        <f>(INDEX(Option4!P$106:P$117, MATCH($D60, Option4!$G$106:$G$117,0)))*conv_2026*P$7</f>
        <v>513051.32157204667</v>
      </c>
      <c r="Q60" s="28">
        <f>(INDEX(Option4!Q$106:Q$117, MATCH($D60, Option4!$G$106:$G$117,0)))*conv_2026*Q$7</f>
        <v>513051.32157204667</v>
      </c>
      <c r="R60" s="28">
        <f>(INDEX(Option4!R$106:R$117, MATCH($D60, Option4!$G$106:$G$117,0)))*conv_2026*R$7</f>
        <v>513051.32157204667</v>
      </c>
      <c r="S60" s="28">
        <f>(INDEX(Option4!S$106:S$117, MATCH($D60, Option4!$G$106:$G$117,0)))*conv_2026*S$7</f>
        <v>513051.32157204667</v>
      </c>
      <c r="T60" s="28">
        <f>(INDEX(Option4!T$106:T$117, MATCH($D60, Option4!$G$106:$G$117,0)))*conv_2026*T$7</f>
        <v>513051.32157204667</v>
      </c>
      <c r="U60" s="28">
        <f>(INDEX(Option4!U$106:U$117, MATCH($D60, Option4!$G$106:$G$117,0)))*conv_2026*U$7</f>
        <v>513051.32157204667</v>
      </c>
      <c r="V60" s="28">
        <f>(INDEX(Option4!V$106:V$117, MATCH($D60, Option4!$G$106:$G$117,0)))*conv_2026*V$7</f>
        <v>513051.32157204667</v>
      </c>
      <c r="W60" s="28">
        <f>(INDEX(Option4!W$106:W$117, MATCH($D60, Option4!$G$106:$G$117,0)))*conv_2026*W$7</f>
        <v>513051.32157204667</v>
      </c>
      <c r="X60" s="28">
        <f>(INDEX(Option4!X$106:X$117, MATCH($D60, Option4!$G$106:$G$117,0)))*conv_2026*X$7</f>
        <v>513051.32157204667</v>
      </c>
      <c r="Y60" s="28">
        <f>(INDEX(Option4!Y$106:Y$117, MATCH($D60, Option4!$G$106:$G$117,0)))*conv_2026*Y$7</f>
        <v>513051.32157204667</v>
      </c>
      <c r="Z60" s="28">
        <f>(INDEX(Option4!Z$106:Z$117, MATCH($D60, Option4!$G$106:$G$117,0)))*conv_2026*Z$7</f>
        <v>513051.32157204667</v>
      </c>
      <c r="AA60" s="28">
        <f>(INDEX(Option4!AA$106:AA$117, MATCH($D60, Option4!$G$106:$G$117,0)))*conv_2026*AA$7</f>
        <v>513051.32157204667</v>
      </c>
      <c r="AB60" s="28">
        <f>(INDEX(Option4!AB$106:AB$117, MATCH($D60, Option4!$G$106:$G$117,0)))*conv_2026*AB$7</f>
        <v>513051.32157204667</v>
      </c>
      <c r="AC60" s="28">
        <f>(INDEX(Option4!AC$106:AC$117, MATCH($D60, Option4!$G$106:$G$117,0)))*conv_2026*AC$7</f>
        <v>513051.32157204667</v>
      </c>
      <c r="AD60" s="28">
        <f>(INDEX(Option4!AD$106:AD$117, MATCH($D60, Option4!$G$106:$G$117,0)))*conv_2026*AD$7</f>
        <v>513051.32157204667</v>
      </c>
      <c r="AE60" s="28">
        <f>(INDEX(Option4!AE$106:AE$117, MATCH($D60, Option4!$G$106:$G$117,0)))*conv_2026*AE$7</f>
        <v>513051.32157204667</v>
      </c>
      <c r="AF60" s="28">
        <f>(INDEX(Option4!AF$106:AF$117, MATCH($D60, Option4!$G$106:$G$117,0)))*conv_2026*AF$7</f>
        <v>0</v>
      </c>
      <c r="AG60" s="28">
        <f>(INDEX(Option4!AG$106:AG$117, MATCH($D60, Option4!$G$106:$G$117,0)))*conv_2026*AG$7</f>
        <v>0</v>
      </c>
    </row>
    <row r="61" spans="1:35" s="6" customFormat="1" x14ac:dyDescent="0.2">
      <c r="A61" s="225" t="s">
        <v>150</v>
      </c>
      <c r="B61" s="225" t="str">
        <f>Option4!A113</f>
        <v>sens4</v>
      </c>
      <c r="C61" s="225" t="str">
        <f>Option4!C113</f>
        <v>Total benefits 10% lower</v>
      </c>
      <c r="D61" s="225" t="str">
        <f t="shared" si="7"/>
        <v>Option 4sens4</v>
      </c>
      <c r="E61" s="217"/>
      <c r="F61" s="28">
        <f t="shared" si="6"/>
        <v>1741843.4389192818</v>
      </c>
      <c r="H61" s="28">
        <f>(INDEX(Option4!H$106:H$117, MATCH($D61, Option4!$G$106:$G$117,0)))*conv_2026*H$7</f>
        <v>0</v>
      </c>
      <c r="I61" s="28">
        <f>(INDEX(Option4!I$106:I$117, MATCH($D61, Option4!$G$106:$G$117,0)))*conv_2026*I$7</f>
        <v>0</v>
      </c>
      <c r="J61" s="28">
        <f>(INDEX(Option4!J$106:J$117, MATCH($D61, Option4!$G$106:$G$117,0)))*conv_2026*J$7</f>
        <v>0</v>
      </c>
      <c r="K61" s="28">
        <f>(INDEX(Option4!K$106:K$117, MATCH($D61, Option4!$G$106:$G$117,0)))*conv_2026*K$7</f>
        <v>0</v>
      </c>
      <c r="L61" s="28">
        <f>(INDEX(Option4!L$106:L$117, MATCH($D61, Option4!$G$106:$G$117,0)))*conv_2026*L$7</f>
        <v>0</v>
      </c>
      <c r="M61" s="28">
        <f>(INDEX(Option4!M$106:M$117, MATCH($D61, Option4!$G$106:$G$117,0)))*conv_2026*M$7</f>
        <v>-604380.51651805569</v>
      </c>
      <c r="N61" s="28">
        <f>(INDEX(Option4!N$106:N$117, MATCH($D61, Option4!$G$106:$G$117,0)))*conv_2026*N$7</f>
        <v>199994.52982510882</v>
      </c>
      <c r="O61" s="28">
        <f>(INDEX(Option4!O$106:O$117, MATCH($D61, Option4!$G$106:$G$117,0)))*conv_2026*O$7</f>
        <v>199994.52982510882</v>
      </c>
      <c r="P61" s="28">
        <f>(INDEX(Option4!P$106:P$117, MATCH($D61, Option4!$G$106:$G$117,0)))*conv_2026*P$7</f>
        <v>199994.52982510882</v>
      </c>
      <c r="Q61" s="28">
        <f>(INDEX(Option4!Q$106:Q$117, MATCH($D61, Option4!$G$106:$G$117,0)))*conv_2026*Q$7</f>
        <v>199994.52982510882</v>
      </c>
      <c r="R61" s="28">
        <f>(INDEX(Option4!R$106:R$117, MATCH($D61, Option4!$G$106:$G$117,0)))*conv_2026*R$7</f>
        <v>199994.52982510882</v>
      </c>
      <c r="S61" s="28">
        <f>(INDEX(Option4!S$106:S$117, MATCH($D61, Option4!$G$106:$G$117,0)))*conv_2026*S$7</f>
        <v>199994.52982510882</v>
      </c>
      <c r="T61" s="28">
        <f>(INDEX(Option4!T$106:T$117, MATCH($D61, Option4!$G$106:$G$117,0)))*conv_2026*T$7</f>
        <v>199994.52982510882</v>
      </c>
      <c r="U61" s="28">
        <f>(INDEX(Option4!U$106:U$117, MATCH($D61, Option4!$G$106:$G$117,0)))*conv_2026*U$7</f>
        <v>199994.52982510882</v>
      </c>
      <c r="V61" s="28">
        <f>(INDEX(Option4!V$106:V$117, MATCH($D61, Option4!$G$106:$G$117,0)))*conv_2026*V$7</f>
        <v>199994.52982510882</v>
      </c>
      <c r="W61" s="28">
        <f>(INDEX(Option4!W$106:W$117, MATCH($D61, Option4!$G$106:$G$117,0)))*conv_2026*W$7</f>
        <v>199994.52982510882</v>
      </c>
      <c r="X61" s="28">
        <f>(INDEX(Option4!X$106:X$117, MATCH($D61, Option4!$G$106:$G$117,0)))*conv_2026*X$7</f>
        <v>199994.52982510882</v>
      </c>
      <c r="Y61" s="28">
        <f>(INDEX(Option4!Y$106:Y$117, MATCH($D61, Option4!$G$106:$G$117,0)))*conv_2026*Y$7</f>
        <v>199994.52982510882</v>
      </c>
      <c r="Z61" s="28">
        <f>(INDEX(Option4!Z$106:Z$117, MATCH($D61, Option4!$G$106:$G$117,0)))*conv_2026*Z$7</f>
        <v>199994.52982510882</v>
      </c>
      <c r="AA61" s="28">
        <f>(INDEX(Option4!AA$106:AA$117, MATCH($D61, Option4!$G$106:$G$117,0)))*conv_2026*AA$7</f>
        <v>199994.52982510882</v>
      </c>
      <c r="AB61" s="28">
        <f>(INDEX(Option4!AB$106:AB$117, MATCH($D61, Option4!$G$106:$G$117,0)))*conv_2026*AB$7</f>
        <v>199994.52982510882</v>
      </c>
      <c r="AC61" s="28">
        <f>(INDEX(Option4!AC$106:AC$117, MATCH($D61, Option4!$G$106:$G$117,0)))*conv_2026*AC$7</f>
        <v>199994.52982510882</v>
      </c>
      <c r="AD61" s="28">
        <f>(INDEX(Option4!AD$106:AD$117, MATCH($D61, Option4!$G$106:$G$117,0)))*conv_2026*AD$7</f>
        <v>199994.52982510882</v>
      </c>
      <c r="AE61" s="28">
        <f>(INDEX(Option4!AE$106:AE$117, MATCH($D61, Option4!$G$106:$G$117,0)))*conv_2026*AE$7</f>
        <v>199994.52982510882</v>
      </c>
      <c r="AF61" s="28">
        <f>(INDEX(Option4!AF$106:AF$117, MATCH($D61, Option4!$G$106:$G$117,0)))*conv_2026*AF$7</f>
        <v>0</v>
      </c>
      <c r="AG61" s="28">
        <f>(INDEX(Option4!AG$106:AG$117, MATCH($D61, Option4!$G$106:$G$117,0)))*conv_2026*AG$7</f>
        <v>0</v>
      </c>
    </row>
    <row r="62" spans="1:35" s="6" customFormat="1" x14ac:dyDescent="0.2">
      <c r="A62" s="225" t="s">
        <v>150</v>
      </c>
      <c r="B62" s="225" t="str">
        <f>Option4!A114</f>
        <v>sens5</v>
      </c>
      <c r="C62" s="225" t="str">
        <f>Option4!C114</f>
        <v>Capex 10% higher &amp; Total benefits 10% lower</v>
      </c>
      <c r="D62" s="225" t="str">
        <f t="shared" si="7"/>
        <v>Option 4sens5</v>
      </c>
      <c r="E62" s="217"/>
      <c r="F62" s="28">
        <f t="shared" si="6"/>
        <v>324411.45459719875</v>
      </c>
      <c r="H62" s="28">
        <f>(INDEX(Option4!H$106:H$117, MATCH($D62, Option4!$G$106:$G$117,0)))*conv_2026*H$7</f>
        <v>0</v>
      </c>
      <c r="I62" s="28">
        <f>(INDEX(Option4!I$106:I$117, MATCH($D62, Option4!$G$106:$G$117,0)))*conv_2026*I$7</f>
        <v>0</v>
      </c>
      <c r="J62" s="28">
        <f>(INDEX(Option4!J$106:J$117, MATCH($D62, Option4!$G$106:$G$117,0)))*conv_2026*J$7</f>
        <v>0</v>
      </c>
      <c r="K62" s="28">
        <f>(INDEX(Option4!K$106:K$117, MATCH($D62, Option4!$G$106:$G$117,0)))*conv_2026*K$7</f>
        <v>0</v>
      </c>
      <c r="L62" s="28">
        <f>(INDEX(Option4!L$106:L$117, MATCH($D62, Option4!$G$106:$G$117,0)))*conv_2026*L$7</f>
        <v>0</v>
      </c>
      <c r="M62" s="28">
        <f>(INDEX(Option4!M$106:M$117, MATCH($D62, Option4!$G$106:$G$117,0)))*conv_2026*M$7</f>
        <v>-664818.56816986133</v>
      </c>
      <c r="N62" s="28">
        <f>(INDEX(Option4!N$106:N$117, MATCH($D62, Option4!$G$106:$G$117,0)))*conv_2026*N$7</f>
        <v>79118.426521497691</v>
      </c>
      <c r="O62" s="28">
        <f>(INDEX(Option4!O$106:O$117, MATCH($D62, Option4!$G$106:$G$117,0)))*conv_2026*O$7</f>
        <v>79118.426521497691</v>
      </c>
      <c r="P62" s="28">
        <f>(INDEX(Option4!P$106:P$117, MATCH($D62, Option4!$G$106:$G$117,0)))*conv_2026*P$7</f>
        <v>79118.426521497691</v>
      </c>
      <c r="Q62" s="28">
        <f>(INDEX(Option4!Q$106:Q$117, MATCH($D62, Option4!$G$106:$G$117,0)))*conv_2026*Q$7</f>
        <v>79118.426521497691</v>
      </c>
      <c r="R62" s="28">
        <f>(INDEX(Option4!R$106:R$117, MATCH($D62, Option4!$G$106:$G$117,0)))*conv_2026*R$7</f>
        <v>79118.426521497691</v>
      </c>
      <c r="S62" s="28">
        <f>(INDEX(Option4!S$106:S$117, MATCH($D62, Option4!$G$106:$G$117,0)))*conv_2026*S$7</f>
        <v>79118.426521497691</v>
      </c>
      <c r="T62" s="28">
        <f>(INDEX(Option4!T$106:T$117, MATCH($D62, Option4!$G$106:$G$117,0)))*conv_2026*T$7</f>
        <v>79118.426521497691</v>
      </c>
      <c r="U62" s="28">
        <f>(INDEX(Option4!U$106:U$117, MATCH($D62, Option4!$G$106:$G$117,0)))*conv_2026*U$7</f>
        <v>79118.426521497691</v>
      </c>
      <c r="V62" s="28">
        <f>(INDEX(Option4!V$106:V$117, MATCH($D62, Option4!$G$106:$G$117,0)))*conv_2026*V$7</f>
        <v>79118.426521497691</v>
      </c>
      <c r="W62" s="28">
        <f>(INDEX(Option4!W$106:W$117, MATCH($D62, Option4!$G$106:$G$117,0)))*conv_2026*W$7</f>
        <v>79118.426521497691</v>
      </c>
      <c r="X62" s="28">
        <f>(INDEX(Option4!X$106:X$117, MATCH($D62, Option4!$G$106:$G$117,0)))*conv_2026*X$7</f>
        <v>79118.426521497691</v>
      </c>
      <c r="Y62" s="28">
        <f>(INDEX(Option4!Y$106:Y$117, MATCH($D62, Option4!$G$106:$G$117,0)))*conv_2026*Y$7</f>
        <v>79118.426521497691</v>
      </c>
      <c r="Z62" s="28">
        <f>(INDEX(Option4!Z$106:Z$117, MATCH($D62, Option4!$G$106:$G$117,0)))*conv_2026*Z$7</f>
        <v>79118.426521497691</v>
      </c>
      <c r="AA62" s="28">
        <f>(INDEX(Option4!AA$106:AA$117, MATCH($D62, Option4!$G$106:$G$117,0)))*conv_2026*AA$7</f>
        <v>79118.426521497691</v>
      </c>
      <c r="AB62" s="28">
        <f>(INDEX(Option4!AB$106:AB$117, MATCH($D62, Option4!$G$106:$G$117,0)))*conv_2026*AB$7</f>
        <v>79118.426521497691</v>
      </c>
      <c r="AC62" s="28">
        <f>(INDEX(Option4!AC$106:AC$117, MATCH($D62, Option4!$G$106:$G$117,0)))*conv_2026*AC$7</f>
        <v>79118.426521497691</v>
      </c>
      <c r="AD62" s="28">
        <f>(INDEX(Option4!AD$106:AD$117, MATCH($D62, Option4!$G$106:$G$117,0)))*conv_2026*AD$7</f>
        <v>79118.426521497691</v>
      </c>
      <c r="AE62" s="28">
        <f>(INDEX(Option4!AE$106:AE$117, MATCH($D62, Option4!$G$106:$G$117,0)))*conv_2026*AE$7</f>
        <v>79118.426521497691</v>
      </c>
      <c r="AF62" s="28">
        <f>(INDEX(Option4!AF$106:AF$117, MATCH($D62, Option4!$G$106:$G$117,0)))*conv_2026*AF$7</f>
        <v>0</v>
      </c>
      <c r="AG62" s="28">
        <f>(INDEX(Option4!AG$106:AG$117, MATCH($D62, Option4!$G$106:$G$117,0)))*conv_2026*AG$7</f>
        <v>0</v>
      </c>
    </row>
    <row r="63" spans="1:35" s="6" customFormat="1" x14ac:dyDescent="0.2">
      <c r="A63" s="225" t="s">
        <v>150</v>
      </c>
      <c r="B63" s="225" t="str">
        <f>Option4!A115</f>
        <v>sens</v>
      </c>
      <c r="C63" s="225">
        <f>Option4!C115</f>
        <v>0</v>
      </c>
      <c r="D63" s="225" t="str">
        <f t="shared" si="7"/>
        <v>Option 4sens</v>
      </c>
      <c r="E63" s="217"/>
      <c r="F63" s="28">
        <f t="shared" si="6"/>
        <v>3510306.0258237384</v>
      </c>
      <c r="H63" s="28">
        <f>(INDEX(Option4!H$106:H$117, MATCH($D63, Option4!$G$106:$G$117,0)))*conv_2026*H$7</f>
        <v>0</v>
      </c>
      <c r="I63" s="28">
        <f>(INDEX(Option4!I$106:I$117, MATCH($D63, Option4!$G$106:$G$117,0)))*conv_2026*I$7</f>
        <v>0</v>
      </c>
      <c r="J63" s="28">
        <f>(INDEX(Option4!J$106:J$117, MATCH($D63, Option4!$G$106:$G$117,0)))*conv_2026*J$7</f>
        <v>0</v>
      </c>
      <c r="K63" s="28">
        <f>(INDEX(Option4!K$106:K$117, MATCH($D63, Option4!$G$106:$G$117,0)))*conv_2026*K$7</f>
        <v>0</v>
      </c>
      <c r="L63" s="28">
        <f>(INDEX(Option4!L$106:L$117, MATCH($D63, Option4!$G$106:$G$117,0)))*conv_2026*L$7</f>
        <v>0</v>
      </c>
      <c r="M63" s="28">
        <f>(INDEX(Option4!M$106:M$117, MATCH($D63, Option4!$G$106:$G$117,0)))*conv_2026*M$7</f>
        <v>-604380.51651805569</v>
      </c>
      <c r="N63" s="28">
        <f>(INDEX(Option4!N$106:N$117, MATCH($D63, Option4!$G$106:$G$117,0)))*conv_2026*N$7</f>
        <v>356522.92569857772</v>
      </c>
      <c r="O63" s="28">
        <f>(INDEX(Option4!O$106:O$117, MATCH($D63, Option4!$G$106:$G$117,0)))*conv_2026*O$7</f>
        <v>356522.92569857772</v>
      </c>
      <c r="P63" s="28">
        <f>(INDEX(Option4!P$106:P$117, MATCH($D63, Option4!$G$106:$G$117,0)))*conv_2026*P$7</f>
        <v>356522.92569857772</v>
      </c>
      <c r="Q63" s="28">
        <f>(INDEX(Option4!Q$106:Q$117, MATCH($D63, Option4!$G$106:$G$117,0)))*conv_2026*Q$7</f>
        <v>356522.92569857772</v>
      </c>
      <c r="R63" s="28">
        <f>(INDEX(Option4!R$106:R$117, MATCH($D63, Option4!$G$106:$G$117,0)))*conv_2026*R$7</f>
        <v>356522.92569857772</v>
      </c>
      <c r="S63" s="28">
        <f>(INDEX(Option4!S$106:S$117, MATCH($D63, Option4!$G$106:$G$117,0)))*conv_2026*S$7</f>
        <v>356522.92569857772</v>
      </c>
      <c r="T63" s="28">
        <f>(INDEX(Option4!T$106:T$117, MATCH($D63, Option4!$G$106:$G$117,0)))*conv_2026*T$7</f>
        <v>356522.92569857772</v>
      </c>
      <c r="U63" s="28">
        <f>(INDEX(Option4!U$106:U$117, MATCH($D63, Option4!$G$106:$G$117,0)))*conv_2026*U$7</f>
        <v>356522.92569857772</v>
      </c>
      <c r="V63" s="28">
        <f>(INDEX(Option4!V$106:V$117, MATCH($D63, Option4!$G$106:$G$117,0)))*conv_2026*V$7</f>
        <v>356522.92569857772</v>
      </c>
      <c r="W63" s="28">
        <f>(INDEX(Option4!W$106:W$117, MATCH($D63, Option4!$G$106:$G$117,0)))*conv_2026*W$7</f>
        <v>356522.92569857772</v>
      </c>
      <c r="X63" s="28">
        <f>(INDEX(Option4!X$106:X$117, MATCH($D63, Option4!$G$106:$G$117,0)))*conv_2026*X$7</f>
        <v>356522.92569857772</v>
      </c>
      <c r="Y63" s="28">
        <f>(INDEX(Option4!Y$106:Y$117, MATCH($D63, Option4!$G$106:$G$117,0)))*conv_2026*Y$7</f>
        <v>356522.92569857772</v>
      </c>
      <c r="Z63" s="28">
        <f>(INDEX(Option4!Z$106:Z$117, MATCH($D63, Option4!$G$106:$G$117,0)))*conv_2026*Z$7</f>
        <v>356522.92569857772</v>
      </c>
      <c r="AA63" s="28">
        <f>(INDEX(Option4!AA$106:AA$117, MATCH($D63, Option4!$G$106:$G$117,0)))*conv_2026*AA$7</f>
        <v>356522.92569857772</v>
      </c>
      <c r="AB63" s="28">
        <f>(INDEX(Option4!AB$106:AB$117, MATCH($D63, Option4!$G$106:$G$117,0)))*conv_2026*AB$7</f>
        <v>356522.92569857772</v>
      </c>
      <c r="AC63" s="28">
        <f>(INDEX(Option4!AC$106:AC$117, MATCH($D63, Option4!$G$106:$G$117,0)))*conv_2026*AC$7</f>
        <v>356522.92569857772</v>
      </c>
      <c r="AD63" s="28">
        <f>(INDEX(Option4!AD$106:AD$117, MATCH($D63, Option4!$G$106:$G$117,0)))*conv_2026*AD$7</f>
        <v>356522.92569857772</v>
      </c>
      <c r="AE63" s="28">
        <f>(INDEX(Option4!AE$106:AE$117, MATCH($D63, Option4!$G$106:$G$117,0)))*conv_2026*AE$7</f>
        <v>356522.92569857772</v>
      </c>
      <c r="AF63" s="28">
        <f>(INDEX(Option4!AF$106:AF$117, MATCH($D63, Option4!$G$106:$G$117,0)))*conv_2026*AF$7</f>
        <v>0</v>
      </c>
      <c r="AG63" s="28">
        <f>(INDEX(Option4!AG$106:AG$117, MATCH($D63, Option4!$G$106:$G$117,0)))*conv_2026*AG$7</f>
        <v>0</v>
      </c>
    </row>
    <row r="64" spans="1:35" s="6" customFormat="1" x14ac:dyDescent="0.2">
      <c r="A64" s="225" t="s">
        <v>150</v>
      </c>
      <c r="B64" s="225" t="str">
        <f>Option4!A116</f>
        <v>sens</v>
      </c>
      <c r="C64" s="225">
        <f>Option4!C116</f>
        <v>0</v>
      </c>
      <c r="D64" s="225" t="str">
        <f t="shared" si="7"/>
        <v>Option 4sens</v>
      </c>
      <c r="E64" s="217"/>
      <c r="F64" s="28">
        <f t="shared" si="6"/>
        <v>3510306.0258237384</v>
      </c>
      <c r="H64" s="28">
        <f>(INDEX(Option4!H$106:H$117, MATCH($D64, Option4!$G$106:$G$117,0)))*conv_2026*H$7</f>
        <v>0</v>
      </c>
      <c r="I64" s="28">
        <f>(INDEX(Option4!I$106:I$117, MATCH($D64, Option4!$G$106:$G$117,0)))*conv_2026*I$7</f>
        <v>0</v>
      </c>
      <c r="J64" s="28">
        <f>(INDEX(Option4!J$106:J$117, MATCH($D64, Option4!$G$106:$G$117,0)))*conv_2026*J$7</f>
        <v>0</v>
      </c>
      <c r="K64" s="28">
        <f>(INDEX(Option4!K$106:K$117, MATCH($D64, Option4!$G$106:$G$117,0)))*conv_2026*K$7</f>
        <v>0</v>
      </c>
      <c r="L64" s="28">
        <f>(INDEX(Option4!L$106:L$117, MATCH($D64, Option4!$G$106:$G$117,0)))*conv_2026*L$7</f>
        <v>0</v>
      </c>
      <c r="M64" s="28">
        <f>(INDEX(Option4!M$106:M$117, MATCH($D64, Option4!$G$106:$G$117,0)))*conv_2026*M$7</f>
        <v>-604380.51651805569</v>
      </c>
      <c r="N64" s="28">
        <f>(INDEX(Option4!N$106:N$117, MATCH($D64, Option4!$G$106:$G$117,0)))*conv_2026*N$7</f>
        <v>356522.92569857772</v>
      </c>
      <c r="O64" s="28">
        <f>(INDEX(Option4!O$106:O$117, MATCH($D64, Option4!$G$106:$G$117,0)))*conv_2026*O$7</f>
        <v>356522.92569857772</v>
      </c>
      <c r="P64" s="28">
        <f>(INDEX(Option4!P$106:P$117, MATCH($D64, Option4!$G$106:$G$117,0)))*conv_2026*P$7</f>
        <v>356522.92569857772</v>
      </c>
      <c r="Q64" s="28">
        <f>(INDEX(Option4!Q$106:Q$117, MATCH($D64, Option4!$G$106:$G$117,0)))*conv_2026*Q$7</f>
        <v>356522.92569857772</v>
      </c>
      <c r="R64" s="28">
        <f>(INDEX(Option4!R$106:R$117, MATCH($D64, Option4!$G$106:$G$117,0)))*conv_2026*R$7</f>
        <v>356522.92569857772</v>
      </c>
      <c r="S64" s="28">
        <f>(INDEX(Option4!S$106:S$117, MATCH($D64, Option4!$G$106:$G$117,0)))*conv_2026*S$7</f>
        <v>356522.92569857772</v>
      </c>
      <c r="T64" s="28">
        <f>(INDEX(Option4!T$106:T$117, MATCH($D64, Option4!$G$106:$G$117,0)))*conv_2026*T$7</f>
        <v>356522.92569857772</v>
      </c>
      <c r="U64" s="28">
        <f>(INDEX(Option4!U$106:U$117, MATCH($D64, Option4!$G$106:$G$117,0)))*conv_2026*U$7</f>
        <v>356522.92569857772</v>
      </c>
      <c r="V64" s="28">
        <f>(INDEX(Option4!V$106:V$117, MATCH($D64, Option4!$G$106:$G$117,0)))*conv_2026*V$7</f>
        <v>356522.92569857772</v>
      </c>
      <c r="W64" s="28">
        <f>(INDEX(Option4!W$106:W$117, MATCH($D64, Option4!$G$106:$G$117,0)))*conv_2026*W$7</f>
        <v>356522.92569857772</v>
      </c>
      <c r="X64" s="28">
        <f>(INDEX(Option4!X$106:X$117, MATCH($D64, Option4!$G$106:$G$117,0)))*conv_2026*X$7</f>
        <v>356522.92569857772</v>
      </c>
      <c r="Y64" s="28">
        <f>(INDEX(Option4!Y$106:Y$117, MATCH($D64, Option4!$G$106:$G$117,0)))*conv_2026*Y$7</f>
        <v>356522.92569857772</v>
      </c>
      <c r="Z64" s="28">
        <f>(INDEX(Option4!Z$106:Z$117, MATCH($D64, Option4!$G$106:$G$117,0)))*conv_2026*Z$7</f>
        <v>356522.92569857772</v>
      </c>
      <c r="AA64" s="28">
        <f>(INDEX(Option4!AA$106:AA$117, MATCH($D64, Option4!$G$106:$G$117,0)))*conv_2026*AA$7</f>
        <v>356522.92569857772</v>
      </c>
      <c r="AB64" s="28">
        <f>(INDEX(Option4!AB$106:AB$117, MATCH($D64, Option4!$G$106:$G$117,0)))*conv_2026*AB$7</f>
        <v>356522.92569857772</v>
      </c>
      <c r="AC64" s="28">
        <f>(INDEX(Option4!AC$106:AC$117, MATCH($D64, Option4!$G$106:$G$117,0)))*conv_2026*AC$7</f>
        <v>356522.92569857772</v>
      </c>
      <c r="AD64" s="28">
        <f>(INDEX(Option4!AD$106:AD$117, MATCH($D64, Option4!$G$106:$G$117,0)))*conv_2026*AD$7</f>
        <v>356522.92569857772</v>
      </c>
      <c r="AE64" s="28">
        <f>(INDEX(Option4!AE$106:AE$117, MATCH($D64, Option4!$G$106:$G$117,0)))*conv_2026*AE$7</f>
        <v>356522.92569857772</v>
      </c>
      <c r="AF64" s="28">
        <f>(INDEX(Option4!AF$106:AF$117, MATCH($D64, Option4!$G$106:$G$117,0)))*conv_2026*AF$7</f>
        <v>0</v>
      </c>
      <c r="AG64" s="28">
        <f>(INDEX(Option4!AG$106:AG$117, MATCH($D64, Option4!$G$106:$G$117,0)))*conv_2026*AG$7</f>
        <v>0</v>
      </c>
    </row>
    <row r="65" spans="1:35" s="6" customFormat="1" x14ac:dyDescent="0.2">
      <c r="A65" s="225" t="s">
        <v>150</v>
      </c>
      <c r="B65" s="225" t="str">
        <f>Option4!A117</f>
        <v>sens</v>
      </c>
      <c r="C65" s="225">
        <f>Option4!C117</f>
        <v>0</v>
      </c>
      <c r="D65" s="225" t="str">
        <f t="shared" si="7"/>
        <v>Option 4sens</v>
      </c>
      <c r="E65" s="217"/>
      <c r="F65" s="28">
        <f t="shared" si="6"/>
        <v>3510306.0258237384</v>
      </c>
      <c r="H65" s="28">
        <f>(INDEX(Option4!H$106:H$117, MATCH($D65, Option4!$G$106:$G$117,0)))*conv_2026*H$7</f>
        <v>0</v>
      </c>
      <c r="I65" s="28">
        <f>(INDEX(Option4!I$106:I$117, MATCH($D65, Option4!$G$106:$G$117,0)))*conv_2026*I$7</f>
        <v>0</v>
      </c>
      <c r="J65" s="28">
        <f>(INDEX(Option4!J$106:J$117, MATCH($D65, Option4!$G$106:$G$117,0)))*conv_2026*J$7</f>
        <v>0</v>
      </c>
      <c r="K65" s="28">
        <f>(INDEX(Option4!K$106:K$117, MATCH($D65, Option4!$G$106:$G$117,0)))*conv_2026*K$7</f>
        <v>0</v>
      </c>
      <c r="L65" s="28">
        <f>(INDEX(Option4!L$106:L$117, MATCH($D65, Option4!$G$106:$G$117,0)))*conv_2026*L$7</f>
        <v>0</v>
      </c>
      <c r="M65" s="28">
        <f>(INDEX(Option4!M$106:M$117, MATCH($D65, Option4!$G$106:$G$117,0)))*conv_2026*M$7</f>
        <v>-604380.51651805569</v>
      </c>
      <c r="N65" s="28">
        <f>(INDEX(Option4!N$106:N$117, MATCH($D65, Option4!$G$106:$G$117,0)))*conv_2026*N$7</f>
        <v>356522.92569857772</v>
      </c>
      <c r="O65" s="28">
        <f>(INDEX(Option4!O$106:O$117, MATCH($D65, Option4!$G$106:$G$117,0)))*conv_2026*O$7</f>
        <v>356522.92569857772</v>
      </c>
      <c r="P65" s="28">
        <f>(INDEX(Option4!P$106:P$117, MATCH($D65, Option4!$G$106:$G$117,0)))*conv_2026*P$7</f>
        <v>356522.92569857772</v>
      </c>
      <c r="Q65" s="28">
        <f>(INDEX(Option4!Q$106:Q$117, MATCH($D65, Option4!$G$106:$G$117,0)))*conv_2026*Q$7</f>
        <v>356522.92569857772</v>
      </c>
      <c r="R65" s="28">
        <f>(INDEX(Option4!R$106:R$117, MATCH($D65, Option4!$G$106:$G$117,0)))*conv_2026*R$7</f>
        <v>356522.92569857772</v>
      </c>
      <c r="S65" s="28">
        <f>(INDEX(Option4!S$106:S$117, MATCH($D65, Option4!$G$106:$G$117,0)))*conv_2026*S$7</f>
        <v>356522.92569857772</v>
      </c>
      <c r="T65" s="28">
        <f>(INDEX(Option4!T$106:T$117, MATCH($D65, Option4!$G$106:$G$117,0)))*conv_2026*T$7</f>
        <v>356522.92569857772</v>
      </c>
      <c r="U65" s="28">
        <f>(INDEX(Option4!U$106:U$117, MATCH($D65, Option4!$G$106:$G$117,0)))*conv_2026*U$7</f>
        <v>356522.92569857772</v>
      </c>
      <c r="V65" s="28">
        <f>(INDEX(Option4!V$106:V$117, MATCH($D65, Option4!$G$106:$G$117,0)))*conv_2026*V$7</f>
        <v>356522.92569857772</v>
      </c>
      <c r="W65" s="28">
        <f>(INDEX(Option4!W$106:W$117, MATCH($D65, Option4!$G$106:$G$117,0)))*conv_2026*W$7</f>
        <v>356522.92569857772</v>
      </c>
      <c r="X65" s="28">
        <f>(INDEX(Option4!X$106:X$117, MATCH($D65, Option4!$G$106:$G$117,0)))*conv_2026*X$7</f>
        <v>356522.92569857772</v>
      </c>
      <c r="Y65" s="28">
        <f>(INDEX(Option4!Y$106:Y$117, MATCH($D65, Option4!$G$106:$G$117,0)))*conv_2026*Y$7</f>
        <v>356522.92569857772</v>
      </c>
      <c r="Z65" s="28">
        <f>(INDEX(Option4!Z$106:Z$117, MATCH($D65, Option4!$G$106:$G$117,0)))*conv_2026*Z$7</f>
        <v>356522.92569857772</v>
      </c>
      <c r="AA65" s="28">
        <f>(INDEX(Option4!AA$106:AA$117, MATCH($D65, Option4!$G$106:$G$117,0)))*conv_2026*AA$7</f>
        <v>356522.92569857772</v>
      </c>
      <c r="AB65" s="28">
        <f>(INDEX(Option4!AB$106:AB$117, MATCH($D65, Option4!$G$106:$G$117,0)))*conv_2026*AB$7</f>
        <v>356522.92569857772</v>
      </c>
      <c r="AC65" s="28">
        <f>(INDEX(Option4!AC$106:AC$117, MATCH($D65, Option4!$G$106:$G$117,0)))*conv_2026*AC$7</f>
        <v>356522.92569857772</v>
      </c>
      <c r="AD65" s="28">
        <f>(INDEX(Option4!AD$106:AD$117, MATCH($D65, Option4!$G$106:$G$117,0)))*conv_2026*AD$7</f>
        <v>356522.92569857772</v>
      </c>
      <c r="AE65" s="28">
        <f>(INDEX(Option4!AE$106:AE$117, MATCH($D65, Option4!$G$106:$G$117,0)))*conv_2026*AE$7</f>
        <v>356522.92569857772</v>
      </c>
      <c r="AF65" s="28">
        <f>(INDEX(Option4!AF$106:AF$117, MATCH($D65, Option4!$G$106:$G$117,0)))*conv_2026*AF$7</f>
        <v>0</v>
      </c>
      <c r="AG65" s="28">
        <f>(INDEX(Option4!AG$106:AG$117, MATCH($D65, Option4!$G$106:$G$117,0)))*conv_2026*AG$7</f>
        <v>0</v>
      </c>
    </row>
    <row r="66" spans="1:35" s="6" customFormat="1" x14ac:dyDescent="0.2">
      <c r="A66" s="225"/>
      <c r="B66" s="225"/>
      <c r="C66" s="225"/>
      <c r="D66" s="225"/>
      <c r="E66" s="225"/>
      <c r="F66" s="28"/>
      <c r="H66" s="225"/>
      <c r="I66" s="225"/>
      <c r="J66" s="225"/>
      <c r="K66" s="225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</row>
    <row r="67" spans="1:35" s="6" customFormat="1" x14ac:dyDescent="0.2">
      <c r="A67" s="225"/>
      <c r="B67" s="225"/>
      <c r="C67" s="225"/>
      <c r="D67" s="225"/>
      <c r="E67" s="225"/>
      <c r="F67" s="28"/>
      <c r="H67" s="225"/>
      <c r="I67" s="225"/>
      <c r="J67" s="225"/>
      <c r="K67" s="225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</row>
    <row r="68" spans="1:35" s="6" customFormat="1" x14ac:dyDescent="0.2">
      <c r="A68" s="225"/>
      <c r="B68" s="225"/>
      <c r="C68" s="225"/>
      <c r="D68" s="225"/>
      <c r="E68" s="225"/>
      <c r="F68" s="28"/>
      <c r="H68" s="225"/>
      <c r="I68" s="225"/>
      <c r="J68" s="225"/>
      <c r="K68" s="225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</row>
    <row r="69" spans="1:35" s="6" customFormat="1" x14ac:dyDescent="0.2">
      <c r="A69" s="225"/>
      <c r="B69" s="225"/>
      <c r="C69" s="225"/>
      <c r="D69" s="225"/>
      <c r="E69" s="225"/>
      <c r="F69" s="28"/>
      <c r="H69" s="225"/>
      <c r="I69" s="225"/>
      <c r="J69" s="225"/>
      <c r="K69" s="225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</row>
    <row r="70" spans="1:35" s="6" customFormat="1" x14ac:dyDescent="0.2">
      <c r="A70" s="225" t="s">
        <v>151</v>
      </c>
      <c r="B70" s="225" t="s">
        <v>7</v>
      </c>
      <c r="C70" s="225" t="s">
        <v>132</v>
      </c>
      <c r="D70" s="225" t="str">
        <f>A70&amp;B70</f>
        <v>Option 5NPV</v>
      </c>
      <c r="E70" s="217"/>
      <c r="F70" s="28">
        <f t="shared" ref="F70:F79" si="8">SUMPRODUCT($H70:$AG70, $H$5:$AG$5)</f>
        <v>0</v>
      </c>
      <c r="G70" s="220"/>
      <c r="H70" s="28">
        <f>(INDEX(Option5!H$106:H$117, MATCH($D70, Option5!$G$106:$G$117,0)))*conv_2026*H$7</f>
        <v>0</v>
      </c>
      <c r="I70" s="28">
        <f>(INDEX(Option5!I$106:I$117, MATCH($D70, Option5!$G$106:$G$117,0)))*conv_2026*I$7</f>
        <v>0</v>
      </c>
      <c r="J70" s="28">
        <f>(INDEX(Option5!J$106:J$117, MATCH($D70, Option5!$G$106:$G$117,0)))*conv_2026*J$7</f>
        <v>0</v>
      </c>
      <c r="K70" s="28">
        <f>(INDEX(Option5!K$106:K$117, MATCH($D70, Option5!$G$106:$G$117,0)))*conv_2026*K$7</f>
        <v>0</v>
      </c>
      <c r="L70" s="28">
        <f>(INDEX(Option5!L$106:L$117, MATCH($D70, Option5!$G$106:$G$117,0)))*conv_2026*L$7</f>
        <v>0</v>
      </c>
      <c r="M70" s="28">
        <f>(INDEX(Option5!M$106:M$117, MATCH($D70, Option5!$G$106:$G$117,0)))*conv_2026*M$7</f>
        <v>0</v>
      </c>
      <c r="N70" s="28">
        <f>(INDEX(Option5!N$106:N$117, MATCH($D70, Option5!$G$106:$G$117,0)))*conv_2026*N$7</f>
        <v>0</v>
      </c>
      <c r="O70" s="28">
        <f>(INDEX(Option5!O$106:O$117, MATCH($D70, Option5!$G$106:$G$117,0)))*conv_2026*O$7</f>
        <v>0</v>
      </c>
      <c r="P70" s="28">
        <f>(INDEX(Option5!P$106:P$117, MATCH($D70, Option5!$G$106:$G$117,0)))*conv_2026*P$7</f>
        <v>0</v>
      </c>
      <c r="Q70" s="28">
        <f>(INDEX(Option5!Q$106:Q$117, MATCH($D70, Option5!$G$106:$G$117,0)))*conv_2026*Q$7</f>
        <v>0</v>
      </c>
      <c r="R70" s="28">
        <f>(INDEX(Option5!R$106:R$117, MATCH($D70, Option5!$G$106:$G$117,0)))*conv_2026*R$7</f>
        <v>0</v>
      </c>
      <c r="S70" s="28">
        <f>(INDEX(Option5!S$106:S$117, MATCH($D70, Option5!$G$106:$G$117,0)))*conv_2026*S$7</f>
        <v>0</v>
      </c>
      <c r="T70" s="28">
        <f>(INDEX(Option5!T$106:T$117, MATCH($D70, Option5!$G$106:$G$117,0)))*conv_2026*T$7</f>
        <v>0</v>
      </c>
      <c r="U70" s="28">
        <f>(INDEX(Option5!U$106:U$117, MATCH($D70, Option5!$G$106:$G$117,0)))*conv_2026*U$7</f>
        <v>0</v>
      </c>
      <c r="V70" s="28">
        <f>(INDEX(Option5!V$106:V$117, MATCH($D70, Option5!$G$106:$G$117,0)))*conv_2026*V$7</f>
        <v>0</v>
      </c>
      <c r="W70" s="28">
        <f>(INDEX(Option5!W$106:W$117, MATCH($D70, Option5!$G$106:$G$117,0)))*conv_2026*W$7</f>
        <v>0</v>
      </c>
      <c r="X70" s="28">
        <f>(INDEX(Option5!X$106:X$117, MATCH($D70, Option5!$G$106:$G$117,0)))*conv_2026*X$7</f>
        <v>0</v>
      </c>
      <c r="Y70" s="28">
        <f>(INDEX(Option5!Y$106:Y$117, MATCH($D70, Option5!$G$106:$G$117,0)))*conv_2026*Y$7</f>
        <v>0</v>
      </c>
      <c r="Z70" s="28">
        <f>(INDEX(Option5!Z$106:Z$117, MATCH($D70, Option5!$G$106:$G$117,0)))*conv_2026*Z$7</f>
        <v>0</v>
      </c>
      <c r="AA70" s="28">
        <f>(INDEX(Option5!AA$106:AA$117, MATCH($D70, Option5!$G$106:$G$117,0)))*conv_2026*AA$7</f>
        <v>0</v>
      </c>
      <c r="AB70" s="28">
        <f>(INDEX(Option5!AB$106:AB$117, MATCH($D70, Option5!$G$106:$G$117,0)))*conv_2026*AB$7</f>
        <v>0</v>
      </c>
      <c r="AC70" s="28">
        <f>(INDEX(Option5!AC$106:AC$117, MATCH($D70, Option5!$G$106:$G$117,0)))*conv_2026*AC$7</f>
        <v>0</v>
      </c>
      <c r="AD70" s="28">
        <f>(INDEX(Option5!AD$106:AD$117, MATCH($D70, Option5!$G$106:$G$117,0)))*conv_2026*AD$7</f>
        <v>0</v>
      </c>
      <c r="AE70" s="28">
        <f>(INDEX(Option5!AE$106:AE$117, MATCH($D70, Option5!$G$106:$G$117,0)))*conv_2026*AE$7</f>
        <v>0</v>
      </c>
      <c r="AF70" s="28">
        <f>(INDEX(Option5!AF$106:AF$117, MATCH($D70, Option5!$G$106:$G$117,0)))*conv_2026*AF$7</f>
        <v>0</v>
      </c>
      <c r="AG70" s="28">
        <f>(INDEX(Option5!AG$106:AG$117, MATCH($D70, Option5!$G$106:$G$117,0)))*conv_2026*AG$7</f>
        <v>0</v>
      </c>
      <c r="AH70" s="2"/>
      <c r="AI70" s="2"/>
    </row>
    <row r="71" spans="1:35" s="6" customFormat="1" x14ac:dyDescent="0.2">
      <c r="A71" s="219"/>
      <c r="B71" s="219"/>
      <c r="C71" s="219"/>
      <c r="D71" s="219"/>
      <c r="E71" s="219"/>
      <c r="F71" s="219"/>
      <c r="G71" s="220"/>
      <c r="H71" s="220"/>
      <c r="I71" s="220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20"/>
      <c r="Z71" s="220"/>
      <c r="AA71" s="220"/>
      <c r="AB71" s="220"/>
      <c r="AC71" s="220"/>
      <c r="AD71" s="220"/>
      <c r="AE71" s="220"/>
      <c r="AF71" s="220"/>
      <c r="AG71" s="220"/>
      <c r="AH71" s="2"/>
      <c r="AI71" s="2"/>
    </row>
    <row r="72" spans="1:35" s="6" customFormat="1" x14ac:dyDescent="0.2">
      <c r="A72" s="225" t="s">
        <v>151</v>
      </c>
      <c r="B72" s="225" t="str">
        <f>Option5!A110</f>
        <v>sens1</v>
      </c>
      <c r="C72" s="225" t="str">
        <f>Option5!C110</f>
        <v>Capex 10% higher</v>
      </c>
      <c r="D72" s="225" t="str">
        <f t="shared" ref="D72:D79" si="9">A72&amp;B72</f>
        <v>Option 5sens1</v>
      </c>
      <c r="E72" s="217"/>
      <c r="F72" s="28">
        <f t="shared" si="8"/>
        <v>0</v>
      </c>
      <c r="G72" s="220"/>
      <c r="H72" s="28">
        <f>(INDEX(Option5!H$106:H$117, MATCH($D72, Option5!$G$106:$G$117,0)))*conv_2026*H$7</f>
        <v>0</v>
      </c>
      <c r="I72" s="28">
        <f>(INDEX(Option5!I$106:I$117, MATCH($D72, Option5!$G$106:$G$117,0)))*conv_2026*I$7</f>
        <v>0</v>
      </c>
      <c r="J72" s="28">
        <f>(INDEX(Option5!J$106:J$117, MATCH($D72, Option5!$G$106:$G$117,0)))*conv_2026*J$7</f>
        <v>0</v>
      </c>
      <c r="K72" s="28">
        <f>(INDEX(Option5!K$106:K$117, MATCH($D72, Option5!$G$106:$G$117,0)))*conv_2026*K$7</f>
        <v>0</v>
      </c>
      <c r="L72" s="28">
        <f>(INDEX(Option5!L$106:L$117, MATCH($D72, Option5!$G$106:$G$117,0)))*conv_2026*L$7</f>
        <v>0</v>
      </c>
      <c r="M72" s="28">
        <f>(INDEX(Option5!M$106:M$117, MATCH($D72, Option5!$G$106:$G$117,0)))*conv_2026*M$7</f>
        <v>0</v>
      </c>
      <c r="N72" s="28">
        <f>(INDEX(Option5!N$106:N$117, MATCH($D72, Option5!$G$106:$G$117,0)))*conv_2026*N$7</f>
        <v>0</v>
      </c>
      <c r="O72" s="28">
        <f>(INDEX(Option5!O$106:O$117, MATCH($D72, Option5!$G$106:$G$117,0)))*conv_2026*O$7</f>
        <v>0</v>
      </c>
      <c r="P72" s="28">
        <f>(INDEX(Option5!P$106:P$117, MATCH($D72, Option5!$G$106:$G$117,0)))*conv_2026*P$7</f>
        <v>0</v>
      </c>
      <c r="Q72" s="28">
        <f>(INDEX(Option5!Q$106:Q$117, MATCH($D72, Option5!$G$106:$G$117,0)))*conv_2026*Q$7</f>
        <v>0</v>
      </c>
      <c r="R72" s="28">
        <f>(INDEX(Option5!R$106:R$117, MATCH($D72, Option5!$G$106:$G$117,0)))*conv_2026*R$7</f>
        <v>0</v>
      </c>
      <c r="S72" s="28">
        <f>(INDEX(Option5!S$106:S$117, MATCH($D72, Option5!$G$106:$G$117,0)))*conv_2026*S$7</f>
        <v>0</v>
      </c>
      <c r="T72" s="28">
        <f>(INDEX(Option5!T$106:T$117, MATCH($D72, Option5!$G$106:$G$117,0)))*conv_2026*T$7</f>
        <v>0</v>
      </c>
      <c r="U72" s="28">
        <f>(INDEX(Option5!U$106:U$117, MATCH($D72, Option5!$G$106:$G$117,0)))*conv_2026*U$7</f>
        <v>0</v>
      </c>
      <c r="V72" s="28">
        <f>(INDEX(Option5!V$106:V$117, MATCH($D72, Option5!$G$106:$G$117,0)))*conv_2026*V$7</f>
        <v>0</v>
      </c>
      <c r="W72" s="28">
        <f>(INDEX(Option5!W$106:W$117, MATCH($D72, Option5!$G$106:$G$117,0)))*conv_2026*W$7</f>
        <v>0</v>
      </c>
      <c r="X72" s="28">
        <f>(INDEX(Option5!X$106:X$117, MATCH($D72, Option5!$G$106:$G$117,0)))*conv_2026*X$7</f>
        <v>0</v>
      </c>
      <c r="Y72" s="28">
        <f>(INDEX(Option5!Y$106:Y$117, MATCH($D72, Option5!$G$106:$G$117,0)))*conv_2026*Y$7</f>
        <v>0</v>
      </c>
      <c r="Z72" s="28">
        <f>(INDEX(Option5!Z$106:Z$117, MATCH($D72, Option5!$G$106:$G$117,0)))*conv_2026*Z$7</f>
        <v>0</v>
      </c>
      <c r="AA72" s="28">
        <f>(INDEX(Option5!AA$106:AA$117, MATCH($D72, Option5!$G$106:$G$117,0)))*conv_2026*AA$7</f>
        <v>0</v>
      </c>
      <c r="AB72" s="28">
        <f>(INDEX(Option5!AB$106:AB$117, MATCH($D72, Option5!$G$106:$G$117,0)))*conv_2026*AB$7</f>
        <v>0</v>
      </c>
      <c r="AC72" s="28">
        <f>(INDEX(Option5!AC$106:AC$117, MATCH($D72, Option5!$G$106:$G$117,0)))*conv_2026*AC$7</f>
        <v>0</v>
      </c>
      <c r="AD72" s="28">
        <f>(INDEX(Option5!AD$106:AD$117, MATCH($D72, Option5!$G$106:$G$117,0)))*conv_2026*AD$7</f>
        <v>0</v>
      </c>
      <c r="AE72" s="28">
        <f>(INDEX(Option5!AE$106:AE$117, MATCH($D72, Option5!$G$106:$G$117,0)))*conv_2026*AE$7</f>
        <v>0</v>
      </c>
      <c r="AF72" s="28">
        <f>(INDEX(Option5!AF$106:AF$117, MATCH($D72, Option5!$G$106:$G$117,0)))*conv_2026*AF$7</f>
        <v>0</v>
      </c>
      <c r="AG72" s="28">
        <f>(INDEX(Option5!AG$106:AG$117, MATCH($D72, Option5!$G$106:$G$117,0)))*conv_2026*AG$7</f>
        <v>0</v>
      </c>
      <c r="AH72" s="2"/>
      <c r="AI72" s="2"/>
    </row>
    <row r="73" spans="1:35" s="6" customFormat="1" x14ac:dyDescent="0.2">
      <c r="A73" s="225" t="s">
        <v>151</v>
      </c>
      <c r="B73" s="225" t="str">
        <f>Option5!A111</f>
        <v>sens2</v>
      </c>
      <c r="C73" s="225" t="str">
        <f>Option5!C111</f>
        <v>Capex 10% lower</v>
      </c>
      <c r="D73" s="225" t="str">
        <f t="shared" si="9"/>
        <v>Option 5sens2</v>
      </c>
      <c r="E73" s="217"/>
      <c r="F73" s="28">
        <f t="shared" si="8"/>
        <v>0</v>
      </c>
      <c r="G73" s="225"/>
      <c r="H73" s="28">
        <f>(INDEX(Option5!H$106:H$117, MATCH($D73, Option5!$G$106:$G$117,0)))*conv_2026*H$7</f>
        <v>0</v>
      </c>
      <c r="I73" s="28">
        <f>(INDEX(Option5!I$106:I$117, MATCH($D73, Option5!$G$106:$G$117,0)))*conv_2026*I$7</f>
        <v>0</v>
      </c>
      <c r="J73" s="28">
        <f>(INDEX(Option5!J$106:J$117, MATCH($D73, Option5!$G$106:$G$117,0)))*conv_2026*J$7</f>
        <v>0</v>
      </c>
      <c r="K73" s="28">
        <f>(INDEX(Option5!K$106:K$117, MATCH($D73, Option5!$G$106:$G$117,0)))*conv_2026*K$7</f>
        <v>0</v>
      </c>
      <c r="L73" s="28">
        <f>(INDEX(Option5!L$106:L$117, MATCH($D73, Option5!$G$106:$G$117,0)))*conv_2026*L$7</f>
        <v>0</v>
      </c>
      <c r="M73" s="28">
        <f>(INDEX(Option5!M$106:M$117, MATCH($D73, Option5!$G$106:$G$117,0)))*conv_2026*M$7</f>
        <v>0</v>
      </c>
      <c r="N73" s="28">
        <f>(INDEX(Option5!N$106:N$117, MATCH($D73, Option5!$G$106:$G$117,0)))*conv_2026*N$7</f>
        <v>0</v>
      </c>
      <c r="O73" s="28">
        <f>(INDEX(Option5!O$106:O$117, MATCH($D73, Option5!$G$106:$G$117,0)))*conv_2026*O$7</f>
        <v>0</v>
      </c>
      <c r="P73" s="28">
        <f>(INDEX(Option5!P$106:P$117, MATCH($D73, Option5!$G$106:$G$117,0)))*conv_2026*P$7</f>
        <v>0</v>
      </c>
      <c r="Q73" s="28">
        <f>(INDEX(Option5!Q$106:Q$117, MATCH($D73, Option5!$G$106:$G$117,0)))*conv_2026*Q$7</f>
        <v>0</v>
      </c>
      <c r="R73" s="28">
        <f>(INDEX(Option5!R$106:R$117, MATCH($D73, Option5!$G$106:$G$117,0)))*conv_2026*R$7</f>
        <v>0</v>
      </c>
      <c r="S73" s="28">
        <f>(INDEX(Option5!S$106:S$117, MATCH($D73, Option5!$G$106:$G$117,0)))*conv_2026*S$7</f>
        <v>0</v>
      </c>
      <c r="T73" s="28">
        <f>(INDEX(Option5!T$106:T$117, MATCH($D73, Option5!$G$106:$G$117,0)))*conv_2026*T$7</f>
        <v>0</v>
      </c>
      <c r="U73" s="28">
        <f>(INDEX(Option5!U$106:U$117, MATCH($D73, Option5!$G$106:$G$117,0)))*conv_2026*U$7</f>
        <v>0</v>
      </c>
      <c r="V73" s="28">
        <f>(INDEX(Option5!V$106:V$117, MATCH($D73, Option5!$G$106:$G$117,0)))*conv_2026*V$7</f>
        <v>0</v>
      </c>
      <c r="W73" s="28">
        <f>(INDEX(Option5!W$106:W$117, MATCH($D73, Option5!$G$106:$G$117,0)))*conv_2026*W$7</f>
        <v>0</v>
      </c>
      <c r="X73" s="28">
        <f>(INDEX(Option5!X$106:X$117, MATCH($D73, Option5!$G$106:$G$117,0)))*conv_2026*X$7</f>
        <v>0</v>
      </c>
      <c r="Y73" s="28">
        <f>(INDEX(Option5!Y$106:Y$117, MATCH($D73, Option5!$G$106:$G$117,0)))*conv_2026*Y$7</f>
        <v>0</v>
      </c>
      <c r="Z73" s="28">
        <f>(INDEX(Option5!Z$106:Z$117, MATCH($D73, Option5!$G$106:$G$117,0)))*conv_2026*Z$7</f>
        <v>0</v>
      </c>
      <c r="AA73" s="28">
        <f>(INDEX(Option5!AA$106:AA$117, MATCH($D73, Option5!$G$106:$G$117,0)))*conv_2026*AA$7</f>
        <v>0</v>
      </c>
      <c r="AB73" s="28">
        <f>(INDEX(Option5!AB$106:AB$117, MATCH($D73, Option5!$G$106:$G$117,0)))*conv_2026*AB$7</f>
        <v>0</v>
      </c>
      <c r="AC73" s="28">
        <f>(INDEX(Option5!AC$106:AC$117, MATCH($D73, Option5!$G$106:$G$117,0)))*conv_2026*AC$7</f>
        <v>0</v>
      </c>
      <c r="AD73" s="28">
        <f>(INDEX(Option5!AD$106:AD$117, MATCH($D73, Option5!$G$106:$G$117,0)))*conv_2026*AD$7</f>
        <v>0</v>
      </c>
      <c r="AE73" s="28">
        <f>(INDEX(Option5!AE$106:AE$117, MATCH($D73, Option5!$G$106:$G$117,0)))*conv_2026*AE$7</f>
        <v>0</v>
      </c>
      <c r="AF73" s="28">
        <f>(INDEX(Option5!AF$106:AF$117, MATCH($D73, Option5!$G$106:$G$117,0)))*conv_2026*AF$7</f>
        <v>0</v>
      </c>
      <c r="AG73" s="28">
        <f>(INDEX(Option5!AG$106:AG$117, MATCH($D73, Option5!$G$106:$G$117,0)))*conv_2026*AG$7</f>
        <v>0</v>
      </c>
    </row>
    <row r="74" spans="1:35" s="6" customFormat="1" x14ac:dyDescent="0.2">
      <c r="A74" s="225" t="s">
        <v>151</v>
      </c>
      <c r="B74" s="225" t="str">
        <f>Option5!A112</f>
        <v>sens3</v>
      </c>
      <c r="C74" s="225" t="str">
        <f>Option5!C112</f>
        <v>Total benefits 10% higher</v>
      </c>
      <c r="D74" s="225" t="str">
        <f t="shared" si="9"/>
        <v>Option 5sens3</v>
      </c>
      <c r="E74" s="217"/>
      <c r="F74" s="28">
        <f t="shared" si="8"/>
        <v>0</v>
      </c>
      <c r="H74" s="28">
        <f>(INDEX(Option5!H$106:H$117, MATCH($D74, Option5!$G$106:$G$117,0)))*conv_2026*H$7</f>
        <v>0</v>
      </c>
      <c r="I74" s="28">
        <f>(INDEX(Option5!I$106:I$117, MATCH($D74, Option5!$G$106:$G$117,0)))*conv_2026*I$7</f>
        <v>0</v>
      </c>
      <c r="J74" s="28">
        <f>(INDEX(Option5!J$106:J$117, MATCH($D74, Option5!$G$106:$G$117,0)))*conv_2026*J$7</f>
        <v>0</v>
      </c>
      <c r="K74" s="28">
        <f>(INDEX(Option5!K$106:K$117, MATCH($D74, Option5!$G$106:$G$117,0)))*conv_2026*K$7</f>
        <v>0</v>
      </c>
      <c r="L74" s="28">
        <f>(INDEX(Option5!L$106:L$117, MATCH($D74, Option5!$G$106:$G$117,0)))*conv_2026*L$7</f>
        <v>0</v>
      </c>
      <c r="M74" s="28">
        <f>(INDEX(Option5!M$106:M$117, MATCH($D74, Option5!$G$106:$G$117,0)))*conv_2026*M$7</f>
        <v>0</v>
      </c>
      <c r="N74" s="28">
        <f>(INDEX(Option5!N$106:N$117, MATCH($D74, Option5!$G$106:$G$117,0)))*conv_2026*N$7</f>
        <v>0</v>
      </c>
      <c r="O74" s="28">
        <f>(INDEX(Option5!O$106:O$117, MATCH($D74, Option5!$G$106:$G$117,0)))*conv_2026*O$7</f>
        <v>0</v>
      </c>
      <c r="P74" s="28">
        <f>(INDEX(Option5!P$106:P$117, MATCH($D74, Option5!$G$106:$G$117,0)))*conv_2026*P$7</f>
        <v>0</v>
      </c>
      <c r="Q74" s="28">
        <f>(INDEX(Option5!Q$106:Q$117, MATCH($D74, Option5!$G$106:$G$117,0)))*conv_2026*Q$7</f>
        <v>0</v>
      </c>
      <c r="R74" s="28">
        <f>(INDEX(Option5!R$106:R$117, MATCH($D74, Option5!$G$106:$G$117,0)))*conv_2026*R$7</f>
        <v>0</v>
      </c>
      <c r="S74" s="28">
        <f>(INDEX(Option5!S$106:S$117, MATCH($D74, Option5!$G$106:$G$117,0)))*conv_2026*S$7</f>
        <v>0</v>
      </c>
      <c r="T74" s="28">
        <f>(INDEX(Option5!T$106:T$117, MATCH($D74, Option5!$G$106:$G$117,0)))*conv_2026*T$7</f>
        <v>0</v>
      </c>
      <c r="U74" s="28">
        <f>(INDEX(Option5!U$106:U$117, MATCH($D74, Option5!$G$106:$G$117,0)))*conv_2026*U$7</f>
        <v>0</v>
      </c>
      <c r="V74" s="28">
        <f>(INDEX(Option5!V$106:V$117, MATCH($D74, Option5!$G$106:$G$117,0)))*conv_2026*V$7</f>
        <v>0</v>
      </c>
      <c r="W74" s="28">
        <f>(INDEX(Option5!W$106:W$117, MATCH($D74, Option5!$G$106:$G$117,0)))*conv_2026*W$7</f>
        <v>0</v>
      </c>
      <c r="X74" s="28">
        <f>(INDEX(Option5!X$106:X$117, MATCH($D74, Option5!$G$106:$G$117,0)))*conv_2026*X$7</f>
        <v>0</v>
      </c>
      <c r="Y74" s="28">
        <f>(INDEX(Option5!Y$106:Y$117, MATCH($D74, Option5!$G$106:$G$117,0)))*conv_2026*Y$7</f>
        <v>0</v>
      </c>
      <c r="Z74" s="28">
        <f>(INDEX(Option5!Z$106:Z$117, MATCH($D74, Option5!$G$106:$G$117,0)))*conv_2026*Z$7</f>
        <v>0</v>
      </c>
      <c r="AA74" s="28">
        <f>(INDEX(Option5!AA$106:AA$117, MATCH($D74, Option5!$G$106:$G$117,0)))*conv_2026*AA$7</f>
        <v>0</v>
      </c>
      <c r="AB74" s="28">
        <f>(INDEX(Option5!AB$106:AB$117, MATCH($D74, Option5!$G$106:$G$117,0)))*conv_2026*AB$7</f>
        <v>0</v>
      </c>
      <c r="AC74" s="28">
        <f>(INDEX(Option5!AC$106:AC$117, MATCH($D74, Option5!$G$106:$G$117,0)))*conv_2026*AC$7</f>
        <v>0</v>
      </c>
      <c r="AD74" s="28">
        <f>(INDEX(Option5!AD$106:AD$117, MATCH($D74, Option5!$G$106:$G$117,0)))*conv_2026*AD$7</f>
        <v>0</v>
      </c>
      <c r="AE74" s="28">
        <f>(INDEX(Option5!AE$106:AE$117, MATCH($D74, Option5!$G$106:$G$117,0)))*conv_2026*AE$7</f>
        <v>0</v>
      </c>
      <c r="AF74" s="28">
        <f>(INDEX(Option5!AF$106:AF$117, MATCH($D74, Option5!$G$106:$G$117,0)))*conv_2026*AF$7</f>
        <v>0</v>
      </c>
      <c r="AG74" s="28">
        <f>(INDEX(Option5!AG$106:AG$117, MATCH($D74, Option5!$G$106:$G$117,0)))*conv_2026*AG$7</f>
        <v>0</v>
      </c>
    </row>
    <row r="75" spans="1:35" s="6" customFormat="1" x14ac:dyDescent="0.2">
      <c r="A75" s="225" t="s">
        <v>151</v>
      </c>
      <c r="B75" s="225" t="str">
        <f>Option5!A113</f>
        <v>sens4</v>
      </c>
      <c r="C75" s="225" t="str">
        <f>Option5!C113</f>
        <v>Total benefits 10% lower</v>
      </c>
      <c r="D75" s="225" t="str">
        <f t="shared" si="9"/>
        <v>Option 5sens4</v>
      </c>
      <c r="E75" s="217"/>
      <c r="F75" s="28">
        <f t="shared" si="8"/>
        <v>0</v>
      </c>
      <c r="H75" s="28">
        <f>(INDEX(Option5!H$106:H$117, MATCH($D75, Option5!$G$106:$G$117,0)))*conv_2026*H$7</f>
        <v>0</v>
      </c>
      <c r="I75" s="28">
        <f>(INDEX(Option5!I$106:I$117, MATCH($D75, Option5!$G$106:$G$117,0)))*conv_2026*I$7</f>
        <v>0</v>
      </c>
      <c r="J75" s="28">
        <f>(INDEX(Option5!J$106:J$117, MATCH($D75, Option5!$G$106:$G$117,0)))*conv_2026*J$7</f>
        <v>0</v>
      </c>
      <c r="K75" s="28">
        <f>(INDEX(Option5!K$106:K$117, MATCH($D75, Option5!$G$106:$G$117,0)))*conv_2026*K$7</f>
        <v>0</v>
      </c>
      <c r="L75" s="28">
        <f>(INDEX(Option5!L$106:L$117, MATCH($D75, Option5!$G$106:$G$117,0)))*conv_2026*L$7</f>
        <v>0</v>
      </c>
      <c r="M75" s="28">
        <f>(INDEX(Option5!M$106:M$117, MATCH($D75, Option5!$G$106:$G$117,0)))*conv_2026*M$7</f>
        <v>0</v>
      </c>
      <c r="N75" s="28">
        <f>(INDEX(Option5!N$106:N$117, MATCH($D75, Option5!$G$106:$G$117,0)))*conv_2026*N$7</f>
        <v>0</v>
      </c>
      <c r="O75" s="28">
        <f>(INDEX(Option5!O$106:O$117, MATCH($D75, Option5!$G$106:$G$117,0)))*conv_2026*O$7</f>
        <v>0</v>
      </c>
      <c r="P75" s="28">
        <f>(INDEX(Option5!P$106:P$117, MATCH($D75, Option5!$G$106:$G$117,0)))*conv_2026*P$7</f>
        <v>0</v>
      </c>
      <c r="Q75" s="28">
        <f>(INDEX(Option5!Q$106:Q$117, MATCH($D75, Option5!$G$106:$G$117,0)))*conv_2026*Q$7</f>
        <v>0</v>
      </c>
      <c r="R75" s="28">
        <f>(INDEX(Option5!R$106:R$117, MATCH($D75, Option5!$G$106:$G$117,0)))*conv_2026*R$7</f>
        <v>0</v>
      </c>
      <c r="S75" s="28">
        <f>(INDEX(Option5!S$106:S$117, MATCH($D75, Option5!$G$106:$G$117,0)))*conv_2026*S$7</f>
        <v>0</v>
      </c>
      <c r="T75" s="28">
        <f>(INDEX(Option5!T$106:T$117, MATCH($D75, Option5!$G$106:$G$117,0)))*conv_2026*T$7</f>
        <v>0</v>
      </c>
      <c r="U75" s="28">
        <f>(INDEX(Option5!U$106:U$117, MATCH($D75, Option5!$G$106:$G$117,0)))*conv_2026*U$7</f>
        <v>0</v>
      </c>
      <c r="V75" s="28">
        <f>(INDEX(Option5!V$106:V$117, MATCH($D75, Option5!$G$106:$G$117,0)))*conv_2026*V$7</f>
        <v>0</v>
      </c>
      <c r="W75" s="28">
        <f>(INDEX(Option5!W$106:W$117, MATCH($D75, Option5!$G$106:$G$117,0)))*conv_2026*W$7</f>
        <v>0</v>
      </c>
      <c r="X75" s="28">
        <f>(INDEX(Option5!X$106:X$117, MATCH($D75, Option5!$G$106:$G$117,0)))*conv_2026*X$7</f>
        <v>0</v>
      </c>
      <c r="Y75" s="28">
        <f>(INDEX(Option5!Y$106:Y$117, MATCH($D75, Option5!$G$106:$G$117,0)))*conv_2026*Y$7</f>
        <v>0</v>
      </c>
      <c r="Z75" s="28">
        <f>(INDEX(Option5!Z$106:Z$117, MATCH($D75, Option5!$G$106:$G$117,0)))*conv_2026*Z$7</f>
        <v>0</v>
      </c>
      <c r="AA75" s="28">
        <f>(INDEX(Option5!AA$106:AA$117, MATCH($D75, Option5!$G$106:$G$117,0)))*conv_2026*AA$7</f>
        <v>0</v>
      </c>
      <c r="AB75" s="28">
        <f>(INDEX(Option5!AB$106:AB$117, MATCH($D75, Option5!$G$106:$G$117,0)))*conv_2026*AB$7</f>
        <v>0</v>
      </c>
      <c r="AC75" s="28">
        <f>(INDEX(Option5!AC$106:AC$117, MATCH($D75, Option5!$G$106:$G$117,0)))*conv_2026*AC$7</f>
        <v>0</v>
      </c>
      <c r="AD75" s="28">
        <f>(INDEX(Option5!AD$106:AD$117, MATCH($D75, Option5!$G$106:$G$117,0)))*conv_2026*AD$7</f>
        <v>0</v>
      </c>
      <c r="AE75" s="28">
        <f>(INDEX(Option5!AE$106:AE$117, MATCH($D75, Option5!$G$106:$G$117,0)))*conv_2026*AE$7</f>
        <v>0</v>
      </c>
      <c r="AF75" s="28">
        <f>(INDEX(Option5!AF$106:AF$117, MATCH($D75, Option5!$G$106:$G$117,0)))*conv_2026*AF$7</f>
        <v>0</v>
      </c>
      <c r="AG75" s="28">
        <f>(INDEX(Option5!AG$106:AG$117, MATCH($D75, Option5!$G$106:$G$117,0)))*conv_2026*AG$7</f>
        <v>0</v>
      </c>
    </row>
    <row r="76" spans="1:35" s="6" customFormat="1" x14ac:dyDescent="0.2">
      <c r="A76" s="225" t="s">
        <v>151</v>
      </c>
      <c r="B76" s="225" t="str">
        <f>Option5!A114</f>
        <v>sens5</v>
      </c>
      <c r="C76" s="225" t="str">
        <f>Option5!C114</f>
        <v>Capex 10% higher &amp; Total benefits 10% lower</v>
      </c>
      <c r="D76" s="225" t="str">
        <f t="shared" si="9"/>
        <v>Option 5sens5</v>
      </c>
      <c r="E76" s="217"/>
      <c r="F76" s="28">
        <f t="shared" si="8"/>
        <v>0</v>
      </c>
      <c r="H76" s="28">
        <f>(INDEX(Option5!H$106:H$117, MATCH($D76, Option5!$G$106:$G$117,0)))*conv_2026*H$7</f>
        <v>0</v>
      </c>
      <c r="I76" s="28">
        <f>(INDEX(Option5!I$106:I$117, MATCH($D76, Option5!$G$106:$G$117,0)))*conv_2026*I$7</f>
        <v>0</v>
      </c>
      <c r="J76" s="28">
        <f>(INDEX(Option5!J$106:J$117, MATCH($D76, Option5!$G$106:$G$117,0)))*conv_2026*J$7</f>
        <v>0</v>
      </c>
      <c r="K76" s="28">
        <f>(INDEX(Option5!K$106:K$117, MATCH($D76, Option5!$G$106:$G$117,0)))*conv_2026*K$7</f>
        <v>0</v>
      </c>
      <c r="L76" s="28">
        <f>(INDEX(Option5!L$106:L$117, MATCH($D76, Option5!$G$106:$G$117,0)))*conv_2026*L$7</f>
        <v>0</v>
      </c>
      <c r="M76" s="28">
        <f>(INDEX(Option5!M$106:M$117, MATCH($D76, Option5!$G$106:$G$117,0)))*conv_2026*M$7</f>
        <v>0</v>
      </c>
      <c r="N76" s="28">
        <f>(INDEX(Option5!N$106:N$117, MATCH($D76, Option5!$G$106:$G$117,0)))*conv_2026*N$7</f>
        <v>0</v>
      </c>
      <c r="O76" s="28">
        <f>(INDEX(Option5!O$106:O$117, MATCH($D76, Option5!$G$106:$G$117,0)))*conv_2026*O$7</f>
        <v>0</v>
      </c>
      <c r="P76" s="28">
        <f>(INDEX(Option5!P$106:P$117, MATCH($D76, Option5!$G$106:$G$117,0)))*conv_2026*P$7</f>
        <v>0</v>
      </c>
      <c r="Q76" s="28">
        <f>(INDEX(Option5!Q$106:Q$117, MATCH($D76, Option5!$G$106:$G$117,0)))*conv_2026*Q$7</f>
        <v>0</v>
      </c>
      <c r="R76" s="28">
        <f>(INDEX(Option5!R$106:R$117, MATCH($D76, Option5!$G$106:$G$117,0)))*conv_2026*R$7</f>
        <v>0</v>
      </c>
      <c r="S76" s="28">
        <f>(INDEX(Option5!S$106:S$117, MATCH($D76, Option5!$G$106:$G$117,0)))*conv_2026*S$7</f>
        <v>0</v>
      </c>
      <c r="T76" s="28">
        <f>(INDEX(Option5!T$106:T$117, MATCH($D76, Option5!$G$106:$G$117,0)))*conv_2026*T$7</f>
        <v>0</v>
      </c>
      <c r="U76" s="28">
        <f>(INDEX(Option5!U$106:U$117, MATCH($D76, Option5!$G$106:$G$117,0)))*conv_2026*U$7</f>
        <v>0</v>
      </c>
      <c r="V76" s="28">
        <f>(INDEX(Option5!V$106:V$117, MATCH($D76, Option5!$G$106:$G$117,0)))*conv_2026*V$7</f>
        <v>0</v>
      </c>
      <c r="W76" s="28">
        <f>(INDEX(Option5!W$106:W$117, MATCH($D76, Option5!$G$106:$G$117,0)))*conv_2026*W$7</f>
        <v>0</v>
      </c>
      <c r="X76" s="28">
        <f>(INDEX(Option5!X$106:X$117, MATCH($D76, Option5!$G$106:$G$117,0)))*conv_2026*X$7</f>
        <v>0</v>
      </c>
      <c r="Y76" s="28">
        <f>(INDEX(Option5!Y$106:Y$117, MATCH($D76, Option5!$G$106:$G$117,0)))*conv_2026*Y$7</f>
        <v>0</v>
      </c>
      <c r="Z76" s="28">
        <f>(INDEX(Option5!Z$106:Z$117, MATCH($D76, Option5!$G$106:$G$117,0)))*conv_2026*Z$7</f>
        <v>0</v>
      </c>
      <c r="AA76" s="28">
        <f>(INDEX(Option5!AA$106:AA$117, MATCH($D76, Option5!$G$106:$G$117,0)))*conv_2026*AA$7</f>
        <v>0</v>
      </c>
      <c r="AB76" s="28">
        <f>(INDEX(Option5!AB$106:AB$117, MATCH($D76, Option5!$G$106:$G$117,0)))*conv_2026*AB$7</f>
        <v>0</v>
      </c>
      <c r="AC76" s="28">
        <f>(INDEX(Option5!AC$106:AC$117, MATCH($D76, Option5!$G$106:$G$117,0)))*conv_2026*AC$7</f>
        <v>0</v>
      </c>
      <c r="AD76" s="28">
        <f>(INDEX(Option5!AD$106:AD$117, MATCH($D76, Option5!$G$106:$G$117,0)))*conv_2026*AD$7</f>
        <v>0</v>
      </c>
      <c r="AE76" s="28">
        <f>(INDEX(Option5!AE$106:AE$117, MATCH($D76, Option5!$G$106:$G$117,0)))*conv_2026*AE$7</f>
        <v>0</v>
      </c>
      <c r="AF76" s="28">
        <f>(INDEX(Option5!AF$106:AF$117, MATCH($D76, Option5!$G$106:$G$117,0)))*conv_2026*AF$7</f>
        <v>0</v>
      </c>
      <c r="AG76" s="28">
        <f>(INDEX(Option5!AG$106:AG$117, MATCH($D76, Option5!$G$106:$G$117,0)))*conv_2026*AG$7</f>
        <v>0</v>
      </c>
    </row>
    <row r="77" spans="1:35" s="6" customFormat="1" x14ac:dyDescent="0.2">
      <c r="A77" s="225" t="s">
        <v>151</v>
      </c>
      <c r="B77" s="225" t="str">
        <f>Option5!A115</f>
        <v>sens</v>
      </c>
      <c r="C77" s="225">
        <f>Option5!C115</f>
        <v>0</v>
      </c>
      <c r="D77" s="225" t="str">
        <f t="shared" si="9"/>
        <v>Option 5sens</v>
      </c>
      <c r="E77" s="217"/>
      <c r="F77" s="28">
        <f t="shared" si="8"/>
        <v>0</v>
      </c>
      <c r="H77" s="28">
        <f>(INDEX(Option5!H$106:H$117, MATCH($D77, Option5!$G$106:$G$117,0)))*conv_2026*H$7</f>
        <v>0</v>
      </c>
      <c r="I77" s="28">
        <f>(INDEX(Option5!I$106:I$117, MATCH($D77, Option5!$G$106:$G$117,0)))*conv_2026*I$7</f>
        <v>0</v>
      </c>
      <c r="J77" s="28">
        <f>(INDEX(Option5!J$106:J$117, MATCH($D77, Option5!$G$106:$G$117,0)))*conv_2026*J$7</f>
        <v>0</v>
      </c>
      <c r="K77" s="28">
        <f>(INDEX(Option5!K$106:K$117, MATCH($D77, Option5!$G$106:$G$117,0)))*conv_2026*K$7</f>
        <v>0</v>
      </c>
      <c r="L77" s="28">
        <f>(INDEX(Option5!L$106:L$117, MATCH($D77, Option5!$G$106:$G$117,0)))*conv_2026*L$7</f>
        <v>0</v>
      </c>
      <c r="M77" s="28">
        <f>(INDEX(Option5!M$106:M$117, MATCH($D77, Option5!$G$106:$G$117,0)))*conv_2026*M$7</f>
        <v>0</v>
      </c>
      <c r="N77" s="28">
        <f>(INDEX(Option5!N$106:N$117, MATCH($D77, Option5!$G$106:$G$117,0)))*conv_2026*N$7</f>
        <v>0</v>
      </c>
      <c r="O77" s="28">
        <f>(INDEX(Option5!O$106:O$117, MATCH($D77, Option5!$G$106:$G$117,0)))*conv_2026*O$7</f>
        <v>0</v>
      </c>
      <c r="P77" s="28">
        <f>(INDEX(Option5!P$106:P$117, MATCH($D77, Option5!$G$106:$G$117,0)))*conv_2026*P$7</f>
        <v>0</v>
      </c>
      <c r="Q77" s="28">
        <f>(INDEX(Option5!Q$106:Q$117, MATCH($D77, Option5!$G$106:$G$117,0)))*conv_2026*Q$7</f>
        <v>0</v>
      </c>
      <c r="R77" s="28">
        <f>(INDEX(Option5!R$106:R$117, MATCH($D77, Option5!$G$106:$G$117,0)))*conv_2026*R$7</f>
        <v>0</v>
      </c>
      <c r="S77" s="28">
        <f>(INDEX(Option5!S$106:S$117, MATCH($D77, Option5!$G$106:$G$117,0)))*conv_2026*S$7</f>
        <v>0</v>
      </c>
      <c r="T77" s="28">
        <f>(INDEX(Option5!T$106:T$117, MATCH($D77, Option5!$G$106:$G$117,0)))*conv_2026*T$7</f>
        <v>0</v>
      </c>
      <c r="U77" s="28">
        <f>(INDEX(Option5!U$106:U$117, MATCH($D77, Option5!$G$106:$G$117,0)))*conv_2026*U$7</f>
        <v>0</v>
      </c>
      <c r="V77" s="28">
        <f>(INDEX(Option5!V$106:V$117, MATCH($D77, Option5!$G$106:$G$117,0)))*conv_2026*V$7</f>
        <v>0</v>
      </c>
      <c r="W77" s="28">
        <f>(INDEX(Option5!W$106:W$117, MATCH($D77, Option5!$G$106:$G$117,0)))*conv_2026*W$7</f>
        <v>0</v>
      </c>
      <c r="X77" s="28">
        <f>(INDEX(Option5!X$106:X$117, MATCH($D77, Option5!$G$106:$G$117,0)))*conv_2026*X$7</f>
        <v>0</v>
      </c>
      <c r="Y77" s="28">
        <f>(INDEX(Option5!Y$106:Y$117, MATCH($D77, Option5!$G$106:$G$117,0)))*conv_2026*Y$7</f>
        <v>0</v>
      </c>
      <c r="Z77" s="28">
        <f>(INDEX(Option5!Z$106:Z$117, MATCH($D77, Option5!$G$106:$G$117,0)))*conv_2026*Z$7</f>
        <v>0</v>
      </c>
      <c r="AA77" s="28">
        <f>(INDEX(Option5!AA$106:AA$117, MATCH($D77, Option5!$G$106:$G$117,0)))*conv_2026*AA$7</f>
        <v>0</v>
      </c>
      <c r="AB77" s="28">
        <f>(INDEX(Option5!AB$106:AB$117, MATCH($D77, Option5!$G$106:$G$117,0)))*conv_2026*AB$7</f>
        <v>0</v>
      </c>
      <c r="AC77" s="28">
        <f>(INDEX(Option5!AC$106:AC$117, MATCH($D77, Option5!$G$106:$G$117,0)))*conv_2026*AC$7</f>
        <v>0</v>
      </c>
      <c r="AD77" s="28">
        <f>(INDEX(Option5!AD$106:AD$117, MATCH($D77, Option5!$G$106:$G$117,0)))*conv_2026*AD$7</f>
        <v>0</v>
      </c>
      <c r="AE77" s="28">
        <f>(INDEX(Option5!AE$106:AE$117, MATCH($D77, Option5!$G$106:$G$117,0)))*conv_2026*AE$7</f>
        <v>0</v>
      </c>
      <c r="AF77" s="28">
        <f>(INDEX(Option5!AF$106:AF$117, MATCH($D77, Option5!$G$106:$G$117,0)))*conv_2026*AF$7</f>
        <v>0</v>
      </c>
      <c r="AG77" s="28">
        <f>(INDEX(Option5!AG$106:AG$117, MATCH($D77, Option5!$G$106:$G$117,0)))*conv_2026*AG$7</f>
        <v>0</v>
      </c>
    </row>
    <row r="78" spans="1:35" s="6" customFormat="1" x14ac:dyDescent="0.2">
      <c r="A78" s="225" t="s">
        <v>151</v>
      </c>
      <c r="B78" s="225" t="str">
        <f>Option5!A116</f>
        <v>sens</v>
      </c>
      <c r="C78" s="225">
        <f>Option5!C116</f>
        <v>0</v>
      </c>
      <c r="D78" s="225" t="str">
        <f t="shared" si="9"/>
        <v>Option 5sens</v>
      </c>
      <c r="E78" s="217"/>
      <c r="F78" s="28">
        <f t="shared" si="8"/>
        <v>0</v>
      </c>
      <c r="H78" s="28">
        <f>(INDEX(Option5!H$106:H$117, MATCH($D78, Option5!$G$106:$G$117,0)))*conv_2026*H$7</f>
        <v>0</v>
      </c>
      <c r="I78" s="28">
        <f>(INDEX(Option5!I$106:I$117, MATCH($D78, Option5!$G$106:$G$117,0)))*conv_2026*I$7</f>
        <v>0</v>
      </c>
      <c r="J78" s="28">
        <f>(INDEX(Option5!J$106:J$117, MATCH($D78, Option5!$G$106:$G$117,0)))*conv_2026*J$7</f>
        <v>0</v>
      </c>
      <c r="K78" s="28">
        <f>(INDEX(Option5!K$106:K$117, MATCH($D78, Option5!$G$106:$G$117,0)))*conv_2026*K$7</f>
        <v>0</v>
      </c>
      <c r="L78" s="28">
        <f>(INDEX(Option5!L$106:L$117, MATCH($D78, Option5!$G$106:$G$117,0)))*conv_2026*L$7</f>
        <v>0</v>
      </c>
      <c r="M78" s="28">
        <f>(INDEX(Option5!M$106:M$117, MATCH($D78, Option5!$G$106:$G$117,0)))*conv_2026*M$7</f>
        <v>0</v>
      </c>
      <c r="N78" s="28">
        <f>(INDEX(Option5!N$106:N$117, MATCH($D78, Option5!$G$106:$G$117,0)))*conv_2026*N$7</f>
        <v>0</v>
      </c>
      <c r="O78" s="28">
        <f>(INDEX(Option5!O$106:O$117, MATCH($D78, Option5!$G$106:$G$117,0)))*conv_2026*O$7</f>
        <v>0</v>
      </c>
      <c r="P78" s="28">
        <f>(INDEX(Option5!P$106:P$117, MATCH($D78, Option5!$G$106:$G$117,0)))*conv_2026*P$7</f>
        <v>0</v>
      </c>
      <c r="Q78" s="28">
        <f>(INDEX(Option5!Q$106:Q$117, MATCH($D78, Option5!$G$106:$G$117,0)))*conv_2026*Q$7</f>
        <v>0</v>
      </c>
      <c r="R78" s="28">
        <f>(INDEX(Option5!R$106:R$117, MATCH($D78, Option5!$G$106:$G$117,0)))*conv_2026*R$7</f>
        <v>0</v>
      </c>
      <c r="S78" s="28">
        <f>(INDEX(Option5!S$106:S$117, MATCH($D78, Option5!$G$106:$G$117,0)))*conv_2026*S$7</f>
        <v>0</v>
      </c>
      <c r="T78" s="28">
        <f>(INDEX(Option5!T$106:T$117, MATCH($D78, Option5!$G$106:$G$117,0)))*conv_2026*T$7</f>
        <v>0</v>
      </c>
      <c r="U78" s="28">
        <f>(INDEX(Option5!U$106:U$117, MATCH($D78, Option5!$G$106:$G$117,0)))*conv_2026*U$7</f>
        <v>0</v>
      </c>
      <c r="V78" s="28">
        <f>(INDEX(Option5!V$106:V$117, MATCH($D78, Option5!$G$106:$G$117,0)))*conv_2026*V$7</f>
        <v>0</v>
      </c>
      <c r="W78" s="28">
        <f>(INDEX(Option5!W$106:W$117, MATCH($D78, Option5!$G$106:$G$117,0)))*conv_2026*W$7</f>
        <v>0</v>
      </c>
      <c r="X78" s="28">
        <f>(INDEX(Option5!X$106:X$117, MATCH($D78, Option5!$G$106:$G$117,0)))*conv_2026*X$7</f>
        <v>0</v>
      </c>
      <c r="Y78" s="28">
        <f>(INDEX(Option5!Y$106:Y$117, MATCH($D78, Option5!$G$106:$G$117,0)))*conv_2026*Y$7</f>
        <v>0</v>
      </c>
      <c r="Z78" s="28">
        <f>(INDEX(Option5!Z$106:Z$117, MATCH($D78, Option5!$G$106:$G$117,0)))*conv_2026*Z$7</f>
        <v>0</v>
      </c>
      <c r="AA78" s="28">
        <f>(INDEX(Option5!AA$106:AA$117, MATCH($D78, Option5!$G$106:$G$117,0)))*conv_2026*AA$7</f>
        <v>0</v>
      </c>
      <c r="AB78" s="28">
        <f>(INDEX(Option5!AB$106:AB$117, MATCH($D78, Option5!$G$106:$G$117,0)))*conv_2026*AB$7</f>
        <v>0</v>
      </c>
      <c r="AC78" s="28">
        <f>(INDEX(Option5!AC$106:AC$117, MATCH($D78, Option5!$G$106:$G$117,0)))*conv_2026*AC$7</f>
        <v>0</v>
      </c>
      <c r="AD78" s="28">
        <f>(INDEX(Option5!AD$106:AD$117, MATCH($D78, Option5!$G$106:$G$117,0)))*conv_2026*AD$7</f>
        <v>0</v>
      </c>
      <c r="AE78" s="28">
        <f>(INDEX(Option5!AE$106:AE$117, MATCH($D78, Option5!$G$106:$G$117,0)))*conv_2026*AE$7</f>
        <v>0</v>
      </c>
      <c r="AF78" s="28">
        <f>(INDEX(Option5!AF$106:AF$117, MATCH($D78, Option5!$G$106:$G$117,0)))*conv_2026*AF$7</f>
        <v>0</v>
      </c>
      <c r="AG78" s="28">
        <f>(INDEX(Option5!AG$106:AG$117, MATCH($D78, Option5!$G$106:$G$117,0)))*conv_2026*AG$7</f>
        <v>0</v>
      </c>
    </row>
    <row r="79" spans="1:35" s="6" customFormat="1" x14ac:dyDescent="0.2">
      <c r="A79" s="225" t="s">
        <v>151</v>
      </c>
      <c r="B79" s="225" t="str">
        <f>Option5!A117</f>
        <v>sens</v>
      </c>
      <c r="C79" s="225">
        <f>Option5!C117</f>
        <v>0</v>
      </c>
      <c r="D79" s="225" t="str">
        <f t="shared" si="9"/>
        <v>Option 5sens</v>
      </c>
      <c r="E79" s="217"/>
      <c r="F79" s="28">
        <f t="shared" si="8"/>
        <v>0</v>
      </c>
      <c r="H79" s="28">
        <f>(INDEX(Option5!H$106:H$117, MATCH($D79, Option5!$G$106:$G$117,0)))*conv_2026*H$7</f>
        <v>0</v>
      </c>
      <c r="I79" s="28">
        <f>(INDEX(Option5!I$106:I$117, MATCH($D79, Option5!$G$106:$G$117,0)))*conv_2026*I$7</f>
        <v>0</v>
      </c>
      <c r="J79" s="28">
        <f>(INDEX(Option5!J$106:J$117, MATCH($D79, Option5!$G$106:$G$117,0)))*conv_2026*J$7</f>
        <v>0</v>
      </c>
      <c r="K79" s="28">
        <f>(INDEX(Option5!K$106:K$117, MATCH($D79, Option5!$G$106:$G$117,0)))*conv_2026*K$7</f>
        <v>0</v>
      </c>
      <c r="L79" s="28">
        <f>(INDEX(Option5!L$106:L$117, MATCH($D79, Option5!$G$106:$G$117,0)))*conv_2026*L$7</f>
        <v>0</v>
      </c>
      <c r="M79" s="28">
        <f>(INDEX(Option5!M$106:M$117, MATCH($D79, Option5!$G$106:$G$117,0)))*conv_2026*M$7</f>
        <v>0</v>
      </c>
      <c r="N79" s="28">
        <f>(INDEX(Option5!N$106:N$117, MATCH($D79, Option5!$G$106:$G$117,0)))*conv_2026*N$7</f>
        <v>0</v>
      </c>
      <c r="O79" s="28">
        <f>(INDEX(Option5!O$106:O$117, MATCH($D79, Option5!$G$106:$G$117,0)))*conv_2026*O$7</f>
        <v>0</v>
      </c>
      <c r="P79" s="28">
        <f>(INDEX(Option5!P$106:P$117, MATCH($D79, Option5!$G$106:$G$117,0)))*conv_2026*P$7</f>
        <v>0</v>
      </c>
      <c r="Q79" s="28">
        <f>(INDEX(Option5!Q$106:Q$117, MATCH($D79, Option5!$G$106:$G$117,0)))*conv_2026*Q$7</f>
        <v>0</v>
      </c>
      <c r="R79" s="28">
        <f>(INDEX(Option5!R$106:R$117, MATCH($D79, Option5!$G$106:$G$117,0)))*conv_2026*R$7</f>
        <v>0</v>
      </c>
      <c r="S79" s="28">
        <f>(INDEX(Option5!S$106:S$117, MATCH($D79, Option5!$G$106:$G$117,0)))*conv_2026*S$7</f>
        <v>0</v>
      </c>
      <c r="T79" s="28">
        <f>(INDEX(Option5!T$106:T$117, MATCH($D79, Option5!$G$106:$G$117,0)))*conv_2026*T$7</f>
        <v>0</v>
      </c>
      <c r="U79" s="28">
        <f>(INDEX(Option5!U$106:U$117, MATCH($D79, Option5!$G$106:$G$117,0)))*conv_2026*U$7</f>
        <v>0</v>
      </c>
      <c r="V79" s="28">
        <f>(INDEX(Option5!V$106:V$117, MATCH($D79, Option5!$G$106:$G$117,0)))*conv_2026*V$7</f>
        <v>0</v>
      </c>
      <c r="W79" s="28">
        <f>(INDEX(Option5!W$106:W$117, MATCH($D79, Option5!$G$106:$G$117,0)))*conv_2026*W$7</f>
        <v>0</v>
      </c>
      <c r="X79" s="28">
        <f>(INDEX(Option5!X$106:X$117, MATCH($D79, Option5!$G$106:$G$117,0)))*conv_2026*X$7</f>
        <v>0</v>
      </c>
      <c r="Y79" s="28">
        <f>(INDEX(Option5!Y$106:Y$117, MATCH($D79, Option5!$G$106:$G$117,0)))*conv_2026*Y$7</f>
        <v>0</v>
      </c>
      <c r="Z79" s="28">
        <f>(INDEX(Option5!Z$106:Z$117, MATCH($D79, Option5!$G$106:$G$117,0)))*conv_2026*Z$7</f>
        <v>0</v>
      </c>
      <c r="AA79" s="28">
        <f>(INDEX(Option5!AA$106:AA$117, MATCH($D79, Option5!$G$106:$G$117,0)))*conv_2026*AA$7</f>
        <v>0</v>
      </c>
      <c r="AB79" s="28">
        <f>(INDEX(Option5!AB$106:AB$117, MATCH($D79, Option5!$G$106:$G$117,0)))*conv_2026*AB$7</f>
        <v>0</v>
      </c>
      <c r="AC79" s="28">
        <f>(INDEX(Option5!AC$106:AC$117, MATCH($D79, Option5!$G$106:$G$117,0)))*conv_2026*AC$7</f>
        <v>0</v>
      </c>
      <c r="AD79" s="28">
        <f>(INDEX(Option5!AD$106:AD$117, MATCH($D79, Option5!$G$106:$G$117,0)))*conv_2026*AD$7</f>
        <v>0</v>
      </c>
      <c r="AE79" s="28">
        <f>(INDEX(Option5!AE$106:AE$117, MATCH($D79, Option5!$G$106:$G$117,0)))*conv_2026*AE$7</f>
        <v>0</v>
      </c>
      <c r="AF79" s="28">
        <f>(INDEX(Option5!AF$106:AF$117, MATCH($D79, Option5!$G$106:$G$117,0)))*conv_2026*AF$7</f>
        <v>0</v>
      </c>
      <c r="AG79" s="28">
        <f>(INDEX(Option5!AG$106:AG$117, MATCH($D79, Option5!$G$106:$G$117,0)))*conv_2026*AG$7</f>
        <v>0</v>
      </c>
    </row>
    <row r="80" spans="1:35" s="6" customFormat="1" x14ac:dyDescent="0.2">
      <c r="F80" s="222"/>
    </row>
    <row r="81" spans="1:34" s="6" customFormat="1" x14ac:dyDescent="0.2">
      <c r="F81" s="222"/>
    </row>
    <row r="82" spans="1:34" s="6" customFormat="1" x14ac:dyDescent="0.2">
      <c r="F82" s="222"/>
    </row>
    <row r="83" spans="1:34" s="6" customFormat="1" x14ac:dyDescent="0.2">
      <c r="F83" s="222"/>
    </row>
    <row r="84" spans="1:34" s="6" customFormat="1" ht="15" x14ac:dyDescent="0.25">
      <c r="A84" s="178" t="s">
        <v>9</v>
      </c>
      <c r="B84" s="48"/>
      <c r="C84" s="17"/>
      <c r="D84" s="17"/>
      <c r="E84" s="73"/>
      <c r="F84" s="17"/>
      <c r="G84" s="198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  <c r="AA84" s="177"/>
      <c r="AB84" s="177"/>
      <c r="AC84" s="177"/>
      <c r="AD84" s="177"/>
      <c r="AE84" s="177"/>
      <c r="AF84" s="177"/>
      <c r="AG84" s="8"/>
      <c r="AH84" s="8"/>
    </row>
    <row r="85" spans="1:34" s="6" customFormat="1" x14ac:dyDescent="0.2">
      <c r="F85" s="222"/>
    </row>
    <row r="86" spans="1:34" s="6" customFormat="1" x14ac:dyDescent="0.2">
      <c r="F86" s="222"/>
    </row>
    <row r="87" spans="1:34" s="6" customFormat="1" x14ac:dyDescent="0.2">
      <c r="E87" s="222"/>
    </row>
    <row r="88" spans="1:34" s="6" customFormat="1" x14ac:dyDescent="0.2">
      <c r="C88" s="236" t="b" cm="1">
        <f t="array" ref="C88:G88">TRANSPOSE(Data!F9:F13)</f>
        <v>0</v>
      </c>
      <c r="D88" s="236" t="b">
        <v>0</v>
      </c>
      <c r="E88" s="237" t="b">
        <v>0</v>
      </c>
      <c r="F88" s="236" t="b">
        <v>0</v>
      </c>
      <c r="G88" s="236" t="b">
        <v>1</v>
      </c>
      <c r="K88" s="6" t="b">
        <f>AND(_xlfn.ANCHORARRAY(C88))</f>
        <v>0</v>
      </c>
    </row>
    <row r="89" spans="1:34" s="6" customFormat="1" x14ac:dyDescent="0.2">
      <c r="A89" s="53"/>
      <c r="B89" s="53"/>
      <c r="C89" s="238" t="str" cm="1">
        <f t="array" ref="C89:G89">TRANSPOSE(options)</f>
        <v>Option 1 (base case)</v>
      </c>
      <c r="D89" s="238" t="str">
        <v>Option 2</v>
      </c>
      <c r="E89" s="238" t="str">
        <v>Option 3</v>
      </c>
      <c r="F89" s="238" t="str">
        <v>Option 4</v>
      </c>
      <c r="G89" s="238" t="str">
        <v>Option 5</v>
      </c>
      <c r="I89" s="238" t="s">
        <v>152</v>
      </c>
      <c r="K89" s="53" t="s">
        <v>153</v>
      </c>
    </row>
    <row r="90" spans="1:34" s="6" customFormat="1" x14ac:dyDescent="0.2">
      <c r="A90" s="228" t="s">
        <v>7</v>
      </c>
      <c r="B90" s="228" t="s">
        <v>154</v>
      </c>
      <c r="C90" s="92">
        <f t="shared" ref="C90:G98" si="10">IF(OR($B90=0,C$88),"", INDEX($F$14:$F$81, MATCH(C$89&amp;$A90,$D$14:$D$81,0))/10^6)</f>
        <v>0</v>
      </c>
      <c r="D90" s="92">
        <f t="shared" si="10"/>
        <v>4.9857004614876601</v>
      </c>
      <c r="E90" s="92">
        <f t="shared" si="10"/>
        <v>-110.58752214718552</v>
      </c>
      <c r="F90" s="92">
        <f t="shared" si="10"/>
        <v>3.5103060258237386</v>
      </c>
      <c r="G90" s="92" t="str">
        <f t="shared" si="10"/>
        <v/>
      </c>
      <c r="H90" s="164"/>
      <c r="I90" s="92">
        <f t="shared" ref="I90:I98" si="11">_xlfn.MAXIFS(C90:G90,_xlfn.ANCHORARRAY( C$88),FALSE)</f>
        <v>4.9857004614876601</v>
      </c>
      <c r="K90" s="6" t="str">
        <f t="shared" ref="K90:K98" si="12">IF(OR(B90=0,$K$88),"", INDEX(_xlfn.ANCHORARRAY($C$89), MATCH(I90, $C90:$G90,0)))</f>
        <v>Option 2</v>
      </c>
    </row>
    <row r="91" spans="1:34" s="6" customFormat="1" x14ac:dyDescent="0.2">
      <c r="A91" s="228" t="str">
        <f>"sens"&amp;Assumptions!B100</f>
        <v>sens1</v>
      </c>
      <c r="B91" s="228" t="str">
        <f>Assumptions!C100</f>
        <v>Capex 10% higher</v>
      </c>
      <c r="C91" s="92">
        <f t="shared" si="10"/>
        <v>0</v>
      </c>
      <c r="D91" s="92">
        <f t="shared" si="10"/>
        <v>3.8234185142231509</v>
      </c>
      <c r="E91" s="92">
        <f t="shared" si="10"/>
        <v>-125.41889694836264</v>
      </c>
      <c r="F91" s="92">
        <f t="shared" si="10"/>
        <v>2.092874041501656</v>
      </c>
      <c r="G91" s="92" t="str">
        <f t="shared" si="10"/>
        <v/>
      </c>
      <c r="H91" s="164"/>
      <c r="I91" s="92">
        <f t="shared" si="11"/>
        <v>3.8234185142231509</v>
      </c>
      <c r="K91" s="6" t="str">
        <f t="shared" si="12"/>
        <v>Option 2</v>
      </c>
    </row>
    <row r="92" spans="1:34" s="6" customFormat="1" x14ac:dyDescent="0.2">
      <c r="A92" s="228" t="str">
        <f>"sens"&amp;Assumptions!B101</f>
        <v>sens2</v>
      </c>
      <c r="B92" s="228" t="str">
        <f>Assumptions!C101</f>
        <v>Capex 10% lower</v>
      </c>
      <c r="C92" s="92">
        <f t="shared" si="10"/>
        <v>0</v>
      </c>
      <c r="D92" s="92">
        <f t="shared" si="10"/>
        <v>6.1479824087521706</v>
      </c>
      <c r="E92" s="92">
        <f t="shared" si="10"/>
        <v>-95.756147346008404</v>
      </c>
      <c r="F92" s="92">
        <f t="shared" si="10"/>
        <v>4.9277380101458226</v>
      </c>
      <c r="G92" s="92" t="str">
        <f t="shared" si="10"/>
        <v/>
      </c>
      <c r="H92" s="164"/>
      <c r="I92" s="92">
        <f t="shared" si="11"/>
        <v>6.1479824087521706</v>
      </c>
      <c r="K92" s="6" t="str">
        <f t="shared" si="12"/>
        <v>Option 2</v>
      </c>
    </row>
    <row r="93" spans="1:34" s="6" customFormat="1" x14ac:dyDescent="0.2">
      <c r="A93" s="228" t="str">
        <f>"sens"&amp;Assumptions!B102</f>
        <v>sens3</v>
      </c>
      <c r="B93" s="228" t="str">
        <f>Assumptions!C102</f>
        <v>Total benefits 10% higher</v>
      </c>
      <c r="C93" s="92">
        <f t="shared" si="10"/>
        <v>0</v>
      </c>
      <c r="D93" s="92">
        <f t="shared" si="10"/>
        <v>6.6465524549009363</v>
      </c>
      <c r="E93" s="92">
        <f t="shared" si="10"/>
        <v>-106.81489956072693</v>
      </c>
      <c r="F93" s="92">
        <f t="shared" si="10"/>
        <v>5.2787686127281965</v>
      </c>
      <c r="G93" s="92" t="str">
        <f t="shared" si="10"/>
        <v/>
      </c>
      <c r="H93" s="164"/>
      <c r="I93" s="92">
        <f t="shared" si="11"/>
        <v>6.6465524549009363</v>
      </c>
      <c r="K93" s="6" t="str">
        <f t="shared" si="12"/>
        <v>Option 2</v>
      </c>
    </row>
    <row r="94" spans="1:34" s="6" customFormat="1" x14ac:dyDescent="0.2">
      <c r="A94" s="228" t="str">
        <f>"sens"&amp;Assumptions!B103</f>
        <v>sens4</v>
      </c>
      <c r="B94" s="228" t="str">
        <f>Assumptions!C103</f>
        <v>Total benefits 10% lower</v>
      </c>
      <c r="C94" s="92">
        <f t="shared" si="10"/>
        <v>0</v>
      </c>
      <c r="D94" s="92">
        <f t="shared" si="10"/>
        <v>3.3248484680743853</v>
      </c>
      <c r="E94" s="92">
        <f t="shared" si="10"/>
        <v>-114.36014473364406</v>
      </c>
      <c r="F94" s="92">
        <f t="shared" si="10"/>
        <v>1.7418434389192818</v>
      </c>
      <c r="G94" s="92" t="str">
        <f t="shared" si="10"/>
        <v/>
      </c>
      <c r="H94" s="164"/>
      <c r="I94" s="92">
        <f t="shared" si="11"/>
        <v>3.3248484680743853</v>
      </c>
      <c r="K94" s="6" t="str">
        <f t="shared" si="12"/>
        <v>Option 2</v>
      </c>
    </row>
    <row r="95" spans="1:34" s="6" customFormat="1" x14ac:dyDescent="0.2">
      <c r="A95" s="228" t="str">
        <f>"sens"&amp;Assumptions!B104</f>
        <v>sens5</v>
      </c>
      <c r="B95" s="228" t="str">
        <f>Assumptions!C104</f>
        <v>Capex 10% higher &amp; Total benefits 10% lower</v>
      </c>
      <c r="C95" s="92">
        <f t="shared" si="10"/>
        <v>0</v>
      </c>
      <c r="D95" s="92">
        <f t="shared" si="10"/>
        <v>2.1625665208098757</v>
      </c>
      <c r="E95" s="92">
        <f t="shared" si="10"/>
        <v>-129.1915195348212</v>
      </c>
      <c r="F95" s="92">
        <f t="shared" si="10"/>
        <v>0.32441145459719878</v>
      </c>
      <c r="G95" s="92" t="str">
        <f t="shared" si="10"/>
        <v/>
      </c>
      <c r="H95" s="164"/>
      <c r="I95" s="92">
        <f t="shared" si="11"/>
        <v>2.1625665208098757</v>
      </c>
      <c r="K95" s="6" t="str">
        <f t="shared" si="12"/>
        <v>Option 2</v>
      </c>
    </row>
    <row r="96" spans="1:34" s="6" customFormat="1" x14ac:dyDescent="0.2">
      <c r="A96" s="228" t="str">
        <f>"sens"&amp;Assumptions!B105</f>
        <v>sens</v>
      </c>
      <c r="B96" s="228">
        <f>Assumptions!C105</f>
        <v>0</v>
      </c>
      <c r="C96" s="92" t="str">
        <f t="shared" si="10"/>
        <v/>
      </c>
      <c r="D96" s="92" t="str">
        <f t="shared" si="10"/>
        <v/>
      </c>
      <c r="E96" s="92" t="str">
        <f t="shared" si="10"/>
        <v/>
      </c>
      <c r="F96" s="92" t="str">
        <f t="shared" si="10"/>
        <v/>
      </c>
      <c r="G96" s="92" t="str">
        <f t="shared" si="10"/>
        <v/>
      </c>
      <c r="H96" s="164"/>
      <c r="I96" s="92">
        <f t="shared" si="11"/>
        <v>0</v>
      </c>
      <c r="K96" s="6" t="str">
        <f t="shared" si="12"/>
        <v/>
      </c>
    </row>
    <row r="97" spans="1:11" x14ac:dyDescent="0.2">
      <c r="A97" s="228" t="str">
        <f>"sens"&amp;Assumptions!B106</f>
        <v>sens</v>
      </c>
      <c r="B97" s="228">
        <f>Assumptions!C106</f>
        <v>0</v>
      </c>
      <c r="C97" s="92" t="str">
        <f t="shared" si="10"/>
        <v/>
      </c>
      <c r="D97" s="92" t="str">
        <f t="shared" si="10"/>
        <v/>
      </c>
      <c r="E97" s="92" t="str">
        <f t="shared" si="10"/>
        <v/>
      </c>
      <c r="F97" s="92" t="str">
        <f t="shared" si="10"/>
        <v/>
      </c>
      <c r="G97" s="92" t="str">
        <f t="shared" si="10"/>
        <v/>
      </c>
      <c r="H97" s="241"/>
      <c r="I97" s="92">
        <f t="shared" si="11"/>
        <v>0</v>
      </c>
      <c r="K97" s="6" t="str">
        <f t="shared" si="12"/>
        <v/>
      </c>
    </row>
    <row r="98" spans="1:11" x14ac:dyDescent="0.2">
      <c r="A98" s="228" t="str">
        <f>"sens"&amp;Assumptions!B107</f>
        <v>sens</v>
      </c>
      <c r="B98" s="228">
        <f>Assumptions!C107</f>
        <v>0</v>
      </c>
      <c r="C98" s="92" t="str">
        <f t="shared" si="10"/>
        <v/>
      </c>
      <c r="D98" s="92" t="str">
        <f t="shared" si="10"/>
        <v/>
      </c>
      <c r="E98" s="92" t="str">
        <f t="shared" si="10"/>
        <v/>
      </c>
      <c r="F98" s="92" t="str">
        <f t="shared" si="10"/>
        <v/>
      </c>
      <c r="G98" s="92" t="str">
        <f t="shared" si="10"/>
        <v/>
      </c>
      <c r="H98" s="241"/>
      <c r="I98" s="92">
        <f t="shared" si="11"/>
        <v>0</v>
      </c>
      <c r="K98" s="6" t="str">
        <f t="shared" si="12"/>
        <v/>
      </c>
    </row>
    <row r="99" spans="1:11" x14ac:dyDescent="0.2">
      <c r="C99" s="28"/>
      <c r="E99"/>
      <c r="F99" s="8"/>
    </row>
    <row r="100" spans="1:11" x14ac:dyDescent="0.2">
      <c r="E100"/>
      <c r="F100" s="8"/>
    </row>
    <row r="101" spans="1:11" x14ac:dyDescent="0.2">
      <c r="E101"/>
      <c r="F101" s="8"/>
    </row>
    <row r="102" spans="1:11" x14ac:dyDescent="0.2">
      <c r="E102"/>
      <c r="F102" s="8"/>
    </row>
    <row r="103" spans="1:11" x14ac:dyDescent="0.2">
      <c r="E103"/>
      <c r="F103" s="8"/>
    </row>
    <row r="104" spans="1:11" x14ac:dyDescent="0.2">
      <c r="E104"/>
      <c r="F104" s="8"/>
    </row>
    <row r="105" spans="1:11" x14ac:dyDescent="0.2">
      <c r="E105"/>
      <c r="F105" s="8"/>
    </row>
    <row r="106" spans="1:11" x14ac:dyDescent="0.2"/>
    <row r="107" spans="1:11" x14ac:dyDescent="0.2"/>
    <row r="108" spans="1:11" x14ac:dyDescent="0.2"/>
    <row r="109" spans="1:11" x14ac:dyDescent="0.2"/>
    <row r="110" spans="1:11" x14ac:dyDescent="0.2"/>
    <row r="111" spans="1:11" x14ac:dyDescent="0.2"/>
    <row r="112" spans="1:11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</sheetData>
  <pageMargins left="0.25" right="0.25" top="0.75" bottom="0.75" header="0.3" footer="0.3"/>
  <pageSetup paperSize="9" scale="3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BF338-C1D7-4414-9B06-D68F59E93378}">
  <sheetPr codeName="Sheet10">
    <tabColor rgb="FFFFFF00"/>
  </sheetPr>
  <dimension ref="A1:AD71"/>
  <sheetViews>
    <sheetView showGridLines="0" zoomScale="85" zoomScaleNormal="85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F7" sqref="F7"/>
    </sheetView>
  </sheetViews>
  <sheetFormatPr defaultColWidth="8" defaultRowHeight="12.75" x14ac:dyDescent="0.2"/>
  <cols>
    <col min="1" max="1" width="2.625" style="1" customWidth="1"/>
    <col min="2" max="2" width="16.125" style="1" customWidth="1"/>
    <col min="3" max="3" width="8" style="1" customWidth="1"/>
    <col min="4" max="4" width="34.5" style="1" customWidth="1"/>
    <col min="5" max="5" width="12.25" style="1" customWidth="1"/>
    <col min="6" max="6" width="14.375" style="1" customWidth="1"/>
    <col min="7" max="7" width="11.125" style="1" customWidth="1"/>
    <col min="8" max="18" width="11.75" style="1" customWidth="1"/>
    <col min="19" max="23" width="14.25" style="1" customWidth="1"/>
    <col min="24" max="24" width="14.5" style="1" customWidth="1"/>
    <col min="25" max="26" width="12.25" style="1" customWidth="1"/>
    <col min="27" max="27" width="10.125" style="1" customWidth="1"/>
    <col min="28" max="29" width="11.375" style="1" customWidth="1"/>
    <col min="30" max="30" width="10.75" style="1" customWidth="1"/>
  </cols>
  <sheetData>
    <row r="1" spans="1:30" ht="18.75" x14ac:dyDescent="0.3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</row>
    <row r="2" spans="1:30" ht="18.75" x14ac:dyDescent="0.3">
      <c r="A2" s="50" t="str">
        <f>proj</f>
        <v>Horsham REFCL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</row>
    <row r="3" spans="1:30" ht="18.75" x14ac:dyDescent="0.3">
      <c r="A3" s="5" t="s">
        <v>174</v>
      </c>
      <c r="B3" s="280"/>
      <c r="C3" s="5"/>
      <c r="D3" s="5"/>
      <c r="E3" s="5"/>
    </row>
    <row r="5" spans="1:30" ht="15" x14ac:dyDescent="0.2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  <c r="AD5" s="282"/>
    </row>
    <row r="7" spans="1:30" x14ac:dyDescent="0.2">
      <c r="B7" s="10" t="s">
        <v>175</v>
      </c>
      <c r="F7" s="308">
        <f>Misc_calcs!$M$15/Misc_calcs!$J$15</f>
        <v>1.0747480374538936</v>
      </c>
    </row>
    <row r="8" spans="1:30" x14ac:dyDescent="0.2">
      <c r="B8" s="10"/>
    </row>
    <row r="9" spans="1:30" x14ac:dyDescent="0.2">
      <c r="B9" s="10" t="s">
        <v>187</v>
      </c>
      <c r="F9" s="320">
        <v>0.98</v>
      </c>
      <c r="H9" s="206" t="s">
        <v>188</v>
      </c>
    </row>
    <row r="10" spans="1:30" x14ac:dyDescent="0.2">
      <c r="B10" s="10" t="s">
        <v>334</v>
      </c>
      <c r="F10" s="320">
        <v>0.32</v>
      </c>
      <c r="H10" s="206" t="s">
        <v>332</v>
      </c>
    </row>
    <row r="12" spans="1:30" x14ac:dyDescent="0.2">
      <c r="A12" s="288"/>
      <c r="B12" s="289" t="s">
        <v>156</v>
      </c>
      <c r="C12" s="288"/>
      <c r="D12" s="290"/>
      <c r="E12" s="290"/>
      <c r="F12" s="288"/>
      <c r="G12" s="288"/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288"/>
      <c r="V12" s="288"/>
      <c r="W12" s="288"/>
      <c r="X12" s="288"/>
      <c r="Y12" s="288"/>
      <c r="Z12" s="288"/>
      <c r="AA12" s="288"/>
      <c r="AB12" s="288"/>
      <c r="AC12" s="288"/>
      <c r="AD12" s="288"/>
    </row>
    <row r="14" spans="1:30" x14ac:dyDescent="0.2">
      <c r="B14" s="24" t="s">
        <v>105</v>
      </c>
    </row>
    <row r="15" spans="1:30" x14ac:dyDescent="0.2">
      <c r="B15" s="10" t="s">
        <v>176</v>
      </c>
      <c r="E15" s="183">
        <v>44742</v>
      </c>
      <c r="F15" s="321">
        <v>2001968</v>
      </c>
      <c r="H15" s="206" t="s">
        <v>177</v>
      </c>
    </row>
    <row r="16" spans="1:30" x14ac:dyDescent="0.2">
      <c r="B16" s="10" t="s">
        <v>176</v>
      </c>
      <c r="E16" s="183">
        <f>input_dollars</f>
        <v>45291</v>
      </c>
      <c r="F16" s="100">
        <f>F15*$F$7</f>
        <v>2151611.1790454965</v>
      </c>
    </row>
    <row r="17" spans="1:30" x14ac:dyDescent="0.2">
      <c r="B17" s="10"/>
      <c r="F17" s="306"/>
    </row>
    <row r="18" spans="1:30" x14ac:dyDescent="0.2">
      <c r="B18" s="24" t="s">
        <v>178</v>
      </c>
    </row>
    <row r="19" spans="1:30" x14ac:dyDescent="0.2">
      <c r="B19" s="10" t="s">
        <v>282</v>
      </c>
      <c r="E19" s="183" t="s">
        <v>169</v>
      </c>
      <c r="F19" s="322">
        <v>34849</v>
      </c>
      <c r="H19" s="206"/>
    </row>
    <row r="20" spans="1:30" x14ac:dyDescent="0.2">
      <c r="B20" s="317" t="s">
        <v>341</v>
      </c>
      <c r="F20" s="323">
        <v>1.2</v>
      </c>
      <c r="H20" s="206" t="s">
        <v>342</v>
      </c>
    </row>
    <row r="21" spans="1:30" x14ac:dyDescent="0.2">
      <c r="B21" s="10" t="s">
        <v>60</v>
      </c>
      <c r="E21" s="183">
        <f>input_dollars</f>
        <v>45291</v>
      </c>
      <c r="F21" s="100">
        <f>Assumptions!$G$70</f>
        <v>5607473.5197347086</v>
      </c>
    </row>
    <row r="22" spans="1:30" x14ac:dyDescent="0.2">
      <c r="B22" s="10" t="s">
        <v>179</v>
      </c>
      <c r="F22" s="308">
        <f>Assumptions!G59</f>
        <v>3</v>
      </c>
    </row>
    <row r="23" spans="1:30" x14ac:dyDescent="0.2">
      <c r="B23" s="10" t="s">
        <v>180</v>
      </c>
      <c r="E23" s="307" t="s">
        <v>181</v>
      </c>
      <c r="F23" s="100">
        <f>F22*F21*F20/F19</f>
        <v>579.26783181855865</v>
      </c>
    </row>
    <row r="24" spans="1:30" x14ac:dyDescent="0.2">
      <c r="B24" s="10" t="s">
        <v>283</v>
      </c>
      <c r="E24" s="183" t="s">
        <v>169</v>
      </c>
      <c r="F24" s="309">
        <f>Workings_costs!E29</f>
        <v>1390</v>
      </c>
      <c r="H24" s="296"/>
    </row>
    <row r="25" spans="1:30" x14ac:dyDescent="0.2">
      <c r="B25" s="10" t="s">
        <v>340</v>
      </c>
      <c r="E25" s="183">
        <f>input_dollars</f>
        <v>45291</v>
      </c>
      <c r="F25" s="100">
        <f>F23*F24</f>
        <v>805182.28622779658</v>
      </c>
    </row>
    <row r="26" spans="1:30" x14ac:dyDescent="0.2">
      <c r="B26" s="10"/>
    </row>
    <row r="27" spans="1:30" x14ac:dyDescent="0.2">
      <c r="B27" s="10"/>
      <c r="F27" s="293" t="s">
        <v>37</v>
      </c>
      <c r="G27" s="293" t="str">
        <f t="shared" ref="G27:AD27" si="0">LEFT(F27,4)+1&amp;"-"&amp;RIGHT(F27,2)+1</f>
        <v>2027-28</v>
      </c>
      <c r="H27" s="293" t="str">
        <f t="shared" si="0"/>
        <v>2028-29</v>
      </c>
      <c r="I27" s="293" t="str">
        <f t="shared" si="0"/>
        <v>2029-30</v>
      </c>
      <c r="J27" s="293" t="str">
        <f t="shared" si="0"/>
        <v>2030-31</v>
      </c>
      <c r="K27" s="293" t="str">
        <f t="shared" si="0"/>
        <v>2031-32</v>
      </c>
      <c r="L27" s="293" t="str">
        <f t="shared" si="0"/>
        <v>2032-33</v>
      </c>
      <c r="M27" s="293" t="str">
        <f t="shared" si="0"/>
        <v>2033-34</v>
      </c>
      <c r="N27" s="293" t="str">
        <f t="shared" si="0"/>
        <v>2034-35</v>
      </c>
      <c r="O27" s="293" t="str">
        <f t="shared" si="0"/>
        <v>2035-36</v>
      </c>
      <c r="P27" s="293" t="str">
        <f t="shared" si="0"/>
        <v>2036-37</v>
      </c>
      <c r="Q27" s="293" t="str">
        <f t="shared" si="0"/>
        <v>2037-38</v>
      </c>
      <c r="R27" s="293" t="str">
        <f t="shared" si="0"/>
        <v>2038-39</v>
      </c>
      <c r="S27" s="293" t="str">
        <f t="shared" si="0"/>
        <v>2039-40</v>
      </c>
      <c r="T27" s="293" t="str">
        <f t="shared" si="0"/>
        <v>2040-41</v>
      </c>
      <c r="U27" s="293" t="str">
        <f t="shared" si="0"/>
        <v>2041-42</v>
      </c>
      <c r="V27" s="293" t="str">
        <f t="shared" si="0"/>
        <v>2042-43</v>
      </c>
      <c r="W27" s="293" t="str">
        <f t="shared" si="0"/>
        <v>2043-44</v>
      </c>
      <c r="X27" s="293" t="str">
        <f t="shared" si="0"/>
        <v>2044-45</v>
      </c>
      <c r="Y27" s="293" t="str">
        <f t="shared" si="0"/>
        <v>2045-46</v>
      </c>
      <c r="Z27" s="293" t="str">
        <f t="shared" si="0"/>
        <v>2046-47</v>
      </c>
      <c r="AA27" s="293" t="str">
        <f t="shared" si="0"/>
        <v>2047-48</v>
      </c>
      <c r="AB27" s="293" t="str">
        <f t="shared" si="0"/>
        <v>2048-49</v>
      </c>
      <c r="AC27" s="293" t="str">
        <f t="shared" si="0"/>
        <v>2049-50</v>
      </c>
      <c r="AD27" s="293" t="str">
        <f t="shared" si="0"/>
        <v>2050-51</v>
      </c>
    </row>
    <row r="28" spans="1:30" x14ac:dyDescent="0.2">
      <c r="B28" s="10" t="s">
        <v>105</v>
      </c>
      <c r="E28" s="183">
        <f>input_dollars</f>
        <v>45291</v>
      </c>
      <c r="F28" s="310">
        <f>$F$16</f>
        <v>2151611.1790454965</v>
      </c>
      <c r="G28" s="310">
        <f t="shared" ref="G28:AD28" si="1">$F$16</f>
        <v>2151611.1790454965</v>
      </c>
      <c r="H28" s="310">
        <f t="shared" si="1"/>
        <v>2151611.1790454965</v>
      </c>
      <c r="I28" s="310">
        <f t="shared" si="1"/>
        <v>2151611.1790454965</v>
      </c>
      <c r="J28" s="310">
        <f t="shared" si="1"/>
        <v>2151611.1790454965</v>
      </c>
      <c r="K28" s="310">
        <f t="shared" si="1"/>
        <v>2151611.1790454965</v>
      </c>
      <c r="L28" s="310">
        <f t="shared" si="1"/>
        <v>2151611.1790454965</v>
      </c>
      <c r="M28" s="310">
        <f t="shared" si="1"/>
        <v>2151611.1790454965</v>
      </c>
      <c r="N28" s="310">
        <f t="shared" si="1"/>
        <v>2151611.1790454965</v>
      </c>
      <c r="O28" s="310">
        <f t="shared" si="1"/>
        <v>2151611.1790454965</v>
      </c>
      <c r="P28" s="310">
        <f t="shared" si="1"/>
        <v>2151611.1790454965</v>
      </c>
      <c r="Q28" s="310">
        <f t="shared" si="1"/>
        <v>2151611.1790454965</v>
      </c>
      <c r="R28" s="310">
        <f t="shared" si="1"/>
        <v>2151611.1790454965</v>
      </c>
      <c r="S28" s="310">
        <f t="shared" si="1"/>
        <v>2151611.1790454965</v>
      </c>
      <c r="T28" s="310">
        <f t="shared" si="1"/>
        <v>2151611.1790454965</v>
      </c>
      <c r="U28" s="310">
        <f t="shared" si="1"/>
        <v>2151611.1790454965</v>
      </c>
      <c r="V28" s="310">
        <f t="shared" si="1"/>
        <v>2151611.1790454965</v>
      </c>
      <c r="W28" s="310">
        <f t="shared" si="1"/>
        <v>2151611.1790454965</v>
      </c>
      <c r="X28" s="310">
        <f t="shared" si="1"/>
        <v>2151611.1790454965</v>
      </c>
      <c r="Y28" s="310">
        <f t="shared" si="1"/>
        <v>2151611.1790454965</v>
      </c>
      <c r="Z28" s="310">
        <f t="shared" si="1"/>
        <v>2151611.1790454965</v>
      </c>
      <c r="AA28" s="310">
        <f t="shared" si="1"/>
        <v>2151611.1790454965</v>
      </c>
      <c r="AB28" s="310">
        <f t="shared" si="1"/>
        <v>2151611.1790454965</v>
      </c>
      <c r="AC28" s="310">
        <f t="shared" si="1"/>
        <v>2151611.1790454965</v>
      </c>
      <c r="AD28" s="310">
        <f t="shared" si="1"/>
        <v>2151611.1790454965</v>
      </c>
    </row>
    <row r="29" spans="1:30" x14ac:dyDescent="0.2">
      <c r="B29" s="10" t="s">
        <v>182</v>
      </c>
      <c r="E29" s="183">
        <f>input_dollars</f>
        <v>45291</v>
      </c>
      <c r="F29" s="310">
        <f>$F$25</f>
        <v>805182.28622779658</v>
      </c>
      <c r="G29" s="310">
        <f t="shared" ref="G29:AD29" si="2">$F$25</f>
        <v>805182.28622779658</v>
      </c>
      <c r="H29" s="310">
        <f t="shared" si="2"/>
        <v>805182.28622779658</v>
      </c>
      <c r="I29" s="310">
        <f t="shared" si="2"/>
        <v>805182.28622779658</v>
      </c>
      <c r="J29" s="310">
        <f t="shared" si="2"/>
        <v>805182.28622779658</v>
      </c>
      <c r="K29" s="310">
        <f t="shared" si="2"/>
        <v>805182.28622779658</v>
      </c>
      <c r="L29" s="310">
        <f t="shared" si="2"/>
        <v>805182.28622779658</v>
      </c>
      <c r="M29" s="310">
        <f t="shared" si="2"/>
        <v>805182.28622779658</v>
      </c>
      <c r="N29" s="310">
        <f t="shared" si="2"/>
        <v>805182.28622779658</v>
      </c>
      <c r="O29" s="310">
        <f t="shared" si="2"/>
        <v>805182.28622779658</v>
      </c>
      <c r="P29" s="310">
        <f t="shared" si="2"/>
        <v>805182.28622779658</v>
      </c>
      <c r="Q29" s="310">
        <f t="shared" si="2"/>
        <v>805182.28622779658</v>
      </c>
      <c r="R29" s="310">
        <f t="shared" si="2"/>
        <v>805182.28622779658</v>
      </c>
      <c r="S29" s="310">
        <f t="shared" si="2"/>
        <v>805182.28622779658</v>
      </c>
      <c r="T29" s="310">
        <f t="shared" si="2"/>
        <v>805182.28622779658</v>
      </c>
      <c r="U29" s="310">
        <f t="shared" si="2"/>
        <v>805182.28622779658</v>
      </c>
      <c r="V29" s="310">
        <f t="shared" si="2"/>
        <v>805182.28622779658</v>
      </c>
      <c r="W29" s="310">
        <f t="shared" si="2"/>
        <v>805182.28622779658</v>
      </c>
      <c r="X29" s="310">
        <f t="shared" si="2"/>
        <v>805182.28622779658</v>
      </c>
      <c r="Y29" s="310">
        <f t="shared" si="2"/>
        <v>805182.28622779658</v>
      </c>
      <c r="Z29" s="310">
        <f t="shared" si="2"/>
        <v>805182.28622779658</v>
      </c>
      <c r="AA29" s="310">
        <f t="shared" si="2"/>
        <v>805182.28622779658</v>
      </c>
      <c r="AB29" s="310">
        <f t="shared" si="2"/>
        <v>805182.28622779658</v>
      </c>
      <c r="AC29" s="310">
        <f t="shared" si="2"/>
        <v>805182.28622779658</v>
      </c>
      <c r="AD29" s="310">
        <f t="shared" si="2"/>
        <v>805182.28622779658</v>
      </c>
    </row>
    <row r="32" spans="1:30" x14ac:dyDescent="0.2">
      <c r="A32" s="288"/>
      <c r="B32" s="289" t="s">
        <v>183</v>
      </c>
      <c r="C32" s="288"/>
      <c r="D32" s="290"/>
      <c r="E32" s="290"/>
      <c r="F32" s="288"/>
      <c r="G32" s="288"/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8"/>
      <c r="Z32" s="288"/>
      <c r="AA32" s="288"/>
      <c r="AB32" s="288"/>
      <c r="AC32" s="288"/>
      <c r="AD32" s="288"/>
    </row>
    <row r="34" spans="1:30" x14ac:dyDescent="0.2">
      <c r="B34" s="319" t="s">
        <v>337</v>
      </c>
    </row>
    <row r="36" spans="1:30" x14ac:dyDescent="0.2">
      <c r="B36" s="24" t="s">
        <v>105</v>
      </c>
      <c r="D36" s="10" t="s">
        <v>184</v>
      </c>
      <c r="F36" s="320">
        <v>0.5</v>
      </c>
      <c r="H36" s="206" t="s">
        <v>185</v>
      </c>
    </row>
    <row r="38" spans="1:30" x14ac:dyDescent="0.2">
      <c r="B38" s="24" t="s">
        <v>178</v>
      </c>
      <c r="D38" s="10" t="s">
        <v>284</v>
      </c>
      <c r="F38" s="318">
        <f>$F$9*$F$10</f>
        <v>0.31359999999999999</v>
      </c>
      <c r="H38" s="206" t="s">
        <v>333</v>
      </c>
    </row>
    <row r="39" spans="1:30" x14ac:dyDescent="0.2">
      <c r="B39" s="10"/>
    </row>
    <row r="40" spans="1:30" x14ac:dyDescent="0.2">
      <c r="B40" s="10"/>
      <c r="F40" s="293" t="s">
        <v>37</v>
      </c>
      <c r="G40" s="293" t="str">
        <f t="shared" ref="G40:AD40" si="3">LEFT(F40,4)+1&amp;"-"&amp;RIGHT(F40,2)+1</f>
        <v>2027-28</v>
      </c>
      <c r="H40" s="293" t="str">
        <f t="shared" si="3"/>
        <v>2028-29</v>
      </c>
      <c r="I40" s="293" t="str">
        <f t="shared" si="3"/>
        <v>2029-30</v>
      </c>
      <c r="J40" s="293" t="str">
        <f t="shared" si="3"/>
        <v>2030-31</v>
      </c>
      <c r="K40" s="293" t="str">
        <f t="shared" si="3"/>
        <v>2031-32</v>
      </c>
      <c r="L40" s="293" t="str">
        <f t="shared" si="3"/>
        <v>2032-33</v>
      </c>
      <c r="M40" s="293" t="str">
        <f t="shared" si="3"/>
        <v>2033-34</v>
      </c>
      <c r="N40" s="293" t="str">
        <f t="shared" si="3"/>
        <v>2034-35</v>
      </c>
      <c r="O40" s="293" t="str">
        <f t="shared" si="3"/>
        <v>2035-36</v>
      </c>
      <c r="P40" s="293" t="str">
        <f t="shared" si="3"/>
        <v>2036-37</v>
      </c>
      <c r="Q40" s="293" t="str">
        <f t="shared" si="3"/>
        <v>2037-38</v>
      </c>
      <c r="R40" s="293" t="str">
        <f t="shared" si="3"/>
        <v>2038-39</v>
      </c>
      <c r="S40" s="293" t="str">
        <f t="shared" si="3"/>
        <v>2039-40</v>
      </c>
      <c r="T40" s="293" t="str">
        <f t="shared" si="3"/>
        <v>2040-41</v>
      </c>
      <c r="U40" s="293" t="str">
        <f t="shared" si="3"/>
        <v>2041-42</v>
      </c>
      <c r="V40" s="293" t="str">
        <f t="shared" si="3"/>
        <v>2042-43</v>
      </c>
      <c r="W40" s="293" t="str">
        <f t="shared" si="3"/>
        <v>2043-44</v>
      </c>
      <c r="X40" s="293" t="str">
        <f t="shared" si="3"/>
        <v>2044-45</v>
      </c>
      <c r="Y40" s="293" t="str">
        <f t="shared" si="3"/>
        <v>2045-46</v>
      </c>
      <c r="Z40" s="293" t="str">
        <f t="shared" si="3"/>
        <v>2046-47</v>
      </c>
      <c r="AA40" s="293" t="str">
        <f t="shared" si="3"/>
        <v>2047-48</v>
      </c>
      <c r="AB40" s="293" t="str">
        <f t="shared" si="3"/>
        <v>2048-49</v>
      </c>
      <c r="AC40" s="293" t="str">
        <f t="shared" si="3"/>
        <v>2049-50</v>
      </c>
      <c r="AD40" s="293" t="str">
        <f t="shared" si="3"/>
        <v>2050-51</v>
      </c>
    </row>
    <row r="41" spans="1:30" x14ac:dyDescent="0.2">
      <c r="B41" s="319" t="s">
        <v>186</v>
      </c>
      <c r="C41" s="206"/>
      <c r="D41" s="206"/>
      <c r="E41" s="206"/>
      <c r="F41" s="340">
        <v>0</v>
      </c>
      <c r="G41" s="340">
        <v>0</v>
      </c>
      <c r="H41" s="340">
        <v>0</v>
      </c>
      <c r="I41" s="340">
        <v>0</v>
      </c>
      <c r="J41" s="340">
        <v>0</v>
      </c>
      <c r="K41" s="340">
        <v>1</v>
      </c>
      <c r="L41" s="340">
        <v>1</v>
      </c>
      <c r="M41" s="340">
        <v>1</v>
      </c>
      <c r="N41" s="340">
        <v>1</v>
      </c>
      <c r="O41" s="340">
        <v>1</v>
      </c>
      <c r="P41" s="340">
        <v>1</v>
      </c>
      <c r="Q41" s="340">
        <v>1</v>
      </c>
      <c r="R41" s="340">
        <v>1</v>
      </c>
      <c r="S41" s="340">
        <v>1</v>
      </c>
      <c r="T41" s="340">
        <v>1</v>
      </c>
      <c r="U41" s="340">
        <v>1</v>
      </c>
      <c r="V41" s="340">
        <v>1</v>
      </c>
      <c r="W41" s="340">
        <v>1</v>
      </c>
      <c r="X41" s="340">
        <v>1</v>
      </c>
      <c r="Y41" s="340">
        <v>1</v>
      </c>
      <c r="Z41" s="340">
        <v>1</v>
      </c>
      <c r="AA41" s="340">
        <v>1</v>
      </c>
      <c r="AB41" s="340">
        <v>1</v>
      </c>
      <c r="AC41" s="340">
        <v>1</v>
      </c>
      <c r="AD41" s="340">
        <v>1</v>
      </c>
    </row>
    <row r="42" spans="1:30" x14ac:dyDescent="0.2">
      <c r="B42" s="10" t="s">
        <v>336</v>
      </c>
      <c r="E42" s="183">
        <f>input_dollars</f>
        <v>45291</v>
      </c>
      <c r="F42" s="310">
        <f t="shared" ref="F42:AD42" si="4">F28*(1-$F$36*F$41)</f>
        <v>2151611.1790454965</v>
      </c>
      <c r="G42" s="310">
        <f t="shared" si="4"/>
        <v>2151611.1790454965</v>
      </c>
      <c r="H42" s="310">
        <f t="shared" si="4"/>
        <v>2151611.1790454965</v>
      </c>
      <c r="I42" s="310">
        <f t="shared" si="4"/>
        <v>2151611.1790454965</v>
      </c>
      <c r="J42" s="310">
        <f t="shared" si="4"/>
        <v>2151611.1790454965</v>
      </c>
      <c r="K42" s="310">
        <f t="shared" si="4"/>
        <v>1075805.5895227483</v>
      </c>
      <c r="L42" s="310">
        <f t="shared" si="4"/>
        <v>1075805.5895227483</v>
      </c>
      <c r="M42" s="310">
        <f t="shared" si="4"/>
        <v>1075805.5895227483</v>
      </c>
      <c r="N42" s="310">
        <f t="shared" si="4"/>
        <v>1075805.5895227483</v>
      </c>
      <c r="O42" s="310">
        <f t="shared" si="4"/>
        <v>1075805.5895227483</v>
      </c>
      <c r="P42" s="310">
        <f t="shared" si="4"/>
        <v>1075805.5895227483</v>
      </c>
      <c r="Q42" s="310">
        <f t="shared" si="4"/>
        <v>1075805.5895227483</v>
      </c>
      <c r="R42" s="310">
        <f t="shared" si="4"/>
        <v>1075805.5895227483</v>
      </c>
      <c r="S42" s="310">
        <f t="shared" si="4"/>
        <v>1075805.5895227483</v>
      </c>
      <c r="T42" s="310">
        <f t="shared" si="4"/>
        <v>1075805.5895227483</v>
      </c>
      <c r="U42" s="310">
        <f t="shared" si="4"/>
        <v>1075805.5895227483</v>
      </c>
      <c r="V42" s="310">
        <f t="shared" si="4"/>
        <v>1075805.5895227483</v>
      </c>
      <c r="W42" s="310">
        <f t="shared" si="4"/>
        <v>1075805.5895227483</v>
      </c>
      <c r="X42" s="310">
        <f t="shared" si="4"/>
        <v>1075805.5895227483</v>
      </c>
      <c r="Y42" s="310">
        <f t="shared" si="4"/>
        <v>1075805.5895227483</v>
      </c>
      <c r="Z42" s="310">
        <f t="shared" si="4"/>
        <v>1075805.5895227483</v>
      </c>
      <c r="AA42" s="310">
        <f t="shared" si="4"/>
        <v>1075805.5895227483</v>
      </c>
      <c r="AB42" s="310">
        <f t="shared" si="4"/>
        <v>1075805.5895227483</v>
      </c>
      <c r="AC42" s="310">
        <f t="shared" si="4"/>
        <v>1075805.5895227483</v>
      </c>
      <c r="AD42" s="310">
        <f t="shared" si="4"/>
        <v>1075805.5895227483</v>
      </c>
    </row>
    <row r="43" spans="1:30" x14ac:dyDescent="0.2">
      <c r="B43" s="10" t="s">
        <v>335</v>
      </c>
      <c r="E43" s="183">
        <f>input_dollars</f>
        <v>45291</v>
      </c>
      <c r="F43" s="310">
        <f t="shared" ref="F43:AD43" si="5">F$29*(1-F$41*$F$38)</f>
        <v>805182.28622779658</v>
      </c>
      <c r="G43" s="310">
        <f t="shared" si="5"/>
        <v>805182.28622779658</v>
      </c>
      <c r="H43" s="310">
        <f t="shared" si="5"/>
        <v>805182.28622779658</v>
      </c>
      <c r="I43" s="310">
        <f t="shared" si="5"/>
        <v>805182.28622779658</v>
      </c>
      <c r="J43" s="310">
        <f t="shared" si="5"/>
        <v>805182.28622779658</v>
      </c>
      <c r="K43" s="310">
        <f t="shared" si="5"/>
        <v>552677.12126675958</v>
      </c>
      <c r="L43" s="310">
        <f t="shared" si="5"/>
        <v>552677.12126675958</v>
      </c>
      <c r="M43" s="310">
        <f t="shared" si="5"/>
        <v>552677.12126675958</v>
      </c>
      <c r="N43" s="310">
        <f t="shared" si="5"/>
        <v>552677.12126675958</v>
      </c>
      <c r="O43" s="310">
        <f t="shared" si="5"/>
        <v>552677.12126675958</v>
      </c>
      <c r="P43" s="310">
        <f t="shared" si="5"/>
        <v>552677.12126675958</v>
      </c>
      <c r="Q43" s="310">
        <f t="shared" si="5"/>
        <v>552677.12126675958</v>
      </c>
      <c r="R43" s="310">
        <f t="shared" si="5"/>
        <v>552677.12126675958</v>
      </c>
      <c r="S43" s="310">
        <f t="shared" si="5"/>
        <v>552677.12126675958</v>
      </c>
      <c r="T43" s="310">
        <f t="shared" si="5"/>
        <v>552677.12126675958</v>
      </c>
      <c r="U43" s="310">
        <f t="shared" si="5"/>
        <v>552677.12126675958</v>
      </c>
      <c r="V43" s="310">
        <f t="shared" si="5"/>
        <v>552677.12126675958</v>
      </c>
      <c r="W43" s="310">
        <f t="shared" si="5"/>
        <v>552677.12126675958</v>
      </c>
      <c r="X43" s="310">
        <f t="shared" si="5"/>
        <v>552677.12126675958</v>
      </c>
      <c r="Y43" s="310">
        <f t="shared" si="5"/>
        <v>552677.12126675958</v>
      </c>
      <c r="Z43" s="310">
        <f t="shared" si="5"/>
        <v>552677.12126675958</v>
      </c>
      <c r="AA43" s="310">
        <f t="shared" si="5"/>
        <v>552677.12126675958</v>
      </c>
      <c r="AB43" s="310">
        <f t="shared" si="5"/>
        <v>552677.12126675958</v>
      </c>
      <c r="AC43" s="310">
        <f t="shared" si="5"/>
        <v>552677.12126675958</v>
      </c>
      <c r="AD43" s="310">
        <f t="shared" si="5"/>
        <v>552677.12126675958</v>
      </c>
    </row>
    <row r="46" spans="1:30" x14ac:dyDescent="0.2">
      <c r="A46" s="288"/>
      <c r="B46" s="289" t="s">
        <v>168</v>
      </c>
      <c r="C46" s="288"/>
      <c r="D46" s="294"/>
      <c r="E46" s="294"/>
      <c r="F46" s="288"/>
      <c r="G46" s="288"/>
      <c r="H46" s="288"/>
      <c r="I46" s="288"/>
      <c r="J46" s="288"/>
      <c r="K46" s="288"/>
      <c r="L46" s="288"/>
      <c r="M46" s="288"/>
      <c r="N46" s="288"/>
      <c r="O46" s="288"/>
      <c r="P46" s="288"/>
      <c r="Q46" s="288"/>
      <c r="R46" s="288"/>
      <c r="S46" s="288"/>
      <c r="T46" s="288"/>
      <c r="U46" s="288"/>
      <c r="V46" s="288"/>
      <c r="W46" s="288"/>
      <c r="X46" s="288"/>
      <c r="Y46" s="288"/>
      <c r="Z46" s="288"/>
      <c r="AA46" s="288"/>
      <c r="AB46" s="288"/>
      <c r="AC46" s="288"/>
      <c r="AD46" s="288"/>
    </row>
    <row r="48" spans="1:30" x14ac:dyDescent="0.2">
      <c r="B48" s="319" t="s">
        <v>339</v>
      </c>
    </row>
    <row r="50" spans="1:30" x14ac:dyDescent="0.2">
      <c r="B50" s="24" t="s">
        <v>105</v>
      </c>
      <c r="D50" s="10" t="str">
        <f>B9</f>
        <v>Risk reduction effectiveness</v>
      </c>
      <c r="F50" s="318">
        <f>F9</f>
        <v>0.98</v>
      </c>
      <c r="H50" s="206" t="str">
        <f>H9</f>
        <v>ACIL Allen RIS report</v>
      </c>
    </row>
    <row r="51" spans="1:30" x14ac:dyDescent="0.2">
      <c r="B51" s="10"/>
    </row>
    <row r="52" spans="1:30" x14ac:dyDescent="0.2">
      <c r="B52" s="24" t="s">
        <v>178</v>
      </c>
      <c r="D52" s="10" t="s">
        <v>285</v>
      </c>
      <c r="E52" s="146"/>
      <c r="F52" s="320">
        <v>0.8</v>
      </c>
      <c r="H52" s="206" t="s">
        <v>189</v>
      </c>
    </row>
    <row r="53" spans="1:30" x14ac:dyDescent="0.2">
      <c r="B53" s="10"/>
    </row>
    <row r="54" spans="1:30" x14ac:dyDescent="0.2">
      <c r="B54" s="10"/>
      <c r="F54" s="293" t="s">
        <v>37</v>
      </c>
      <c r="G54" s="293" t="str">
        <f t="shared" ref="G54:AD54" si="6">LEFT(F54,4)+1&amp;"-"&amp;RIGHT(F54,2)+1</f>
        <v>2027-28</v>
      </c>
      <c r="H54" s="293" t="str">
        <f t="shared" si="6"/>
        <v>2028-29</v>
      </c>
      <c r="I54" s="293" t="str">
        <f t="shared" si="6"/>
        <v>2029-30</v>
      </c>
      <c r="J54" s="293" t="str">
        <f t="shared" si="6"/>
        <v>2030-31</v>
      </c>
      <c r="K54" s="293" t="str">
        <f t="shared" si="6"/>
        <v>2031-32</v>
      </c>
      <c r="L54" s="293" t="str">
        <f t="shared" si="6"/>
        <v>2032-33</v>
      </c>
      <c r="M54" s="293" t="str">
        <f t="shared" si="6"/>
        <v>2033-34</v>
      </c>
      <c r="N54" s="293" t="str">
        <f t="shared" si="6"/>
        <v>2034-35</v>
      </c>
      <c r="O54" s="293" t="str">
        <f t="shared" si="6"/>
        <v>2035-36</v>
      </c>
      <c r="P54" s="293" t="str">
        <f t="shared" si="6"/>
        <v>2036-37</v>
      </c>
      <c r="Q54" s="293" t="str">
        <f t="shared" si="6"/>
        <v>2037-38</v>
      </c>
      <c r="R54" s="293" t="str">
        <f t="shared" si="6"/>
        <v>2038-39</v>
      </c>
      <c r="S54" s="293" t="str">
        <f t="shared" si="6"/>
        <v>2039-40</v>
      </c>
      <c r="T54" s="293" t="str">
        <f t="shared" si="6"/>
        <v>2040-41</v>
      </c>
      <c r="U54" s="293" t="str">
        <f t="shared" si="6"/>
        <v>2041-42</v>
      </c>
      <c r="V54" s="293" t="str">
        <f t="shared" si="6"/>
        <v>2042-43</v>
      </c>
      <c r="W54" s="293" t="str">
        <f t="shared" si="6"/>
        <v>2043-44</v>
      </c>
      <c r="X54" s="293" t="str">
        <f t="shared" si="6"/>
        <v>2044-45</v>
      </c>
      <c r="Y54" s="293" t="str">
        <f t="shared" si="6"/>
        <v>2045-46</v>
      </c>
      <c r="Z54" s="293" t="str">
        <f t="shared" si="6"/>
        <v>2046-47</v>
      </c>
      <c r="AA54" s="293" t="str">
        <f t="shared" si="6"/>
        <v>2047-48</v>
      </c>
      <c r="AB54" s="293" t="str">
        <f t="shared" si="6"/>
        <v>2048-49</v>
      </c>
      <c r="AC54" s="293" t="str">
        <f t="shared" si="6"/>
        <v>2049-50</v>
      </c>
      <c r="AD54" s="293" t="str">
        <f t="shared" si="6"/>
        <v>2050-51</v>
      </c>
    </row>
    <row r="55" spans="1:30" x14ac:dyDescent="0.2">
      <c r="B55" s="319" t="s">
        <v>186</v>
      </c>
      <c r="C55" s="206"/>
      <c r="D55" s="206"/>
      <c r="E55" s="206"/>
      <c r="F55" s="340">
        <v>0</v>
      </c>
      <c r="G55" s="340">
        <v>0</v>
      </c>
      <c r="H55" s="340">
        <v>0</v>
      </c>
      <c r="I55" s="340">
        <v>0.5</v>
      </c>
      <c r="J55" s="340">
        <v>0.75</v>
      </c>
      <c r="K55" s="340">
        <v>1</v>
      </c>
      <c r="L55" s="340">
        <v>1</v>
      </c>
      <c r="M55" s="340">
        <v>1</v>
      </c>
      <c r="N55" s="340">
        <v>1</v>
      </c>
      <c r="O55" s="340">
        <v>1</v>
      </c>
      <c r="P55" s="340">
        <v>1</v>
      </c>
      <c r="Q55" s="340">
        <v>1</v>
      </c>
      <c r="R55" s="340">
        <v>1</v>
      </c>
      <c r="S55" s="340">
        <v>1</v>
      </c>
      <c r="T55" s="340">
        <v>1</v>
      </c>
      <c r="U55" s="340">
        <v>1</v>
      </c>
      <c r="V55" s="340">
        <v>1</v>
      </c>
      <c r="W55" s="340">
        <v>1</v>
      </c>
      <c r="X55" s="340">
        <v>1</v>
      </c>
      <c r="Y55" s="340">
        <v>1</v>
      </c>
      <c r="Z55" s="340">
        <v>1</v>
      </c>
      <c r="AA55" s="340">
        <v>1</v>
      </c>
      <c r="AB55" s="340">
        <v>1</v>
      </c>
      <c r="AC55" s="340">
        <v>1</v>
      </c>
      <c r="AD55" s="340">
        <v>1</v>
      </c>
    </row>
    <row r="56" spans="1:30" x14ac:dyDescent="0.2">
      <c r="B56" s="10" t="s">
        <v>336</v>
      </c>
      <c r="E56" s="183">
        <f>input_dollars</f>
        <v>45291</v>
      </c>
      <c r="F56" s="310">
        <f t="shared" ref="F56:AD56" si="7">F$28*(1-F$55*$F$50)</f>
        <v>2151611.1790454965</v>
      </c>
      <c r="G56" s="310">
        <f t="shared" si="7"/>
        <v>2151611.1790454965</v>
      </c>
      <c r="H56" s="310">
        <f t="shared" si="7"/>
        <v>2151611.1790454965</v>
      </c>
      <c r="I56" s="310">
        <f t="shared" si="7"/>
        <v>1097321.7013132032</v>
      </c>
      <c r="J56" s="310">
        <f t="shared" si="7"/>
        <v>570176.96244705655</v>
      </c>
      <c r="K56" s="310">
        <f t="shared" si="7"/>
        <v>43032.223580909966</v>
      </c>
      <c r="L56" s="310">
        <f t="shared" si="7"/>
        <v>43032.223580909966</v>
      </c>
      <c r="M56" s="310">
        <f t="shared" si="7"/>
        <v>43032.223580909966</v>
      </c>
      <c r="N56" s="310">
        <f t="shared" si="7"/>
        <v>43032.223580909966</v>
      </c>
      <c r="O56" s="310">
        <f t="shared" si="7"/>
        <v>43032.223580909966</v>
      </c>
      <c r="P56" s="310">
        <f t="shared" si="7"/>
        <v>43032.223580909966</v>
      </c>
      <c r="Q56" s="310">
        <f t="shared" si="7"/>
        <v>43032.223580909966</v>
      </c>
      <c r="R56" s="310">
        <f t="shared" si="7"/>
        <v>43032.223580909966</v>
      </c>
      <c r="S56" s="310">
        <f t="shared" si="7"/>
        <v>43032.223580909966</v>
      </c>
      <c r="T56" s="310">
        <f t="shared" si="7"/>
        <v>43032.223580909966</v>
      </c>
      <c r="U56" s="310">
        <f t="shared" si="7"/>
        <v>43032.223580909966</v>
      </c>
      <c r="V56" s="310">
        <f t="shared" si="7"/>
        <v>43032.223580909966</v>
      </c>
      <c r="W56" s="310">
        <f t="shared" si="7"/>
        <v>43032.223580909966</v>
      </c>
      <c r="X56" s="310">
        <f t="shared" si="7"/>
        <v>43032.223580909966</v>
      </c>
      <c r="Y56" s="310">
        <f t="shared" si="7"/>
        <v>43032.223580909966</v>
      </c>
      <c r="Z56" s="310">
        <f t="shared" si="7"/>
        <v>43032.223580909966</v>
      </c>
      <c r="AA56" s="310">
        <f t="shared" si="7"/>
        <v>43032.223580909966</v>
      </c>
      <c r="AB56" s="310">
        <f t="shared" si="7"/>
        <v>43032.223580909966</v>
      </c>
      <c r="AC56" s="310">
        <f t="shared" si="7"/>
        <v>43032.223580909966</v>
      </c>
      <c r="AD56" s="310">
        <f t="shared" si="7"/>
        <v>43032.223580909966</v>
      </c>
    </row>
    <row r="57" spans="1:30" x14ac:dyDescent="0.2">
      <c r="B57" s="10" t="s">
        <v>335</v>
      </c>
      <c r="E57" s="183">
        <f>input_dollars</f>
        <v>45291</v>
      </c>
      <c r="F57" s="310">
        <f t="shared" ref="F57:AD57" si="8">F$29*(1-F$55*$F$52)</f>
        <v>805182.28622779658</v>
      </c>
      <c r="G57" s="310">
        <f t="shared" si="8"/>
        <v>805182.28622779658</v>
      </c>
      <c r="H57" s="310">
        <f t="shared" si="8"/>
        <v>805182.28622779658</v>
      </c>
      <c r="I57" s="310">
        <f t="shared" si="8"/>
        <v>483109.37173667795</v>
      </c>
      <c r="J57" s="310">
        <f t="shared" si="8"/>
        <v>322072.91449111857</v>
      </c>
      <c r="K57" s="310">
        <f t="shared" si="8"/>
        <v>161036.45724555929</v>
      </c>
      <c r="L57" s="310">
        <f t="shared" si="8"/>
        <v>161036.45724555929</v>
      </c>
      <c r="M57" s="310">
        <f t="shared" si="8"/>
        <v>161036.45724555929</v>
      </c>
      <c r="N57" s="310">
        <f t="shared" si="8"/>
        <v>161036.45724555929</v>
      </c>
      <c r="O57" s="310">
        <f t="shared" si="8"/>
        <v>161036.45724555929</v>
      </c>
      <c r="P57" s="310">
        <f t="shared" si="8"/>
        <v>161036.45724555929</v>
      </c>
      <c r="Q57" s="310">
        <f t="shared" si="8"/>
        <v>161036.45724555929</v>
      </c>
      <c r="R57" s="310">
        <f t="shared" si="8"/>
        <v>161036.45724555929</v>
      </c>
      <c r="S57" s="310">
        <f t="shared" si="8"/>
        <v>161036.45724555929</v>
      </c>
      <c r="T57" s="310">
        <f t="shared" si="8"/>
        <v>161036.45724555929</v>
      </c>
      <c r="U57" s="310">
        <f t="shared" si="8"/>
        <v>161036.45724555929</v>
      </c>
      <c r="V57" s="310">
        <f t="shared" si="8"/>
        <v>161036.45724555929</v>
      </c>
      <c r="W57" s="310">
        <f t="shared" si="8"/>
        <v>161036.45724555929</v>
      </c>
      <c r="X57" s="310">
        <f t="shared" si="8"/>
        <v>161036.45724555929</v>
      </c>
      <c r="Y57" s="310">
        <f t="shared" si="8"/>
        <v>161036.45724555929</v>
      </c>
      <c r="Z57" s="310">
        <f t="shared" si="8"/>
        <v>161036.45724555929</v>
      </c>
      <c r="AA57" s="310">
        <f t="shared" si="8"/>
        <v>161036.45724555929</v>
      </c>
      <c r="AB57" s="310">
        <f t="shared" si="8"/>
        <v>161036.45724555929</v>
      </c>
      <c r="AC57" s="310">
        <f t="shared" si="8"/>
        <v>161036.45724555929</v>
      </c>
      <c r="AD57" s="310">
        <f t="shared" si="8"/>
        <v>161036.45724555929</v>
      </c>
    </row>
    <row r="60" spans="1:30" x14ac:dyDescent="0.2">
      <c r="A60" s="288"/>
      <c r="B60" s="289" t="s">
        <v>172</v>
      </c>
      <c r="C60" s="288"/>
      <c r="D60" s="290"/>
      <c r="E60" s="290"/>
      <c r="F60" s="288"/>
      <c r="G60" s="288"/>
      <c r="H60" s="288"/>
      <c r="I60" s="288"/>
      <c r="J60" s="288"/>
      <c r="K60" s="288"/>
      <c r="L60" s="288"/>
      <c r="M60" s="288"/>
      <c r="N60" s="288"/>
      <c r="O60" s="288"/>
      <c r="P60" s="288"/>
      <c r="Q60" s="288"/>
      <c r="R60" s="288"/>
      <c r="S60" s="288"/>
      <c r="T60" s="288"/>
      <c r="U60" s="288"/>
      <c r="V60" s="288"/>
      <c r="W60" s="288"/>
      <c r="X60" s="288"/>
      <c r="Y60" s="288"/>
      <c r="Z60" s="288"/>
      <c r="AA60" s="288"/>
      <c r="AB60" s="288"/>
      <c r="AC60" s="288"/>
      <c r="AD60" s="288"/>
    </row>
    <row r="62" spans="1:30" x14ac:dyDescent="0.2">
      <c r="B62" s="319" t="s">
        <v>338</v>
      </c>
    </row>
    <row r="64" spans="1:30" x14ac:dyDescent="0.2">
      <c r="B64" s="24" t="s">
        <v>105</v>
      </c>
      <c r="D64" s="10" t="s">
        <v>184</v>
      </c>
      <c r="F64" s="138">
        <v>0.54</v>
      </c>
      <c r="H64" s="206" t="s">
        <v>185</v>
      </c>
    </row>
    <row r="65" spans="2:30" x14ac:dyDescent="0.2">
      <c r="B65" s="10"/>
    </row>
    <row r="66" spans="2:30" x14ac:dyDescent="0.2">
      <c r="B66" s="24" t="s">
        <v>178</v>
      </c>
      <c r="D66" s="10" t="s">
        <v>284</v>
      </c>
      <c r="F66" s="318">
        <f>$F$9*$F$10</f>
        <v>0.31359999999999999</v>
      </c>
      <c r="H66" s="206" t="s">
        <v>333</v>
      </c>
    </row>
    <row r="67" spans="2:30" x14ac:dyDescent="0.2">
      <c r="B67" s="10"/>
    </row>
    <row r="68" spans="2:30" x14ac:dyDescent="0.2">
      <c r="B68" s="10"/>
      <c r="F68" s="293" t="s">
        <v>37</v>
      </c>
      <c r="G68" s="293" t="str">
        <f t="shared" ref="G68:AD68" si="9">LEFT(F68,4)+1&amp;"-"&amp;RIGHT(F68,2)+1</f>
        <v>2027-28</v>
      </c>
      <c r="H68" s="293" t="str">
        <f t="shared" si="9"/>
        <v>2028-29</v>
      </c>
      <c r="I68" s="293" t="str">
        <f t="shared" si="9"/>
        <v>2029-30</v>
      </c>
      <c r="J68" s="293" t="str">
        <f t="shared" si="9"/>
        <v>2030-31</v>
      </c>
      <c r="K68" s="293" t="str">
        <f t="shared" si="9"/>
        <v>2031-32</v>
      </c>
      <c r="L68" s="293" t="str">
        <f t="shared" si="9"/>
        <v>2032-33</v>
      </c>
      <c r="M68" s="293" t="str">
        <f t="shared" si="9"/>
        <v>2033-34</v>
      </c>
      <c r="N68" s="293" t="str">
        <f t="shared" si="9"/>
        <v>2034-35</v>
      </c>
      <c r="O68" s="293" t="str">
        <f t="shared" si="9"/>
        <v>2035-36</v>
      </c>
      <c r="P68" s="293" t="str">
        <f t="shared" si="9"/>
        <v>2036-37</v>
      </c>
      <c r="Q68" s="293" t="str">
        <f t="shared" si="9"/>
        <v>2037-38</v>
      </c>
      <c r="R68" s="293" t="str">
        <f t="shared" si="9"/>
        <v>2038-39</v>
      </c>
      <c r="S68" s="293" t="str">
        <f t="shared" si="9"/>
        <v>2039-40</v>
      </c>
      <c r="T68" s="293" t="str">
        <f t="shared" si="9"/>
        <v>2040-41</v>
      </c>
      <c r="U68" s="293" t="str">
        <f t="shared" si="9"/>
        <v>2041-42</v>
      </c>
      <c r="V68" s="293" t="str">
        <f t="shared" si="9"/>
        <v>2042-43</v>
      </c>
      <c r="W68" s="293" t="str">
        <f t="shared" si="9"/>
        <v>2043-44</v>
      </c>
      <c r="X68" s="293" t="str">
        <f t="shared" si="9"/>
        <v>2044-45</v>
      </c>
      <c r="Y68" s="293" t="str">
        <f t="shared" si="9"/>
        <v>2045-46</v>
      </c>
      <c r="Z68" s="293" t="str">
        <f t="shared" si="9"/>
        <v>2046-47</v>
      </c>
      <c r="AA68" s="293" t="str">
        <f t="shared" si="9"/>
        <v>2047-48</v>
      </c>
      <c r="AB68" s="293" t="str">
        <f t="shared" si="9"/>
        <v>2048-49</v>
      </c>
      <c r="AC68" s="293" t="str">
        <f t="shared" si="9"/>
        <v>2049-50</v>
      </c>
      <c r="AD68" s="293" t="str">
        <f t="shared" si="9"/>
        <v>2050-51</v>
      </c>
    </row>
    <row r="69" spans="2:30" x14ac:dyDescent="0.2">
      <c r="B69" s="319" t="s">
        <v>186</v>
      </c>
      <c r="C69" s="206"/>
      <c r="D69" s="206"/>
      <c r="E69" s="206"/>
      <c r="F69" s="340">
        <v>0</v>
      </c>
      <c r="G69" s="340">
        <v>0</v>
      </c>
      <c r="H69" s="340">
        <v>0</v>
      </c>
      <c r="I69" s="340">
        <v>0</v>
      </c>
      <c r="J69" s="340">
        <v>0</v>
      </c>
      <c r="K69" s="340">
        <v>1</v>
      </c>
      <c r="L69" s="340">
        <v>1</v>
      </c>
      <c r="M69" s="340">
        <v>1</v>
      </c>
      <c r="N69" s="340">
        <v>1</v>
      </c>
      <c r="O69" s="340">
        <v>1</v>
      </c>
      <c r="P69" s="340">
        <v>1</v>
      </c>
      <c r="Q69" s="340">
        <v>1</v>
      </c>
      <c r="R69" s="340">
        <v>1</v>
      </c>
      <c r="S69" s="340">
        <v>1</v>
      </c>
      <c r="T69" s="340">
        <v>1</v>
      </c>
      <c r="U69" s="340">
        <v>1</v>
      </c>
      <c r="V69" s="340">
        <v>1</v>
      </c>
      <c r="W69" s="340">
        <v>1</v>
      </c>
      <c r="X69" s="340">
        <v>1</v>
      </c>
      <c r="Y69" s="340">
        <v>1</v>
      </c>
      <c r="Z69" s="340">
        <v>1</v>
      </c>
      <c r="AA69" s="340">
        <v>1</v>
      </c>
      <c r="AB69" s="340">
        <v>1</v>
      </c>
      <c r="AC69" s="340">
        <v>1</v>
      </c>
      <c r="AD69" s="340">
        <v>1</v>
      </c>
    </row>
    <row r="70" spans="2:30" x14ac:dyDescent="0.2">
      <c r="B70" s="10" t="s">
        <v>336</v>
      </c>
      <c r="E70" s="183">
        <f>input_dollars</f>
        <v>45291</v>
      </c>
      <c r="F70" s="310">
        <f t="shared" ref="F70:AD70" si="10">F$28*(1-F$69*$F$64)</f>
        <v>2151611.1790454965</v>
      </c>
      <c r="G70" s="310">
        <f t="shared" si="10"/>
        <v>2151611.1790454965</v>
      </c>
      <c r="H70" s="310">
        <f t="shared" si="10"/>
        <v>2151611.1790454965</v>
      </c>
      <c r="I70" s="310">
        <f t="shared" si="10"/>
        <v>2151611.1790454965</v>
      </c>
      <c r="J70" s="310">
        <f t="shared" si="10"/>
        <v>2151611.1790454965</v>
      </c>
      <c r="K70" s="310">
        <f t="shared" si="10"/>
        <v>989741.14236092835</v>
      </c>
      <c r="L70" s="310">
        <f t="shared" si="10"/>
        <v>989741.14236092835</v>
      </c>
      <c r="M70" s="310">
        <f t="shared" si="10"/>
        <v>989741.14236092835</v>
      </c>
      <c r="N70" s="310">
        <f t="shared" si="10"/>
        <v>989741.14236092835</v>
      </c>
      <c r="O70" s="310">
        <f t="shared" si="10"/>
        <v>989741.14236092835</v>
      </c>
      <c r="P70" s="310">
        <f t="shared" si="10"/>
        <v>989741.14236092835</v>
      </c>
      <c r="Q70" s="310">
        <f t="shared" si="10"/>
        <v>989741.14236092835</v>
      </c>
      <c r="R70" s="310">
        <f t="shared" si="10"/>
        <v>989741.14236092835</v>
      </c>
      <c r="S70" s="310">
        <f t="shared" si="10"/>
        <v>989741.14236092835</v>
      </c>
      <c r="T70" s="310">
        <f t="shared" si="10"/>
        <v>989741.14236092835</v>
      </c>
      <c r="U70" s="310">
        <f t="shared" si="10"/>
        <v>989741.14236092835</v>
      </c>
      <c r="V70" s="310">
        <f t="shared" si="10"/>
        <v>989741.14236092835</v>
      </c>
      <c r="W70" s="310">
        <f t="shared" si="10"/>
        <v>989741.14236092835</v>
      </c>
      <c r="X70" s="310">
        <f t="shared" si="10"/>
        <v>989741.14236092835</v>
      </c>
      <c r="Y70" s="310">
        <f t="shared" si="10"/>
        <v>989741.14236092835</v>
      </c>
      <c r="Z70" s="310">
        <f t="shared" si="10"/>
        <v>989741.14236092835</v>
      </c>
      <c r="AA70" s="310">
        <f t="shared" si="10"/>
        <v>989741.14236092835</v>
      </c>
      <c r="AB70" s="310">
        <f t="shared" si="10"/>
        <v>989741.14236092835</v>
      </c>
      <c r="AC70" s="310">
        <f t="shared" si="10"/>
        <v>989741.14236092835</v>
      </c>
      <c r="AD70" s="310">
        <f t="shared" si="10"/>
        <v>989741.14236092835</v>
      </c>
    </row>
    <row r="71" spans="2:30" x14ac:dyDescent="0.2">
      <c r="B71" s="10" t="s">
        <v>335</v>
      </c>
      <c r="E71" s="183">
        <f>input_dollars</f>
        <v>45291</v>
      </c>
      <c r="F71" s="310">
        <f t="shared" ref="F71:AD71" si="11">F$29*(1-F$69*$F$66)</f>
        <v>805182.28622779658</v>
      </c>
      <c r="G71" s="310">
        <f t="shared" si="11"/>
        <v>805182.28622779658</v>
      </c>
      <c r="H71" s="310">
        <f t="shared" si="11"/>
        <v>805182.28622779658</v>
      </c>
      <c r="I71" s="310">
        <f t="shared" si="11"/>
        <v>805182.28622779658</v>
      </c>
      <c r="J71" s="310">
        <f t="shared" si="11"/>
        <v>805182.28622779658</v>
      </c>
      <c r="K71" s="310">
        <f t="shared" si="11"/>
        <v>552677.12126675958</v>
      </c>
      <c r="L71" s="310">
        <f t="shared" si="11"/>
        <v>552677.12126675958</v>
      </c>
      <c r="M71" s="310">
        <f t="shared" si="11"/>
        <v>552677.12126675958</v>
      </c>
      <c r="N71" s="310">
        <f t="shared" si="11"/>
        <v>552677.12126675958</v>
      </c>
      <c r="O71" s="310">
        <f t="shared" si="11"/>
        <v>552677.12126675958</v>
      </c>
      <c r="P71" s="310">
        <f t="shared" si="11"/>
        <v>552677.12126675958</v>
      </c>
      <c r="Q71" s="310">
        <f t="shared" si="11"/>
        <v>552677.12126675958</v>
      </c>
      <c r="R71" s="310">
        <f t="shared" si="11"/>
        <v>552677.12126675958</v>
      </c>
      <c r="S71" s="310">
        <f t="shared" si="11"/>
        <v>552677.12126675958</v>
      </c>
      <c r="T71" s="310">
        <f t="shared" si="11"/>
        <v>552677.12126675958</v>
      </c>
      <c r="U71" s="310">
        <f t="shared" si="11"/>
        <v>552677.12126675958</v>
      </c>
      <c r="V71" s="310">
        <f t="shared" si="11"/>
        <v>552677.12126675958</v>
      </c>
      <c r="W71" s="310">
        <f t="shared" si="11"/>
        <v>552677.12126675958</v>
      </c>
      <c r="X71" s="310">
        <f t="shared" si="11"/>
        <v>552677.12126675958</v>
      </c>
      <c r="Y71" s="310">
        <f t="shared" si="11"/>
        <v>552677.12126675958</v>
      </c>
      <c r="Z71" s="310">
        <f t="shared" si="11"/>
        <v>552677.12126675958</v>
      </c>
      <c r="AA71" s="310">
        <f t="shared" si="11"/>
        <v>552677.12126675958</v>
      </c>
      <c r="AB71" s="310">
        <f t="shared" si="11"/>
        <v>552677.12126675958</v>
      </c>
      <c r="AC71" s="310">
        <f t="shared" si="11"/>
        <v>552677.12126675958</v>
      </c>
      <c r="AD71" s="310">
        <f t="shared" si="11"/>
        <v>552677.12126675958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B7481-2242-48AF-88F7-F06E8F2B2558}">
  <sheetPr codeName="Sheet4">
    <tabColor rgb="FFFFFF00"/>
  </sheetPr>
  <dimension ref="A1:P92"/>
  <sheetViews>
    <sheetView showGridLines="0" zoomScale="90" zoomScaleNormal="9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D9" sqref="D9"/>
    </sheetView>
  </sheetViews>
  <sheetFormatPr defaultColWidth="8" defaultRowHeight="12.75" x14ac:dyDescent="0.2"/>
  <cols>
    <col min="1" max="1" width="2.625" style="1" customWidth="1"/>
    <col min="2" max="2" width="10.75" style="1" customWidth="1"/>
    <col min="3" max="3" width="23.625" style="1" customWidth="1"/>
    <col min="4" max="4" width="12.75" style="1" customWidth="1"/>
    <col min="5" max="5" width="12" style="1" customWidth="1"/>
    <col min="6" max="6" width="12" style="281" customWidth="1"/>
    <col min="7" max="9" width="12" style="1" customWidth="1"/>
    <col min="10" max="16" width="8.625" style="10" customWidth="1"/>
    <col min="17" max="27" width="8.625" customWidth="1"/>
    <col min="28" max="28" width="12.125" customWidth="1"/>
    <col min="29" max="29" width="8.625" customWidth="1"/>
    <col min="30" max="30" width="9.5" bestFit="1" customWidth="1"/>
  </cols>
  <sheetData>
    <row r="1" spans="1:16" ht="18.75" x14ac:dyDescent="0.3">
      <c r="A1" s="13" t="str">
        <f>bus</f>
        <v>Powercor</v>
      </c>
      <c r="B1" s="9"/>
      <c r="C1" s="9"/>
      <c r="D1" s="9"/>
      <c r="E1" s="9"/>
      <c r="F1" s="278"/>
      <c r="G1" s="9"/>
      <c r="H1" s="9"/>
      <c r="I1" s="9"/>
      <c r="J1" s="279"/>
      <c r="K1" s="279"/>
      <c r="L1" s="279"/>
      <c r="M1" s="279"/>
      <c r="N1" s="279"/>
      <c r="O1" s="279"/>
      <c r="P1" s="279"/>
    </row>
    <row r="2" spans="1:16" ht="18.75" x14ac:dyDescent="0.3">
      <c r="A2" s="50" t="str">
        <f>proj</f>
        <v>Horsham REFCL</v>
      </c>
      <c r="B2" s="9"/>
      <c r="C2" s="9"/>
      <c r="D2" s="9"/>
      <c r="E2" s="9"/>
      <c r="F2" s="278"/>
      <c r="G2" s="9"/>
      <c r="H2" s="9"/>
      <c r="I2" s="9"/>
      <c r="J2" s="279"/>
      <c r="K2" s="279"/>
      <c r="L2" s="279"/>
      <c r="M2" s="279"/>
      <c r="N2" s="279"/>
      <c r="O2" s="279"/>
      <c r="P2" s="279"/>
    </row>
    <row r="3" spans="1:16" ht="18.75" x14ac:dyDescent="0.3">
      <c r="A3" s="5" t="s">
        <v>155</v>
      </c>
      <c r="B3" s="280"/>
      <c r="C3" s="5"/>
      <c r="D3" s="5"/>
    </row>
    <row r="5" spans="1:16" ht="15" x14ac:dyDescent="0.2">
      <c r="A5" s="282"/>
      <c r="B5" s="282"/>
      <c r="C5" s="282"/>
      <c r="D5" s="282"/>
      <c r="E5" s="282"/>
      <c r="F5" s="283"/>
      <c r="G5" s="282"/>
      <c r="H5" s="282"/>
      <c r="I5" s="282"/>
      <c r="J5" s="284"/>
      <c r="K5" s="284"/>
      <c r="L5" s="284"/>
      <c r="M5" s="284"/>
      <c r="N5" s="284"/>
      <c r="O5" s="284"/>
      <c r="P5" s="284"/>
    </row>
    <row r="6" spans="1:16" x14ac:dyDescent="0.2">
      <c r="C6" s="3"/>
      <c r="D6" s="3"/>
    </row>
    <row r="7" spans="1:16" x14ac:dyDescent="0.2">
      <c r="A7" s="285"/>
      <c r="B7" s="285"/>
      <c r="C7" s="285"/>
      <c r="D7" s="285"/>
      <c r="E7" s="285"/>
      <c r="F7" s="286"/>
      <c r="G7" s="285"/>
      <c r="H7" s="285"/>
      <c r="I7" s="285"/>
      <c r="J7" s="287"/>
      <c r="K7" s="287"/>
      <c r="L7" s="287"/>
      <c r="M7" s="287"/>
      <c r="N7" s="287"/>
      <c r="O7" s="287"/>
      <c r="P7" s="287"/>
    </row>
    <row r="8" spans="1:16" x14ac:dyDescent="0.2">
      <c r="A8" s="288"/>
      <c r="B8" s="289" t="s">
        <v>156</v>
      </c>
      <c r="C8" s="288"/>
      <c r="D8" s="290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</row>
    <row r="9" spans="1:16" x14ac:dyDescent="0.2">
      <c r="F9" s="1"/>
      <c r="J9" s="1"/>
      <c r="K9" s="1"/>
      <c r="L9" s="1"/>
      <c r="M9" s="1"/>
      <c r="N9" s="1"/>
      <c r="O9" s="1"/>
      <c r="P9" s="1"/>
    </row>
    <row r="10" spans="1:16" x14ac:dyDescent="0.2">
      <c r="B10" s="10" t="s">
        <v>157</v>
      </c>
      <c r="E10" s="295">
        <v>0</v>
      </c>
      <c r="F10" s="1"/>
      <c r="J10" s="1"/>
      <c r="K10" s="1"/>
      <c r="L10" s="1"/>
      <c r="M10" s="1"/>
      <c r="N10" s="1"/>
      <c r="O10" s="1"/>
      <c r="P10" s="1"/>
    </row>
    <row r="11" spans="1:16" x14ac:dyDescent="0.2">
      <c r="B11" s="10" t="s">
        <v>158</v>
      </c>
      <c r="E11" s="295">
        <v>0</v>
      </c>
      <c r="F11" s="1"/>
      <c r="J11" s="1"/>
      <c r="K11" s="1"/>
      <c r="L11" s="1"/>
      <c r="M11" s="1"/>
      <c r="N11" s="1"/>
      <c r="O11" s="1"/>
      <c r="P11" s="1"/>
    </row>
    <row r="13" spans="1:16" x14ac:dyDescent="0.2">
      <c r="B13" s="10"/>
      <c r="F13" s="1"/>
      <c r="J13" s="1"/>
      <c r="K13" s="1"/>
      <c r="L13" s="1"/>
      <c r="M13" s="1"/>
      <c r="N13" s="1"/>
      <c r="O13" s="1"/>
      <c r="P13" s="1"/>
    </row>
    <row r="14" spans="1:16" x14ac:dyDescent="0.2">
      <c r="A14" s="288"/>
      <c r="B14" s="342" t="s">
        <v>161</v>
      </c>
      <c r="C14" s="288"/>
      <c r="D14" s="290"/>
      <c r="E14" s="288"/>
      <c r="F14" s="288"/>
      <c r="G14" s="288"/>
      <c r="H14" s="288"/>
      <c r="I14" s="288"/>
      <c r="J14" s="288"/>
      <c r="K14" s="288"/>
      <c r="L14" s="288"/>
      <c r="M14" s="288"/>
      <c r="N14" s="288"/>
      <c r="O14" s="288"/>
      <c r="P14" s="288"/>
    </row>
    <row r="15" spans="1:16" x14ac:dyDescent="0.2">
      <c r="B15" s="10"/>
      <c r="F15" s="1"/>
      <c r="J15" s="1"/>
      <c r="K15" s="1"/>
      <c r="L15" s="1"/>
      <c r="M15" s="1"/>
      <c r="N15" s="1"/>
      <c r="O15" s="1"/>
      <c r="P15" s="1"/>
    </row>
    <row r="16" spans="1:16" x14ac:dyDescent="0.2">
      <c r="B16" s="10" t="s">
        <v>159</v>
      </c>
      <c r="D16" s="183" t="s">
        <v>160</v>
      </c>
      <c r="E16" s="295">
        <v>2</v>
      </c>
      <c r="F16" s="1"/>
      <c r="J16" s="1"/>
      <c r="K16" s="1"/>
      <c r="L16" s="1"/>
      <c r="M16" s="1"/>
      <c r="N16" s="1"/>
      <c r="O16" s="1"/>
      <c r="P16" s="1"/>
    </row>
    <row r="17" spans="1:16" x14ac:dyDescent="0.2">
      <c r="B17" s="10" t="s">
        <v>162</v>
      </c>
      <c r="D17" s="183">
        <f>input_dollars</f>
        <v>45291</v>
      </c>
      <c r="E17" s="348">
        <f>Cost_inputs!G9</f>
        <v>8093913</v>
      </c>
      <c r="F17" s="1"/>
      <c r="G17" s="206"/>
      <c r="J17" s="1"/>
      <c r="K17" s="1"/>
      <c r="L17" s="1"/>
      <c r="M17" s="1"/>
      <c r="N17" s="1"/>
      <c r="O17" s="1"/>
      <c r="P17" s="1"/>
    </row>
    <row r="18" spans="1:16" x14ac:dyDescent="0.2">
      <c r="B18" s="10" t="s">
        <v>164</v>
      </c>
      <c r="D18" s="183">
        <f>input_dollars</f>
        <v>45291</v>
      </c>
      <c r="E18" s="348">
        <f>Cost_inputs!G10</f>
        <v>8378273.256093055</v>
      </c>
      <c r="F18" s="1"/>
      <c r="G18" s="206"/>
      <c r="J18" s="291"/>
      <c r="K18" s="291"/>
      <c r="L18" s="1"/>
      <c r="M18" s="1"/>
      <c r="N18" s="1"/>
      <c r="O18" s="1"/>
      <c r="P18" s="1"/>
    </row>
    <row r="19" spans="1:16" x14ac:dyDescent="0.2">
      <c r="B19" s="349" t="s">
        <v>165</v>
      </c>
      <c r="C19" s="97"/>
      <c r="D19" s="346">
        <f>input_dollars</f>
        <v>45291</v>
      </c>
      <c r="E19" s="347">
        <f>SUM(E17:E18)</f>
        <v>16472186.256093055</v>
      </c>
      <c r="F19" s="1"/>
      <c r="J19" s="1"/>
      <c r="K19" s="1"/>
      <c r="L19" s="1"/>
      <c r="M19" s="1"/>
      <c r="N19" s="1"/>
      <c r="O19" s="1"/>
      <c r="P19" s="1"/>
    </row>
    <row r="20" spans="1:16" x14ac:dyDescent="0.2">
      <c r="B20" s="10"/>
      <c r="E20" s="292"/>
      <c r="F20" s="1"/>
      <c r="J20" s="1"/>
      <c r="K20" s="1"/>
      <c r="L20" s="1"/>
      <c r="M20" s="1"/>
      <c r="N20" s="1"/>
      <c r="O20" s="1"/>
      <c r="P20" s="1"/>
    </row>
    <row r="21" spans="1:16" x14ac:dyDescent="0.2">
      <c r="B21" s="10"/>
      <c r="E21" s="1" t="s">
        <v>166</v>
      </c>
      <c r="F21" s="1"/>
      <c r="J21" s="1"/>
      <c r="K21" s="1"/>
      <c r="L21" s="1"/>
      <c r="M21" s="1"/>
      <c r="N21" s="1"/>
      <c r="O21" s="1"/>
      <c r="P21" s="1"/>
    </row>
    <row r="22" spans="1:16" x14ac:dyDescent="0.2">
      <c r="B22" s="10"/>
      <c r="E22" s="293" t="s">
        <v>37</v>
      </c>
      <c r="F22" s="293" t="str">
        <f>LEFT(E22,4)+1&amp;"-"&amp;RIGHT(E22,2)+1</f>
        <v>2027-28</v>
      </c>
      <c r="G22" s="293" t="str">
        <f>LEFT(F22,4)+1&amp;"-"&amp;RIGHT(F22,2)+1</f>
        <v>2028-29</v>
      </c>
      <c r="H22" s="293" t="str">
        <f>LEFT(G22,4)+1&amp;"-"&amp;RIGHT(G22,2)+1</f>
        <v>2029-30</v>
      </c>
      <c r="I22" s="293" t="str">
        <f>LEFT(H22,4)+1&amp;"-"&amp;RIGHT(H22,2)+1</f>
        <v>2030-31</v>
      </c>
      <c r="J22" s="1"/>
      <c r="K22" s="1"/>
      <c r="L22" s="1"/>
      <c r="M22" s="1"/>
      <c r="N22" s="1"/>
      <c r="O22" s="1"/>
      <c r="P22" s="1"/>
    </row>
    <row r="23" spans="1:16" x14ac:dyDescent="0.2">
      <c r="B23" s="343" t="s">
        <v>167</v>
      </c>
      <c r="C23" s="344"/>
      <c r="D23" s="344"/>
      <c r="E23" s="345"/>
      <c r="F23" s="344"/>
      <c r="G23" s="344"/>
      <c r="H23" s="347">
        <f>$E$19/$E$16</f>
        <v>8236093.1280465275</v>
      </c>
      <c r="I23" s="347">
        <f>$E$19/$E$16</f>
        <v>8236093.1280465275</v>
      </c>
      <c r="J23" s="1"/>
      <c r="K23" s="1"/>
      <c r="L23" s="1"/>
      <c r="M23" s="1"/>
      <c r="N23" s="1"/>
      <c r="O23" s="1"/>
      <c r="P23" s="1"/>
    </row>
    <row r="24" spans="1:16" x14ac:dyDescent="0.2">
      <c r="B24" s="10"/>
      <c r="F24" s="1"/>
      <c r="J24" s="1"/>
      <c r="K24" s="1"/>
      <c r="L24" s="1"/>
      <c r="M24" s="1"/>
      <c r="N24" s="1"/>
      <c r="O24" s="1"/>
      <c r="P24" s="1"/>
    </row>
    <row r="25" spans="1:16" x14ac:dyDescent="0.2">
      <c r="B25" s="10"/>
      <c r="F25" s="1"/>
      <c r="J25" s="1"/>
      <c r="K25" s="1"/>
      <c r="L25" s="1"/>
      <c r="M25" s="1"/>
      <c r="N25" s="1"/>
      <c r="O25" s="1"/>
      <c r="P25" s="1"/>
    </row>
    <row r="26" spans="1:16" x14ac:dyDescent="0.2">
      <c r="A26" s="288"/>
      <c r="B26" s="342" t="s">
        <v>168</v>
      </c>
      <c r="C26" s="288"/>
      <c r="D26" s="294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</row>
    <row r="27" spans="1:16" x14ac:dyDescent="0.2">
      <c r="B27" s="10"/>
      <c r="F27" s="1"/>
      <c r="J27" s="1"/>
      <c r="K27" s="1"/>
      <c r="L27" s="1"/>
      <c r="M27" s="1"/>
      <c r="N27" s="1"/>
      <c r="O27" s="1"/>
      <c r="P27" s="1"/>
    </row>
    <row r="28" spans="1:16" x14ac:dyDescent="0.2">
      <c r="B28" s="10" t="s">
        <v>159</v>
      </c>
      <c r="D28" s="183" t="s">
        <v>160</v>
      </c>
      <c r="E28" s="350">
        <v>2</v>
      </c>
      <c r="F28" s="1"/>
      <c r="J28" s="1"/>
      <c r="K28" s="1"/>
      <c r="L28" s="1"/>
      <c r="M28" s="1"/>
      <c r="N28" s="1"/>
      <c r="O28" s="1"/>
      <c r="P28" s="1"/>
    </row>
    <row r="29" spans="1:16" x14ac:dyDescent="0.2">
      <c r="B29" s="10" t="s">
        <v>343</v>
      </c>
      <c r="E29" s="350">
        <v>1390</v>
      </c>
      <c r="F29" s="1" t="s">
        <v>169</v>
      </c>
      <c r="H29" s="206"/>
      <c r="J29" s="1"/>
      <c r="K29" s="1"/>
      <c r="L29" s="1"/>
      <c r="M29" s="1"/>
      <c r="N29" s="1"/>
      <c r="O29" s="1"/>
      <c r="P29" s="1"/>
    </row>
    <row r="30" spans="1:16" x14ac:dyDescent="0.2">
      <c r="B30" s="10" t="s">
        <v>170</v>
      </c>
      <c r="E30" s="352">
        <v>151219</v>
      </c>
      <c r="F30" s="1" t="s">
        <v>344</v>
      </c>
      <c r="G30" s="1" t="s">
        <v>163</v>
      </c>
      <c r="H30" s="296"/>
      <c r="J30" s="1"/>
      <c r="K30" s="1"/>
      <c r="L30" s="1"/>
      <c r="M30" s="1"/>
      <c r="N30" s="1"/>
      <c r="O30" s="1"/>
      <c r="P30" s="1"/>
    </row>
    <row r="31" spans="1:16" x14ac:dyDescent="0.2">
      <c r="B31" s="349" t="s">
        <v>165</v>
      </c>
      <c r="C31" s="97"/>
      <c r="D31" s="346"/>
      <c r="E31" s="337">
        <f>E30*E29</f>
        <v>210194410</v>
      </c>
      <c r="F31" s="1"/>
      <c r="H31" s="296"/>
      <c r="J31" s="1"/>
      <c r="K31" s="1"/>
      <c r="L31" s="1"/>
      <c r="M31" s="1"/>
      <c r="N31" s="1"/>
      <c r="O31" s="1"/>
      <c r="P31" s="1"/>
    </row>
    <row r="32" spans="1:16" x14ac:dyDescent="0.2">
      <c r="B32" s="10"/>
      <c r="F32" s="1"/>
      <c r="J32" s="1"/>
      <c r="K32" s="1"/>
      <c r="L32" s="1"/>
      <c r="M32" s="1"/>
      <c r="N32" s="1"/>
      <c r="O32" s="1"/>
      <c r="P32" s="1"/>
    </row>
    <row r="33" spans="1:16" x14ac:dyDescent="0.2">
      <c r="B33" s="10"/>
      <c r="E33" s="1" t="s">
        <v>166</v>
      </c>
      <c r="F33" s="1"/>
      <c r="J33" s="1"/>
      <c r="K33" s="1"/>
      <c r="L33" s="1"/>
      <c r="M33" s="1"/>
      <c r="N33" s="1"/>
      <c r="O33" s="1"/>
      <c r="P33" s="1"/>
    </row>
    <row r="34" spans="1:16" x14ac:dyDescent="0.2">
      <c r="B34" s="10"/>
      <c r="E34" s="293" t="s">
        <v>37</v>
      </c>
      <c r="F34" s="293" t="str">
        <f>LEFT(E34,4)+1&amp;"-"&amp;RIGHT(E34,2)+1</f>
        <v>2027-28</v>
      </c>
      <c r="G34" s="293" t="str">
        <f>LEFT(F34,4)+1&amp;"-"&amp;RIGHT(F34,2)+1</f>
        <v>2028-29</v>
      </c>
      <c r="H34" s="293" t="str">
        <f>LEFT(G34,4)+1&amp;"-"&amp;RIGHT(G34,2)+1</f>
        <v>2029-30</v>
      </c>
      <c r="I34" s="293" t="str">
        <f>LEFT(H34,4)+1&amp;"-"&amp;RIGHT(H34,2)+1</f>
        <v>2030-31</v>
      </c>
      <c r="J34" s="1"/>
      <c r="K34" s="1"/>
      <c r="L34" s="1"/>
      <c r="M34" s="1"/>
      <c r="N34" s="1"/>
      <c r="O34" s="1"/>
      <c r="P34" s="1"/>
    </row>
    <row r="35" spans="1:16" x14ac:dyDescent="0.2">
      <c r="B35" s="343" t="s">
        <v>171</v>
      </c>
      <c r="C35" s="344"/>
      <c r="D35" s="344"/>
      <c r="E35" s="345"/>
      <c r="F35" s="344"/>
      <c r="G35" s="344"/>
      <c r="H35" s="347">
        <f>$E$31/$E$28</f>
        <v>105097205</v>
      </c>
      <c r="I35" s="347">
        <f>$E$31/$E$28</f>
        <v>105097205</v>
      </c>
      <c r="J35" s="1"/>
      <c r="K35" s="1"/>
      <c r="L35" s="1"/>
      <c r="M35" s="1"/>
      <c r="N35" s="1"/>
      <c r="O35" s="1"/>
      <c r="P35" s="1"/>
    </row>
    <row r="36" spans="1:16" x14ac:dyDescent="0.2">
      <c r="B36" s="10"/>
      <c r="F36" s="1"/>
      <c r="J36" s="1"/>
      <c r="K36" s="1"/>
      <c r="L36" s="1"/>
      <c r="M36" s="1"/>
      <c r="N36" s="1"/>
      <c r="O36" s="1"/>
      <c r="P36" s="1"/>
    </row>
    <row r="37" spans="1:16" x14ac:dyDescent="0.2">
      <c r="B37" s="10"/>
      <c r="F37" s="1"/>
      <c r="J37" s="1"/>
      <c r="K37" s="1"/>
      <c r="L37" s="1"/>
      <c r="M37" s="1"/>
      <c r="N37" s="1"/>
      <c r="O37" s="1"/>
      <c r="P37" s="1"/>
    </row>
    <row r="38" spans="1:16" x14ac:dyDescent="0.2">
      <c r="A38" s="288"/>
      <c r="B38" s="342" t="s">
        <v>172</v>
      </c>
      <c r="C38" s="288"/>
      <c r="D38" s="290"/>
      <c r="E38" s="288"/>
      <c r="F38" s="288"/>
      <c r="G38" s="288"/>
      <c r="H38" s="288"/>
      <c r="I38" s="288"/>
      <c r="J38" s="288"/>
      <c r="K38" s="288"/>
      <c r="L38" s="288"/>
      <c r="M38" s="288"/>
      <c r="N38" s="288"/>
      <c r="O38" s="288"/>
      <c r="P38" s="288"/>
    </row>
    <row r="39" spans="1:16" x14ac:dyDescent="0.2">
      <c r="B39" s="10"/>
      <c r="F39" s="1"/>
      <c r="J39" s="1"/>
      <c r="K39" s="1"/>
      <c r="L39" s="1"/>
      <c r="M39" s="1"/>
      <c r="N39" s="1"/>
      <c r="O39" s="1"/>
      <c r="P39" s="1"/>
    </row>
    <row r="40" spans="1:16" x14ac:dyDescent="0.2">
      <c r="B40" s="10" t="s">
        <v>159</v>
      </c>
      <c r="D40" s="183" t="s">
        <v>160</v>
      </c>
      <c r="E40" s="350">
        <v>2</v>
      </c>
      <c r="F40" s="1"/>
      <c r="J40" s="1"/>
      <c r="K40" s="1"/>
      <c r="L40" s="1"/>
      <c r="M40" s="1"/>
      <c r="N40" s="1"/>
      <c r="O40" s="1"/>
      <c r="P40" s="1"/>
    </row>
    <row r="41" spans="1:16" x14ac:dyDescent="0.2">
      <c r="B41" s="10" t="s">
        <v>173</v>
      </c>
      <c r="D41" s="183">
        <f>input_dollars</f>
        <v>45291</v>
      </c>
      <c r="E41" s="351">
        <v>11709971</v>
      </c>
      <c r="F41" s="1"/>
      <c r="G41" s="206"/>
      <c r="J41" s="1"/>
      <c r="K41" s="1"/>
      <c r="L41" s="1"/>
      <c r="M41" s="1"/>
      <c r="N41" s="1"/>
      <c r="O41" s="1"/>
      <c r="P41" s="1"/>
    </row>
    <row r="42" spans="1:16" x14ac:dyDescent="0.2">
      <c r="B42" s="10" t="s">
        <v>164</v>
      </c>
      <c r="D42" s="183">
        <f>input_dollars</f>
        <v>45291</v>
      </c>
      <c r="E42" s="352">
        <f>Cost_inputs!G10</f>
        <v>8378273.256093055</v>
      </c>
      <c r="F42" s="1"/>
      <c r="G42" s="206"/>
      <c r="J42" s="291"/>
      <c r="K42" s="291"/>
      <c r="L42" s="1"/>
      <c r="M42" s="1"/>
      <c r="N42" s="1"/>
      <c r="O42" s="1"/>
      <c r="P42" s="1"/>
    </row>
    <row r="43" spans="1:16" x14ac:dyDescent="0.2">
      <c r="B43" s="349" t="s">
        <v>165</v>
      </c>
      <c r="C43" s="97"/>
      <c r="D43" s="346">
        <f>input_dollars</f>
        <v>45291</v>
      </c>
      <c r="E43" s="347">
        <f>E42+E41</f>
        <v>20088244.256093055</v>
      </c>
      <c r="F43" s="1"/>
      <c r="J43" s="1"/>
      <c r="K43" s="1"/>
      <c r="L43" s="1"/>
      <c r="M43" s="1"/>
      <c r="N43" s="1"/>
      <c r="O43" s="1"/>
      <c r="P43" s="1"/>
    </row>
    <row r="44" spans="1:16" x14ac:dyDescent="0.2">
      <c r="B44" s="10"/>
      <c r="E44" s="292"/>
      <c r="F44" s="1"/>
      <c r="J44" s="1"/>
      <c r="K44" s="1"/>
      <c r="L44" s="1"/>
      <c r="M44" s="1"/>
      <c r="N44" s="1"/>
      <c r="O44" s="1"/>
      <c r="P44" s="1"/>
    </row>
    <row r="45" spans="1:16" x14ac:dyDescent="0.2">
      <c r="B45" s="10"/>
      <c r="F45" s="1"/>
      <c r="J45" s="1"/>
      <c r="K45" s="1"/>
      <c r="L45" s="1"/>
      <c r="M45" s="1"/>
      <c r="N45" s="1"/>
      <c r="O45" s="1"/>
      <c r="P45" s="1"/>
    </row>
    <row r="46" spans="1:16" x14ac:dyDescent="0.2">
      <c r="B46" s="10"/>
      <c r="E46" s="293" t="s">
        <v>37</v>
      </c>
      <c r="F46" s="293" t="str">
        <f>LEFT(E46,4)+1&amp;"-"&amp;RIGHT(E46,2)+1</f>
        <v>2027-28</v>
      </c>
      <c r="G46" s="293" t="str">
        <f>LEFT(F46,4)+1&amp;"-"&amp;RIGHT(F46,2)+1</f>
        <v>2028-29</v>
      </c>
      <c r="H46" s="293" t="str">
        <f>LEFT(G46,4)+1&amp;"-"&amp;RIGHT(G46,2)+1</f>
        <v>2029-30</v>
      </c>
      <c r="I46" s="293" t="str">
        <f>LEFT(H46,4)+1&amp;"-"&amp;RIGHT(H46,2)+1</f>
        <v>2030-31</v>
      </c>
      <c r="J46" s="1"/>
      <c r="K46" s="1"/>
      <c r="L46" s="1"/>
      <c r="M46" s="1"/>
      <c r="N46" s="1"/>
      <c r="O46" s="1"/>
      <c r="P46" s="1"/>
    </row>
    <row r="47" spans="1:16" x14ac:dyDescent="0.2">
      <c r="B47" s="343" t="s">
        <v>345</v>
      </c>
      <c r="C47" s="344"/>
      <c r="D47" s="346">
        <f>input_dollars</f>
        <v>45291</v>
      </c>
      <c r="E47" s="345"/>
      <c r="F47" s="344"/>
      <c r="G47" s="344"/>
      <c r="H47" s="347">
        <f>$E$43/$E$40</f>
        <v>10044122.128046528</v>
      </c>
      <c r="I47" s="347">
        <f>$E$43/$E$40</f>
        <v>10044122.128046528</v>
      </c>
      <c r="J47" s="1"/>
      <c r="K47" s="1"/>
      <c r="L47" s="1"/>
      <c r="M47" s="1"/>
      <c r="N47" s="1"/>
      <c r="O47" s="1"/>
      <c r="P47" s="1"/>
    </row>
    <row r="48" spans="1:16" x14ac:dyDescent="0.2">
      <c r="D48" s="2"/>
      <c r="E48" s="297"/>
      <c r="F48" s="297"/>
      <c r="G48" s="297"/>
      <c r="H48" s="297"/>
      <c r="I48" s="297"/>
      <c r="J48" s="298"/>
      <c r="K48" s="298"/>
      <c r="L48" s="298"/>
      <c r="M48" s="298"/>
      <c r="N48" s="298"/>
      <c r="O48" s="298"/>
      <c r="P48" s="298"/>
    </row>
    <row r="49" spans="2:16" x14ac:dyDescent="0.2">
      <c r="D49" s="2"/>
      <c r="E49" s="297"/>
      <c r="F49" s="297"/>
      <c r="G49" s="297"/>
      <c r="H49" s="297"/>
      <c r="I49" s="297"/>
      <c r="J49" s="298"/>
      <c r="K49" s="298"/>
      <c r="L49" s="298"/>
      <c r="M49" s="298"/>
      <c r="N49" s="298"/>
      <c r="O49" s="298"/>
      <c r="P49" s="298"/>
    </row>
    <row r="50" spans="2:16" x14ac:dyDescent="0.2">
      <c r="D50" s="2"/>
      <c r="E50" s="297"/>
      <c r="F50" s="297"/>
      <c r="G50" s="297"/>
      <c r="H50" s="297"/>
      <c r="I50" s="297"/>
      <c r="J50" s="298"/>
      <c r="K50" s="298"/>
      <c r="L50" s="298"/>
      <c r="M50" s="298"/>
      <c r="N50" s="298"/>
      <c r="O50" s="298"/>
      <c r="P50" s="298"/>
    </row>
    <row r="51" spans="2:16" x14ac:dyDescent="0.2">
      <c r="D51" s="2"/>
      <c r="E51" s="297"/>
      <c r="F51" s="297"/>
      <c r="G51" s="297"/>
      <c r="H51" s="297"/>
      <c r="I51" s="297"/>
      <c r="J51" s="298"/>
      <c r="K51" s="298"/>
      <c r="L51" s="298"/>
      <c r="M51" s="298"/>
      <c r="N51" s="298"/>
      <c r="O51" s="298"/>
      <c r="P51" s="298"/>
    </row>
    <row r="52" spans="2:16" x14ac:dyDescent="0.2">
      <c r="D52" s="2"/>
      <c r="E52" s="297"/>
      <c r="F52" s="297"/>
      <c r="G52" s="297"/>
      <c r="H52" s="297"/>
      <c r="I52" s="297"/>
      <c r="J52" s="298"/>
      <c r="K52" s="298"/>
      <c r="L52" s="298"/>
      <c r="M52" s="298"/>
      <c r="N52" s="298"/>
      <c r="O52" s="298"/>
      <c r="P52" s="298"/>
    </row>
    <row r="53" spans="2:16" x14ac:dyDescent="0.2">
      <c r="D53" s="2"/>
      <c r="E53" s="297"/>
      <c r="F53" s="297"/>
      <c r="G53" s="297"/>
      <c r="H53" s="297"/>
      <c r="I53" s="297"/>
      <c r="J53" s="298"/>
      <c r="K53" s="298"/>
      <c r="L53" s="298"/>
      <c r="M53" s="298"/>
      <c r="N53" s="298"/>
      <c r="O53" s="298"/>
      <c r="P53" s="298"/>
    </row>
    <row r="54" spans="2:16" x14ac:dyDescent="0.2">
      <c r="D54" s="2"/>
      <c r="E54" s="297"/>
      <c r="F54" s="297"/>
      <c r="G54" s="297"/>
      <c r="H54" s="297"/>
      <c r="I54" s="297"/>
      <c r="J54" s="298"/>
      <c r="K54" s="298"/>
      <c r="L54" s="298"/>
      <c r="M54" s="298"/>
      <c r="N54" s="298"/>
      <c r="O54" s="298"/>
      <c r="P54" s="298"/>
    </row>
    <row r="55" spans="2:16" x14ac:dyDescent="0.2">
      <c r="B55" s="3"/>
    </row>
    <row r="56" spans="2:16" x14ac:dyDescent="0.2">
      <c r="D56" s="2"/>
      <c r="E56" s="146"/>
      <c r="F56" s="299"/>
      <c r="G56" s="146"/>
    </row>
    <row r="57" spans="2:16" x14ac:dyDescent="0.2">
      <c r="D57" s="2"/>
      <c r="E57" s="300"/>
      <c r="F57" s="300"/>
      <c r="G57" s="300"/>
      <c r="H57" s="297"/>
      <c r="I57" s="297"/>
      <c r="J57" s="298"/>
      <c r="K57" s="298"/>
      <c r="L57" s="298"/>
      <c r="M57" s="298"/>
      <c r="N57" s="298"/>
      <c r="O57" s="298"/>
      <c r="P57" s="298"/>
    </row>
    <row r="58" spans="2:16" x14ac:dyDescent="0.2">
      <c r="D58" s="2"/>
      <c r="E58" s="297"/>
      <c r="F58" s="297"/>
      <c r="G58" s="297"/>
      <c r="H58" s="297"/>
      <c r="I58" s="297"/>
      <c r="J58" s="298"/>
      <c r="K58" s="298"/>
      <c r="L58" s="298"/>
      <c r="M58" s="298"/>
      <c r="N58" s="298"/>
      <c r="O58" s="298"/>
      <c r="P58" s="298"/>
    </row>
    <row r="59" spans="2:16" x14ac:dyDescent="0.2">
      <c r="D59" s="2"/>
      <c r="E59" s="297"/>
      <c r="F59" s="297"/>
      <c r="G59" s="297"/>
      <c r="H59" s="297"/>
      <c r="I59" s="297"/>
      <c r="J59" s="298"/>
      <c r="K59" s="298"/>
      <c r="L59" s="298"/>
      <c r="M59" s="298"/>
      <c r="N59" s="298"/>
      <c r="O59" s="298"/>
      <c r="P59" s="298"/>
    </row>
    <row r="60" spans="2:16" x14ac:dyDescent="0.2">
      <c r="D60" s="2"/>
      <c r="E60" s="297"/>
      <c r="F60" s="297"/>
      <c r="G60" s="297"/>
      <c r="H60" s="297"/>
      <c r="I60" s="297"/>
      <c r="J60" s="298"/>
      <c r="K60" s="298"/>
      <c r="L60" s="298"/>
      <c r="M60" s="298"/>
      <c r="N60" s="298"/>
      <c r="O60" s="298"/>
      <c r="P60" s="298"/>
    </row>
    <row r="61" spans="2:16" x14ac:dyDescent="0.2">
      <c r="D61" s="2"/>
      <c r="E61" s="297"/>
      <c r="F61" s="297"/>
      <c r="G61" s="297"/>
      <c r="H61" s="297"/>
      <c r="I61" s="297"/>
      <c r="J61" s="298"/>
      <c r="K61" s="298"/>
      <c r="L61" s="298"/>
      <c r="M61" s="298"/>
      <c r="N61" s="298"/>
      <c r="O61" s="298"/>
      <c r="P61" s="298"/>
    </row>
    <row r="62" spans="2:16" x14ac:dyDescent="0.2">
      <c r="D62" s="2"/>
      <c r="E62" s="297"/>
      <c r="F62" s="297"/>
      <c r="G62" s="297"/>
      <c r="H62" s="297"/>
      <c r="I62" s="297"/>
      <c r="J62" s="298"/>
      <c r="K62" s="298"/>
      <c r="L62" s="298"/>
      <c r="M62" s="298"/>
      <c r="N62" s="298"/>
      <c r="O62" s="298"/>
      <c r="P62" s="298"/>
    </row>
    <row r="63" spans="2:16" x14ac:dyDescent="0.2">
      <c r="D63" s="2"/>
      <c r="E63" s="297"/>
      <c r="F63" s="297"/>
      <c r="G63" s="297"/>
      <c r="H63" s="297"/>
      <c r="I63" s="297"/>
      <c r="J63" s="297"/>
      <c r="K63" s="297"/>
      <c r="L63" s="297"/>
      <c r="M63" s="297"/>
      <c r="N63" s="297"/>
      <c r="O63" s="297"/>
      <c r="P63" s="297"/>
    </row>
    <row r="64" spans="2:16" x14ac:dyDescent="0.2">
      <c r="D64" s="2"/>
      <c r="E64" s="297"/>
      <c r="F64" s="297"/>
      <c r="G64" s="297"/>
      <c r="H64" s="297"/>
      <c r="I64" s="297"/>
      <c r="J64" s="297"/>
      <c r="K64" s="297"/>
      <c r="L64" s="297"/>
      <c r="M64" s="297"/>
      <c r="N64" s="297"/>
      <c r="O64" s="297"/>
      <c r="P64" s="297"/>
    </row>
    <row r="65" spans="1:16" x14ac:dyDescent="0.2">
      <c r="B65" s="3"/>
    </row>
    <row r="66" spans="1:16" x14ac:dyDescent="0.2">
      <c r="B66" s="3"/>
      <c r="D66" s="2"/>
      <c r="E66" s="301"/>
    </row>
    <row r="67" spans="1:16" x14ac:dyDescent="0.2">
      <c r="D67" s="2"/>
      <c r="E67" s="297"/>
      <c r="F67" s="297"/>
      <c r="G67" s="297"/>
      <c r="H67" s="297"/>
      <c r="I67" s="297"/>
      <c r="J67" s="298"/>
      <c r="K67" s="298"/>
      <c r="L67" s="298"/>
      <c r="M67" s="298"/>
      <c r="N67" s="298"/>
      <c r="O67" s="298"/>
      <c r="P67" s="298"/>
    </row>
    <row r="68" spans="1:16" x14ac:dyDescent="0.2">
      <c r="A68" s="301"/>
      <c r="B68" s="301"/>
      <c r="C68" s="301"/>
      <c r="D68" s="302"/>
      <c r="E68" s="303"/>
      <c r="F68" s="303"/>
      <c r="G68" s="303"/>
      <c r="H68" s="303"/>
      <c r="I68" s="303"/>
      <c r="J68" s="303"/>
      <c r="K68" s="303"/>
      <c r="L68" s="303"/>
      <c r="M68" s="303"/>
      <c r="N68" s="303"/>
      <c r="O68" s="303"/>
      <c r="P68" s="303"/>
    </row>
    <row r="69" spans="1:16" x14ac:dyDescent="0.2">
      <c r="D69" s="2"/>
      <c r="E69" s="297"/>
      <c r="F69" s="297"/>
      <c r="G69" s="297"/>
      <c r="H69" s="297"/>
      <c r="I69" s="297"/>
      <c r="J69" s="298"/>
      <c r="K69" s="298"/>
      <c r="L69" s="298"/>
      <c r="M69" s="298"/>
      <c r="N69" s="298"/>
      <c r="O69" s="298"/>
      <c r="P69" s="298"/>
    </row>
    <row r="70" spans="1:16" x14ac:dyDescent="0.2">
      <c r="D70" s="2"/>
      <c r="E70" s="297"/>
      <c r="F70" s="297"/>
      <c r="G70" s="297"/>
      <c r="H70" s="297"/>
      <c r="I70" s="297"/>
      <c r="J70" s="298"/>
      <c r="K70" s="298"/>
      <c r="L70" s="298"/>
      <c r="M70" s="298"/>
      <c r="N70" s="298"/>
      <c r="O70" s="298"/>
      <c r="P70" s="298"/>
    </row>
    <row r="71" spans="1:16" x14ac:dyDescent="0.2">
      <c r="D71" s="2"/>
      <c r="E71" s="297"/>
      <c r="F71" s="297"/>
      <c r="G71" s="297"/>
      <c r="H71" s="297"/>
      <c r="I71" s="297"/>
      <c r="J71" s="298"/>
      <c r="K71" s="298"/>
      <c r="L71" s="298"/>
      <c r="M71" s="298"/>
      <c r="N71" s="298"/>
      <c r="O71" s="298"/>
      <c r="P71" s="298"/>
    </row>
    <row r="72" spans="1:16" x14ac:dyDescent="0.2">
      <c r="D72" s="2"/>
      <c r="E72" s="297"/>
      <c r="F72" s="297"/>
      <c r="G72" s="297"/>
      <c r="H72" s="297"/>
      <c r="I72" s="297"/>
      <c r="J72" s="298"/>
      <c r="K72" s="298"/>
      <c r="L72" s="298"/>
      <c r="M72" s="298"/>
      <c r="N72" s="298"/>
      <c r="O72" s="298"/>
      <c r="P72" s="298"/>
    </row>
    <row r="73" spans="1:16" x14ac:dyDescent="0.2">
      <c r="D73" s="2"/>
      <c r="E73" s="297"/>
      <c r="F73" s="297"/>
      <c r="G73" s="297"/>
      <c r="H73" s="297"/>
      <c r="I73" s="297"/>
      <c r="J73" s="297"/>
      <c r="K73" s="297"/>
      <c r="L73" s="297"/>
      <c r="M73" s="297"/>
      <c r="N73" s="297"/>
      <c r="O73" s="297"/>
      <c r="P73" s="297"/>
    </row>
    <row r="75" spans="1:16" x14ac:dyDescent="0.2">
      <c r="B75" s="3"/>
    </row>
    <row r="76" spans="1:16" x14ac:dyDescent="0.2">
      <c r="B76" s="3"/>
      <c r="D76" s="2"/>
    </row>
    <row r="77" spans="1:16" x14ac:dyDescent="0.2">
      <c r="D77" s="2"/>
      <c r="E77" s="297"/>
      <c r="F77" s="297"/>
      <c r="G77" s="297"/>
      <c r="H77" s="297"/>
      <c r="I77" s="297"/>
      <c r="J77" s="298"/>
      <c r="K77" s="298"/>
      <c r="L77" s="298"/>
      <c r="M77" s="298"/>
      <c r="N77" s="298"/>
      <c r="O77" s="298"/>
      <c r="P77" s="298"/>
    </row>
    <row r="78" spans="1:16" x14ac:dyDescent="0.2">
      <c r="D78" s="2"/>
      <c r="E78" s="297"/>
      <c r="F78" s="297"/>
      <c r="G78" s="297"/>
      <c r="H78" s="297"/>
      <c r="I78" s="297"/>
      <c r="J78" s="298"/>
      <c r="K78" s="298"/>
      <c r="L78" s="298"/>
      <c r="M78" s="298"/>
      <c r="N78" s="298"/>
      <c r="O78" s="298"/>
      <c r="P78" s="298"/>
    </row>
    <row r="79" spans="1:16" x14ac:dyDescent="0.2">
      <c r="D79" s="2"/>
      <c r="E79" s="297"/>
      <c r="F79" s="297"/>
      <c r="G79" s="304"/>
      <c r="H79" s="304"/>
      <c r="I79" s="304"/>
      <c r="J79" s="304"/>
      <c r="K79" s="304"/>
      <c r="L79" s="304"/>
      <c r="M79" s="304"/>
      <c r="N79" s="304"/>
      <c r="O79" s="304"/>
      <c r="P79" s="304"/>
    </row>
    <row r="80" spans="1:16" x14ac:dyDescent="0.2">
      <c r="D80" s="2"/>
      <c r="E80" s="297"/>
      <c r="F80" s="297"/>
      <c r="G80" s="305"/>
      <c r="H80" s="305"/>
      <c r="I80" s="305"/>
      <c r="J80" s="305"/>
      <c r="K80" s="305"/>
      <c r="L80" s="305"/>
      <c r="M80" s="305"/>
      <c r="N80" s="305"/>
      <c r="O80" s="305"/>
      <c r="P80" s="305"/>
    </row>
    <row r="81" spans="2:16" x14ac:dyDescent="0.2">
      <c r="D81" s="2"/>
      <c r="E81" s="297"/>
      <c r="F81" s="297"/>
      <c r="G81" s="305"/>
      <c r="H81" s="305"/>
      <c r="I81" s="305"/>
      <c r="J81" s="305"/>
      <c r="K81" s="305"/>
      <c r="L81" s="305"/>
      <c r="M81" s="305"/>
      <c r="N81" s="305"/>
      <c r="O81" s="305"/>
      <c r="P81" s="305"/>
    </row>
    <row r="82" spans="2:16" x14ac:dyDescent="0.2">
      <c r="D82" s="2"/>
      <c r="E82" s="297"/>
      <c r="F82" s="297"/>
      <c r="G82" s="305"/>
      <c r="H82" s="305"/>
      <c r="I82" s="305"/>
      <c r="J82" s="305"/>
      <c r="K82" s="305"/>
      <c r="L82" s="305"/>
      <c r="M82" s="305"/>
      <c r="N82" s="305"/>
      <c r="O82" s="305"/>
      <c r="P82" s="305"/>
    </row>
    <row r="83" spans="2:16" x14ac:dyDescent="0.2">
      <c r="D83" s="2"/>
      <c r="E83" s="297"/>
      <c r="F83" s="297"/>
      <c r="G83" s="297"/>
      <c r="H83" s="297"/>
      <c r="I83" s="297"/>
      <c r="J83" s="297"/>
      <c r="K83" s="297"/>
      <c r="L83" s="297"/>
      <c r="M83" s="297"/>
      <c r="N83" s="297"/>
      <c r="O83" s="297"/>
      <c r="P83" s="297"/>
    </row>
    <row r="84" spans="2:16" x14ac:dyDescent="0.2">
      <c r="D84" s="2"/>
      <c r="H84" s="297"/>
      <c r="I84" s="297"/>
      <c r="J84" s="297"/>
      <c r="K84" s="297"/>
      <c r="L84" s="297"/>
      <c r="M84" s="297"/>
      <c r="N84" s="297"/>
      <c r="O84" s="297"/>
      <c r="P84" s="297"/>
    </row>
    <row r="85" spans="2:16" x14ac:dyDescent="0.2">
      <c r="B85" s="3"/>
    </row>
    <row r="86" spans="2:16" x14ac:dyDescent="0.2">
      <c r="B86" s="3"/>
      <c r="D86" s="2"/>
    </row>
    <row r="87" spans="2:16" x14ac:dyDescent="0.2">
      <c r="D87" s="2"/>
      <c r="E87" s="297"/>
      <c r="F87" s="297"/>
      <c r="G87" s="297"/>
      <c r="H87" s="297"/>
      <c r="I87" s="297"/>
      <c r="J87" s="298"/>
      <c r="K87" s="298"/>
      <c r="L87" s="298"/>
      <c r="M87" s="298"/>
      <c r="N87" s="298"/>
      <c r="O87" s="298"/>
      <c r="P87" s="298"/>
    </row>
    <row r="88" spans="2:16" x14ac:dyDescent="0.2">
      <c r="D88" s="2"/>
      <c r="E88" s="297"/>
      <c r="F88" s="297"/>
      <c r="G88" s="297"/>
      <c r="H88" s="297"/>
      <c r="I88" s="297"/>
      <c r="J88" s="298"/>
      <c r="K88" s="298"/>
      <c r="L88" s="298"/>
      <c r="M88" s="298"/>
      <c r="N88" s="298"/>
      <c r="O88" s="298"/>
      <c r="P88" s="298"/>
    </row>
    <row r="89" spans="2:16" x14ac:dyDescent="0.2">
      <c r="D89" s="2"/>
      <c r="E89" s="292"/>
      <c r="F89" s="292"/>
      <c r="G89" s="292"/>
      <c r="H89" s="297"/>
      <c r="I89" s="297"/>
      <c r="J89" s="298"/>
      <c r="K89" s="298"/>
      <c r="L89" s="298"/>
      <c r="M89" s="298"/>
      <c r="N89" s="298"/>
      <c r="O89" s="298"/>
      <c r="P89" s="298"/>
    </row>
    <row r="90" spans="2:16" x14ac:dyDescent="0.2">
      <c r="D90" s="2"/>
      <c r="E90" s="292"/>
      <c r="F90" s="292"/>
      <c r="G90" s="292"/>
      <c r="H90" s="297"/>
      <c r="I90" s="297"/>
      <c r="J90" s="298"/>
      <c r="K90" s="298"/>
      <c r="L90" s="298"/>
      <c r="M90" s="298"/>
      <c r="N90" s="298"/>
      <c r="O90" s="298"/>
      <c r="P90" s="298"/>
    </row>
    <row r="91" spans="2:16" x14ac:dyDescent="0.2">
      <c r="D91" s="2"/>
      <c r="E91" s="292"/>
      <c r="F91" s="292"/>
      <c r="G91" s="292"/>
      <c r="H91" s="297"/>
      <c r="I91" s="297"/>
      <c r="J91" s="298"/>
      <c r="K91" s="298"/>
      <c r="L91" s="298"/>
      <c r="M91" s="298"/>
      <c r="N91" s="298"/>
      <c r="O91" s="298"/>
      <c r="P91" s="298"/>
    </row>
    <row r="92" spans="2:16" x14ac:dyDescent="0.2">
      <c r="D92" s="2"/>
      <c r="E92" s="292"/>
      <c r="F92" s="292"/>
      <c r="G92" s="292"/>
      <c r="H92" s="297"/>
      <c r="I92" s="297"/>
      <c r="J92" s="298"/>
      <c r="K92" s="298"/>
      <c r="L92" s="298"/>
      <c r="M92" s="298"/>
      <c r="N92" s="298"/>
      <c r="O92" s="298"/>
      <c r="P92" s="298"/>
    </row>
  </sheetData>
  <pageMargins left="0.7" right="0.7" top="0.75" bottom="0.75" header="0.3" footer="0.3"/>
  <pageSetup paperSize="9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329EB-189B-45B1-BFDB-E63EC15517F1}">
  <sheetPr codeName="Sheet12">
    <tabColor rgb="FFFFFF00"/>
  </sheetPr>
  <dimension ref="A1:N126"/>
  <sheetViews>
    <sheetView showGridLines="0"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7.75" defaultRowHeight="12.75" x14ac:dyDescent="0.2"/>
  <cols>
    <col min="1" max="1" width="4" style="324" customWidth="1"/>
    <col min="2" max="2" width="46.125" style="325" customWidth="1"/>
    <col min="3" max="3" width="7.375" style="325" customWidth="1"/>
    <col min="4" max="4" width="13.875" style="325" customWidth="1"/>
    <col min="5" max="5" width="14.75" style="325" customWidth="1"/>
    <col min="6" max="6" width="14.5" style="325" customWidth="1"/>
    <col min="7" max="7" width="13.375" style="325" customWidth="1"/>
    <col min="8" max="8" width="3" customWidth="1"/>
    <col min="9" max="9" width="16.5" customWidth="1"/>
    <col min="10" max="10" width="14.375" customWidth="1"/>
  </cols>
  <sheetData>
    <row r="1" spans="1:9" ht="18.75" x14ac:dyDescent="0.3">
      <c r="A1" s="13" t="str">
        <f>bus</f>
        <v>Powercor</v>
      </c>
      <c r="B1" s="9"/>
      <c r="C1" s="9"/>
      <c r="D1" s="9"/>
      <c r="E1" s="9"/>
      <c r="F1" s="9"/>
      <c r="G1" s="9"/>
    </row>
    <row r="2" spans="1:9" ht="18.75" x14ac:dyDescent="0.3">
      <c r="A2" s="50" t="str">
        <f>proj</f>
        <v>Horsham REFCL</v>
      </c>
      <c r="B2" s="9"/>
      <c r="C2" s="9"/>
      <c r="D2" s="9"/>
      <c r="E2" s="9"/>
      <c r="F2" s="9"/>
      <c r="G2" s="9"/>
    </row>
    <row r="3" spans="1:9" ht="18.75" x14ac:dyDescent="0.3">
      <c r="A3" s="5" t="s">
        <v>356</v>
      </c>
      <c r="B3" s="280"/>
      <c r="C3" s="5"/>
      <c r="D3" s="5"/>
      <c r="E3" s="5"/>
      <c r="F3" s="1"/>
      <c r="G3" s="1"/>
    </row>
    <row r="4" spans="1:9" x14ac:dyDescent="0.2">
      <c r="B4" s="1"/>
      <c r="C4" s="1"/>
      <c r="D4" s="1"/>
      <c r="E4" s="1"/>
      <c r="F4" s="1"/>
      <c r="G4" s="1"/>
    </row>
    <row r="5" spans="1:9" ht="15" x14ac:dyDescent="0.2">
      <c r="A5" s="282"/>
      <c r="B5" s="282"/>
      <c r="C5" s="282"/>
      <c r="D5" s="282"/>
      <c r="E5" s="282"/>
      <c r="F5" s="282"/>
      <c r="G5" s="282"/>
    </row>
    <row r="6" spans="1:9" x14ac:dyDescent="0.2">
      <c r="A6" s="206" t="s">
        <v>357</v>
      </c>
      <c r="B6" s="1"/>
      <c r="C6" s="1"/>
      <c r="D6" s="1"/>
      <c r="E6" s="1"/>
      <c r="F6" s="1"/>
      <c r="G6" s="1"/>
      <c r="H6" s="6"/>
      <c r="I6" s="6"/>
    </row>
    <row r="7" spans="1:9" x14ac:dyDescent="0.2">
      <c r="A7" s="1"/>
      <c r="B7" s="341"/>
      <c r="C7" s="1"/>
      <c r="D7" s="1"/>
      <c r="E7" s="1"/>
      <c r="F7" s="1"/>
      <c r="G7" s="1"/>
      <c r="H7" s="6"/>
      <c r="I7" s="6"/>
    </row>
    <row r="8" spans="1:9" x14ac:dyDescent="0.2">
      <c r="B8" s="354" t="s">
        <v>346</v>
      </c>
      <c r="C8" s="354"/>
      <c r="D8" s="355" t="s">
        <v>347</v>
      </c>
      <c r="E8" s="355" t="s">
        <v>348</v>
      </c>
      <c r="F8" s="355" t="s">
        <v>349</v>
      </c>
      <c r="G8" s="356" t="s">
        <v>350</v>
      </c>
      <c r="H8" s="6"/>
      <c r="I8" s="6"/>
    </row>
    <row r="9" spans="1:9" ht="15" customHeight="1" x14ac:dyDescent="0.2">
      <c r="B9" s="411" t="s">
        <v>351</v>
      </c>
      <c r="C9" s="412"/>
      <c r="D9" s="357">
        <v>3868271</v>
      </c>
      <c r="E9" s="357">
        <v>2906972</v>
      </c>
      <c r="F9" s="357">
        <v>1318670</v>
      </c>
      <c r="G9" s="358">
        <f>SUM(D9:F9)</f>
        <v>8093913</v>
      </c>
      <c r="H9" s="6"/>
      <c r="I9" s="6"/>
    </row>
    <row r="10" spans="1:9" ht="15" customHeight="1" x14ac:dyDescent="0.2">
      <c r="B10" s="411" t="s">
        <v>286</v>
      </c>
      <c r="C10" s="412"/>
      <c r="D10" s="357">
        <v>3669047.4825898348</v>
      </c>
      <c r="E10" s="357">
        <v>3268130.0392951295</v>
      </c>
      <c r="F10" s="357">
        <v>1441095.7342080898</v>
      </c>
      <c r="G10" s="358">
        <f>SUM(D10:F10)</f>
        <v>8378273.256093055</v>
      </c>
      <c r="H10" s="6"/>
      <c r="I10" s="6"/>
    </row>
    <row r="11" spans="1:9" ht="15" customHeight="1" x14ac:dyDescent="0.2">
      <c r="B11" s="336"/>
      <c r="C11" s="336"/>
      <c r="D11" s="337"/>
      <c r="E11" s="337"/>
      <c r="F11" s="337"/>
      <c r="G11" s="337"/>
      <c r="H11" s="6"/>
      <c r="I11" s="6"/>
    </row>
    <row r="12" spans="1:9" ht="25.5" x14ac:dyDescent="0.2">
      <c r="B12" s="359" t="s">
        <v>352</v>
      </c>
      <c r="C12" s="359"/>
      <c r="D12" s="355" t="s">
        <v>347</v>
      </c>
      <c r="E12" s="355" t="s">
        <v>348</v>
      </c>
      <c r="F12" s="355" t="s">
        <v>349</v>
      </c>
      <c r="G12" s="355" t="s">
        <v>350</v>
      </c>
      <c r="H12" s="6"/>
      <c r="I12" s="6"/>
    </row>
    <row r="13" spans="1:9" x14ac:dyDescent="0.2">
      <c r="B13" s="413" t="s">
        <v>287</v>
      </c>
      <c r="C13" s="414"/>
      <c r="D13" s="360">
        <v>2143871</v>
      </c>
      <c r="E13" s="360">
        <v>2319545</v>
      </c>
      <c r="F13" s="360">
        <v>1118670</v>
      </c>
      <c r="G13" s="357">
        <f>SUM(D13:F13)</f>
        <v>5582086</v>
      </c>
      <c r="H13" s="6"/>
      <c r="I13" s="6"/>
    </row>
    <row r="14" spans="1:9" x14ac:dyDescent="0.2">
      <c r="B14" s="413" t="s">
        <v>288</v>
      </c>
      <c r="C14" s="414"/>
      <c r="D14" s="360">
        <v>1724400</v>
      </c>
      <c r="E14" s="360">
        <v>587427</v>
      </c>
      <c r="F14" s="360">
        <v>200000</v>
      </c>
      <c r="G14" s="357">
        <f>SUM(D14:F14)</f>
        <v>2511827</v>
      </c>
      <c r="H14" s="6"/>
      <c r="I14" s="6"/>
    </row>
    <row r="15" spans="1:9" x14ac:dyDescent="0.2">
      <c r="B15" s="411" t="s">
        <v>16</v>
      </c>
      <c r="C15" s="412"/>
      <c r="D15" s="358">
        <f>SUM(D13:D14)</f>
        <v>3868271</v>
      </c>
      <c r="E15" s="358">
        <f>SUM(E13:E14)</f>
        <v>2906972</v>
      </c>
      <c r="F15" s="358">
        <f>SUM(F13:F14)</f>
        <v>1318670</v>
      </c>
      <c r="G15" s="358">
        <f>SUM(G13:G14)</f>
        <v>8093913</v>
      </c>
      <c r="H15" s="6"/>
      <c r="I15" s="6"/>
    </row>
    <row r="16" spans="1:9" x14ac:dyDescent="0.2">
      <c r="B16" s="327"/>
      <c r="C16" s="327"/>
      <c r="D16" s="328"/>
      <c r="E16" s="328"/>
      <c r="F16" s="328"/>
      <c r="G16" s="326"/>
      <c r="H16" s="6"/>
      <c r="I16" s="6"/>
    </row>
    <row r="17" spans="1:14" x14ac:dyDescent="0.2">
      <c r="B17" s="415" t="s">
        <v>289</v>
      </c>
      <c r="C17" s="416"/>
      <c r="D17" s="329" t="s">
        <v>347</v>
      </c>
      <c r="E17" s="329" t="s">
        <v>348</v>
      </c>
      <c r="F17" s="329" t="s">
        <v>349</v>
      </c>
      <c r="G17" s="330" t="s">
        <v>350</v>
      </c>
      <c r="H17" s="6"/>
      <c r="I17" s="6"/>
    </row>
    <row r="18" spans="1:14" x14ac:dyDescent="0.2">
      <c r="B18" s="411" t="s">
        <v>290</v>
      </c>
      <c r="C18" s="412"/>
      <c r="D18" s="382">
        <f>SUM(D19:D20)</f>
        <v>3221069.2173990002</v>
      </c>
      <c r="E18" s="382">
        <f>SUM(E19:E20)</f>
        <v>1981969.6277069999</v>
      </c>
      <c r="F18" s="382">
        <f>SUM(F19:F20)</f>
        <v>1448534.6338815</v>
      </c>
      <c r="G18" s="382">
        <f t="shared" ref="G18:G32" si="0">SUM(D18:F18)</f>
        <v>6651573.4789875001</v>
      </c>
      <c r="H18" s="6"/>
      <c r="I18" s="6"/>
    </row>
    <row r="19" spans="1:14" x14ac:dyDescent="0.2">
      <c r="B19" s="413" t="s">
        <v>291</v>
      </c>
      <c r="C19" s="414"/>
      <c r="D19" s="380">
        <v>1918658.8822230001</v>
      </c>
      <c r="E19" s="380">
        <v>1477306.1579715</v>
      </c>
      <c r="F19" s="380">
        <v>1190759.411475</v>
      </c>
      <c r="G19" s="380">
        <f t="shared" si="0"/>
        <v>4586724.4516695002</v>
      </c>
      <c r="H19" s="6"/>
      <c r="I19" s="6"/>
    </row>
    <row r="20" spans="1:14" x14ac:dyDescent="0.2">
      <c r="B20" s="413" t="s">
        <v>292</v>
      </c>
      <c r="C20" s="414"/>
      <c r="D20" s="380">
        <v>1302410.3351759999</v>
      </c>
      <c r="E20" s="380">
        <v>504663.4697355</v>
      </c>
      <c r="F20" s="380">
        <v>257775.22240649999</v>
      </c>
      <c r="G20" s="380">
        <f t="shared" si="0"/>
        <v>2064849.0273179999</v>
      </c>
      <c r="H20" s="6"/>
      <c r="I20" s="6"/>
    </row>
    <row r="21" spans="1:14" x14ac:dyDescent="0.2">
      <c r="A21"/>
      <c r="B21"/>
      <c r="C21"/>
      <c r="D21"/>
      <c r="E21"/>
      <c r="F21"/>
      <c r="G21"/>
    </row>
    <row r="22" spans="1:14" x14ac:dyDescent="0.2">
      <c r="B22" s="409" t="s">
        <v>293</v>
      </c>
      <c r="C22" s="410"/>
      <c r="D22" s="382">
        <f>SUM(D23:D24)</f>
        <v>3440672.0061558001</v>
      </c>
      <c r="E22" s="382">
        <f>SUM(E23:E24)</f>
        <v>2247350.8859232003</v>
      </c>
      <c r="F22" s="382">
        <f>SUM(F23:F24)</f>
        <v>1829605.1080818002</v>
      </c>
      <c r="G22" s="382">
        <f t="shared" si="0"/>
        <v>7517628.0001608003</v>
      </c>
      <c r="H22" s="6"/>
      <c r="I22" s="6"/>
    </row>
    <row r="23" spans="1:14" x14ac:dyDescent="0.2">
      <c r="B23" s="406" t="s">
        <v>291</v>
      </c>
      <c r="C23" s="407"/>
      <c r="D23" s="391">
        <v>1938487.1051041002</v>
      </c>
      <c r="E23" s="391">
        <v>1828752.1201456001</v>
      </c>
      <c r="F23" s="391">
        <v>1417292.3457496001</v>
      </c>
      <c r="G23" s="380">
        <f t="shared" si="0"/>
        <v>5184531.5709993001</v>
      </c>
      <c r="H23" s="6"/>
      <c r="I23" s="6"/>
    </row>
    <row r="24" spans="1:14" x14ac:dyDescent="0.2">
      <c r="B24" s="413" t="s">
        <v>292</v>
      </c>
      <c r="C24" s="414"/>
      <c r="D24" s="391">
        <v>1502184.9010517001</v>
      </c>
      <c r="E24" s="391">
        <v>418598.76577760006</v>
      </c>
      <c r="F24" s="391">
        <v>412312.76233220001</v>
      </c>
      <c r="G24" s="380">
        <f t="shared" si="0"/>
        <v>2333096.4291615002</v>
      </c>
      <c r="H24" s="6"/>
      <c r="I24" s="6"/>
    </row>
    <row r="25" spans="1:14" x14ac:dyDescent="0.2">
      <c r="B25" s="324"/>
      <c r="C25" s="324"/>
      <c r="D25" s="324"/>
      <c r="E25" s="324"/>
      <c r="F25" s="324"/>
      <c r="G25" s="324"/>
      <c r="H25" s="324"/>
      <c r="I25" s="324"/>
      <c r="J25" s="324"/>
      <c r="K25" s="324"/>
      <c r="L25" s="324"/>
      <c r="M25" s="324"/>
    </row>
    <row r="26" spans="1:14" x14ac:dyDescent="0.2">
      <c r="B26" s="409" t="s">
        <v>294</v>
      </c>
      <c r="C26" s="410"/>
      <c r="D26" s="382">
        <f>SUM(D27:D28)</f>
        <v>3332336.9116889001</v>
      </c>
      <c r="E26" s="382">
        <f>SUM(E27:E28)</f>
        <v>2273063.1832242999</v>
      </c>
      <c r="F26" s="382">
        <f>SUM(F27:F28)</f>
        <v>2062963.7021526</v>
      </c>
      <c r="G26" s="382">
        <f t="shared" si="0"/>
        <v>7668363.7970658001</v>
      </c>
      <c r="H26" s="6"/>
      <c r="I26" s="6"/>
    </row>
    <row r="27" spans="1:14" x14ac:dyDescent="0.2">
      <c r="B27" s="406" t="s">
        <v>291</v>
      </c>
      <c r="C27" s="407"/>
      <c r="D27" s="391">
        <v>1849949.6580799001</v>
      </c>
      <c r="E27" s="391">
        <v>1828752.1201456001</v>
      </c>
      <c r="F27" s="391">
        <v>1752215.020551</v>
      </c>
      <c r="G27" s="380">
        <f t="shared" si="0"/>
        <v>5430916.7987764999</v>
      </c>
      <c r="H27" s="6"/>
      <c r="I27" s="6"/>
    </row>
    <row r="28" spans="1:14" x14ac:dyDescent="0.2">
      <c r="B28" s="413" t="s">
        <v>292</v>
      </c>
      <c r="C28" s="414"/>
      <c r="D28" s="391">
        <v>1482387.253609</v>
      </c>
      <c r="E28" s="391">
        <v>444311.06307870004</v>
      </c>
      <c r="F28" s="391">
        <v>310748.68160160002</v>
      </c>
      <c r="G28" s="380">
        <f t="shared" si="0"/>
        <v>2237446.9982893001</v>
      </c>
      <c r="H28" s="6"/>
      <c r="I28" s="6"/>
    </row>
    <row r="29" spans="1:14" x14ac:dyDescent="0.2">
      <c r="B29" s="324"/>
      <c r="C29" s="324"/>
      <c r="D29" s="324"/>
      <c r="E29" s="324"/>
      <c r="F29" s="324"/>
      <c r="G29" s="324"/>
      <c r="H29" s="324"/>
      <c r="I29" s="324"/>
      <c r="J29" s="324"/>
      <c r="K29" s="324"/>
      <c r="L29" s="324"/>
      <c r="M29" s="324"/>
      <c r="N29" s="324"/>
    </row>
    <row r="30" spans="1:14" x14ac:dyDescent="0.2">
      <c r="B30" s="409" t="s">
        <v>295</v>
      </c>
      <c r="C30" s="410"/>
      <c r="D30" s="382">
        <f>SUM(D31:D32)</f>
        <v>3331359.3784145666</v>
      </c>
      <c r="E30" s="382">
        <f>SUM(E31:E32)</f>
        <v>2167461.2322848332</v>
      </c>
      <c r="F30" s="382">
        <f>SUM(F31:F32)</f>
        <v>1780367.8147052997</v>
      </c>
      <c r="G30" s="382">
        <f t="shared" si="0"/>
        <v>7279188.4254046995</v>
      </c>
      <c r="H30" s="6"/>
      <c r="I30" s="6"/>
    </row>
    <row r="31" spans="1:14" x14ac:dyDescent="0.2">
      <c r="B31" s="406" t="s">
        <v>291</v>
      </c>
      <c r="C31" s="407"/>
      <c r="D31" s="391">
        <v>1902365.2151356668</v>
      </c>
      <c r="E31" s="391">
        <v>1711603.4660875667</v>
      </c>
      <c r="F31" s="391">
        <v>1453422.2592585331</v>
      </c>
      <c r="G31" s="380">
        <f t="shared" si="0"/>
        <v>5067390.9404817661</v>
      </c>
      <c r="H31" s="6"/>
      <c r="I31" s="6"/>
    </row>
    <row r="32" spans="1:14" x14ac:dyDescent="0.2">
      <c r="B32" s="406" t="s">
        <v>292</v>
      </c>
      <c r="C32" s="407"/>
      <c r="D32" s="391">
        <v>1428994.1632789001</v>
      </c>
      <c r="E32" s="391">
        <v>455857.7661972667</v>
      </c>
      <c r="F32" s="391">
        <v>326945.55544676667</v>
      </c>
      <c r="G32" s="380">
        <f t="shared" si="0"/>
        <v>2211797.4849229334</v>
      </c>
      <c r="H32" s="6"/>
      <c r="I32" s="6"/>
    </row>
    <row r="33" spans="2:12" x14ac:dyDescent="0.2">
      <c r="B33" s="338"/>
      <c r="C33" s="338"/>
      <c r="D33" s="339"/>
      <c r="E33" s="339"/>
      <c r="F33" s="339"/>
      <c r="G33" s="339"/>
      <c r="H33" s="6"/>
      <c r="I33" s="6"/>
    </row>
    <row r="34" spans="2:12" ht="25.5" x14ac:dyDescent="0.2">
      <c r="B34" s="354" t="s">
        <v>353</v>
      </c>
      <c r="C34" s="354"/>
      <c r="D34" s="355" t="s">
        <v>347</v>
      </c>
      <c r="E34" s="355" t="s">
        <v>348</v>
      </c>
      <c r="F34" s="355" t="s">
        <v>349</v>
      </c>
      <c r="G34" s="355" t="s">
        <v>350</v>
      </c>
      <c r="H34" s="326"/>
      <c r="I34" s="6"/>
    </row>
    <row r="35" spans="2:12" x14ac:dyDescent="0.2">
      <c r="B35" s="324"/>
      <c r="C35" s="324"/>
      <c r="D35" s="324"/>
      <c r="E35" s="324"/>
      <c r="F35" s="324"/>
      <c r="G35" s="324"/>
      <c r="H35" s="324"/>
      <c r="I35" s="324"/>
      <c r="J35" s="324"/>
      <c r="K35" s="324"/>
      <c r="L35" s="324"/>
    </row>
    <row r="36" spans="2:12" x14ac:dyDescent="0.2">
      <c r="B36" s="364" t="s">
        <v>297</v>
      </c>
      <c r="C36" s="365">
        <v>1</v>
      </c>
      <c r="D36" s="357">
        <f t="shared" ref="D36:D54" si="1">C36*D64</f>
        <v>495744</v>
      </c>
      <c r="E36" s="357">
        <f t="shared" ref="E36:E54" si="2">C36*E64</f>
        <v>0</v>
      </c>
      <c r="F36" s="357">
        <f t="shared" ref="F36:F54" si="3">C36*F64</f>
        <v>404483.72</v>
      </c>
      <c r="G36" s="358">
        <f t="shared" ref="G36:G54" si="4">SUM(D36:F36)</f>
        <v>900227.72</v>
      </c>
      <c r="H36" s="325"/>
      <c r="I36" s="6"/>
    </row>
    <row r="37" spans="2:12" x14ac:dyDescent="0.2">
      <c r="B37" s="364" t="s">
        <v>298</v>
      </c>
      <c r="C37" s="365">
        <v>345</v>
      </c>
      <c r="D37" s="357">
        <f t="shared" si="1"/>
        <v>409590.9</v>
      </c>
      <c r="E37" s="357">
        <f t="shared" si="2"/>
        <v>124200</v>
      </c>
      <c r="F37" s="357">
        <f t="shared" si="3"/>
        <v>79350</v>
      </c>
      <c r="G37" s="358">
        <f t="shared" si="4"/>
        <v>613140.9</v>
      </c>
      <c r="H37" s="325"/>
      <c r="I37" s="6"/>
    </row>
    <row r="38" spans="2:12" x14ac:dyDescent="0.2">
      <c r="B38" s="364" t="s">
        <v>299</v>
      </c>
      <c r="C38" s="365">
        <v>880</v>
      </c>
      <c r="D38" s="357">
        <f t="shared" si="1"/>
        <v>1044753.6</v>
      </c>
      <c r="E38" s="357">
        <f t="shared" si="2"/>
        <v>502199.99999999994</v>
      </c>
      <c r="F38" s="357">
        <f t="shared" si="3"/>
        <v>202400</v>
      </c>
      <c r="G38" s="358">
        <f t="shared" si="4"/>
        <v>1749353.5999999999</v>
      </c>
      <c r="H38" s="325"/>
      <c r="I38" s="6"/>
    </row>
    <row r="39" spans="2:12" x14ac:dyDescent="0.2">
      <c r="B39" s="364" t="s">
        <v>300</v>
      </c>
      <c r="C39" s="365">
        <v>30</v>
      </c>
      <c r="D39" s="357">
        <f t="shared" si="1"/>
        <v>62329.2</v>
      </c>
      <c r="E39" s="357">
        <f t="shared" si="2"/>
        <v>0</v>
      </c>
      <c r="F39" s="357">
        <f t="shared" si="3"/>
        <v>6900</v>
      </c>
      <c r="G39" s="358">
        <f t="shared" si="4"/>
        <v>69229.2</v>
      </c>
      <c r="H39" s="325"/>
      <c r="I39" s="6"/>
    </row>
    <row r="40" spans="2:12" x14ac:dyDescent="0.2">
      <c r="B40" s="364" t="s">
        <v>301</v>
      </c>
      <c r="C40" s="365">
        <v>1</v>
      </c>
      <c r="D40" s="357">
        <f t="shared" si="1"/>
        <v>29920.32</v>
      </c>
      <c r="E40" s="357">
        <f t="shared" si="2"/>
        <v>4833.2700000000004</v>
      </c>
      <c r="F40" s="357">
        <f t="shared" si="3"/>
        <v>2576</v>
      </c>
      <c r="G40" s="358">
        <f t="shared" si="4"/>
        <v>37329.589999999997</v>
      </c>
      <c r="H40" s="325"/>
      <c r="I40" s="6"/>
    </row>
    <row r="41" spans="2:12" x14ac:dyDescent="0.2">
      <c r="B41" s="364" t="s">
        <v>302</v>
      </c>
      <c r="C41" s="365">
        <v>6</v>
      </c>
      <c r="D41" s="357">
        <f t="shared" si="1"/>
        <v>50439.510000000009</v>
      </c>
      <c r="E41" s="357">
        <f t="shared" si="2"/>
        <v>124354.00999999998</v>
      </c>
      <c r="F41" s="357">
        <f t="shared" si="3"/>
        <v>20100</v>
      </c>
      <c r="G41" s="358">
        <f t="shared" si="4"/>
        <v>194893.52</v>
      </c>
      <c r="H41" s="325"/>
      <c r="I41" s="6"/>
    </row>
    <row r="42" spans="2:12" x14ac:dyDescent="0.2">
      <c r="B42" s="364" t="s">
        <v>303</v>
      </c>
      <c r="C42" s="365">
        <v>25</v>
      </c>
      <c r="D42" s="357">
        <f t="shared" si="1"/>
        <v>243307.75</v>
      </c>
      <c r="E42" s="357">
        <f t="shared" si="2"/>
        <v>584127.42000000004</v>
      </c>
      <c r="F42" s="357">
        <f t="shared" si="3"/>
        <v>83750</v>
      </c>
      <c r="G42" s="358">
        <f t="shared" si="4"/>
        <v>911185.17</v>
      </c>
      <c r="H42" s="325"/>
      <c r="I42" s="6"/>
    </row>
    <row r="43" spans="2:12" x14ac:dyDescent="0.2">
      <c r="B43" s="364" t="s">
        <v>304</v>
      </c>
      <c r="C43" s="365">
        <v>15</v>
      </c>
      <c r="D43" s="357">
        <f t="shared" si="1"/>
        <v>90800.63</v>
      </c>
      <c r="E43" s="357">
        <f t="shared" si="2"/>
        <v>57209.7</v>
      </c>
      <c r="F43" s="357">
        <f t="shared" si="3"/>
        <v>27600</v>
      </c>
      <c r="G43" s="358">
        <f t="shared" si="4"/>
        <v>175610.33000000002</v>
      </c>
      <c r="H43" s="325"/>
      <c r="I43" s="6"/>
    </row>
    <row r="44" spans="2:12" x14ac:dyDescent="0.2">
      <c r="B44" s="364" t="s">
        <v>305</v>
      </c>
      <c r="C44" s="365">
        <v>2</v>
      </c>
      <c r="D44" s="357">
        <f t="shared" si="1"/>
        <v>12106.75</v>
      </c>
      <c r="E44" s="357">
        <f t="shared" si="2"/>
        <v>7627.96</v>
      </c>
      <c r="F44" s="357">
        <f t="shared" si="3"/>
        <v>3680</v>
      </c>
      <c r="G44" s="358">
        <f t="shared" si="4"/>
        <v>23414.71</v>
      </c>
      <c r="H44" s="325"/>
      <c r="I44" s="6"/>
    </row>
    <row r="45" spans="2:12" x14ac:dyDescent="0.2">
      <c r="B45" s="364" t="s">
        <v>306</v>
      </c>
      <c r="C45" s="365">
        <v>1</v>
      </c>
      <c r="D45" s="357">
        <f t="shared" si="1"/>
        <v>6053.38</v>
      </c>
      <c r="E45" s="357">
        <f t="shared" si="2"/>
        <v>1713.98</v>
      </c>
      <c r="F45" s="357">
        <f t="shared" si="3"/>
        <v>1840</v>
      </c>
      <c r="G45" s="358">
        <f t="shared" si="4"/>
        <v>9607.36</v>
      </c>
      <c r="H45" s="325"/>
      <c r="I45" s="6"/>
    </row>
    <row r="46" spans="2:12" x14ac:dyDescent="0.2">
      <c r="B46" s="364" t="s">
        <v>307</v>
      </c>
      <c r="C46" s="365">
        <v>3</v>
      </c>
      <c r="D46" s="357">
        <f t="shared" si="1"/>
        <v>34116.81</v>
      </c>
      <c r="E46" s="357">
        <f t="shared" si="2"/>
        <v>55897.51999999999</v>
      </c>
      <c r="F46" s="357">
        <f t="shared" si="3"/>
        <v>11040</v>
      </c>
      <c r="G46" s="358">
        <f t="shared" si="4"/>
        <v>101054.32999999999</v>
      </c>
      <c r="H46" s="325"/>
      <c r="I46" s="6"/>
    </row>
    <row r="47" spans="2:12" x14ac:dyDescent="0.2">
      <c r="B47" s="364" t="s">
        <v>308</v>
      </c>
      <c r="C47" s="365">
        <v>7</v>
      </c>
      <c r="D47" s="357">
        <f t="shared" si="1"/>
        <v>12465.81</v>
      </c>
      <c r="E47" s="357">
        <f t="shared" si="2"/>
        <v>7577.57</v>
      </c>
      <c r="F47" s="357">
        <f t="shared" si="3"/>
        <v>3150</v>
      </c>
      <c r="G47" s="358">
        <f t="shared" si="4"/>
        <v>23193.379999999997</v>
      </c>
      <c r="H47" s="325"/>
      <c r="I47" s="6"/>
    </row>
    <row r="48" spans="2:12" x14ac:dyDescent="0.2">
      <c r="B48" s="364" t="s">
        <v>309</v>
      </c>
      <c r="C48" s="365">
        <v>5</v>
      </c>
      <c r="D48" s="357">
        <f t="shared" si="1"/>
        <v>357083</v>
      </c>
      <c r="E48" s="357">
        <f t="shared" si="2"/>
        <v>591977.76</v>
      </c>
      <c r="F48" s="357">
        <f t="shared" si="3"/>
        <v>300000</v>
      </c>
      <c r="G48" s="358">
        <f t="shared" si="4"/>
        <v>1249060.76</v>
      </c>
      <c r="H48" s="325"/>
      <c r="I48" s="6"/>
    </row>
    <row r="49" spans="1:9" x14ac:dyDescent="0.2">
      <c r="B49" s="364" t="s">
        <v>310</v>
      </c>
      <c r="C49" s="365">
        <v>3</v>
      </c>
      <c r="D49" s="357">
        <f t="shared" si="1"/>
        <v>17171.28</v>
      </c>
      <c r="E49" s="357">
        <f t="shared" si="2"/>
        <v>41370</v>
      </c>
      <c r="F49" s="357">
        <f t="shared" si="3"/>
        <v>0</v>
      </c>
      <c r="G49" s="358">
        <f t="shared" si="4"/>
        <v>58541.279999999999</v>
      </c>
      <c r="H49" s="325"/>
      <c r="I49" s="6"/>
    </row>
    <row r="50" spans="1:9" x14ac:dyDescent="0.2">
      <c r="B50" s="364" t="s">
        <v>311</v>
      </c>
      <c r="C50" s="365">
        <v>2</v>
      </c>
      <c r="D50" s="357">
        <f t="shared" si="1"/>
        <v>18219.52</v>
      </c>
      <c r="E50" s="357">
        <f t="shared" si="2"/>
        <v>13564</v>
      </c>
      <c r="F50" s="357">
        <f t="shared" si="3"/>
        <v>0</v>
      </c>
      <c r="G50" s="358">
        <f t="shared" si="4"/>
        <v>31783.52</v>
      </c>
      <c r="H50" s="325"/>
      <c r="I50" s="6"/>
    </row>
    <row r="51" spans="1:9" x14ac:dyDescent="0.2">
      <c r="B51" s="364" t="s">
        <v>312</v>
      </c>
      <c r="C51" s="365">
        <v>6</v>
      </c>
      <c r="D51" s="357">
        <f t="shared" si="1"/>
        <v>8180.76</v>
      </c>
      <c r="E51" s="357">
        <f t="shared" si="2"/>
        <v>0</v>
      </c>
      <c r="F51" s="357">
        <f t="shared" si="3"/>
        <v>14400</v>
      </c>
      <c r="G51" s="358">
        <f t="shared" si="4"/>
        <v>22580.760000000002</v>
      </c>
      <c r="H51" s="325"/>
      <c r="I51" s="6"/>
    </row>
    <row r="52" spans="1:9" x14ac:dyDescent="0.2">
      <c r="B52" s="364" t="s">
        <v>313</v>
      </c>
      <c r="C52" s="365">
        <v>1</v>
      </c>
      <c r="D52" s="357">
        <f t="shared" si="1"/>
        <v>14286.34</v>
      </c>
      <c r="E52" s="357">
        <f t="shared" si="2"/>
        <v>0</v>
      </c>
      <c r="F52" s="357">
        <f t="shared" si="3"/>
        <v>10200</v>
      </c>
      <c r="G52" s="358">
        <f t="shared" si="4"/>
        <v>24486.34</v>
      </c>
      <c r="H52" s="325"/>
      <c r="I52" s="6"/>
    </row>
    <row r="53" spans="1:9" x14ac:dyDescent="0.2">
      <c r="B53" s="364" t="s">
        <v>314</v>
      </c>
      <c r="C53" s="365">
        <v>3</v>
      </c>
      <c r="D53" s="357">
        <f t="shared" si="1"/>
        <v>18401.91</v>
      </c>
      <c r="E53" s="357">
        <f t="shared" si="2"/>
        <v>4381.9274999999998</v>
      </c>
      <c r="F53" s="357">
        <f t="shared" si="3"/>
        <v>3498</v>
      </c>
      <c r="G53" s="358">
        <f t="shared" si="4"/>
        <v>26281.837500000001</v>
      </c>
      <c r="H53" s="325"/>
      <c r="I53" s="6"/>
    </row>
    <row r="54" spans="1:9" x14ac:dyDescent="0.2">
      <c r="B54" s="364" t="s">
        <v>315</v>
      </c>
      <c r="C54" s="365">
        <v>2</v>
      </c>
      <c r="D54" s="357">
        <f t="shared" si="1"/>
        <v>27147.86</v>
      </c>
      <c r="E54" s="357">
        <f t="shared" si="2"/>
        <v>183368.68</v>
      </c>
      <c r="F54" s="357">
        <f t="shared" si="3"/>
        <v>93803.28</v>
      </c>
      <c r="G54" s="358">
        <f t="shared" si="4"/>
        <v>304319.81999999995</v>
      </c>
      <c r="H54" s="325"/>
      <c r="I54" s="6"/>
    </row>
    <row r="55" spans="1:9" x14ac:dyDescent="0.2">
      <c r="B55" s="331" t="s">
        <v>354</v>
      </c>
      <c r="C55" s="363" t="s">
        <v>296</v>
      </c>
      <c r="D55" s="361">
        <f>SUM(D36:D54)</f>
        <v>2952119.3299999996</v>
      </c>
      <c r="E55" s="361">
        <f>SUM(E36:E54)</f>
        <v>2304403.7975000008</v>
      </c>
      <c r="F55" s="361">
        <f>SUM(F36:F54)</f>
        <v>1268771</v>
      </c>
      <c r="G55" s="361">
        <f>SUM(G36:G54)</f>
        <v>6525294.1275000004</v>
      </c>
      <c r="H55" s="325"/>
      <c r="I55" s="6"/>
    </row>
    <row r="56" spans="1:9" x14ac:dyDescent="0.2">
      <c r="B56" s="379"/>
      <c r="C56" s="353"/>
      <c r="D56" s="326"/>
      <c r="E56" s="326"/>
      <c r="F56" s="326"/>
      <c r="G56" s="337"/>
      <c r="H56" s="325"/>
      <c r="I56" s="6"/>
    </row>
    <row r="57" spans="1:9" x14ac:dyDescent="0.2">
      <c r="B57" s="366" t="s">
        <v>316</v>
      </c>
      <c r="C57" s="365">
        <v>11</v>
      </c>
      <c r="D57" s="367">
        <f>C57*D91</f>
        <v>474893.5602984064</v>
      </c>
      <c r="E57" s="367">
        <f>C57*E91</f>
        <v>395519.31143371289</v>
      </c>
      <c r="F57" s="367">
        <f>C57*F91</f>
        <v>86620.765054790667</v>
      </c>
      <c r="G57" s="368">
        <f>SUM(D57:F57)</f>
        <v>957033.63678690989</v>
      </c>
      <c r="H57" s="325"/>
      <c r="I57" s="6"/>
    </row>
    <row r="58" spans="1:9" x14ac:dyDescent="0.2">
      <c r="B58" s="369" t="s">
        <v>317</v>
      </c>
      <c r="C58" s="370">
        <v>12</v>
      </c>
      <c r="D58" s="371">
        <f>C58*D96</f>
        <v>242034.59229142888</v>
      </c>
      <c r="E58" s="371">
        <f>C58*E96</f>
        <v>568206.93036141607</v>
      </c>
      <c r="F58" s="371">
        <f>C58*F96</f>
        <v>85703.969153299156</v>
      </c>
      <c r="G58" s="372">
        <f>SUM(D58:F58)</f>
        <v>895945.49180614401</v>
      </c>
      <c r="H58" s="325"/>
      <c r="I58" s="6"/>
    </row>
    <row r="59" spans="1:9" x14ac:dyDescent="0.2">
      <c r="B59" s="331" t="s">
        <v>355</v>
      </c>
      <c r="C59" s="363" t="s">
        <v>296</v>
      </c>
      <c r="D59" s="361">
        <f>D57+D58</f>
        <v>716928.15258983523</v>
      </c>
      <c r="E59" s="361">
        <f>E57+E58</f>
        <v>963726.24179512891</v>
      </c>
      <c r="F59" s="361">
        <f>F57+F58</f>
        <v>172324.73420808982</v>
      </c>
      <c r="G59" s="361">
        <f>G57+G58</f>
        <v>1852979.1285930539</v>
      </c>
      <c r="H59" s="325"/>
      <c r="I59" s="6"/>
    </row>
    <row r="60" spans="1:9" x14ac:dyDescent="0.2">
      <c r="B60" s="375"/>
      <c r="C60" s="376"/>
      <c r="D60" s="377"/>
      <c r="E60" s="377"/>
      <c r="F60" s="377"/>
      <c r="G60" s="378"/>
      <c r="H60" s="325"/>
      <c r="I60" s="6"/>
    </row>
    <row r="61" spans="1:9" x14ac:dyDescent="0.2">
      <c r="B61" s="403" t="s">
        <v>16</v>
      </c>
      <c r="C61" s="404"/>
      <c r="D61" s="361">
        <f>D55+D59</f>
        <v>3669047.4825898348</v>
      </c>
      <c r="E61" s="361">
        <f>E55+E59</f>
        <v>3268130.0392951295</v>
      </c>
      <c r="F61" s="361">
        <f>F55+F59</f>
        <v>1441095.7342080898</v>
      </c>
      <c r="G61" s="362">
        <f>G55+G59</f>
        <v>8378273.2560930541</v>
      </c>
      <c r="H61" s="325"/>
      <c r="I61" s="6"/>
    </row>
    <row r="62" spans="1:9" x14ac:dyDescent="0.2">
      <c r="B62" s="405"/>
      <c r="C62" s="405"/>
      <c r="D62" s="373"/>
      <c r="E62" s="373"/>
      <c r="F62" s="373"/>
      <c r="G62" s="374"/>
      <c r="H62" s="325"/>
      <c r="I62" s="6"/>
    </row>
    <row r="63" spans="1:9" ht="24" customHeight="1" x14ac:dyDescent="0.2">
      <c r="A63" s="6"/>
      <c r="B63" s="332" t="s">
        <v>318</v>
      </c>
      <c r="C63" s="333"/>
      <c r="D63" s="329" t="s">
        <v>347</v>
      </c>
      <c r="E63" s="329" t="s">
        <v>348</v>
      </c>
      <c r="F63" s="329" t="s">
        <v>349</v>
      </c>
      <c r="G63" s="330" t="s">
        <v>350</v>
      </c>
      <c r="H63" s="6"/>
      <c r="I63" s="6"/>
    </row>
    <row r="64" spans="1:9" x14ac:dyDescent="0.2">
      <c r="B64" s="406" t="s">
        <v>297</v>
      </c>
      <c r="C64" s="407"/>
      <c r="D64" s="380">
        <v>495744</v>
      </c>
      <c r="E64" s="381">
        <v>0</v>
      </c>
      <c r="F64" s="380">
        <v>404483.72</v>
      </c>
      <c r="G64" s="382">
        <f>SUM(D64:F64)</f>
        <v>900227.72</v>
      </c>
      <c r="H64" s="6"/>
      <c r="I64" s="6"/>
    </row>
    <row r="65" spans="2:9" x14ac:dyDescent="0.2">
      <c r="B65" s="406" t="s">
        <v>298</v>
      </c>
      <c r="C65" s="407"/>
      <c r="D65" s="380">
        <v>1187.22</v>
      </c>
      <c r="E65" s="381">
        <v>360</v>
      </c>
      <c r="F65" s="380">
        <v>230</v>
      </c>
      <c r="G65" s="382">
        <f t="shared" ref="G65:G82" si="5">SUM(D65:F65)</f>
        <v>1777.22</v>
      </c>
      <c r="H65" s="6"/>
      <c r="I65" s="6"/>
    </row>
    <row r="66" spans="2:9" x14ac:dyDescent="0.2">
      <c r="B66" s="406" t="s">
        <v>299</v>
      </c>
      <c r="C66" s="407"/>
      <c r="D66" s="380">
        <v>1187.22</v>
      </c>
      <c r="E66" s="381">
        <v>570.68181818181813</v>
      </c>
      <c r="F66" s="380">
        <v>230</v>
      </c>
      <c r="G66" s="382">
        <f t="shared" si="5"/>
        <v>1987.9018181818183</v>
      </c>
      <c r="H66" s="6"/>
      <c r="I66" s="6"/>
    </row>
    <row r="67" spans="2:9" x14ac:dyDescent="0.2">
      <c r="B67" s="406" t="s">
        <v>300</v>
      </c>
      <c r="C67" s="407"/>
      <c r="D67" s="380">
        <v>2077.64</v>
      </c>
      <c r="E67" s="381">
        <v>0</v>
      </c>
      <c r="F67" s="380">
        <v>230</v>
      </c>
      <c r="G67" s="382">
        <f t="shared" si="5"/>
        <v>2307.64</v>
      </c>
      <c r="H67" s="6"/>
      <c r="I67" s="6"/>
    </row>
    <row r="68" spans="2:9" x14ac:dyDescent="0.2">
      <c r="B68" s="406" t="s">
        <v>301</v>
      </c>
      <c r="C68" s="407"/>
      <c r="D68" s="380">
        <v>29920.32</v>
      </c>
      <c r="E68" s="381">
        <v>4833.2700000000004</v>
      </c>
      <c r="F68" s="380">
        <v>2576</v>
      </c>
      <c r="G68" s="382">
        <f t="shared" si="5"/>
        <v>37329.589999999997</v>
      </c>
      <c r="H68" s="6"/>
      <c r="I68" s="6"/>
    </row>
    <row r="69" spans="2:9" x14ac:dyDescent="0.2">
      <c r="B69" s="406" t="s">
        <v>302</v>
      </c>
      <c r="C69" s="407"/>
      <c r="D69" s="380">
        <v>8406.5850000000009</v>
      </c>
      <c r="E69" s="381">
        <v>20725.668333333331</v>
      </c>
      <c r="F69" s="380">
        <v>3350</v>
      </c>
      <c r="G69" s="382">
        <f t="shared" si="5"/>
        <v>32482.253333333334</v>
      </c>
      <c r="H69" s="6"/>
      <c r="I69" s="6"/>
    </row>
    <row r="70" spans="2:9" x14ac:dyDescent="0.2">
      <c r="B70" s="406" t="s">
        <v>303</v>
      </c>
      <c r="C70" s="407"/>
      <c r="D70" s="380">
        <v>9732.31</v>
      </c>
      <c r="E70" s="381">
        <v>23365.096800000003</v>
      </c>
      <c r="F70" s="380">
        <v>3350</v>
      </c>
      <c r="G70" s="382">
        <f t="shared" si="5"/>
        <v>36447.406800000004</v>
      </c>
      <c r="H70" s="6"/>
      <c r="I70" s="6"/>
    </row>
    <row r="71" spans="2:9" x14ac:dyDescent="0.2">
      <c r="B71" s="406" t="s">
        <v>304</v>
      </c>
      <c r="C71" s="407"/>
      <c r="D71" s="380">
        <v>6053.3753333333334</v>
      </c>
      <c r="E71" s="381">
        <v>3813.98</v>
      </c>
      <c r="F71" s="380">
        <v>1840</v>
      </c>
      <c r="G71" s="382">
        <f t="shared" si="5"/>
        <v>11707.355333333333</v>
      </c>
      <c r="H71" s="6"/>
      <c r="I71" s="6"/>
    </row>
    <row r="72" spans="2:9" x14ac:dyDescent="0.2">
      <c r="B72" s="406" t="s">
        <v>305</v>
      </c>
      <c r="C72" s="407"/>
      <c r="D72" s="380">
        <v>6053.375</v>
      </c>
      <c r="E72" s="381">
        <v>3813.98</v>
      </c>
      <c r="F72" s="380">
        <v>1840</v>
      </c>
      <c r="G72" s="382">
        <f t="shared" si="5"/>
        <v>11707.355</v>
      </c>
      <c r="H72" s="6"/>
      <c r="I72" s="6"/>
    </row>
    <row r="73" spans="2:9" x14ac:dyDescent="0.2">
      <c r="B73" s="406" t="s">
        <v>306</v>
      </c>
      <c r="C73" s="407"/>
      <c r="D73" s="380">
        <v>6053.38</v>
      </c>
      <c r="E73" s="381">
        <v>1713.98</v>
      </c>
      <c r="F73" s="380">
        <v>1840</v>
      </c>
      <c r="G73" s="382">
        <f t="shared" si="5"/>
        <v>9607.36</v>
      </c>
      <c r="H73" s="6"/>
      <c r="I73" s="6"/>
    </row>
    <row r="74" spans="2:9" x14ac:dyDescent="0.2">
      <c r="B74" s="406" t="s">
        <v>307</v>
      </c>
      <c r="C74" s="407"/>
      <c r="D74" s="380">
        <v>11372.269999999999</v>
      </c>
      <c r="E74" s="381">
        <v>18632.506666666664</v>
      </c>
      <c r="F74" s="380">
        <v>3680</v>
      </c>
      <c r="G74" s="382">
        <f t="shared" si="5"/>
        <v>33684.776666666665</v>
      </c>
      <c r="H74" s="6"/>
      <c r="I74" s="6"/>
    </row>
    <row r="75" spans="2:9" x14ac:dyDescent="0.2">
      <c r="B75" s="406" t="s">
        <v>308</v>
      </c>
      <c r="C75" s="407"/>
      <c r="D75" s="380">
        <v>1780.83</v>
      </c>
      <c r="E75" s="381">
        <v>1082.51</v>
      </c>
      <c r="F75" s="380">
        <v>450</v>
      </c>
      <c r="G75" s="382">
        <f t="shared" si="5"/>
        <v>3313.34</v>
      </c>
      <c r="H75" s="6"/>
      <c r="I75" s="6"/>
    </row>
    <row r="76" spans="2:9" x14ac:dyDescent="0.2">
      <c r="B76" s="406" t="s">
        <v>309</v>
      </c>
      <c r="C76" s="407"/>
      <c r="D76" s="380">
        <v>71416.600000000006</v>
      </c>
      <c r="E76" s="381">
        <v>118395.552</v>
      </c>
      <c r="F76" s="380">
        <v>60000</v>
      </c>
      <c r="G76" s="382">
        <f t="shared" si="5"/>
        <v>249812.152</v>
      </c>
      <c r="H76" s="6"/>
      <c r="I76" s="6"/>
    </row>
    <row r="77" spans="2:9" x14ac:dyDescent="0.2">
      <c r="B77" s="406" t="s">
        <v>310</v>
      </c>
      <c r="C77" s="407"/>
      <c r="D77" s="380">
        <v>5723.7599999999993</v>
      </c>
      <c r="E77" s="381">
        <v>13790</v>
      </c>
      <c r="F77" s="380">
        <v>0</v>
      </c>
      <c r="G77" s="382">
        <f t="shared" si="5"/>
        <v>19513.759999999998</v>
      </c>
      <c r="H77" s="6"/>
      <c r="I77" s="6"/>
    </row>
    <row r="78" spans="2:9" x14ac:dyDescent="0.2">
      <c r="B78" s="406" t="s">
        <v>311</v>
      </c>
      <c r="C78" s="407"/>
      <c r="D78" s="380">
        <v>9109.76</v>
      </c>
      <c r="E78" s="381">
        <v>6782</v>
      </c>
      <c r="F78" s="380">
        <v>0</v>
      </c>
      <c r="G78" s="382">
        <f t="shared" si="5"/>
        <v>15891.76</v>
      </c>
      <c r="H78" s="6"/>
      <c r="I78" s="6"/>
    </row>
    <row r="79" spans="2:9" x14ac:dyDescent="0.2">
      <c r="B79" s="406" t="s">
        <v>312</v>
      </c>
      <c r="C79" s="407"/>
      <c r="D79" s="380">
        <v>1363.46</v>
      </c>
      <c r="E79" s="381">
        <v>0</v>
      </c>
      <c r="F79" s="380">
        <v>2400</v>
      </c>
      <c r="G79" s="382">
        <f t="shared" si="5"/>
        <v>3763.46</v>
      </c>
      <c r="H79" s="6"/>
      <c r="I79" s="6"/>
    </row>
    <row r="80" spans="2:9" x14ac:dyDescent="0.2">
      <c r="B80" s="406" t="s">
        <v>313</v>
      </c>
      <c r="C80" s="407"/>
      <c r="D80" s="380">
        <v>14286.34</v>
      </c>
      <c r="E80" s="381">
        <v>0</v>
      </c>
      <c r="F80" s="380">
        <v>10200</v>
      </c>
      <c r="G80" s="382">
        <f t="shared" si="5"/>
        <v>24486.34</v>
      </c>
      <c r="H80" s="6"/>
      <c r="I80" s="6"/>
    </row>
    <row r="81" spans="2:9" x14ac:dyDescent="0.2">
      <c r="B81" s="406" t="s">
        <v>314</v>
      </c>
      <c r="C81" s="407"/>
      <c r="D81" s="380">
        <v>6133.97</v>
      </c>
      <c r="E81" s="381">
        <v>1460.6424999999999</v>
      </c>
      <c r="F81" s="380">
        <v>1166</v>
      </c>
      <c r="G81" s="382">
        <f t="shared" si="5"/>
        <v>8760.6124999999993</v>
      </c>
      <c r="H81" s="6"/>
      <c r="I81" s="6"/>
    </row>
    <row r="82" spans="2:9" x14ac:dyDescent="0.2">
      <c r="B82" s="406" t="s">
        <v>315</v>
      </c>
      <c r="C82" s="407"/>
      <c r="D82" s="380">
        <v>13573.93</v>
      </c>
      <c r="E82" s="381">
        <v>91684.34</v>
      </c>
      <c r="F82" s="380">
        <v>46901.64</v>
      </c>
      <c r="G82" s="382">
        <f t="shared" si="5"/>
        <v>152159.90999999997</v>
      </c>
      <c r="H82" s="6"/>
      <c r="I82" s="6"/>
    </row>
    <row r="83" spans="2:9" x14ac:dyDescent="0.2">
      <c r="B83" s="408"/>
      <c r="C83" s="408"/>
      <c r="H83" s="6"/>
      <c r="I83" s="6"/>
    </row>
    <row r="84" spans="2:9" ht="25.5" x14ac:dyDescent="0.2">
      <c r="B84" s="334" t="s">
        <v>319</v>
      </c>
      <c r="C84" s="335" t="s">
        <v>296</v>
      </c>
      <c r="D84" s="329" t="s">
        <v>347</v>
      </c>
      <c r="E84" s="329" t="s">
        <v>348</v>
      </c>
      <c r="F84" s="329" t="s">
        <v>349</v>
      </c>
      <c r="G84" s="330" t="s">
        <v>350</v>
      </c>
      <c r="H84" s="6"/>
      <c r="I84" s="6"/>
    </row>
    <row r="85" spans="2:9" x14ac:dyDescent="0.2">
      <c r="B85" s="383" t="s">
        <v>320</v>
      </c>
      <c r="C85" s="364">
        <v>1</v>
      </c>
      <c r="D85" s="384">
        <v>30261.09351626963</v>
      </c>
      <c r="E85" s="380">
        <v>29976.653569065253</v>
      </c>
      <c r="F85" s="380">
        <v>4620.1494236571325</v>
      </c>
      <c r="G85" s="380">
        <f>SUM(D85:F85)</f>
        <v>64857.896508992009</v>
      </c>
      <c r="H85" s="6"/>
      <c r="I85" s="6"/>
    </row>
    <row r="86" spans="2:9" x14ac:dyDescent="0.2">
      <c r="B86" s="383" t="s">
        <v>321</v>
      </c>
      <c r="C86" s="364">
        <v>2</v>
      </c>
      <c r="D86" s="384">
        <v>102421.23644190155</v>
      </c>
      <c r="E86" s="380">
        <v>76305.831159514739</v>
      </c>
      <c r="F86" s="380">
        <v>23386.893491869971</v>
      </c>
      <c r="G86" s="380">
        <f t="shared" ref="G86:G90" si="6">SUM(D86:F86)</f>
        <v>202113.96109328626</v>
      </c>
      <c r="H86" s="6"/>
      <c r="I86" s="6"/>
    </row>
    <row r="87" spans="2:9" x14ac:dyDescent="0.2">
      <c r="B87" s="383" t="s">
        <v>322</v>
      </c>
      <c r="C87" s="364">
        <v>2</v>
      </c>
      <c r="D87" s="384">
        <v>96474.116539387469</v>
      </c>
      <c r="E87" s="380">
        <v>84469.278974610104</v>
      </c>
      <c r="F87" s="380">
        <v>18035.273735291496</v>
      </c>
      <c r="G87" s="380">
        <f t="shared" si="6"/>
        <v>198978.66924928909</v>
      </c>
      <c r="H87" s="6"/>
      <c r="I87" s="6"/>
    </row>
    <row r="88" spans="2:9" x14ac:dyDescent="0.2">
      <c r="B88" s="383" t="s">
        <v>323</v>
      </c>
      <c r="C88" s="364">
        <v>1</v>
      </c>
      <c r="D88" s="384">
        <v>48702.688702951906</v>
      </c>
      <c r="E88" s="380">
        <v>37281.331643296573</v>
      </c>
      <c r="F88" s="380">
        <v>7983.4198320128589</v>
      </c>
      <c r="G88" s="380">
        <f t="shared" si="6"/>
        <v>93967.440178261342</v>
      </c>
      <c r="H88" s="6"/>
      <c r="I88" s="6"/>
    </row>
    <row r="89" spans="2:9" x14ac:dyDescent="0.2">
      <c r="B89" s="383" t="s">
        <v>324</v>
      </c>
      <c r="C89" s="364">
        <v>2</v>
      </c>
      <c r="D89" s="384">
        <v>76534.748258382184</v>
      </c>
      <c r="E89" s="380">
        <v>60311.155415166446</v>
      </c>
      <c r="F89" s="380">
        <v>11792.494132124975</v>
      </c>
      <c r="G89" s="380">
        <f t="shared" si="6"/>
        <v>148638.39780567359</v>
      </c>
      <c r="H89" s="6"/>
      <c r="I89" s="6"/>
    </row>
    <row r="90" spans="2:9" x14ac:dyDescent="0.2">
      <c r="B90" s="383" t="s">
        <v>325</v>
      </c>
      <c r="C90" s="364">
        <v>1</v>
      </c>
      <c r="D90" s="384">
        <v>34155.393148894313</v>
      </c>
      <c r="E90" s="380">
        <v>35262.458593202849</v>
      </c>
      <c r="F90" s="380">
        <v>5053.3044298723016</v>
      </c>
      <c r="G90" s="380">
        <f t="shared" si="6"/>
        <v>74471.156171969458</v>
      </c>
      <c r="H90" s="6"/>
      <c r="I90" s="6"/>
    </row>
    <row r="91" spans="2:9" x14ac:dyDescent="0.2">
      <c r="B91" s="385" t="s">
        <v>326</v>
      </c>
      <c r="C91" s="365">
        <f>SUM(C85:C90)</f>
        <v>9</v>
      </c>
      <c r="D91" s="386">
        <f>SUM(D85:D90)/$C$91</f>
        <v>43172.14184530967</v>
      </c>
      <c r="E91" s="386">
        <f>SUM(E85:E90)/$C$91</f>
        <v>35956.301039428443</v>
      </c>
      <c r="F91" s="386">
        <f>SUM(F85:F90)/$C$91</f>
        <v>7874.6150049809694</v>
      </c>
      <c r="G91" s="386">
        <f>SUM(G85:G90)/$C$91</f>
        <v>87003.057889719086</v>
      </c>
      <c r="H91" s="6"/>
      <c r="I91" s="6"/>
    </row>
    <row r="92" spans="2:9" x14ac:dyDescent="0.2">
      <c r="B92" s="408"/>
      <c r="C92" s="408"/>
      <c r="H92" s="6"/>
      <c r="I92" s="6"/>
    </row>
    <row r="93" spans="2:9" ht="25.5" x14ac:dyDescent="0.2">
      <c r="B93" s="332" t="s">
        <v>327</v>
      </c>
      <c r="C93" s="335" t="s">
        <v>296</v>
      </c>
      <c r="D93" s="329" t="s">
        <v>347</v>
      </c>
      <c r="E93" s="329" t="s">
        <v>348</v>
      </c>
      <c r="F93" s="329" t="s">
        <v>349</v>
      </c>
      <c r="G93" s="330" t="s">
        <v>350</v>
      </c>
      <c r="H93" s="6"/>
      <c r="I93" s="6"/>
    </row>
    <row r="94" spans="2:9" x14ac:dyDescent="0.2">
      <c r="B94" s="387" t="s">
        <v>328</v>
      </c>
      <c r="C94" s="388">
        <v>3</v>
      </c>
      <c r="D94" s="380">
        <v>53230.428601693638</v>
      </c>
      <c r="E94" s="380">
        <v>128227.45288004103</v>
      </c>
      <c r="F94" s="380">
        <v>37191.118305467171</v>
      </c>
      <c r="G94" s="380">
        <f>SUM(D94:F94)</f>
        <v>218648.99978720187</v>
      </c>
      <c r="H94" s="6"/>
      <c r="I94" s="6"/>
    </row>
    <row r="95" spans="2:9" x14ac:dyDescent="0.2">
      <c r="B95" s="387" t="s">
        <v>329</v>
      </c>
      <c r="C95" s="388">
        <v>3</v>
      </c>
      <c r="D95" s="380">
        <v>67786.867544020803</v>
      </c>
      <c r="E95" s="380">
        <v>155876.012300667</v>
      </c>
      <c r="F95" s="380">
        <v>5660.866271182409</v>
      </c>
      <c r="G95" s="380">
        <f>SUM(D95:F95)</f>
        <v>229323.74611587022</v>
      </c>
      <c r="H95" s="6"/>
      <c r="I95" s="6"/>
    </row>
    <row r="96" spans="2:9" x14ac:dyDescent="0.2">
      <c r="B96" s="389" t="s">
        <v>326</v>
      </c>
      <c r="C96" s="390">
        <f>SUM(C94:C95)</f>
        <v>6</v>
      </c>
      <c r="D96" s="382">
        <f>SUM(D94:D95)/$C$96</f>
        <v>20169.549357619075</v>
      </c>
      <c r="E96" s="382">
        <f t="shared" ref="E96:G96" si="7">SUM(E94:E95)/$C$96</f>
        <v>47350.577530118004</v>
      </c>
      <c r="F96" s="382">
        <f t="shared" si="7"/>
        <v>7141.9974294415961</v>
      </c>
      <c r="G96" s="382">
        <f t="shared" si="7"/>
        <v>74662.124317178677</v>
      </c>
      <c r="H96" s="6"/>
      <c r="I96" s="6"/>
    </row>
    <row r="97" spans="8:9" x14ac:dyDescent="0.2">
      <c r="H97" s="6"/>
      <c r="I97" s="6"/>
    </row>
    <row r="98" spans="8:9" x14ac:dyDescent="0.2">
      <c r="H98" s="6"/>
      <c r="I98" s="6"/>
    </row>
    <row r="99" spans="8:9" x14ac:dyDescent="0.2">
      <c r="H99" s="6"/>
      <c r="I99" s="6"/>
    </row>
    <row r="100" spans="8:9" x14ac:dyDescent="0.2">
      <c r="H100" s="6"/>
      <c r="I100" s="6"/>
    </row>
    <row r="101" spans="8:9" x14ac:dyDescent="0.2">
      <c r="H101" s="325"/>
      <c r="I101" s="325"/>
    </row>
    <row r="102" spans="8:9" x14ac:dyDescent="0.2">
      <c r="H102" s="325"/>
      <c r="I102" s="325"/>
    </row>
    <row r="103" spans="8:9" x14ac:dyDescent="0.2">
      <c r="H103" s="325"/>
      <c r="I103" s="6"/>
    </row>
    <row r="104" spans="8:9" x14ac:dyDescent="0.2">
      <c r="H104" s="325"/>
      <c r="I104" s="6"/>
    </row>
    <row r="105" spans="8:9" x14ac:dyDescent="0.2">
      <c r="H105" s="325"/>
      <c r="I105" s="6"/>
    </row>
    <row r="106" spans="8:9" x14ac:dyDescent="0.2">
      <c r="H106" s="325"/>
      <c r="I106" s="6"/>
    </row>
    <row r="107" spans="8:9" x14ac:dyDescent="0.2">
      <c r="H107" s="325"/>
      <c r="I107" s="6"/>
    </row>
    <row r="108" spans="8:9" x14ac:dyDescent="0.2">
      <c r="H108" s="325"/>
      <c r="I108" s="6"/>
    </row>
    <row r="109" spans="8:9" x14ac:dyDescent="0.2">
      <c r="H109" s="325"/>
      <c r="I109" s="6"/>
    </row>
    <row r="110" spans="8:9" x14ac:dyDescent="0.2">
      <c r="H110" s="325"/>
      <c r="I110" s="6"/>
    </row>
    <row r="111" spans="8:9" x14ac:dyDescent="0.2">
      <c r="H111" s="325"/>
    </row>
    <row r="112" spans="8:9" x14ac:dyDescent="0.2">
      <c r="H112" s="325"/>
    </row>
    <row r="113" spans="8:8" x14ac:dyDescent="0.2">
      <c r="H113" s="325"/>
    </row>
    <row r="114" spans="8:8" x14ac:dyDescent="0.2">
      <c r="H114" s="325"/>
    </row>
    <row r="115" spans="8:8" x14ac:dyDescent="0.2">
      <c r="H115" s="325"/>
    </row>
    <row r="116" spans="8:8" x14ac:dyDescent="0.2">
      <c r="H116" s="325"/>
    </row>
    <row r="117" spans="8:8" x14ac:dyDescent="0.2">
      <c r="H117" s="325"/>
    </row>
    <row r="118" spans="8:8" x14ac:dyDescent="0.2">
      <c r="H118" s="325"/>
    </row>
    <row r="119" spans="8:8" x14ac:dyDescent="0.2">
      <c r="H119" s="325"/>
    </row>
    <row r="120" spans="8:8" x14ac:dyDescent="0.2">
      <c r="H120" s="325"/>
    </row>
    <row r="121" spans="8:8" x14ac:dyDescent="0.2">
      <c r="H121" s="325"/>
    </row>
    <row r="122" spans="8:8" x14ac:dyDescent="0.2">
      <c r="H122" s="325"/>
    </row>
    <row r="123" spans="8:8" x14ac:dyDescent="0.2">
      <c r="H123" s="325"/>
    </row>
    <row r="124" spans="8:8" x14ac:dyDescent="0.2">
      <c r="H124" s="325"/>
    </row>
    <row r="125" spans="8:8" x14ac:dyDescent="0.2">
      <c r="H125" s="325"/>
    </row>
    <row r="126" spans="8:8" x14ac:dyDescent="0.2">
      <c r="H126" s="325"/>
    </row>
  </sheetData>
  <mergeCells count="41">
    <mergeCell ref="B79:C79"/>
    <mergeCell ref="B80:C80"/>
    <mergeCell ref="B81:C81"/>
    <mergeCell ref="B82:C82"/>
    <mergeCell ref="B83:C83"/>
    <mergeCell ref="B73:C73"/>
    <mergeCell ref="B74:C74"/>
    <mergeCell ref="B75:C75"/>
    <mergeCell ref="B76:C76"/>
    <mergeCell ref="B78:C78"/>
    <mergeCell ref="B23:C23"/>
    <mergeCell ref="B24:C24"/>
    <mergeCell ref="B26:C26"/>
    <mergeCell ref="B27:C27"/>
    <mergeCell ref="B28:C28"/>
    <mergeCell ref="B17:C17"/>
    <mergeCell ref="B18:C18"/>
    <mergeCell ref="B19:C19"/>
    <mergeCell ref="B20:C20"/>
    <mergeCell ref="B22:C22"/>
    <mergeCell ref="B9:C9"/>
    <mergeCell ref="B10:C10"/>
    <mergeCell ref="B15:C15"/>
    <mergeCell ref="B13:C13"/>
    <mergeCell ref="B14:C14"/>
    <mergeCell ref="B61:C61"/>
    <mergeCell ref="B62:C62"/>
    <mergeCell ref="B64:C64"/>
    <mergeCell ref="B92:C92"/>
    <mergeCell ref="B30:C30"/>
    <mergeCell ref="B31:C31"/>
    <mergeCell ref="B32:C32"/>
    <mergeCell ref="B65:C65"/>
    <mergeCell ref="B77:C77"/>
    <mergeCell ref="B66:C66"/>
    <mergeCell ref="B67:C67"/>
    <mergeCell ref="B68:C68"/>
    <mergeCell ref="B69:C69"/>
    <mergeCell ref="B70:C70"/>
    <mergeCell ref="B71:C71"/>
    <mergeCell ref="B72:C7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BE28-7759-4AD8-93D9-96655D9E0FC5}">
  <sheetPr codeName="Sheet8">
    <tabColor rgb="FFFFFFCC"/>
  </sheetPr>
  <dimension ref="A1:AH43"/>
  <sheetViews>
    <sheetView showGridLines="0" zoomScale="90" zoomScaleNormal="90" workbookViewId="0"/>
  </sheetViews>
  <sheetFormatPr defaultRowHeight="12.75" x14ac:dyDescent="0.2"/>
  <cols>
    <col min="2" max="2" width="21.375" customWidth="1"/>
    <col min="3" max="3" width="20.5" customWidth="1"/>
    <col min="4" max="4" width="14.5" style="43" customWidth="1"/>
    <col min="5" max="5" width="14.5" customWidth="1"/>
    <col min="8" max="11" width="14.375" customWidth="1"/>
    <col min="12" max="12" width="15.75" customWidth="1"/>
    <col min="13" max="18" width="14.375" customWidth="1"/>
  </cols>
  <sheetData>
    <row r="1" spans="1:23" ht="18.75" x14ac:dyDescent="0.3">
      <c r="A1" s="13" t="str">
        <f>bus</f>
        <v>Powercor</v>
      </c>
      <c r="B1" s="13"/>
      <c r="C1" s="13"/>
      <c r="D1" s="4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23" ht="18.75" x14ac:dyDescent="0.3">
      <c r="A2" s="50" t="str">
        <f>proj</f>
        <v>Horsham REFCL</v>
      </c>
      <c r="B2" s="13"/>
      <c r="C2" s="13"/>
      <c r="D2" s="42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23" ht="15.75" x14ac:dyDescent="0.25">
      <c r="A3" s="5"/>
    </row>
    <row r="4" spans="1:23" s="1" customFormat="1" ht="15" x14ac:dyDescent="0.2">
      <c r="A4" s="16" t="s">
        <v>190</v>
      </c>
      <c r="B4" s="16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5"/>
      <c r="O4" s="15"/>
      <c r="P4" s="15"/>
      <c r="Q4" s="15"/>
      <c r="R4" s="15"/>
    </row>
    <row r="5" spans="1:23" s="1" customFormat="1" x14ac:dyDescent="0.2"/>
    <row r="6" spans="1:23" s="1" customFormat="1" x14ac:dyDescent="0.2">
      <c r="B6" s="69" t="s">
        <v>191</v>
      </c>
      <c r="C6" s="69"/>
      <c r="D6" s="44"/>
      <c r="E6" s="27"/>
      <c r="F6" s="40"/>
      <c r="G6" s="27"/>
      <c r="H6" s="41">
        <v>44377</v>
      </c>
      <c r="I6" s="39">
        <f>IF(EOMONTH(H6,12)&gt;output_dollars, output_dollars, EOMONTH(H6,12))</f>
        <v>44742</v>
      </c>
      <c r="J6" s="39">
        <f>IF(EOMONTH(I6,12)&gt;output_dollars, output_dollars, EOMONTH(I6,12))</f>
        <v>45107</v>
      </c>
      <c r="K6" s="39">
        <f>IF(EOMONTH(J6,12)&gt;output_dollars, output_dollars, EOMONTH(J6,12))</f>
        <v>45473</v>
      </c>
      <c r="L6" s="39">
        <f>IF(EOMONTH(K6,12)&gt;output_dollars, output_dollars, EOMONTH(K6,12))</f>
        <v>45838</v>
      </c>
      <c r="M6" s="39">
        <f>IF(EOMONTH(L6,12)&gt;output_dollars, output_dollars, EOMONTH(L6,12))</f>
        <v>46203</v>
      </c>
    </row>
    <row r="7" spans="1:23" s="20" customFormat="1" x14ac:dyDescent="0.2">
      <c r="D7" s="45"/>
      <c r="N7" s="1"/>
      <c r="O7"/>
      <c r="P7"/>
      <c r="Q7"/>
      <c r="R7"/>
      <c r="S7"/>
      <c r="T7"/>
      <c r="U7"/>
      <c r="V7"/>
      <c r="W7"/>
    </row>
    <row r="8" spans="1:23" s="20" customFormat="1" x14ac:dyDescent="0.2">
      <c r="B8" s="20" t="s">
        <v>192</v>
      </c>
      <c r="D8" s="45"/>
      <c r="H8" s="35">
        <v>0</v>
      </c>
      <c r="I8" s="35">
        <v>8.6058519793459354E-3</v>
      </c>
      <c r="J8" s="35">
        <v>3.4982935153583528E-2</v>
      </c>
      <c r="K8" s="35">
        <v>7.8318219291014124E-2</v>
      </c>
      <c r="L8" s="35">
        <v>4.0519877675840865E-2</v>
      </c>
      <c r="M8" s="35">
        <v>2.4246877296105973E-2</v>
      </c>
      <c r="N8" s="1"/>
      <c r="O8"/>
      <c r="P8"/>
      <c r="Q8"/>
      <c r="R8"/>
      <c r="S8"/>
      <c r="T8"/>
      <c r="U8"/>
      <c r="V8"/>
      <c r="W8"/>
    </row>
    <row r="9" spans="1:23" s="1" customFormat="1" x14ac:dyDescent="0.2">
      <c r="D9" s="10"/>
      <c r="O9"/>
      <c r="P9"/>
      <c r="Q9"/>
      <c r="R9"/>
      <c r="S9"/>
      <c r="T9"/>
      <c r="U9"/>
      <c r="V9"/>
      <c r="W9"/>
    </row>
    <row r="10" spans="1:23" s="1" customFormat="1" x14ac:dyDescent="0.2">
      <c r="D10" s="10"/>
      <c r="O10"/>
      <c r="P10"/>
      <c r="Q10"/>
      <c r="R10"/>
      <c r="S10"/>
      <c r="T10"/>
      <c r="U10"/>
      <c r="V10"/>
      <c r="W10"/>
    </row>
    <row r="11" spans="1:23" s="1" customFormat="1" x14ac:dyDescent="0.2">
      <c r="A11"/>
      <c r="B11" s="20" t="s">
        <v>193</v>
      </c>
      <c r="C11"/>
      <c r="D11"/>
      <c r="E11"/>
      <c r="F11"/>
      <c r="G11"/>
      <c r="H11" s="70">
        <f>H6</f>
        <v>44377</v>
      </c>
      <c r="I11" s="70">
        <f>EOMONTH(H11,6)</f>
        <v>44561</v>
      </c>
      <c r="J11" s="70">
        <f>EOMONTH(I11,6)</f>
        <v>44742</v>
      </c>
      <c r="K11" s="70">
        <f t="shared" ref="K11:Q11" si="0">EOMONTH(J11,6)</f>
        <v>44926</v>
      </c>
      <c r="L11" s="70">
        <f t="shared" si="0"/>
        <v>45107</v>
      </c>
      <c r="M11" s="70">
        <f t="shared" si="0"/>
        <v>45291</v>
      </c>
      <c r="N11" s="70">
        <f t="shared" si="0"/>
        <v>45473</v>
      </c>
      <c r="O11" s="70">
        <f t="shared" si="0"/>
        <v>45657</v>
      </c>
      <c r="P11" s="70">
        <f t="shared" si="0"/>
        <v>45838</v>
      </c>
      <c r="Q11" s="70">
        <f t="shared" si="0"/>
        <v>46022</v>
      </c>
      <c r="R11" s="70">
        <f>EOMONTH(Q11,6)</f>
        <v>46203</v>
      </c>
      <c r="S11"/>
      <c r="T11"/>
      <c r="U11"/>
      <c r="V11"/>
      <c r="W11"/>
    </row>
    <row r="12" spans="1:23" s="1" customFormat="1" x14ac:dyDescent="0.2">
      <c r="A12"/>
      <c r="B12" s="20" t="s">
        <v>194</v>
      </c>
      <c r="C12"/>
      <c r="D12"/>
      <c r="E12"/>
      <c r="F12"/>
      <c r="G12"/>
      <c r="H12" s="68">
        <f t="shared" ref="H12:R12" si="1">IF(MONTH(H11)=12, EOMONTH(H11,6), H11)</f>
        <v>44377</v>
      </c>
      <c r="I12" s="68">
        <f t="shared" si="1"/>
        <v>44742</v>
      </c>
      <c r="J12" s="68">
        <f t="shared" si="1"/>
        <v>44742</v>
      </c>
      <c r="K12" s="68">
        <f t="shared" si="1"/>
        <v>45107</v>
      </c>
      <c r="L12" s="68">
        <f t="shared" si="1"/>
        <v>45107</v>
      </c>
      <c r="M12" s="68">
        <f t="shared" si="1"/>
        <v>45473</v>
      </c>
      <c r="N12" s="68">
        <f t="shared" si="1"/>
        <v>45473</v>
      </c>
      <c r="O12" s="68">
        <f t="shared" si="1"/>
        <v>45838</v>
      </c>
      <c r="P12" s="68">
        <f t="shared" si="1"/>
        <v>45838</v>
      </c>
      <c r="Q12" s="68">
        <f t="shared" si="1"/>
        <v>46203</v>
      </c>
      <c r="R12" s="68">
        <f t="shared" si="1"/>
        <v>46203</v>
      </c>
      <c r="S12"/>
      <c r="T12"/>
      <c r="U12"/>
      <c r="V12"/>
      <c r="W12"/>
    </row>
    <row r="13" spans="1:23" s="1" customFormat="1" x14ac:dyDescent="0.2">
      <c r="A13"/>
      <c r="B13" s="20" t="s">
        <v>192</v>
      </c>
      <c r="C13"/>
      <c r="D13"/>
      <c r="E13"/>
      <c r="F13"/>
      <c r="G13"/>
      <c r="H13" s="71">
        <f t="shared" ref="H13:R13" si="2">IF(output_dollars&lt;H12,0,INDEX($H$8:$M$8,MATCH(H12,CY_years,0)))</f>
        <v>0</v>
      </c>
      <c r="I13" s="71">
        <f t="shared" si="2"/>
        <v>8.6058519793459354E-3</v>
      </c>
      <c r="J13" s="71">
        <f t="shared" si="2"/>
        <v>8.6058519793459354E-3</v>
      </c>
      <c r="K13" s="71">
        <f t="shared" si="2"/>
        <v>3.4982935153583528E-2</v>
      </c>
      <c r="L13" s="71">
        <f t="shared" si="2"/>
        <v>3.4982935153583528E-2</v>
      </c>
      <c r="M13" s="71">
        <f t="shared" si="2"/>
        <v>7.8318219291014124E-2</v>
      </c>
      <c r="N13" s="71">
        <f t="shared" si="2"/>
        <v>7.8318219291014124E-2</v>
      </c>
      <c r="O13" s="71">
        <f t="shared" si="2"/>
        <v>4.0519877675840865E-2</v>
      </c>
      <c r="P13" s="71">
        <f t="shared" si="2"/>
        <v>4.0519877675840865E-2</v>
      </c>
      <c r="Q13" s="71">
        <f t="shared" si="2"/>
        <v>2.4246877296105973E-2</v>
      </c>
      <c r="R13" s="71">
        <f t="shared" si="2"/>
        <v>2.4246877296105973E-2</v>
      </c>
      <c r="S13"/>
      <c r="T13"/>
      <c r="U13"/>
      <c r="V13"/>
      <c r="W13"/>
    </row>
    <row r="14" spans="1:23" s="1" customFormat="1" x14ac:dyDescent="0.2">
      <c r="A14"/>
      <c r="B14"/>
      <c r="C14"/>
      <c r="D14"/>
      <c r="E14"/>
      <c r="F14"/>
      <c r="G14"/>
      <c r="S14"/>
      <c r="T14"/>
      <c r="U14"/>
      <c r="V14"/>
      <c r="W14"/>
    </row>
    <row r="15" spans="1:23" s="20" customFormat="1" x14ac:dyDescent="0.2">
      <c r="A15"/>
      <c r="B15" s="20" t="s">
        <v>195</v>
      </c>
      <c r="C15"/>
      <c r="D15"/>
      <c r="E15"/>
      <c r="F15"/>
      <c r="G15"/>
      <c r="H15" s="36">
        <v>1</v>
      </c>
      <c r="I15" s="20">
        <f t="shared" ref="I15:R15" si="3">H15*(1+I$13)^0.5</f>
        <v>1.0042937080253693</v>
      </c>
      <c r="J15" s="20">
        <f t="shared" si="3"/>
        <v>1.0086058519793457</v>
      </c>
      <c r="K15" s="20">
        <f t="shared" si="3"/>
        <v>1.0260961975293987</v>
      </c>
      <c r="L15" s="20">
        <f t="shared" si="3"/>
        <v>1.0438898450946641</v>
      </c>
      <c r="M15" s="20">
        <f t="shared" si="3"/>
        <v>1.0839971599793141</v>
      </c>
      <c r="N15" s="20">
        <f t="shared" si="3"/>
        <v>1.1256454388984505</v>
      </c>
      <c r="O15" s="20">
        <f t="shared" si="3"/>
        <v>1.1482244927118261</v>
      </c>
      <c r="P15" s="20">
        <f t="shared" si="3"/>
        <v>1.1712564543889838</v>
      </c>
      <c r="Q15" s="20">
        <f t="shared" si="3"/>
        <v>1.1853710637938346</v>
      </c>
      <c r="R15" s="20">
        <f t="shared" si="3"/>
        <v>1.1996557659208258</v>
      </c>
      <c r="S15"/>
      <c r="T15"/>
      <c r="U15"/>
      <c r="V15"/>
      <c r="W15"/>
    </row>
    <row r="16" spans="1:23" s="20" customFormat="1" x14ac:dyDescent="0.2">
      <c r="A16"/>
      <c r="B16" s="20" t="s">
        <v>196</v>
      </c>
      <c r="C16" s="60">
        <f>input_dollars</f>
        <v>45291</v>
      </c>
      <c r="D16" s="20">
        <f>INDEX(hy_escalation, MATCH(C16,hy_dates,0))</f>
        <v>1.0839971599793141</v>
      </c>
      <c r="E16"/>
      <c r="F16"/>
      <c r="G16"/>
      <c r="S16"/>
      <c r="T16"/>
      <c r="U16"/>
      <c r="V16"/>
      <c r="W16"/>
    </row>
    <row r="17" spans="1:34" s="20" customFormat="1" x14ac:dyDescent="0.2">
      <c r="A17"/>
      <c r="B17" s="20" t="s">
        <v>197</v>
      </c>
      <c r="C17" s="60">
        <f>output_dollars</f>
        <v>46203</v>
      </c>
      <c r="D17" s="20">
        <f>INDEX(hy_escalation, MATCH(C17,hy_dates,0))</f>
        <v>1.1996557659208258</v>
      </c>
      <c r="E17"/>
      <c r="F17"/>
      <c r="G17"/>
      <c r="S17"/>
      <c r="T17"/>
      <c r="U17"/>
      <c r="V17"/>
      <c r="W17"/>
    </row>
    <row r="18" spans="1:34" s="1" customForma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34" x14ac:dyDescent="0.2">
      <c r="B19" s="20" t="s">
        <v>198</v>
      </c>
      <c r="D19" s="20">
        <f>D17/D16</f>
        <v>1.1066964104811112</v>
      </c>
      <c r="L19" s="249"/>
    </row>
    <row r="20" spans="1:34" x14ac:dyDescent="0.2">
      <c r="B20" s="20"/>
      <c r="D20" s="20"/>
    </row>
    <row r="21" spans="1:34" x14ac:dyDescent="0.2">
      <c r="B21" s="20" t="s">
        <v>199</v>
      </c>
      <c r="C21" s="60">
        <f>vcr_date</f>
        <v>45657</v>
      </c>
      <c r="D21" s="20">
        <f>INDEX(hy_escalation, MATCH(C21,hy_dates,0))</f>
        <v>1.1482244927118261</v>
      </c>
    </row>
    <row r="22" spans="1:34" x14ac:dyDescent="0.2">
      <c r="B22" s="20" t="s">
        <v>200</v>
      </c>
      <c r="C22" s="60">
        <f>input_dollars</f>
        <v>45291</v>
      </c>
      <c r="D22" s="20">
        <f>INDEX(hy_escalation, MATCH(C22,hy_dates,0))</f>
        <v>1.0839971599793141</v>
      </c>
    </row>
    <row r="23" spans="1:34" x14ac:dyDescent="0.2">
      <c r="B23" s="20" t="s">
        <v>201</v>
      </c>
      <c r="D23" s="20">
        <f>D22/D21</f>
        <v>0.94406378444268968</v>
      </c>
    </row>
    <row r="25" spans="1:34" x14ac:dyDescent="0.2">
      <c r="B25" s="20" t="s">
        <v>202</v>
      </c>
      <c r="C25" s="6" t="str">
        <f>start</f>
        <v>2026-27</v>
      </c>
    </row>
    <row r="28" spans="1:34" s="1" customFormat="1" ht="15" x14ac:dyDescent="0.2">
      <c r="A28" s="16" t="s">
        <v>203</v>
      </c>
      <c r="B28" s="16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5"/>
      <c r="N28" s="15"/>
      <c r="O28" s="15"/>
      <c r="P28" s="15"/>
      <c r="Q28" s="15"/>
      <c r="R28" s="15"/>
    </row>
    <row r="31" spans="1:34" x14ac:dyDescent="0.2">
      <c r="B31" s="170" t="s">
        <v>12</v>
      </c>
      <c r="C31" s="171" t="s">
        <v>135</v>
      </c>
      <c r="D31" s="172" t="s">
        <v>204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</row>
    <row r="32" spans="1:34" x14ac:dyDescent="0.2">
      <c r="B32" s="116" t="s">
        <v>148</v>
      </c>
      <c r="C32" s="169">
        <f>Option2!$G$92</f>
        <v>4</v>
      </c>
      <c r="D32" s="8" t="b">
        <f>NOT(Data!C10)</f>
        <v>1</v>
      </c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</row>
    <row r="33" spans="2:34" x14ac:dyDescent="0.2">
      <c r="B33" s="116" t="s">
        <v>149</v>
      </c>
      <c r="C33" s="169">
        <f>Option3!$G$92</f>
        <v>4</v>
      </c>
      <c r="D33" s="8" t="b">
        <f>NOT(Data!C11)</f>
        <v>1</v>
      </c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</row>
    <row r="34" spans="2:34" x14ac:dyDescent="0.2">
      <c r="B34" s="116" t="s">
        <v>150</v>
      </c>
      <c r="C34" s="169">
        <f>Option4!$G$92</f>
        <v>4</v>
      </c>
      <c r="D34" s="8" t="b">
        <f>NOT(Data!C12)</f>
        <v>1</v>
      </c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</row>
    <row r="35" spans="2:34" x14ac:dyDescent="0.2">
      <c r="B35" s="116" t="s">
        <v>151</v>
      </c>
      <c r="C35" s="169" t="str">
        <f>Option5!$G$92</f>
        <v>Not used</v>
      </c>
      <c r="D35" s="8" t="b">
        <f>NOT(Data!C13)</f>
        <v>0</v>
      </c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</row>
    <row r="36" spans="2:34" x14ac:dyDescent="0.2">
      <c r="B36" s="8"/>
      <c r="C36" s="74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</row>
    <row r="37" spans="2:34" x14ac:dyDescent="0.2">
      <c r="B37" s="8"/>
      <c r="C37" s="74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</row>
    <row r="38" spans="2:34" x14ac:dyDescent="0.2">
      <c r="B38" s="173" t="s">
        <v>135</v>
      </c>
      <c r="C38" s="173" cm="1">
        <f t="array" ref="C38">IF(OR(NOT(Data!$C$10:$C$13)), _xlfn.MINIFS($C$32:$C$35,$D$32:$D$35,TRUE), 0)</f>
        <v>4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</row>
    <row r="39" spans="2:34" x14ac:dyDescent="0.2">
      <c r="B39" s="8"/>
      <c r="C39" s="74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spans="2:34" x14ac:dyDescent="0.2">
      <c r="D40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</row>
    <row r="41" spans="2:34" x14ac:dyDescent="0.2">
      <c r="D41"/>
    </row>
    <row r="42" spans="2:34" x14ac:dyDescent="0.2">
      <c r="D42"/>
    </row>
    <row r="43" spans="2:34" x14ac:dyDescent="0.2">
      <c r="D43"/>
    </row>
  </sheetData>
  <pageMargins left="0.7" right="0.7" top="0.75" bottom="0.75" header="0.3" footer="0.3"/>
  <pageSetup paperSize="9" orientation="portrait" horizontalDpi="90" verticalDpi="9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1E31B-D919-4625-B2CD-E9F193C9DE73}">
  <sheetPr codeName="Sheet9">
    <tabColor rgb="FFFFFFCC"/>
  </sheetPr>
  <dimension ref="A1:Y323"/>
  <sheetViews>
    <sheetView showGridLines="0" zoomScale="90" zoomScaleNormal="90" workbookViewId="0">
      <selection activeCell="P38" sqref="P38"/>
    </sheetView>
  </sheetViews>
  <sheetFormatPr defaultColWidth="9" defaultRowHeight="12.75" x14ac:dyDescent="0.2"/>
  <cols>
    <col min="1" max="1" width="5.375" style="6" customWidth="1"/>
    <col min="2" max="2" width="24.5" style="6" customWidth="1"/>
    <col min="3" max="3" width="9" style="6"/>
    <col min="4" max="4" width="9.875" style="6" bestFit="1" customWidth="1"/>
    <col min="5" max="5" width="10.875" style="6" customWidth="1"/>
    <col min="6" max="14" width="9" style="6"/>
    <col min="15" max="15" width="30.125" style="6" customWidth="1"/>
    <col min="16" max="18" width="9" style="6"/>
    <col min="19" max="19" width="11.375" style="6" bestFit="1" customWidth="1"/>
    <col min="20" max="24" width="9" style="6"/>
    <col min="25" max="25" width="19.125" style="6" customWidth="1"/>
    <col min="26" max="16384" width="9" style="6"/>
  </cols>
  <sheetData>
    <row r="1" spans="1:25" ht="18.75" x14ac:dyDescent="0.3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42"/>
      <c r="L1" s="42"/>
      <c r="M1" s="42"/>
      <c r="N1" s="13"/>
      <c r="O1" s="13"/>
      <c r="P1" s="13"/>
      <c r="Q1" s="13"/>
      <c r="R1"/>
      <c r="S1" s="126"/>
      <c r="T1"/>
      <c r="U1"/>
    </row>
    <row r="2" spans="1:25" ht="18.75" x14ac:dyDescent="0.3">
      <c r="A2" s="50" t="str">
        <f>proj</f>
        <v>Horsham REFCL</v>
      </c>
      <c r="B2" s="50"/>
      <c r="C2" s="50"/>
      <c r="D2" s="50"/>
      <c r="E2" s="50"/>
      <c r="F2" s="50"/>
      <c r="G2" s="13"/>
      <c r="H2" s="13"/>
      <c r="I2" s="13"/>
      <c r="J2" s="13"/>
      <c r="K2" s="42"/>
      <c r="L2" s="42"/>
      <c r="M2" s="42"/>
      <c r="N2" s="13"/>
      <c r="O2" s="13"/>
      <c r="P2" s="13"/>
      <c r="Q2" s="13"/>
      <c r="R2"/>
      <c r="S2"/>
      <c r="T2"/>
      <c r="U2"/>
    </row>
    <row r="3" spans="1:25" ht="15.75" x14ac:dyDescent="0.25">
      <c r="A3" s="5"/>
      <c r="B3" s="5"/>
      <c r="C3" s="5"/>
      <c r="D3" s="5"/>
      <c r="E3" s="5"/>
      <c r="F3" s="5"/>
      <c r="R3"/>
      <c r="S3"/>
      <c r="T3"/>
      <c r="U3"/>
    </row>
    <row r="4" spans="1:25" x14ac:dyDescent="0.2">
      <c r="R4"/>
      <c r="S4"/>
      <c r="T4"/>
    </row>
    <row r="5" spans="1:25" ht="15" x14ac:dyDescent="0.25">
      <c r="A5" s="17" t="s">
        <v>207</v>
      </c>
      <c r="B5" s="17"/>
      <c r="C5" s="17"/>
      <c r="D5" s="17"/>
      <c r="E5" s="17"/>
      <c r="F5" s="18"/>
      <c r="G5" s="17"/>
      <c r="H5" s="17"/>
      <c r="I5" s="17"/>
      <c r="J5" s="18"/>
      <c r="K5" s="18"/>
      <c r="L5" s="18"/>
      <c r="M5" s="18"/>
      <c r="N5" s="18"/>
      <c r="O5" s="18"/>
      <c r="P5" s="18"/>
      <c r="Q5" s="18"/>
      <c r="R5"/>
      <c r="S5"/>
      <c r="T5"/>
    </row>
    <row r="6" spans="1:25" x14ac:dyDescent="0.2">
      <c r="R6"/>
      <c r="S6"/>
      <c r="T6"/>
    </row>
    <row r="7" spans="1:25" x14ac:dyDescent="0.2">
      <c r="A7" s="12" t="s">
        <v>208</v>
      </c>
      <c r="R7"/>
      <c r="S7"/>
      <c r="T7"/>
    </row>
    <row r="8" spans="1:25" x14ac:dyDescent="0.2">
      <c r="A8" s="53"/>
      <c r="B8" s="53"/>
      <c r="C8" s="47" t="s">
        <v>209</v>
      </c>
      <c r="D8" s="47" t="s">
        <v>210</v>
      </c>
      <c r="F8" s="6" t="s">
        <v>211</v>
      </c>
      <c r="R8"/>
      <c r="S8"/>
      <c r="T8"/>
    </row>
    <row r="9" spans="1:25" x14ac:dyDescent="0.2">
      <c r="A9" s="25" t="s">
        <v>212</v>
      </c>
      <c r="B9" s="76" t="s">
        <v>205</v>
      </c>
      <c r="C9" s="19" t="b">
        <v>0</v>
      </c>
      <c r="D9" s="6" t="str">
        <f>IF(C9, $C$8, "")</f>
        <v/>
      </c>
      <c r="E9" s="6" t="str">
        <f>B9&amp;": "&amp;Assumptions!E14</f>
        <v>Option 1 (base case): No change to existing practices</v>
      </c>
      <c r="F9" s="6" t="b">
        <f>compliance</f>
        <v>0</v>
      </c>
      <c r="R9"/>
      <c r="S9"/>
      <c r="T9"/>
      <c r="U9"/>
    </row>
    <row r="10" spans="1:25" x14ac:dyDescent="0.2">
      <c r="A10" s="25" t="s">
        <v>213</v>
      </c>
      <c r="B10" s="76" t="s">
        <v>148</v>
      </c>
      <c r="C10" s="19" t="b">
        <f>SUM(Option2!I$17:AB$17, Option2!I$19:AB$19)=0</f>
        <v>0</v>
      </c>
      <c r="D10" s="6" t="str">
        <f>IF(C10, $C$8, "")</f>
        <v/>
      </c>
      <c r="F10" s="6" t="b">
        <f>C10</f>
        <v>0</v>
      </c>
      <c r="R10"/>
      <c r="S10"/>
      <c r="T10"/>
      <c r="U10"/>
      <c r="X10"/>
      <c r="Y10"/>
    </row>
    <row r="11" spans="1:25" x14ac:dyDescent="0.2">
      <c r="A11" s="25" t="s">
        <v>214</v>
      </c>
      <c r="B11" s="76" t="s">
        <v>149</v>
      </c>
      <c r="C11" s="19" t="b">
        <f>SUM(Option3!I$17:AB$17, Option3!I$19:AB$19)=0</f>
        <v>0</v>
      </c>
      <c r="D11" s="6" t="str">
        <f>IF(C11, $C$8, "")</f>
        <v/>
      </c>
      <c r="F11" s="6" t="b">
        <f>C11</f>
        <v>0</v>
      </c>
      <c r="R11"/>
      <c r="S11"/>
      <c r="T11"/>
      <c r="U11"/>
      <c r="X11"/>
      <c r="Y11"/>
    </row>
    <row r="12" spans="1:25" x14ac:dyDescent="0.2">
      <c r="A12" s="25" t="s">
        <v>215</v>
      </c>
      <c r="B12" s="76" t="s">
        <v>150</v>
      </c>
      <c r="C12" s="19" t="b">
        <f>SUM(Option4!I$17:AB$17, Option4!I$19:AB$19)=0</f>
        <v>0</v>
      </c>
      <c r="D12" s="6" t="str">
        <f>IF(C12, $C$8, "")</f>
        <v/>
      </c>
      <c r="F12" s="6" t="b">
        <f>C12</f>
        <v>0</v>
      </c>
      <c r="R12"/>
      <c r="S12"/>
      <c r="T12"/>
      <c r="U12"/>
      <c r="X12"/>
      <c r="Y12"/>
    </row>
    <row r="13" spans="1:25" x14ac:dyDescent="0.2">
      <c r="A13" s="25" t="s">
        <v>216</v>
      </c>
      <c r="B13" s="76" t="s">
        <v>151</v>
      </c>
      <c r="C13" s="19" t="b">
        <f>SUM(Option5!I$17:AB$17, Option5!I$19:AB$19)=0</f>
        <v>1</v>
      </c>
      <c r="D13" s="6" t="str">
        <f>IF(C13, $C$8, "")</f>
        <v>Not used</v>
      </c>
      <c r="F13" s="6" t="b">
        <f>C13</f>
        <v>1</v>
      </c>
      <c r="R13"/>
      <c r="S13"/>
      <c r="T13"/>
      <c r="U13"/>
      <c r="X13"/>
      <c r="Y13"/>
    </row>
    <row r="14" spans="1:25" x14ac:dyDescent="0.2">
      <c r="R14"/>
      <c r="S14"/>
      <c r="T14"/>
      <c r="U14"/>
      <c r="X14"/>
      <c r="Y14"/>
    </row>
    <row r="15" spans="1:25" x14ac:dyDescent="0.2">
      <c r="R15"/>
      <c r="S15"/>
      <c r="T15"/>
      <c r="U15"/>
      <c r="X15"/>
      <c r="Y15"/>
    </row>
    <row r="16" spans="1:25" x14ac:dyDescent="0.2">
      <c r="A16" s="6" t="s">
        <v>34</v>
      </c>
      <c r="D16" s="21" t="s">
        <v>217</v>
      </c>
      <c r="E16" s="6" t="b">
        <f>Assumptions!E20=Data!D16</f>
        <v>0</v>
      </c>
      <c r="R16"/>
      <c r="S16"/>
      <c r="T16"/>
      <c r="U16"/>
      <c r="X16"/>
      <c r="Y16"/>
    </row>
    <row r="17" spans="1:25" x14ac:dyDescent="0.2">
      <c r="R17"/>
      <c r="S17"/>
      <c r="T17"/>
      <c r="U17"/>
      <c r="X17"/>
      <c r="Y17"/>
    </row>
    <row r="18" spans="1:25" x14ac:dyDescent="0.2">
      <c r="R18"/>
      <c r="S18"/>
      <c r="T18"/>
      <c r="U18"/>
      <c r="X18"/>
      <c r="Y18"/>
    </row>
    <row r="19" spans="1:25" x14ac:dyDescent="0.2">
      <c r="B19" s="76" t="s">
        <v>30</v>
      </c>
      <c r="C19" s="19"/>
      <c r="R19"/>
      <c r="S19"/>
      <c r="T19"/>
      <c r="U19"/>
      <c r="X19"/>
      <c r="Y19"/>
    </row>
    <row r="20" spans="1:25" x14ac:dyDescent="0.2">
      <c r="B20" s="76" t="s">
        <v>218</v>
      </c>
      <c r="C20" s="19"/>
      <c r="R20"/>
      <c r="S20"/>
      <c r="T20"/>
      <c r="U20"/>
      <c r="X20"/>
      <c r="Y20"/>
    </row>
    <row r="21" spans="1:25" x14ac:dyDescent="0.2">
      <c r="B21" s="76" t="s">
        <v>219</v>
      </c>
      <c r="R21"/>
      <c r="S21"/>
      <c r="T21"/>
      <c r="U21"/>
      <c r="X21"/>
      <c r="Y21"/>
    </row>
    <row r="22" spans="1:25" x14ac:dyDescent="0.2">
      <c r="R22"/>
      <c r="S22"/>
      <c r="T22"/>
      <c r="U22"/>
      <c r="X22"/>
      <c r="Y22"/>
    </row>
    <row r="23" spans="1:25" x14ac:dyDescent="0.2">
      <c r="R23"/>
      <c r="S23"/>
      <c r="T23"/>
      <c r="U23"/>
    </row>
    <row r="24" spans="1:25" x14ac:dyDescent="0.2">
      <c r="A24" s="6" t="s">
        <v>220</v>
      </c>
      <c r="B24" s="89"/>
      <c r="R24"/>
      <c r="S24"/>
      <c r="T24"/>
      <c r="U24"/>
    </row>
    <row r="25" spans="1:25" x14ac:dyDescent="0.2">
      <c r="B25" s="21" t="s">
        <v>94</v>
      </c>
      <c r="R25"/>
      <c r="S25"/>
      <c r="T25"/>
      <c r="U25"/>
    </row>
    <row r="26" spans="1:25" x14ac:dyDescent="0.2">
      <c r="R26"/>
      <c r="S26"/>
      <c r="T26"/>
      <c r="U26"/>
    </row>
    <row r="27" spans="1:25" x14ac:dyDescent="0.2">
      <c r="R27"/>
      <c r="S27"/>
      <c r="T27"/>
      <c r="U27"/>
    </row>
    <row r="28" spans="1:25" x14ac:dyDescent="0.2">
      <c r="A28" s="12" t="s">
        <v>221</v>
      </c>
      <c r="R28"/>
      <c r="S28"/>
      <c r="T28"/>
      <c r="U28"/>
    </row>
    <row r="29" spans="1:25" x14ac:dyDescent="0.2">
      <c r="A29" s="12"/>
      <c r="B29" s="47"/>
      <c r="C29" s="47" t="s">
        <v>222</v>
      </c>
      <c r="R29"/>
      <c r="S29"/>
      <c r="T29"/>
      <c r="U29"/>
    </row>
    <row r="30" spans="1:25" x14ac:dyDescent="0.2">
      <c r="B30" s="21" t="s">
        <v>17</v>
      </c>
      <c r="C30" s="21">
        <v>-1</v>
      </c>
      <c r="R30"/>
      <c r="S30"/>
      <c r="T30"/>
      <c r="U30"/>
    </row>
    <row r="31" spans="1:25" x14ac:dyDescent="0.2">
      <c r="B31" s="21" t="s">
        <v>128</v>
      </c>
      <c r="C31" s="21">
        <v>-1</v>
      </c>
      <c r="R31"/>
      <c r="S31"/>
      <c r="T31"/>
      <c r="U31"/>
      <c r="Y31" s="59"/>
    </row>
    <row r="32" spans="1:25" x14ac:dyDescent="0.2">
      <c r="B32" s="21" t="s">
        <v>18</v>
      </c>
      <c r="C32" s="21">
        <v>-1</v>
      </c>
      <c r="R32"/>
      <c r="S32"/>
      <c r="T32"/>
      <c r="U32"/>
      <c r="Y32" s="59"/>
    </row>
    <row r="33" spans="1:21" x14ac:dyDescent="0.2">
      <c r="B33" s="21" t="s">
        <v>130</v>
      </c>
      <c r="C33" s="21">
        <v>1</v>
      </c>
      <c r="R33"/>
      <c r="S33"/>
      <c r="T33"/>
      <c r="U33"/>
    </row>
    <row r="34" spans="1:21" x14ac:dyDescent="0.2">
      <c r="B34" s="21" t="s">
        <v>131</v>
      </c>
      <c r="C34" s="21">
        <v>1</v>
      </c>
      <c r="R34"/>
      <c r="S34"/>
      <c r="T34"/>
      <c r="U34"/>
    </row>
    <row r="35" spans="1:21" x14ac:dyDescent="0.2">
      <c r="B35" s="21" t="s">
        <v>132</v>
      </c>
      <c r="C35" s="21">
        <v>1</v>
      </c>
      <c r="R35"/>
      <c r="S35"/>
      <c r="T35"/>
      <c r="U35"/>
    </row>
    <row r="36" spans="1:21" x14ac:dyDescent="0.2">
      <c r="B36" s="21" t="s">
        <v>5</v>
      </c>
      <c r="C36" s="21">
        <v>1</v>
      </c>
      <c r="R36"/>
      <c r="S36"/>
      <c r="T36"/>
      <c r="U36"/>
    </row>
    <row r="37" spans="1:21" x14ac:dyDescent="0.2">
      <c r="R37"/>
      <c r="S37"/>
      <c r="T37"/>
      <c r="U37"/>
    </row>
    <row r="38" spans="1:21" x14ac:dyDescent="0.2">
      <c r="R38"/>
      <c r="S38"/>
      <c r="T38"/>
      <c r="U38"/>
    </row>
    <row r="39" spans="1:21" x14ac:dyDescent="0.2">
      <c r="R39"/>
      <c r="S39"/>
      <c r="T39"/>
      <c r="U39"/>
    </row>
    <row r="40" spans="1:21" x14ac:dyDescent="0.2">
      <c r="R40"/>
      <c r="S40"/>
      <c r="T40"/>
      <c r="U40"/>
    </row>
    <row r="41" spans="1:21" x14ac:dyDescent="0.2">
      <c r="A41" s="12" t="s">
        <v>223</v>
      </c>
      <c r="R41"/>
      <c r="S41"/>
      <c r="T41"/>
      <c r="U41"/>
    </row>
    <row r="42" spans="1:21" x14ac:dyDescent="0.2">
      <c r="A42" s="53"/>
      <c r="B42" s="53"/>
      <c r="C42" s="47" t="s">
        <v>222</v>
      </c>
      <c r="D42" s="47" t="s">
        <v>224</v>
      </c>
      <c r="E42" s="47" t="s">
        <v>91</v>
      </c>
      <c r="F42" s="6" t="s">
        <v>225</v>
      </c>
      <c r="R42"/>
      <c r="S42"/>
      <c r="T42"/>
      <c r="U42"/>
    </row>
    <row r="43" spans="1:21" x14ac:dyDescent="0.2">
      <c r="A43" s="25">
        <v>1</v>
      </c>
      <c r="B43" s="25" t="s">
        <v>226</v>
      </c>
      <c r="C43" s="25" t="s">
        <v>227</v>
      </c>
      <c r="D43" s="25" t="b">
        <v>0</v>
      </c>
      <c r="E43" s="21" t="s">
        <v>99</v>
      </c>
      <c r="F43" s="25" t="b">
        <v>0</v>
      </c>
      <c r="R43"/>
      <c r="S43"/>
      <c r="T43"/>
      <c r="U43"/>
    </row>
    <row r="44" spans="1:21" x14ac:dyDescent="0.2">
      <c r="A44" s="25">
        <f>A43+1</f>
        <v>2</v>
      </c>
      <c r="B44" s="25" t="s">
        <v>228</v>
      </c>
      <c r="C44" s="25" t="s">
        <v>228</v>
      </c>
      <c r="D44" s="25" t="b">
        <v>0</v>
      </c>
      <c r="E44" s="21" t="s">
        <v>110</v>
      </c>
      <c r="F44" s="25" t="b">
        <v>1</v>
      </c>
      <c r="R44"/>
      <c r="S44"/>
      <c r="T44"/>
      <c r="U44"/>
    </row>
    <row r="45" spans="1:21" x14ac:dyDescent="0.2">
      <c r="A45" s="25">
        <f t="shared" ref="A45:A55" si="0">A44+1</f>
        <v>3</v>
      </c>
      <c r="B45" s="25" t="s">
        <v>229</v>
      </c>
      <c r="C45" s="25" t="s">
        <v>230</v>
      </c>
      <c r="D45" s="25" t="b">
        <v>0</v>
      </c>
      <c r="E45" s="21" t="s">
        <v>110</v>
      </c>
      <c r="F45" s="25" t="b">
        <v>1</v>
      </c>
      <c r="R45"/>
      <c r="S45"/>
      <c r="T45"/>
      <c r="U45"/>
    </row>
    <row r="46" spans="1:21" x14ac:dyDescent="0.2">
      <c r="A46" s="25">
        <f t="shared" si="0"/>
        <v>4</v>
      </c>
      <c r="B46" s="25" t="s">
        <v>231</v>
      </c>
      <c r="C46" s="25" t="s">
        <v>232</v>
      </c>
      <c r="D46" s="25" t="b">
        <v>0</v>
      </c>
      <c r="E46" s="21" t="s">
        <v>110</v>
      </c>
      <c r="F46" s="25" t="b">
        <v>1</v>
      </c>
      <c r="R46"/>
      <c r="S46"/>
      <c r="T46"/>
      <c r="U46"/>
    </row>
    <row r="47" spans="1:21" ht="13.5" x14ac:dyDescent="0.25">
      <c r="A47" s="25">
        <f t="shared" si="0"/>
        <v>5</v>
      </c>
      <c r="B47" s="25" t="s">
        <v>108</v>
      </c>
      <c r="C47" s="25" t="s">
        <v>233</v>
      </c>
      <c r="D47" s="25" t="b">
        <v>1</v>
      </c>
      <c r="E47" s="21" t="s">
        <v>99</v>
      </c>
      <c r="F47" s="25" t="b">
        <v>0</v>
      </c>
      <c r="R47"/>
      <c r="S47"/>
      <c r="T47"/>
      <c r="U47"/>
    </row>
    <row r="48" spans="1:21" x14ac:dyDescent="0.2">
      <c r="A48" s="25">
        <f t="shared" si="0"/>
        <v>6</v>
      </c>
      <c r="B48" s="25" t="s">
        <v>111</v>
      </c>
      <c r="C48" s="25" t="s">
        <v>234</v>
      </c>
      <c r="D48" s="25" t="b">
        <v>1</v>
      </c>
      <c r="E48" s="21" t="s">
        <v>99</v>
      </c>
      <c r="F48" s="25" t="b">
        <v>0</v>
      </c>
      <c r="R48"/>
      <c r="S48"/>
      <c r="T48"/>
      <c r="U48"/>
    </row>
    <row r="49" spans="1:21" x14ac:dyDescent="0.2">
      <c r="A49" s="25">
        <f t="shared" si="0"/>
        <v>7</v>
      </c>
      <c r="B49" s="25" t="s">
        <v>112</v>
      </c>
      <c r="C49" s="25" t="s">
        <v>234</v>
      </c>
      <c r="D49" s="25" t="b">
        <v>1</v>
      </c>
      <c r="E49" s="21" t="s">
        <v>99</v>
      </c>
      <c r="F49" s="25" t="b">
        <v>0</v>
      </c>
      <c r="R49"/>
      <c r="S49"/>
      <c r="T49"/>
      <c r="U49"/>
    </row>
    <row r="50" spans="1:21" x14ac:dyDescent="0.2">
      <c r="A50" s="25">
        <f t="shared" si="0"/>
        <v>8</v>
      </c>
      <c r="B50" s="25" t="s">
        <v>113</v>
      </c>
      <c r="C50" s="25" t="s">
        <v>234</v>
      </c>
      <c r="D50" s="25" t="b">
        <v>1</v>
      </c>
      <c r="E50" s="21" t="s">
        <v>99</v>
      </c>
      <c r="F50" s="25" t="b">
        <v>0</v>
      </c>
      <c r="R50"/>
      <c r="S50"/>
      <c r="T50"/>
      <c r="U50"/>
    </row>
    <row r="51" spans="1:21" x14ac:dyDescent="0.2">
      <c r="A51" s="25">
        <f t="shared" si="0"/>
        <v>9</v>
      </c>
      <c r="B51" s="25" t="s">
        <v>114</v>
      </c>
      <c r="C51" s="25" t="s">
        <v>234</v>
      </c>
      <c r="D51" s="25" t="b">
        <v>1</v>
      </c>
      <c r="E51" s="21" t="s">
        <v>235</v>
      </c>
      <c r="F51" s="25" t="b">
        <v>0</v>
      </c>
      <c r="R51"/>
      <c r="S51"/>
      <c r="T51"/>
      <c r="U51"/>
    </row>
    <row r="52" spans="1:21" x14ac:dyDescent="0.2">
      <c r="A52" s="25">
        <f t="shared" si="0"/>
        <v>10</v>
      </c>
      <c r="B52" s="25" t="s">
        <v>236</v>
      </c>
      <c r="C52" s="25" t="s">
        <v>234</v>
      </c>
      <c r="D52" s="25" t="b">
        <v>1</v>
      </c>
      <c r="E52" s="21" t="s">
        <v>237</v>
      </c>
      <c r="F52" s="25" t="b">
        <v>0</v>
      </c>
      <c r="R52"/>
      <c r="S52"/>
      <c r="T52"/>
      <c r="U52"/>
    </row>
    <row r="53" spans="1:21" x14ac:dyDescent="0.2">
      <c r="A53" s="25">
        <f t="shared" si="0"/>
        <v>11</v>
      </c>
      <c r="B53" s="25" t="s">
        <v>238</v>
      </c>
      <c r="C53" s="25" t="s">
        <v>234</v>
      </c>
      <c r="D53" s="25" t="b">
        <v>1</v>
      </c>
      <c r="E53" s="21" t="s">
        <v>237</v>
      </c>
      <c r="F53" s="25" t="b">
        <v>0</v>
      </c>
      <c r="R53"/>
      <c r="S53"/>
      <c r="T53"/>
      <c r="U53"/>
    </row>
    <row r="54" spans="1:21" x14ac:dyDescent="0.2">
      <c r="A54" s="25">
        <f t="shared" si="0"/>
        <v>12</v>
      </c>
      <c r="B54" s="25" t="s">
        <v>121</v>
      </c>
      <c r="C54" s="25" t="s">
        <v>234</v>
      </c>
      <c r="D54" s="25" t="b">
        <v>1</v>
      </c>
      <c r="E54" s="21" t="s">
        <v>235</v>
      </c>
      <c r="F54" s="25" t="b">
        <v>0</v>
      </c>
      <c r="O54"/>
      <c r="P54"/>
      <c r="Q54"/>
      <c r="R54"/>
      <c r="S54"/>
      <c r="T54"/>
      <c r="U54"/>
    </row>
    <row r="55" spans="1:21" x14ac:dyDescent="0.2">
      <c r="A55" s="25">
        <f t="shared" si="0"/>
        <v>13</v>
      </c>
      <c r="B55" s="25" t="s">
        <v>122</v>
      </c>
      <c r="C55" s="25" t="s">
        <v>234</v>
      </c>
      <c r="D55" s="25" t="b">
        <v>1</v>
      </c>
      <c r="E55" s="21" t="s">
        <v>235</v>
      </c>
      <c r="F55" s="25" t="b">
        <v>0</v>
      </c>
      <c r="O55"/>
      <c r="P55"/>
      <c r="Q55"/>
      <c r="R55"/>
      <c r="S55"/>
      <c r="T55"/>
      <c r="U55"/>
    </row>
    <row r="56" spans="1:21" x14ac:dyDescent="0.2">
      <c r="O56"/>
      <c r="P56"/>
      <c r="Q56"/>
      <c r="R56"/>
      <c r="S56"/>
      <c r="T56"/>
      <c r="U56"/>
    </row>
    <row r="57" spans="1:21" x14ac:dyDescent="0.2">
      <c r="O57"/>
      <c r="P57"/>
      <c r="Q57"/>
      <c r="R57"/>
      <c r="S57"/>
      <c r="T57"/>
      <c r="U57"/>
    </row>
    <row r="58" spans="1:21" x14ac:dyDescent="0.2">
      <c r="A58" s="12" t="s">
        <v>239</v>
      </c>
      <c r="O58"/>
      <c r="P58"/>
      <c r="Q58"/>
      <c r="R58"/>
      <c r="S58"/>
      <c r="T58"/>
      <c r="U58"/>
    </row>
    <row r="59" spans="1:21" x14ac:dyDescent="0.2">
      <c r="A59" s="47"/>
      <c r="B59" s="47"/>
      <c r="C59" s="77"/>
      <c r="D59" s="47" t="s">
        <v>0</v>
      </c>
      <c r="E59"/>
      <c r="F59"/>
      <c r="H59"/>
      <c r="I59"/>
      <c r="J59"/>
      <c r="O59"/>
      <c r="P59"/>
      <c r="Q59"/>
      <c r="R59"/>
      <c r="S59"/>
      <c r="T59"/>
      <c r="U59"/>
    </row>
    <row r="60" spans="1:21" x14ac:dyDescent="0.2">
      <c r="B60" s="25" t="s">
        <v>111</v>
      </c>
      <c r="C60" s="25" t="s">
        <v>83</v>
      </c>
      <c r="D60" s="311">
        <v>151432.81740793545</v>
      </c>
      <c r="E60"/>
      <c r="F60"/>
      <c r="H60"/>
      <c r="I60"/>
      <c r="J60"/>
      <c r="O60"/>
      <c r="P60"/>
      <c r="Q60"/>
      <c r="R60"/>
      <c r="S60"/>
      <c r="T60"/>
      <c r="U60"/>
    </row>
    <row r="61" spans="1:21" x14ac:dyDescent="0.2">
      <c r="B61" s="25" t="s">
        <v>112</v>
      </c>
      <c r="C61" s="25" t="s">
        <v>83</v>
      </c>
      <c r="D61" s="311">
        <v>24590</v>
      </c>
      <c r="E61"/>
      <c r="F61"/>
      <c r="H61"/>
      <c r="I61"/>
      <c r="J61"/>
      <c r="O61"/>
      <c r="P61"/>
      <c r="Q61"/>
      <c r="R61"/>
      <c r="S61"/>
      <c r="T61"/>
      <c r="U61"/>
    </row>
    <row r="62" spans="1:21" x14ac:dyDescent="0.2">
      <c r="B62" s="25" t="s">
        <v>113</v>
      </c>
      <c r="C62" s="25" t="s">
        <v>83</v>
      </c>
      <c r="D62" s="311">
        <v>88.357719508603083</v>
      </c>
      <c r="E62"/>
      <c r="F62"/>
      <c r="H62"/>
      <c r="I62"/>
      <c r="J62"/>
      <c r="O62"/>
      <c r="P62"/>
      <c r="Q62"/>
      <c r="R62"/>
      <c r="S62"/>
      <c r="T62"/>
      <c r="U62"/>
    </row>
    <row r="63" spans="1:21" x14ac:dyDescent="0.2">
      <c r="B63" s="25" t="s">
        <v>114</v>
      </c>
      <c r="C63" s="25" t="s">
        <v>240</v>
      </c>
      <c r="D63" s="311">
        <v>0</v>
      </c>
      <c r="E63"/>
      <c r="F63"/>
      <c r="H63"/>
      <c r="I63"/>
      <c r="J63"/>
      <c r="O63"/>
      <c r="P63"/>
      <c r="Q63"/>
      <c r="R63"/>
      <c r="S63"/>
      <c r="T63"/>
      <c r="U63"/>
    </row>
    <row r="64" spans="1:21" x14ac:dyDescent="0.2">
      <c r="B64" s="25" t="s">
        <v>236</v>
      </c>
      <c r="C64" s="25" t="s">
        <v>241</v>
      </c>
      <c r="D64" s="311">
        <v>0.35181336539087127</v>
      </c>
      <c r="E64"/>
      <c r="F64"/>
      <c r="H64"/>
      <c r="I64"/>
      <c r="J64"/>
      <c r="O64"/>
      <c r="P64"/>
      <c r="Q64"/>
      <c r="R64"/>
      <c r="S64"/>
      <c r="T64"/>
      <c r="U64"/>
    </row>
    <row r="65" spans="1:21" x14ac:dyDescent="0.2">
      <c r="B65" s="25" t="s">
        <v>238</v>
      </c>
      <c r="C65" s="25" t="s">
        <v>241</v>
      </c>
      <c r="D65" s="311">
        <v>0.35181336539087127</v>
      </c>
      <c r="E65"/>
      <c r="F65"/>
      <c r="H65"/>
      <c r="I65"/>
      <c r="J65"/>
      <c r="O65"/>
      <c r="P65"/>
      <c r="Q65"/>
      <c r="R65"/>
      <c r="S65"/>
      <c r="T65"/>
      <c r="U65"/>
    </row>
    <row r="66" spans="1:21" x14ac:dyDescent="0.2">
      <c r="B66" s="25" t="s">
        <v>121</v>
      </c>
      <c r="C66" s="25" t="s">
        <v>240</v>
      </c>
      <c r="D66" s="311">
        <v>0</v>
      </c>
      <c r="E66"/>
      <c r="F66"/>
      <c r="H66"/>
      <c r="I66"/>
      <c r="J66"/>
      <c r="O66"/>
      <c r="P66"/>
      <c r="Q66"/>
      <c r="R66"/>
      <c r="S66"/>
      <c r="T66"/>
      <c r="U66"/>
    </row>
    <row r="67" spans="1:21" x14ac:dyDescent="0.2">
      <c r="B67" s="25" t="s">
        <v>122</v>
      </c>
      <c r="C67" s="25" t="s">
        <v>240</v>
      </c>
      <c r="D67" s="311">
        <v>0</v>
      </c>
      <c r="E67"/>
      <c r="F67"/>
      <c r="H67"/>
      <c r="I67"/>
      <c r="J67"/>
      <c r="O67"/>
      <c r="P67"/>
      <c r="Q67"/>
      <c r="R67"/>
      <c r="S67"/>
      <c r="T67"/>
      <c r="U67"/>
    </row>
    <row r="68" spans="1:21" x14ac:dyDescent="0.2">
      <c r="H68"/>
      <c r="I68"/>
      <c r="J68"/>
      <c r="O68"/>
      <c r="P68"/>
      <c r="Q68"/>
      <c r="R68"/>
      <c r="S68"/>
      <c r="T68"/>
      <c r="U68"/>
    </row>
    <row r="69" spans="1:21" x14ac:dyDescent="0.2">
      <c r="A69" s="6" t="s">
        <v>242</v>
      </c>
      <c r="O69"/>
      <c r="P69"/>
      <c r="Q69"/>
      <c r="R69"/>
      <c r="S69"/>
      <c r="T69"/>
      <c r="U69"/>
    </row>
    <row r="70" spans="1:21" x14ac:dyDescent="0.2">
      <c r="B70" s="6" t="s">
        <v>243</v>
      </c>
      <c r="C70" s="83">
        <v>1000</v>
      </c>
      <c r="O70"/>
      <c r="P70"/>
      <c r="Q70"/>
      <c r="R70"/>
      <c r="S70"/>
      <c r="T70"/>
      <c r="U70"/>
    </row>
    <row r="71" spans="1:21" x14ac:dyDescent="0.2">
      <c r="B71" s="6" t="s">
        <v>244</v>
      </c>
      <c r="C71" s="83">
        <v>1000000</v>
      </c>
      <c r="O71"/>
      <c r="P71"/>
      <c r="Q71"/>
      <c r="R71"/>
      <c r="S71"/>
      <c r="T71"/>
      <c r="U71"/>
    </row>
    <row r="72" spans="1:21" x14ac:dyDescent="0.2">
      <c r="O72"/>
      <c r="P72"/>
      <c r="Q72"/>
      <c r="R72"/>
      <c r="S72"/>
      <c r="T72"/>
      <c r="U72"/>
    </row>
    <row r="73" spans="1:21" x14ac:dyDescent="0.2">
      <c r="O73"/>
      <c r="P73"/>
      <c r="Q73"/>
      <c r="R73"/>
      <c r="S73"/>
      <c r="T73"/>
      <c r="U73"/>
    </row>
    <row r="74" spans="1:21" x14ac:dyDescent="0.2">
      <c r="A74" s="6" t="s">
        <v>206</v>
      </c>
      <c r="O74"/>
      <c r="P74"/>
      <c r="Q74"/>
      <c r="R74"/>
      <c r="S74"/>
      <c r="T74"/>
      <c r="U74"/>
    </row>
    <row r="75" spans="1:21" x14ac:dyDescent="0.2">
      <c r="B75" s="6" t="s">
        <v>206</v>
      </c>
      <c r="C75" s="133" t="s">
        <v>245</v>
      </c>
      <c r="O75"/>
      <c r="P75"/>
      <c r="Q75"/>
      <c r="R75"/>
      <c r="S75"/>
      <c r="T75"/>
      <c r="U75"/>
    </row>
    <row r="76" spans="1:21" x14ac:dyDescent="0.2">
      <c r="O76"/>
      <c r="P76"/>
      <c r="Q76"/>
      <c r="R76"/>
      <c r="S76"/>
      <c r="T76"/>
      <c r="U76"/>
    </row>
    <row r="77" spans="1:21" x14ac:dyDescent="0.2">
      <c r="O77"/>
      <c r="P77"/>
      <c r="Q77"/>
      <c r="R77"/>
      <c r="S77"/>
      <c r="T77"/>
      <c r="U77"/>
    </row>
    <row r="78" spans="1:21" x14ac:dyDescent="0.2">
      <c r="A78" s="6" t="s">
        <v>246</v>
      </c>
      <c r="C78" s="6" t="s">
        <v>247</v>
      </c>
      <c r="O78"/>
      <c r="P78"/>
      <c r="Q78"/>
      <c r="R78"/>
      <c r="S78"/>
      <c r="T78"/>
      <c r="U78"/>
    </row>
    <row r="79" spans="1:21" x14ac:dyDescent="0.2">
      <c r="O79"/>
      <c r="P79"/>
      <c r="Q79"/>
      <c r="R79"/>
      <c r="S79"/>
      <c r="T79"/>
      <c r="U79"/>
    </row>
    <row r="80" spans="1:21" x14ac:dyDescent="0.2">
      <c r="O80"/>
      <c r="P80"/>
      <c r="Q80"/>
      <c r="R80"/>
      <c r="S80"/>
      <c r="T80"/>
      <c r="U80"/>
    </row>
    <row r="81" spans="1:21" x14ac:dyDescent="0.2">
      <c r="O81"/>
      <c r="P81"/>
      <c r="Q81"/>
      <c r="R81"/>
      <c r="S81"/>
      <c r="T81"/>
      <c r="U81"/>
    </row>
    <row r="82" spans="1:21" x14ac:dyDescent="0.2">
      <c r="A82" s="1"/>
      <c r="B82" s="1"/>
      <c r="C82" s="1"/>
      <c r="D82" s="1"/>
      <c r="E82" s="1"/>
      <c r="F82" s="1"/>
      <c r="K82" s="1"/>
      <c r="L82" s="1"/>
      <c r="M82" s="1"/>
      <c r="N82" s="1"/>
      <c r="O82"/>
      <c r="P82"/>
      <c r="Q82"/>
      <c r="R82"/>
      <c r="S82"/>
      <c r="T82"/>
      <c r="U82"/>
    </row>
    <row r="83" spans="1:21" x14ac:dyDescent="0.2">
      <c r="A83" s="12" t="s">
        <v>248</v>
      </c>
      <c r="B83" s="12"/>
      <c r="K83" s="1"/>
      <c r="L83" s="1"/>
      <c r="M83" s="1"/>
      <c r="N83" s="1"/>
      <c r="O83"/>
      <c r="P83"/>
      <c r="Q83"/>
      <c r="R83"/>
      <c r="S83"/>
      <c r="T83"/>
      <c r="U83"/>
    </row>
    <row r="84" spans="1:21" x14ac:dyDescent="0.2">
      <c r="A84" s="12"/>
      <c r="B84" s="57" t="s">
        <v>249</v>
      </c>
      <c r="F84" s="135">
        <v>0</v>
      </c>
      <c r="K84" s="1"/>
      <c r="L84" s="1"/>
      <c r="M84" s="1"/>
      <c r="N84" s="1"/>
      <c r="O84"/>
      <c r="P84"/>
      <c r="Q84"/>
      <c r="R84"/>
      <c r="S84"/>
      <c r="T84"/>
      <c r="U84"/>
    </row>
    <row r="85" spans="1:21" x14ac:dyDescent="0.2">
      <c r="A85" s="1"/>
      <c r="B85" s="6" t="s">
        <v>250</v>
      </c>
      <c r="F85" s="135">
        <v>1</v>
      </c>
      <c r="K85" s="1"/>
      <c r="L85" s="1"/>
      <c r="M85" s="1"/>
      <c r="N85" s="1"/>
      <c r="O85"/>
      <c r="P85"/>
      <c r="Q85"/>
      <c r="R85"/>
      <c r="S85"/>
      <c r="T85"/>
      <c r="U85"/>
    </row>
    <row r="86" spans="1:21" x14ac:dyDescent="0.2">
      <c r="A86" s="1"/>
      <c r="B86" s="6" t="s">
        <v>251</v>
      </c>
      <c r="F86" s="135">
        <v>1</v>
      </c>
      <c r="K86" s="1"/>
      <c r="L86" s="1"/>
      <c r="M86" s="1"/>
      <c r="N86" s="1"/>
      <c r="O86"/>
      <c r="P86"/>
      <c r="Q86"/>
      <c r="R86"/>
      <c r="S86"/>
      <c r="T86"/>
      <c r="U86"/>
    </row>
    <row r="87" spans="1:21" x14ac:dyDescent="0.2">
      <c r="A87" s="1"/>
      <c r="B87" s="6" t="s">
        <v>252</v>
      </c>
      <c r="F87" s="135">
        <v>1</v>
      </c>
      <c r="K87" s="1"/>
      <c r="L87" s="1"/>
      <c r="M87" s="1"/>
      <c r="N87" s="1"/>
      <c r="O87"/>
      <c r="P87"/>
      <c r="Q87"/>
      <c r="R87"/>
      <c r="S87"/>
      <c r="T87"/>
      <c r="U87"/>
    </row>
    <row r="88" spans="1:21" x14ac:dyDescent="0.2">
      <c r="A88" s="1"/>
      <c r="B88" s="6" t="s">
        <v>253</v>
      </c>
      <c r="F88" s="135">
        <v>1</v>
      </c>
      <c r="K88" s="1"/>
      <c r="L88" s="1"/>
      <c r="M88" s="1"/>
      <c r="N88" s="1"/>
      <c r="O88"/>
      <c r="P88"/>
      <c r="Q88"/>
      <c r="R88"/>
      <c r="S88"/>
      <c r="T88"/>
      <c r="U88"/>
    </row>
    <row r="89" spans="1:21" x14ac:dyDescent="0.2">
      <c r="A89" s="1"/>
      <c r="B89" s="6" t="s">
        <v>254</v>
      </c>
      <c r="F89" s="135">
        <v>3</v>
      </c>
      <c r="K89" s="1"/>
      <c r="L89" s="1"/>
      <c r="M89" s="1"/>
      <c r="N89" s="1"/>
      <c r="O89"/>
      <c r="P89"/>
      <c r="Q89"/>
      <c r="R89"/>
      <c r="S89"/>
      <c r="T89"/>
      <c r="U89"/>
    </row>
    <row r="90" spans="1:21" x14ac:dyDescent="0.2">
      <c r="A90" s="1"/>
      <c r="B90" s="6" t="s">
        <v>255</v>
      </c>
      <c r="F90" s="135">
        <v>3</v>
      </c>
      <c r="K90" s="1"/>
      <c r="L90" s="1"/>
      <c r="M90" s="1"/>
      <c r="N90" s="1"/>
      <c r="O90" s="1"/>
    </row>
    <row r="91" spans="1:21" x14ac:dyDescent="0.2">
      <c r="A91" s="1"/>
      <c r="B91" s="6" t="s">
        <v>256</v>
      </c>
      <c r="F91" s="135">
        <v>6</v>
      </c>
      <c r="K91" s="1"/>
      <c r="L91" s="1"/>
      <c r="M91" s="1"/>
      <c r="N91" s="1"/>
      <c r="O91" s="1"/>
    </row>
    <row r="92" spans="1:21" x14ac:dyDescent="0.2">
      <c r="A92" s="1"/>
      <c r="B92" s="6" t="s">
        <v>257</v>
      </c>
      <c r="F92" s="135">
        <v>6</v>
      </c>
      <c r="K92" s="1"/>
      <c r="L92" s="1"/>
      <c r="M92" s="1"/>
      <c r="N92" s="1"/>
      <c r="O92" s="1"/>
    </row>
    <row r="93" spans="1:21" x14ac:dyDescent="0.2">
      <c r="A93" s="1"/>
      <c r="B93" s="6" t="s">
        <v>258</v>
      </c>
      <c r="F93" s="135">
        <v>10</v>
      </c>
      <c r="K93" s="1"/>
      <c r="L93" s="1"/>
      <c r="M93" s="1"/>
      <c r="N93" s="1"/>
      <c r="O93" s="1"/>
    </row>
    <row r="94" spans="1:21" x14ac:dyDescent="0.2">
      <c r="A94" s="1"/>
      <c r="B94" s="1"/>
      <c r="C94" s="1"/>
      <c r="D94" s="1"/>
      <c r="E94" s="1"/>
      <c r="F94" s="1"/>
      <c r="K94" s="1"/>
      <c r="L94" s="1"/>
      <c r="M94" s="1"/>
      <c r="N94" s="1"/>
      <c r="O94" s="1"/>
    </row>
    <row r="95" spans="1:21" x14ac:dyDescent="0.2">
      <c r="A95" s="1"/>
      <c r="B95" s="1"/>
      <c r="C95" s="1"/>
      <c r="D95" s="1"/>
      <c r="E95" s="1"/>
      <c r="F95" s="1"/>
      <c r="K95" s="1"/>
      <c r="L95" s="1"/>
      <c r="M95" s="1"/>
      <c r="N95" s="1"/>
      <c r="O95" s="1"/>
    </row>
    <row r="96" spans="1:21" x14ac:dyDescent="0.2">
      <c r="A96" s="1"/>
      <c r="B96" s="1"/>
      <c r="C96" s="1"/>
      <c r="D96" s="1"/>
      <c r="E96" s="1"/>
      <c r="F96" s="1"/>
      <c r="K96" s="1"/>
      <c r="L96" s="1"/>
      <c r="M96" s="1"/>
      <c r="N96" s="1"/>
      <c r="O96" s="1"/>
    </row>
    <row r="97" spans="1:23" x14ac:dyDescent="0.2">
      <c r="A97" s="1"/>
      <c r="B97" s="125" t="s">
        <v>129</v>
      </c>
      <c r="C97" s="1"/>
      <c r="D97" s="1"/>
      <c r="E97" s="1"/>
      <c r="F97" s="1"/>
      <c r="K97" s="1"/>
      <c r="L97" s="1"/>
      <c r="M97" s="1"/>
      <c r="N97" s="1"/>
      <c r="O97" s="1"/>
    </row>
    <row r="98" spans="1:23" x14ac:dyDescent="0.2">
      <c r="A98" s="1"/>
      <c r="B98" s="125" t="s">
        <v>100</v>
      </c>
      <c r="C98" s="1"/>
      <c r="D98" s="1"/>
      <c r="E98" s="1"/>
      <c r="F98" s="1"/>
      <c r="K98" s="1"/>
      <c r="L98" s="1"/>
      <c r="M98" s="1"/>
      <c r="N98" s="1"/>
      <c r="O98" s="1"/>
    </row>
    <row r="99" spans="1:23" x14ac:dyDescent="0.2">
      <c r="A99" s="1"/>
      <c r="B99" s="125" t="s">
        <v>125</v>
      </c>
      <c r="C99" s="1"/>
      <c r="D99" s="1"/>
      <c r="E99" s="1"/>
      <c r="F99" s="1"/>
      <c r="K99" s="1"/>
      <c r="L99" s="1"/>
      <c r="M99" s="1"/>
      <c r="N99" s="1"/>
      <c r="O99" s="1"/>
    </row>
    <row r="100" spans="1:23" x14ac:dyDescent="0.2">
      <c r="A100" s="1"/>
      <c r="B100" s="1"/>
      <c r="C100" s="1"/>
      <c r="D100" s="1"/>
      <c r="E100" s="1"/>
      <c r="F100" s="1"/>
      <c r="K100" s="1"/>
      <c r="L100" s="1"/>
      <c r="M100" s="1"/>
      <c r="N100" s="1"/>
      <c r="O100" s="1"/>
    </row>
    <row r="101" spans="1:23" x14ac:dyDescent="0.2">
      <c r="A101" s="1"/>
      <c r="B101" s="1"/>
      <c r="C101" s="1"/>
      <c r="D101" s="1"/>
      <c r="E101" s="1"/>
      <c r="F101" s="1"/>
      <c r="K101" s="1"/>
      <c r="L101" s="1"/>
      <c r="M101" s="1"/>
      <c r="N101" s="1"/>
      <c r="O101" s="1"/>
    </row>
    <row r="102" spans="1:23" x14ac:dyDescent="0.2">
      <c r="R102"/>
      <c r="S102"/>
      <c r="T102"/>
      <c r="U102"/>
    </row>
    <row r="103" spans="1:23" x14ac:dyDescent="0.2">
      <c r="R103"/>
      <c r="S103"/>
      <c r="T103"/>
      <c r="U103"/>
    </row>
    <row r="104" spans="1:23" ht="15" x14ac:dyDescent="0.25">
      <c r="A104" s="17" t="s">
        <v>259</v>
      </c>
      <c r="B104" s="17"/>
      <c r="C104" s="17"/>
      <c r="D104" s="17"/>
      <c r="E104" s="17"/>
      <c r="F104" s="18"/>
      <c r="G104" s="17"/>
      <c r="H104" s="17"/>
      <c r="I104" s="17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</row>
    <row r="105" spans="1:23" x14ac:dyDescent="0.2">
      <c r="S105"/>
      <c r="T105"/>
      <c r="U105"/>
      <c r="V105"/>
      <c r="W105"/>
    </row>
    <row r="106" spans="1:23" x14ac:dyDescent="0.2">
      <c r="B106" s="6" t="s">
        <v>260</v>
      </c>
      <c r="F106" s="6" t="s">
        <v>261</v>
      </c>
      <c r="H106" s="6" t="s">
        <v>262</v>
      </c>
      <c r="J106" s="6" t="s">
        <v>263</v>
      </c>
      <c r="N106" s="6" t="s">
        <v>264</v>
      </c>
      <c r="P106" s="6" t="s">
        <v>265</v>
      </c>
      <c r="R106" s="6" t="s">
        <v>266</v>
      </c>
      <c r="S106"/>
      <c r="T106" s="6" t="s">
        <v>267</v>
      </c>
      <c r="U106"/>
      <c r="W106"/>
    </row>
    <row r="107" spans="1:23" x14ac:dyDescent="0.2">
      <c r="B107" s="23" t="s">
        <v>268</v>
      </c>
      <c r="C107" s="111" t="s">
        <v>269</v>
      </c>
      <c r="D107" s="111" t="s">
        <v>270</v>
      </c>
      <c r="F107" s="57" t="s">
        <v>249</v>
      </c>
      <c r="H107" s="23" t="b">
        <v>0</v>
      </c>
      <c r="J107" s="23" t="s">
        <v>271</v>
      </c>
      <c r="K107" s="38">
        <v>6</v>
      </c>
      <c r="L107" s="38" t="s">
        <v>272</v>
      </c>
      <c r="N107" s="38" t="s">
        <v>209</v>
      </c>
      <c r="P107" s="21">
        <v>2026</v>
      </c>
      <c r="R107" s="21" t="s">
        <v>35</v>
      </c>
      <c r="S107"/>
      <c r="T107" s="21" t="s">
        <v>37</v>
      </c>
      <c r="U107"/>
    </row>
    <row r="108" spans="1:23" x14ac:dyDescent="0.2">
      <c r="B108" s="23" t="s">
        <v>0</v>
      </c>
      <c r="C108" s="111" t="s">
        <v>273</v>
      </c>
      <c r="D108" s="111" t="s">
        <v>274</v>
      </c>
      <c r="F108" s="23" t="s">
        <v>85</v>
      </c>
      <c r="H108" s="23" t="b">
        <v>1</v>
      </c>
      <c r="J108" s="23" t="s">
        <v>28</v>
      </c>
      <c r="K108" s="38">
        <v>12</v>
      </c>
      <c r="L108" s="38" t="s">
        <v>275</v>
      </c>
      <c r="P108" s="21">
        <f t="shared" ref="P108:P113" si="1">P107-1</f>
        <v>2025</v>
      </c>
      <c r="R108" s="21" t="s">
        <v>217</v>
      </c>
      <c r="S108"/>
      <c r="T108" s="21" t="s">
        <v>276</v>
      </c>
      <c r="U108"/>
    </row>
    <row r="109" spans="1:23" x14ac:dyDescent="0.2">
      <c r="B109" s="23" t="s">
        <v>277</v>
      </c>
      <c r="C109" s="111" t="s">
        <v>278</v>
      </c>
      <c r="D109" s="111" t="s">
        <v>279</v>
      </c>
      <c r="F109" s="23" t="s">
        <v>280</v>
      </c>
      <c r="J109" s="19"/>
      <c r="K109" s="19"/>
      <c r="L109" s="22"/>
      <c r="P109" s="21">
        <f t="shared" si="1"/>
        <v>2024</v>
      </c>
      <c r="R109" s="21" t="s">
        <v>219</v>
      </c>
      <c r="S109"/>
      <c r="T109" s="21" t="s">
        <v>281</v>
      </c>
      <c r="U109"/>
      <c r="V109"/>
      <c r="W109"/>
    </row>
    <row r="110" spans="1:23" x14ac:dyDescent="0.2">
      <c r="C110" s="106"/>
      <c r="D110" s="106"/>
      <c r="F110" s="23"/>
      <c r="J110" s="19"/>
      <c r="K110" s="19"/>
      <c r="P110" s="21">
        <f t="shared" si="1"/>
        <v>2023</v>
      </c>
      <c r="S110"/>
      <c r="T110" s="21"/>
      <c r="U110"/>
      <c r="V110"/>
      <c r="W110"/>
    </row>
    <row r="111" spans="1:23" x14ac:dyDescent="0.2">
      <c r="C111" s="106"/>
      <c r="D111" s="106"/>
      <c r="J111" s="19"/>
      <c r="K111" s="19"/>
      <c r="P111" s="21">
        <f t="shared" si="1"/>
        <v>2022</v>
      </c>
      <c r="S111"/>
      <c r="U111"/>
      <c r="V111"/>
      <c r="W111"/>
    </row>
    <row r="112" spans="1:23" x14ac:dyDescent="0.2">
      <c r="J112" s="19"/>
      <c r="K112" s="19"/>
      <c r="P112" s="21">
        <f t="shared" si="1"/>
        <v>2021</v>
      </c>
      <c r="S112"/>
      <c r="U112"/>
      <c r="V112"/>
      <c r="W112"/>
    </row>
    <row r="113" spans="16:23" x14ac:dyDescent="0.2">
      <c r="P113" s="21">
        <f t="shared" si="1"/>
        <v>2020</v>
      </c>
      <c r="S113"/>
      <c r="T113" s="223"/>
      <c r="U113"/>
      <c r="V113"/>
      <c r="W113"/>
    </row>
    <row r="114" spans="16:23" x14ac:dyDescent="0.2">
      <c r="P114" s="21"/>
      <c r="S114"/>
      <c r="T114" s="223"/>
      <c r="U114"/>
      <c r="V114"/>
      <c r="W114"/>
    </row>
    <row r="115" spans="16:23" x14ac:dyDescent="0.2">
      <c r="S115"/>
      <c r="T115" s="223"/>
      <c r="U115"/>
      <c r="V115"/>
      <c r="W115"/>
    </row>
    <row r="116" spans="16:23" x14ac:dyDescent="0.2">
      <c r="S116"/>
      <c r="T116"/>
      <c r="U116"/>
      <c r="V116"/>
      <c r="W116"/>
    </row>
    <row r="117" spans="16:23" x14ac:dyDescent="0.2">
      <c r="S117"/>
      <c r="T117"/>
      <c r="U117"/>
      <c r="V117"/>
      <c r="W117"/>
    </row>
    <row r="118" spans="16:23" x14ac:dyDescent="0.2">
      <c r="S118"/>
      <c r="T118"/>
      <c r="U118"/>
      <c r="V118"/>
    </row>
    <row r="119" spans="16:23" x14ac:dyDescent="0.2">
      <c r="S119"/>
      <c r="T119"/>
      <c r="U119"/>
      <c r="V119"/>
    </row>
    <row r="120" spans="16:23" x14ac:dyDescent="0.2">
      <c r="T120"/>
      <c r="U120"/>
      <c r="V120"/>
    </row>
    <row r="121" spans="16:23" x14ac:dyDescent="0.2">
      <c r="S121"/>
      <c r="T121"/>
      <c r="U121"/>
      <c r="V121"/>
    </row>
    <row r="122" spans="16:23" x14ac:dyDescent="0.2">
      <c r="S122"/>
      <c r="T122"/>
      <c r="U122"/>
      <c r="V122"/>
    </row>
    <row r="123" spans="16:23" x14ac:dyDescent="0.2">
      <c r="S123"/>
      <c r="T123"/>
      <c r="U123"/>
      <c r="V123"/>
    </row>
    <row r="124" spans="16:23" x14ac:dyDescent="0.2">
      <c r="S124"/>
      <c r="T124"/>
      <c r="U124"/>
      <c r="V124"/>
    </row>
    <row r="125" spans="16:23" x14ac:dyDescent="0.2">
      <c r="S125"/>
      <c r="T125"/>
      <c r="U125"/>
      <c r="V125"/>
    </row>
    <row r="126" spans="16:23" x14ac:dyDescent="0.2">
      <c r="S126"/>
      <c r="T126"/>
      <c r="U126"/>
      <c r="V126"/>
    </row>
    <row r="127" spans="16:23" x14ac:dyDescent="0.2">
      <c r="R127"/>
      <c r="S127"/>
      <c r="T127"/>
      <c r="U127"/>
    </row>
    <row r="128" spans="16:23" x14ac:dyDescent="0.2">
      <c r="R128"/>
      <c r="S128"/>
      <c r="T128"/>
      <c r="U128"/>
    </row>
    <row r="129" spans="18:21" x14ac:dyDescent="0.2">
      <c r="R129"/>
      <c r="S129"/>
      <c r="T129"/>
      <c r="U129"/>
    </row>
    <row r="130" spans="18:21" x14ac:dyDescent="0.2">
      <c r="R130"/>
      <c r="S130"/>
      <c r="T130"/>
      <c r="U130"/>
    </row>
    <row r="131" spans="18:21" x14ac:dyDescent="0.2">
      <c r="R131"/>
      <c r="S131"/>
      <c r="T131"/>
      <c r="U131"/>
    </row>
    <row r="132" spans="18:21" x14ac:dyDescent="0.2">
      <c r="R132"/>
      <c r="S132"/>
      <c r="T132"/>
      <c r="U132"/>
    </row>
    <row r="133" spans="18:21" x14ac:dyDescent="0.2">
      <c r="R133"/>
      <c r="S133"/>
      <c r="T133"/>
      <c r="U133"/>
    </row>
    <row r="134" spans="18:21" x14ac:dyDescent="0.2">
      <c r="R134"/>
      <c r="S134"/>
      <c r="T134"/>
      <c r="U134"/>
    </row>
    <row r="135" spans="18:21" x14ac:dyDescent="0.2">
      <c r="R135"/>
      <c r="S135"/>
      <c r="T135"/>
      <c r="U135"/>
    </row>
    <row r="136" spans="18:21" x14ac:dyDescent="0.2">
      <c r="R136"/>
      <c r="S136"/>
      <c r="T136"/>
      <c r="U136"/>
    </row>
    <row r="137" spans="18:21" x14ac:dyDescent="0.2">
      <c r="R137"/>
      <c r="S137"/>
      <c r="T137"/>
      <c r="U137"/>
    </row>
    <row r="138" spans="18:21" x14ac:dyDescent="0.2">
      <c r="R138"/>
      <c r="S138"/>
      <c r="T138"/>
      <c r="U138"/>
    </row>
    <row r="139" spans="18:21" x14ac:dyDescent="0.2">
      <c r="R139"/>
      <c r="S139"/>
      <c r="T139"/>
      <c r="U139"/>
    </row>
    <row r="140" spans="18:21" x14ac:dyDescent="0.2">
      <c r="R140"/>
      <c r="S140"/>
      <c r="T140"/>
      <c r="U140"/>
    </row>
    <row r="141" spans="18:21" x14ac:dyDescent="0.2">
      <c r="R141"/>
      <c r="S141"/>
      <c r="T141"/>
      <c r="U141"/>
    </row>
    <row r="142" spans="18:21" x14ac:dyDescent="0.2">
      <c r="R142"/>
      <c r="S142"/>
      <c r="T142"/>
      <c r="U142"/>
    </row>
    <row r="143" spans="18:21" x14ac:dyDescent="0.2">
      <c r="R143"/>
      <c r="S143"/>
      <c r="T143"/>
      <c r="U143"/>
    </row>
    <row r="144" spans="18:21" x14ac:dyDescent="0.2">
      <c r="R144"/>
      <c r="S144"/>
      <c r="T144"/>
      <c r="U144"/>
    </row>
    <row r="145" spans="18:21" x14ac:dyDescent="0.2">
      <c r="R145"/>
      <c r="S145"/>
      <c r="T145"/>
      <c r="U145"/>
    </row>
    <row r="146" spans="18:21" x14ac:dyDescent="0.2">
      <c r="R146"/>
      <c r="S146"/>
      <c r="T146"/>
      <c r="U146"/>
    </row>
    <row r="147" spans="18:21" x14ac:dyDescent="0.2">
      <c r="R147"/>
      <c r="S147"/>
      <c r="T147"/>
      <c r="U147"/>
    </row>
    <row r="148" spans="18:21" x14ac:dyDescent="0.2">
      <c r="R148"/>
      <c r="S148"/>
      <c r="T148"/>
      <c r="U148"/>
    </row>
    <row r="149" spans="18:21" x14ac:dyDescent="0.2">
      <c r="R149"/>
      <c r="S149"/>
      <c r="T149"/>
      <c r="U149"/>
    </row>
    <row r="150" spans="18:21" x14ac:dyDescent="0.2">
      <c r="R150"/>
      <c r="S150"/>
      <c r="T150"/>
      <c r="U150"/>
    </row>
    <row r="151" spans="18:21" x14ac:dyDescent="0.2">
      <c r="R151"/>
      <c r="S151"/>
      <c r="T151"/>
      <c r="U151"/>
    </row>
    <row r="152" spans="18:21" x14ac:dyDescent="0.2">
      <c r="R152"/>
      <c r="S152"/>
      <c r="T152"/>
      <c r="U152"/>
    </row>
    <row r="153" spans="18:21" x14ac:dyDescent="0.2">
      <c r="R153"/>
      <c r="S153"/>
      <c r="T153"/>
      <c r="U153"/>
    </row>
    <row r="154" spans="18:21" x14ac:dyDescent="0.2">
      <c r="R154"/>
      <c r="S154"/>
      <c r="T154"/>
      <c r="U154"/>
    </row>
    <row r="155" spans="18:21" x14ac:dyDescent="0.2">
      <c r="R155"/>
      <c r="S155"/>
      <c r="T155"/>
      <c r="U155"/>
    </row>
    <row r="156" spans="18:21" x14ac:dyDescent="0.2">
      <c r="R156"/>
      <c r="S156"/>
      <c r="T156"/>
      <c r="U156"/>
    </row>
    <row r="157" spans="18:21" x14ac:dyDescent="0.2">
      <c r="R157"/>
      <c r="S157"/>
      <c r="T157"/>
      <c r="U157"/>
    </row>
    <row r="158" spans="18:21" x14ac:dyDescent="0.2">
      <c r="R158"/>
      <c r="S158"/>
      <c r="T158"/>
      <c r="U158"/>
    </row>
    <row r="159" spans="18:21" x14ac:dyDescent="0.2">
      <c r="R159"/>
      <c r="S159"/>
      <c r="T159"/>
      <c r="U159"/>
    </row>
    <row r="160" spans="18:21" x14ac:dyDescent="0.2">
      <c r="R160"/>
      <c r="S160"/>
      <c r="T160"/>
      <c r="U160"/>
    </row>
    <row r="161" spans="18:21" x14ac:dyDescent="0.2">
      <c r="R161"/>
      <c r="S161"/>
      <c r="T161"/>
      <c r="U161"/>
    </row>
    <row r="162" spans="18:21" x14ac:dyDescent="0.2">
      <c r="R162"/>
      <c r="S162"/>
      <c r="T162"/>
      <c r="U162"/>
    </row>
    <row r="163" spans="18:21" x14ac:dyDescent="0.2">
      <c r="R163"/>
      <c r="S163"/>
      <c r="T163"/>
      <c r="U163"/>
    </row>
    <row r="164" spans="18:21" x14ac:dyDescent="0.2">
      <c r="R164"/>
      <c r="S164"/>
      <c r="T164"/>
      <c r="U164"/>
    </row>
    <row r="165" spans="18:21" x14ac:dyDescent="0.2">
      <c r="R165"/>
      <c r="S165"/>
      <c r="T165"/>
      <c r="U165"/>
    </row>
    <row r="166" spans="18:21" x14ac:dyDescent="0.2">
      <c r="R166"/>
      <c r="S166"/>
      <c r="T166"/>
      <c r="U166"/>
    </row>
    <row r="167" spans="18:21" x14ac:dyDescent="0.2">
      <c r="R167"/>
      <c r="S167"/>
      <c r="T167"/>
      <c r="U167"/>
    </row>
    <row r="168" spans="18:21" x14ac:dyDescent="0.2">
      <c r="R168"/>
      <c r="S168"/>
      <c r="T168"/>
      <c r="U168"/>
    </row>
    <row r="169" spans="18:21" x14ac:dyDescent="0.2">
      <c r="R169"/>
      <c r="S169"/>
      <c r="T169"/>
      <c r="U169"/>
    </row>
    <row r="170" spans="18:21" x14ac:dyDescent="0.2">
      <c r="R170"/>
      <c r="S170"/>
      <c r="T170"/>
      <c r="U170"/>
    </row>
    <row r="171" spans="18:21" x14ac:dyDescent="0.2">
      <c r="R171"/>
      <c r="S171"/>
      <c r="T171"/>
      <c r="U171"/>
    </row>
    <row r="172" spans="18:21" x14ac:dyDescent="0.2">
      <c r="R172"/>
      <c r="S172"/>
      <c r="T172"/>
      <c r="U172"/>
    </row>
    <row r="173" spans="18:21" x14ac:dyDescent="0.2">
      <c r="R173"/>
      <c r="S173"/>
      <c r="T173"/>
      <c r="U173"/>
    </row>
    <row r="174" spans="18:21" x14ac:dyDescent="0.2">
      <c r="R174"/>
      <c r="S174"/>
      <c r="T174"/>
      <c r="U174"/>
    </row>
    <row r="175" spans="18:21" x14ac:dyDescent="0.2">
      <c r="R175"/>
      <c r="S175"/>
      <c r="T175"/>
      <c r="U175"/>
    </row>
    <row r="176" spans="18:21" x14ac:dyDescent="0.2">
      <c r="R176"/>
      <c r="S176"/>
      <c r="T176"/>
      <c r="U176"/>
    </row>
    <row r="177" spans="18:21" x14ac:dyDescent="0.2">
      <c r="R177"/>
      <c r="S177"/>
      <c r="T177"/>
      <c r="U177"/>
    </row>
    <row r="178" spans="18:21" x14ac:dyDescent="0.2">
      <c r="R178"/>
      <c r="S178"/>
      <c r="T178"/>
      <c r="U178"/>
    </row>
    <row r="179" spans="18:21" x14ac:dyDescent="0.2">
      <c r="R179"/>
      <c r="S179"/>
      <c r="T179"/>
      <c r="U179"/>
    </row>
    <row r="180" spans="18:21" x14ac:dyDescent="0.2">
      <c r="R180"/>
      <c r="S180"/>
      <c r="T180"/>
      <c r="U180"/>
    </row>
    <row r="181" spans="18:21" x14ac:dyDescent="0.2">
      <c r="R181"/>
      <c r="S181"/>
      <c r="T181"/>
      <c r="U181"/>
    </row>
    <row r="182" spans="18:21" x14ac:dyDescent="0.2">
      <c r="R182"/>
      <c r="S182"/>
      <c r="T182"/>
      <c r="U182"/>
    </row>
    <row r="183" spans="18:21" x14ac:dyDescent="0.2">
      <c r="R183"/>
      <c r="S183"/>
      <c r="T183"/>
      <c r="U183"/>
    </row>
    <row r="184" spans="18:21" x14ac:dyDescent="0.2">
      <c r="R184"/>
      <c r="S184"/>
      <c r="T184"/>
      <c r="U184"/>
    </row>
    <row r="185" spans="18:21" x14ac:dyDescent="0.2">
      <c r="R185"/>
      <c r="S185"/>
      <c r="T185"/>
      <c r="U185"/>
    </row>
    <row r="186" spans="18:21" x14ac:dyDescent="0.2">
      <c r="R186"/>
      <c r="S186"/>
      <c r="T186"/>
      <c r="U186"/>
    </row>
    <row r="187" spans="18:21" x14ac:dyDescent="0.2">
      <c r="R187"/>
      <c r="S187"/>
      <c r="T187"/>
      <c r="U187"/>
    </row>
    <row r="188" spans="18:21" x14ac:dyDescent="0.2">
      <c r="R188"/>
      <c r="S188"/>
      <c r="T188"/>
      <c r="U188"/>
    </row>
    <row r="189" spans="18:21" x14ac:dyDescent="0.2">
      <c r="R189"/>
      <c r="S189"/>
      <c r="T189"/>
      <c r="U189"/>
    </row>
    <row r="190" spans="18:21" x14ac:dyDescent="0.2">
      <c r="R190"/>
      <c r="S190"/>
      <c r="T190"/>
      <c r="U190"/>
    </row>
    <row r="191" spans="18:21" x14ac:dyDescent="0.2">
      <c r="R191"/>
      <c r="S191"/>
      <c r="T191"/>
      <c r="U191"/>
    </row>
    <row r="192" spans="18:21" x14ac:dyDescent="0.2">
      <c r="R192"/>
      <c r="S192"/>
      <c r="T192"/>
      <c r="U192"/>
    </row>
    <row r="193" spans="18:21" x14ac:dyDescent="0.2">
      <c r="R193"/>
      <c r="S193"/>
      <c r="T193"/>
      <c r="U193"/>
    </row>
    <row r="194" spans="18:21" x14ac:dyDescent="0.2">
      <c r="R194"/>
      <c r="S194"/>
      <c r="T194"/>
      <c r="U194"/>
    </row>
    <row r="195" spans="18:21" x14ac:dyDescent="0.2">
      <c r="R195"/>
      <c r="S195"/>
      <c r="T195"/>
      <c r="U195"/>
    </row>
    <row r="196" spans="18:21" x14ac:dyDescent="0.2">
      <c r="R196"/>
      <c r="S196"/>
      <c r="T196"/>
      <c r="U196"/>
    </row>
    <row r="197" spans="18:21" x14ac:dyDescent="0.2">
      <c r="R197"/>
      <c r="S197"/>
      <c r="T197"/>
      <c r="U197"/>
    </row>
    <row r="198" spans="18:21" x14ac:dyDescent="0.2">
      <c r="R198"/>
      <c r="S198"/>
      <c r="T198"/>
      <c r="U198"/>
    </row>
    <row r="199" spans="18:21" x14ac:dyDescent="0.2">
      <c r="R199"/>
      <c r="S199"/>
      <c r="T199"/>
      <c r="U199"/>
    </row>
    <row r="200" spans="18:21" x14ac:dyDescent="0.2">
      <c r="R200"/>
      <c r="S200"/>
      <c r="T200"/>
      <c r="U200"/>
    </row>
    <row r="201" spans="18:21" x14ac:dyDescent="0.2">
      <c r="R201"/>
      <c r="S201"/>
      <c r="T201"/>
      <c r="U201"/>
    </row>
    <row r="202" spans="18:21" x14ac:dyDescent="0.2">
      <c r="R202"/>
      <c r="S202"/>
      <c r="T202"/>
      <c r="U202"/>
    </row>
    <row r="203" spans="18:21" x14ac:dyDescent="0.2">
      <c r="R203"/>
      <c r="S203"/>
      <c r="T203"/>
      <c r="U203"/>
    </row>
    <row r="204" spans="18:21" x14ac:dyDescent="0.2">
      <c r="R204"/>
      <c r="S204"/>
      <c r="T204"/>
      <c r="U204"/>
    </row>
    <row r="205" spans="18:21" x14ac:dyDescent="0.2">
      <c r="R205"/>
      <c r="S205"/>
      <c r="T205"/>
      <c r="U205"/>
    </row>
    <row r="206" spans="18:21" x14ac:dyDescent="0.2">
      <c r="R206"/>
      <c r="S206"/>
      <c r="T206"/>
      <c r="U206"/>
    </row>
    <row r="207" spans="18:21" x14ac:dyDescent="0.2">
      <c r="R207"/>
      <c r="S207"/>
      <c r="T207"/>
      <c r="U207"/>
    </row>
    <row r="208" spans="18:21" x14ac:dyDescent="0.2">
      <c r="R208"/>
      <c r="S208"/>
      <c r="T208"/>
      <c r="U208"/>
    </row>
    <row r="209" spans="18:21" x14ac:dyDescent="0.2">
      <c r="R209"/>
      <c r="S209"/>
      <c r="T209"/>
      <c r="U209"/>
    </row>
    <row r="210" spans="18:21" x14ac:dyDescent="0.2">
      <c r="R210"/>
      <c r="S210"/>
      <c r="T210"/>
      <c r="U210"/>
    </row>
    <row r="211" spans="18:21" x14ac:dyDescent="0.2">
      <c r="R211"/>
      <c r="S211"/>
      <c r="T211"/>
      <c r="U211"/>
    </row>
    <row r="212" spans="18:21" x14ac:dyDescent="0.2">
      <c r="R212"/>
      <c r="S212"/>
      <c r="T212"/>
      <c r="U212"/>
    </row>
    <row r="213" spans="18:21" x14ac:dyDescent="0.2">
      <c r="R213"/>
      <c r="S213"/>
      <c r="T213"/>
      <c r="U213"/>
    </row>
    <row r="214" spans="18:21" x14ac:dyDescent="0.2">
      <c r="R214"/>
      <c r="S214"/>
      <c r="T214"/>
      <c r="U214"/>
    </row>
    <row r="215" spans="18:21" x14ac:dyDescent="0.2">
      <c r="R215"/>
      <c r="S215"/>
      <c r="T215"/>
      <c r="U215"/>
    </row>
    <row r="216" spans="18:21" x14ac:dyDescent="0.2">
      <c r="R216"/>
      <c r="S216"/>
      <c r="T216"/>
      <c r="U216"/>
    </row>
    <row r="217" spans="18:21" x14ac:dyDescent="0.2">
      <c r="R217"/>
      <c r="S217"/>
      <c r="T217"/>
      <c r="U217"/>
    </row>
    <row r="218" spans="18:21" x14ac:dyDescent="0.2">
      <c r="R218"/>
      <c r="S218"/>
      <c r="T218"/>
      <c r="U218"/>
    </row>
    <row r="219" spans="18:21" x14ac:dyDescent="0.2">
      <c r="R219"/>
      <c r="S219"/>
      <c r="T219"/>
      <c r="U219"/>
    </row>
    <row r="220" spans="18:21" x14ac:dyDescent="0.2">
      <c r="R220"/>
      <c r="S220"/>
      <c r="T220"/>
      <c r="U220"/>
    </row>
    <row r="221" spans="18:21" x14ac:dyDescent="0.2">
      <c r="R221"/>
      <c r="S221"/>
      <c r="T221"/>
      <c r="U221"/>
    </row>
    <row r="222" spans="18:21" x14ac:dyDescent="0.2">
      <c r="R222"/>
      <c r="S222"/>
      <c r="T222"/>
      <c r="U222"/>
    </row>
    <row r="223" spans="18:21" x14ac:dyDescent="0.2">
      <c r="R223"/>
      <c r="S223"/>
      <c r="T223"/>
      <c r="U223"/>
    </row>
    <row r="224" spans="18:21" x14ac:dyDescent="0.2">
      <c r="R224"/>
      <c r="S224"/>
      <c r="T224"/>
      <c r="U224"/>
    </row>
    <row r="225" spans="18:21" x14ac:dyDescent="0.2">
      <c r="R225"/>
      <c r="S225"/>
      <c r="T225"/>
      <c r="U225"/>
    </row>
    <row r="226" spans="18:21" x14ac:dyDescent="0.2">
      <c r="R226"/>
      <c r="S226"/>
      <c r="T226"/>
      <c r="U226"/>
    </row>
    <row r="227" spans="18:21" x14ac:dyDescent="0.2">
      <c r="R227"/>
      <c r="S227"/>
      <c r="T227"/>
      <c r="U227"/>
    </row>
    <row r="228" spans="18:21" x14ac:dyDescent="0.2">
      <c r="R228"/>
      <c r="S228"/>
      <c r="T228"/>
      <c r="U228"/>
    </row>
    <row r="229" spans="18:21" x14ac:dyDescent="0.2">
      <c r="R229"/>
      <c r="S229"/>
      <c r="T229"/>
      <c r="U229"/>
    </row>
    <row r="230" spans="18:21" x14ac:dyDescent="0.2">
      <c r="R230"/>
      <c r="S230"/>
      <c r="T230"/>
      <c r="U230"/>
    </row>
    <row r="231" spans="18:21" x14ac:dyDescent="0.2">
      <c r="R231"/>
      <c r="S231"/>
      <c r="T231"/>
      <c r="U231"/>
    </row>
    <row r="232" spans="18:21" x14ac:dyDescent="0.2">
      <c r="R232"/>
      <c r="S232"/>
      <c r="T232"/>
      <c r="U232"/>
    </row>
    <row r="233" spans="18:21" x14ac:dyDescent="0.2">
      <c r="R233"/>
      <c r="S233"/>
      <c r="T233"/>
      <c r="U233"/>
    </row>
    <row r="234" spans="18:21" x14ac:dyDescent="0.2">
      <c r="R234"/>
      <c r="S234"/>
      <c r="T234"/>
      <c r="U234"/>
    </row>
    <row r="235" spans="18:21" x14ac:dyDescent="0.2">
      <c r="R235"/>
      <c r="S235"/>
      <c r="T235"/>
      <c r="U235"/>
    </row>
    <row r="236" spans="18:21" x14ac:dyDescent="0.2">
      <c r="R236"/>
      <c r="S236"/>
      <c r="T236"/>
      <c r="U236"/>
    </row>
    <row r="237" spans="18:21" x14ac:dyDescent="0.2">
      <c r="R237"/>
      <c r="S237"/>
      <c r="T237"/>
      <c r="U237"/>
    </row>
    <row r="238" spans="18:21" x14ac:dyDescent="0.2">
      <c r="R238"/>
      <c r="S238"/>
      <c r="T238"/>
      <c r="U238"/>
    </row>
    <row r="239" spans="18:21" x14ac:dyDescent="0.2">
      <c r="R239"/>
      <c r="S239"/>
      <c r="T239"/>
      <c r="U239"/>
    </row>
    <row r="240" spans="18:21" x14ac:dyDescent="0.2">
      <c r="R240"/>
      <c r="S240"/>
      <c r="T240"/>
      <c r="U240"/>
    </row>
    <row r="241" spans="18:21" x14ac:dyDescent="0.2">
      <c r="R241"/>
      <c r="S241"/>
      <c r="T241"/>
      <c r="U241"/>
    </row>
    <row r="242" spans="18:21" x14ac:dyDescent="0.2">
      <c r="R242"/>
      <c r="S242"/>
      <c r="T242"/>
      <c r="U242"/>
    </row>
    <row r="243" spans="18:21" x14ac:dyDescent="0.2">
      <c r="R243"/>
      <c r="S243"/>
      <c r="T243"/>
      <c r="U243"/>
    </row>
    <row r="244" spans="18:21" x14ac:dyDescent="0.2">
      <c r="R244"/>
      <c r="S244"/>
      <c r="T244"/>
      <c r="U244"/>
    </row>
    <row r="245" spans="18:21" x14ac:dyDescent="0.2">
      <c r="R245"/>
      <c r="S245"/>
      <c r="T245"/>
      <c r="U245"/>
    </row>
    <row r="246" spans="18:21" x14ac:dyDescent="0.2">
      <c r="R246"/>
      <c r="S246"/>
      <c r="T246"/>
      <c r="U246"/>
    </row>
    <row r="247" spans="18:21" x14ac:dyDescent="0.2">
      <c r="R247"/>
      <c r="S247"/>
      <c r="T247"/>
      <c r="U247"/>
    </row>
    <row r="248" spans="18:21" x14ac:dyDescent="0.2">
      <c r="R248"/>
      <c r="S248"/>
      <c r="T248"/>
      <c r="U248"/>
    </row>
    <row r="249" spans="18:21" x14ac:dyDescent="0.2">
      <c r="R249"/>
      <c r="S249"/>
      <c r="T249"/>
      <c r="U249"/>
    </row>
    <row r="250" spans="18:21" x14ac:dyDescent="0.2">
      <c r="R250"/>
      <c r="S250"/>
      <c r="T250"/>
      <c r="U250"/>
    </row>
    <row r="251" spans="18:21" x14ac:dyDescent="0.2">
      <c r="R251"/>
      <c r="S251"/>
      <c r="T251"/>
      <c r="U251"/>
    </row>
    <row r="252" spans="18:21" x14ac:dyDescent="0.2">
      <c r="R252"/>
      <c r="S252"/>
      <c r="T252"/>
      <c r="U252"/>
    </row>
    <row r="253" spans="18:21" x14ac:dyDescent="0.2">
      <c r="R253"/>
      <c r="S253"/>
      <c r="T253"/>
      <c r="U253"/>
    </row>
    <row r="254" spans="18:21" x14ac:dyDescent="0.2">
      <c r="R254"/>
      <c r="S254"/>
      <c r="T254"/>
      <c r="U254"/>
    </row>
    <row r="255" spans="18:21" x14ac:dyDescent="0.2">
      <c r="R255"/>
      <c r="S255"/>
      <c r="T255"/>
      <c r="U255"/>
    </row>
    <row r="256" spans="18:21" x14ac:dyDescent="0.2">
      <c r="R256"/>
      <c r="S256"/>
      <c r="T256"/>
      <c r="U256"/>
    </row>
    <row r="257" spans="18:21" x14ac:dyDescent="0.2">
      <c r="R257"/>
      <c r="S257"/>
      <c r="T257"/>
      <c r="U257"/>
    </row>
    <row r="258" spans="18:21" x14ac:dyDescent="0.2">
      <c r="R258"/>
      <c r="S258"/>
      <c r="T258"/>
      <c r="U258"/>
    </row>
    <row r="259" spans="18:21" x14ac:dyDescent="0.2">
      <c r="R259"/>
      <c r="S259"/>
      <c r="T259"/>
      <c r="U259"/>
    </row>
    <row r="260" spans="18:21" x14ac:dyDescent="0.2">
      <c r="R260"/>
      <c r="S260"/>
      <c r="T260"/>
      <c r="U260"/>
    </row>
    <row r="261" spans="18:21" x14ac:dyDescent="0.2">
      <c r="R261"/>
      <c r="S261"/>
      <c r="T261"/>
      <c r="U261"/>
    </row>
    <row r="262" spans="18:21" x14ac:dyDescent="0.2">
      <c r="R262"/>
      <c r="S262"/>
      <c r="T262"/>
      <c r="U262"/>
    </row>
    <row r="263" spans="18:21" x14ac:dyDescent="0.2">
      <c r="R263"/>
      <c r="S263"/>
      <c r="T263"/>
    </row>
    <row r="264" spans="18:21" x14ac:dyDescent="0.2">
      <c r="R264"/>
      <c r="S264"/>
      <c r="T264"/>
    </row>
    <row r="265" spans="18:21" x14ac:dyDescent="0.2">
      <c r="R265"/>
      <c r="S265"/>
      <c r="T265"/>
    </row>
    <row r="266" spans="18:21" x14ac:dyDescent="0.2">
      <c r="R266"/>
      <c r="S266"/>
      <c r="T266"/>
    </row>
    <row r="267" spans="18:21" x14ac:dyDescent="0.2">
      <c r="R267"/>
      <c r="S267"/>
      <c r="T267"/>
    </row>
    <row r="268" spans="18:21" x14ac:dyDescent="0.2">
      <c r="R268"/>
      <c r="S268"/>
      <c r="T268"/>
    </row>
    <row r="269" spans="18:21" x14ac:dyDescent="0.2">
      <c r="R269"/>
      <c r="S269"/>
      <c r="T269"/>
    </row>
    <row r="270" spans="18:21" x14ac:dyDescent="0.2">
      <c r="R270"/>
      <c r="S270"/>
      <c r="T270"/>
    </row>
    <row r="271" spans="18:21" x14ac:dyDescent="0.2">
      <c r="R271"/>
      <c r="S271"/>
      <c r="T271"/>
    </row>
    <row r="272" spans="18:21" x14ac:dyDescent="0.2">
      <c r="R272"/>
      <c r="S272"/>
      <c r="T272"/>
    </row>
    <row r="273" spans="18:20" x14ac:dyDescent="0.2">
      <c r="R273"/>
      <c r="S273"/>
      <c r="T273"/>
    </row>
    <row r="274" spans="18:20" x14ac:dyDescent="0.2">
      <c r="R274"/>
      <c r="S274"/>
      <c r="T274"/>
    </row>
    <row r="275" spans="18:20" x14ac:dyDescent="0.2">
      <c r="R275"/>
      <c r="S275"/>
      <c r="T275"/>
    </row>
    <row r="276" spans="18:20" x14ac:dyDescent="0.2">
      <c r="R276"/>
      <c r="S276"/>
      <c r="T276"/>
    </row>
    <row r="277" spans="18:20" x14ac:dyDescent="0.2">
      <c r="R277"/>
      <c r="S277"/>
      <c r="T277"/>
    </row>
    <row r="278" spans="18:20" x14ac:dyDescent="0.2">
      <c r="R278"/>
      <c r="S278"/>
      <c r="T278"/>
    </row>
    <row r="279" spans="18:20" x14ac:dyDescent="0.2">
      <c r="R279"/>
      <c r="S279"/>
      <c r="T279"/>
    </row>
    <row r="280" spans="18:20" x14ac:dyDescent="0.2">
      <c r="R280"/>
      <c r="S280"/>
      <c r="T280"/>
    </row>
    <row r="281" spans="18:20" x14ac:dyDescent="0.2">
      <c r="R281"/>
      <c r="S281"/>
      <c r="T281"/>
    </row>
    <row r="282" spans="18:20" x14ac:dyDescent="0.2">
      <c r="R282"/>
      <c r="S282"/>
      <c r="T282"/>
    </row>
    <row r="283" spans="18:20" x14ac:dyDescent="0.2">
      <c r="R283"/>
      <c r="S283"/>
      <c r="T283"/>
    </row>
    <row r="284" spans="18:20" x14ac:dyDescent="0.2">
      <c r="R284"/>
      <c r="S284"/>
      <c r="T284"/>
    </row>
    <row r="285" spans="18:20" x14ac:dyDescent="0.2">
      <c r="R285"/>
      <c r="S285"/>
      <c r="T285"/>
    </row>
    <row r="286" spans="18:20" x14ac:dyDescent="0.2">
      <c r="R286"/>
      <c r="S286"/>
      <c r="T286"/>
    </row>
    <row r="287" spans="18:20" x14ac:dyDescent="0.2">
      <c r="R287"/>
      <c r="S287"/>
      <c r="T287"/>
    </row>
    <row r="288" spans="18:20" x14ac:dyDescent="0.2">
      <c r="R288"/>
      <c r="S288"/>
      <c r="T288"/>
    </row>
    <row r="289" spans="18:20" x14ac:dyDescent="0.2">
      <c r="R289"/>
      <c r="S289"/>
      <c r="T289"/>
    </row>
    <row r="290" spans="18:20" x14ac:dyDescent="0.2">
      <c r="R290"/>
      <c r="S290"/>
      <c r="T290"/>
    </row>
    <row r="291" spans="18:20" x14ac:dyDescent="0.2">
      <c r="R291"/>
      <c r="S291"/>
      <c r="T291"/>
    </row>
    <row r="292" spans="18:20" x14ac:dyDescent="0.2">
      <c r="R292"/>
      <c r="S292"/>
      <c r="T292"/>
    </row>
    <row r="293" spans="18:20" x14ac:dyDescent="0.2">
      <c r="R293"/>
      <c r="S293"/>
      <c r="T293"/>
    </row>
    <row r="294" spans="18:20" x14ac:dyDescent="0.2">
      <c r="R294"/>
      <c r="S294"/>
      <c r="T294"/>
    </row>
    <row r="295" spans="18:20" x14ac:dyDescent="0.2">
      <c r="R295"/>
      <c r="S295"/>
      <c r="T295"/>
    </row>
    <row r="296" spans="18:20" x14ac:dyDescent="0.2">
      <c r="R296"/>
      <c r="S296"/>
      <c r="T296"/>
    </row>
    <row r="297" spans="18:20" x14ac:dyDescent="0.2">
      <c r="R297"/>
      <c r="S297"/>
      <c r="T297"/>
    </row>
    <row r="298" spans="18:20" x14ac:dyDescent="0.2">
      <c r="R298"/>
      <c r="S298"/>
      <c r="T298"/>
    </row>
    <row r="299" spans="18:20" x14ac:dyDescent="0.2">
      <c r="R299"/>
      <c r="S299"/>
      <c r="T299"/>
    </row>
    <row r="300" spans="18:20" x14ac:dyDescent="0.2">
      <c r="R300"/>
      <c r="S300"/>
      <c r="T300"/>
    </row>
    <row r="301" spans="18:20" x14ac:dyDescent="0.2">
      <c r="R301"/>
      <c r="S301"/>
      <c r="T301"/>
    </row>
    <row r="302" spans="18:20" x14ac:dyDescent="0.2">
      <c r="R302"/>
      <c r="S302"/>
      <c r="T302"/>
    </row>
    <row r="303" spans="18:20" x14ac:dyDescent="0.2">
      <c r="R303"/>
      <c r="S303"/>
      <c r="T303"/>
    </row>
    <row r="304" spans="18:20" x14ac:dyDescent="0.2">
      <c r="R304"/>
      <c r="S304"/>
      <c r="T304"/>
    </row>
    <row r="305" spans="18:20" x14ac:dyDescent="0.2">
      <c r="R305"/>
      <c r="S305"/>
      <c r="T305"/>
    </row>
    <row r="306" spans="18:20" x14ac:dyDescent="0.2">
      <c r="R306"/>
      <c r="S306"/>
      <c r="T306"/>
    </row>
    <row r="307" spans="18:20" x14ac:dyDescent="0.2">
      <c r="R307"/>
      <c r="S307"/>
      <c r="T307"/>
    </row>
    <row r="308" spans="18:20" x14ac:dyDescent="0.2">
      <c r="R308"/>
      <c r="S308"/>
      <c r="T308"/>
    </row>
    <row r="309" spans="18:20" x14ac:dyDescent="0.2">
      <c r="R309"/>
      <c r="S309"/>
      <c r="T309"/>
    </row>
    <row r="310" spans="18:20" x14ac:dyDescent="0.2">
      <c r="R310"/>
      <c r="S310"/>
      <c r="T310"/>
    </row>
    <row r="311" spans="18:20" x14ac:dyDescent="0.2">
      <c r="R311"/>
      <c r="S311"/>
      <c r="T311"/>
    </row>
    <row r="312" spans="18:20" x14ac:dyDescent="0.2">
      <c r="R312"/>
      <c r="S312"/>
      <c r="T312"/>
    </row>
    <row r="313" spans="18:20" x14ac:dyDescent="0.2">
      <c r="R313"/>
      <c r="S313"/>
      <c r="T313"/>
    </row>
    <row r="314" spans="18:20" x14ac:dyDescent="0.2">
      <c r="R314"/>
      <c r="S314"/>
      <c r="T314"/>
    </row>
    <row r="315" spans="18:20" x14ac:dyDescent="0.2">
      <c r="R315"/>
      <c r="S315"/>
    </row>
    <row r="316" spans="18:20" x14ac:dyDescent="0.2">
      <c r="R316"/>
      <c r="S316"/>
    </row>
    <row r="317" spans="18:20" x14ac:dyDescent="0.2">
      <c r="R317"/>
      <c r="S317"/>
    </row>
    <row r="318" spans="18:20" x14ac:dyDescent="0.2">
      <c r="R318"/>
      <c r="S318"/>
    </row>
    <row r="319" spans="18:20" x14ac:dyDescent="0.2">
      <c r="R319"/>
      <c r="S319"/>
    </row>
    <row r="320" spans="18:20" x14ac:dyDescent="0.2">
      <c r="R320"/>
    </row>
    <row r="321" spans="18:18" x14ac:dyDescent="0.2">
      <c r="R321"/>
    </row>
    <row r="322" spans="18:18" x14ac:dyDescent="0.2">
      <c r="R322"/>
    </row>
    <row r="323" spans="18:18" x14ac:dyDescent="0.2">
      <c r="R323"/>
    </row>
  </sheetData>
  <phoneticPr fontId="80" type="noConversion"/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rgb="FF66FFFF"/>
    <pageSetUpPr fitToPage="1"/>
  </sheetPr>
  <dimension ref="A1:N232"/>
  <sheetViews>
    <sheetView showGridLines="0" zoomScale="90" zoomScaleNormal="90" workbookViewId="0">
      <selection activeCell="F68" sqref="F68"/>
    </sheetView>
  </sheetViews>
  <sheetFormatPr defaultColWidth="0" defaultRowHeight="12" zeroHeight="1" x14ac:dyDescent="0.2"/>
  <cols>
    <col min="1" max="1" width="1.875" style="8" customWidth="1"/>
    <col min="2" max="2" width="2" style="8" customWidth="1"/>
    <col min="3" max="3" width="21.625" style="8" customWidth="1"/>
    <col min="4" max="4" width="34.625" style="8" customWidth="1"/>
    <col min="5" max="5" width="15.25" style="8" customWidth="1"/>
    <col min="6" max="9" width="13.125" style="8" customWidth="1"/>
    <col min="10" max="10" width="11.75" style="8" customWidth="1"/>
    <col min="11" max="11" width="1.75" style="8" customWidth="1"/>
    <col min="12" max="12" width="14.625" style="8" customWidth="1"/>
    <col min="13" max="13" width="2.25" style="8" customWidth="1"/>
    <col min="14" max="14" width="8.75" style="8" hidden="1" customWidth="1"/>
    <col min="15" max="16384" width="9" style="8" hidden="1"/>
  </cols>
  <sheetData>
    <row r="1" spans="1:13" s="6" customFormat="1" ht="18.75" x14ac:dyDescent="0.3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3" s="6" customFormat="1" ht="18.75" x14ac:dyDescent="0.3">
      <c r="A2" s="50" t="str">
        <f>proj</f>
        <v>Horsham REFCL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s="2" customFormat="1" ht="18.75" x14ac:dyDescent="0.3">
      <c r="A3" s="179" t="s">
        <v>8</v>
      </c>
      <c r="B3" s="31"/>
      <c r="C3" s="31"/>
      <c r="D3" s="30"/>
      <c r="E3" s="30"/>
      <c r="F3" s="30"/>
      <c r="G3" s="30"/>
      <c r="H3" s="30"/>
      <c r="I3" s="30"/>
      <c r="J3" s="30"/>
      <c r="K3" s="30"/>
      <c r="L3" s="30"/>
      <c r="M3" s="6"/>
    </row>
    <row r="4" spans="1:13" s="2" customFormat="1" ht="18.75" x14ac:dyDescent="0.3">
      <c r="A4" s="31"/>
      <c r="B4" s="31"/>
      <c r="C4" s="31"/>
      <c r="D4" s="30"/>
      <c r="E4" s="30"/>
      <c r="F4" s="30"/>
      <c r="G4" s="30"/>
      <c r="H4" s="30"/>
      <c r="I4" s="30"/>
      <c r="J4" s="30"/>
      <c r="K4" s="30"/>
      <c r="L4" s="30"/>
      <c r="M4" s="6"/>
    </row>
    <row r="5" spans="1:13" s="2" customFormat="1" ht="15" x14ac:dyDescent="0.25">
      <c r="A5" s="17" t="s">
        <v>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6"/>
    </row>
    <row r="6" spans="1:13" s="2" customFormat="1" ht="12.75" x14ac:dyDescent="0.2">
      <c r="A6" s="7"/>
      <c r="B6" s="7"/>
      <c r="C6" s="7"/>
      <c r="D6" s="4"/>
      <c r="E6" s="4"/>
      <c r="F6" s="7"/>
      <c r="G6" s="7"/>
      <c r="H6" s="7"/>
      <c r="I6" s="7"/>
      <c r="J6" s="7"/>
      <c r="K6" s="7"/>
      <c r="L6" s="7"/>
    </row>
    <row r="7" spans="1:13" s="2" customFormat="1" ht="12.75" x14ac:dyDescent="0.2">
      <c r="G7" s="132" t="s">
        <v>10</v>
      </c>
      <c r="H7" s="132" t="s">
        <v>11</v>
      </c>
      <c r="I7" s="132" t="s">
        <v>7</v>
      </c>
    </row>
    <row r="8" spans="1:13" s="2" customFormat="1" ht="12.75" x14ac:dyDescent="0.2">
      <c r="C8" s="26" t="s">
        <v>12</v>
      </c>
      <c r="D8" s="26"/>
      <c r="E8" s="26"/>
      <c r="F8" s="26"/>
      <c r="G8" s="162">
        <f>output_dollars</f>
        <v>46203</v>
      </c>
      <c r="H8" s="162">
        <f>output_dollars</f>
        <v>46203</v>
      </c>
      <c r="I8" s="162">
        <f>output_dollars</f>
        <v>46203</v>
      </c>
    </row>
    <row r="9" spans="1:13" s="2" customFormat="1" ht="12.75" x14ac:dyDescent="0.2">
      <c r="C9" s="65" t="str" cm="1">
        <f t="array" ref="C9:C13">options</f>
        <v>Option 1 (base case)</v>
      </c>
      <c r="D9" s="393" t="str">
        <f>INDEX(Assumptions!$E$14:$E$18, MATCH(C9, Assumptions!$C$14:$C$18,0))</f>
        <v>No change to existing practices</v>
      </c>
      <c r="E9" s="394"/>
      <c r="F9" s="394"/>
      <c r="G9" s="90">
        <f>IF(Data!$C9, "", INDEX(Consol!$F$15:$F$82, MATCH($C9&amp;G$7, Consol!$D$15:$D$82,0))/mill_conv)</f>
        <v>0</v>
      </c>
      <c r="H9" s="90">
        <f>IF(Data!$C9, "", INDEX(Consol!$F$15:$F$82, MATCH($C9&amp;H$7, Consol!$D$15:$D$82,0))/mill_conv)</f>
        <v>0</v>
      </c>
      <c r="I9" s="90">
        <f>IF(Data!$C9, "", INDEX(Consol!$F$15:$F$82, MATCH($C9&amp;I$7, Consol!$D$15:$D$82,0))/mill_conv)</f>
        <v>0</v>
      </c>
    </row>
    <row r="10" spans="1:13" s="2" customFormat="1" ht="12.75" customHeight="1" x14ac:dyDescent="0.2">
      <c r="C10" s="65" t="str">
        <v>Option 2</v>
      </c>
      <c r="D10" s="395" t="str">
        <f>INDEX(Assumptions!$E$14:$E$18, MATCH(C10, Assumptions!$C$14:$C$18,0))</f>
        <v>Install Single REFCL at HSM ZSS in 2029-30</v>
      </c>
      <c r="E10" s="396"/>
      <c r="F10" s="396"/>
      <c r="G10" s="90">
        <f>IF(Data!$C10, "", INDEX(Consol!$F$15:$F$82, MATCH($C10&amp;G$7, Consol!$D$15:$D$82,0))/mill_conv)</f>
        <v>-11.622819472645093</v>
      </c>
      <c r="H10" s="90">
        <f>IF(Data!$C10, "", INDEX(Consol!$F$15:$F$82, MATCH($C10&amp;H$7, Consol!$D$15:$D$82,0))/mill_conv)</f>
        <v>16.608519934132755</v>
      </c>
      <c r="I10" s="90">
        <f>IF(Data!$C10, "", INDEX(Consol!$F$15:$F$82, MATCH($C10&amp;I$7, Consol!$D$15:$D$82,0))/mill_conv)</f>
        <v>4.9857004614876601</v>
      </c>
    </row>
    <row r="11" spans="1:13" s="2" customFormat="1" ht="12.75" x14ac:dyDescent="0.2">
      <c r="C11" s="65" t="str">
        <v>Option 3</v>
      </c>
      <c r="D11" s="395" t="str">
        <f>INDEX(Assumptions!$E$14:$E$18, MATCH(C11, Assumptions!$C$14:$C$18,0))</f>
        <v>Install covered conductor for HSM feeders</v>
      </c>
      <c r="E11" s="396"/>
      <c r="F11" s="396"/>
      <c r="G11" s="90">
        <f>IF(Data!$C11, "", INDEX(Consol!$F$15:$F$82, MATCH($C11&amp;G$7, Consol!$D$15:$D$82,0))/mill_conv)</f>
        <v>-148.31374801177122</v>
      </c>
      <c r="H11" s="90">
        <f>IF(Data!$C11, "", INDEX(Consol!$F$15:$F$82, MATCH($C11&amp;H$7, Consol!$D$15:$D$82,0))/mill_conv)</f>
        <v>37.7262258645857</v>
      </c>
      <c r="I11" s="90">
        <f>IF(Data!$C11, "", INDEX(Consol!$F$15:$F$82, MATCH($C11&amp;I$7, Consol!$D$15:$D$82,0))/mill_conv)</f>
        <v>-110.58752214718552</v>
      </c>
    </row>
    <row r="12" spans="1:13" s="2" customFormat="1" ht="12.75" x14ac:dyDescent="0.2">
      <c r="C12" s="65" t="str">
        <v>Option 4</v>
      </c>
      <c r="D12" s="395" t="str">
        <f>INDEX(Assumptions!$E$14:$E$18, MATCH(C12, Assumptions!$C$14:$C$18,0))</f>
        <v>Install three REFCLs (one per Tx) at HSM ZSS in 2029-30</v>
      </c>
      <c r="E12" s="396"/>
      <c r="F12" s="396"/>
      <c r="G12" s="90">
        <f>IF(Data!$C12, "", INDEX(Consol!$F$15:$F$82, MATCH($C12&amp;G$7, Consol!$D$15:$D$82,0))/mill_conv)</f>
        <v>-14.174319843220832</v>
      </c>
      <c r="H12" s="90">
        <f>IF(Data!$C12, "", INDEX(Consol!$F$15:$F$82, MATCH($C12&amp;H$7, Consol!$D$15:$D$82,0))/mill_conv)</f>
        <v>17.684625869044577</v>
      </c>
      <c r="I12" s="90">
        <f>IF(Data!$C12, "", INDEX(Consol!$F$15:$F$82, MATCH($C12&amp;I$7, Consol!$D$15:$D$82,0))/mill_conv)</f>
        <v>3.5103060258237413</v>
      </c>
    </row>
    <row r="13" spans="1:13" s="2" customFormat="1" ht="12.75" x14ac:dyDescent="0.2">
      <c r="C13" s="65" t="str">
        <v>Option 5</v>
      </c>
      <c r="D13" s="395">
        <f>INDEX(Assumptions!$E$14:$E$18, MATCH(C13, Assumptions!$C$14:$C$18,0))</f>
        <v>0</v>
      </c>
      <c r="E13" s="396"/>
      <c r="F13" s="396"/>
      <c r="G13" s="90" t="str">
        <f>IF(Data!$C13, "", INDEX(Consol!$F$15:$F$82, MATCH($C13&amp;G$7, Consol!$D$15:$D$82,0))/mill_conv)</f>
        <v/>
      </c>
      <c r="H13" s="90" t="str">
        <f>IF(Data!$C13, "", INDEX(Consol!$F$15:$F$82, MATCH($C13&amp;H$7, Consol!$D$15:$D$82,0))/mill_conv)</f>
        <v/>
      </c>
      <c r="I13" s="90" t="str">
        <f>IF(Data!$C13, "", INDEX(Consol!$F$15:$F$82, MATCH($C13&amp;I$7, Consol!$D$15:$D$82,0))/mill_conv)</f>
        <v/>
      </c>
    </row>
    <row r="14" spans="1:13" s="2" customFormat="1" ht="12.75" x14ac:dyDescent="0.2">
      <c r="C14" s="65"/>
      <c r="D14" s="65"/>
      <c r="E14" s="65"/>
      <c r="F14" s="80"/>
      <c r="H14" s="7"/>
    </row>
    <row r="15" spans="1:13" s="2" customFormat="1" ht="12.75" x14ac:dyDescent="0.2">
      <c r="C15" s="65"/>
      <c r="D15" s="65"/>
      <c r="E15" s="65"/>
      <c r="F15" s="80"/>
      <c r="G15"/>
      <c r="I15" s="7"/>
    </row>
    <row r="16" spans="1:13" s="2" customFormat="1" ht="12.75" x14ac:dyDescent="0.2">
      <c r="G16" s="132" t="s">
        <v>7</v>
      </c>
      <c r="H16"/>
      <c r="J16" s="7"/>
    </row>
    <row r="17" spans="1:13" s="2" customFormat="1" ht="12.75" x14ac:dyDescent="0.2">
      <c r="C17" s="24" t="s">
        <v>13</v>
      </c>
      <c r="D17" s="26"/>
      <c r="E17" s="26"/>
      <c r="F17" s="26"/>
      <c r="G17" s="162">
        <f>output_dollars</f>
        <v>46203</v>
      </c>
      <c r="H17"/>
      <c r="J17" s="7"/>
    </row>
    <row r="18" spans="1:13" s="2" customFormat="1" ht="12.75" x14ac:dyDescent="0.2">
      <c r="C18" s="32" t="str">
        <f>INDEX($C$9:$C$13,MATCH(G18, $I$9:$I$13,0))</f>
        <v>Option 2</v>
      </c>
      <c r="D18" s="392" t="str">
        <f>INDEX($D$9:$D$13,MATCH(G18, $I$9:$I$13,0))</f>
        <v>Install Single REFCL at HSM ZSS in 2029-30</v>
      </c>
      <c r="E18" s="392"/>
      <c r="F18" s="392"/>
      <c r="G18" s="91">
        <f>_xlfn.MAXIFS(I9:I13, IF(compliance, Data!$F$9:$F$13, Data!$C$9:$C$13),FALSE)</f>
        <v>4.9857004614876601</v>
      </c>
      <c r="H18"/>
    </row>
    <row r="19" spans="1:13" s="2" customFormat="1" ht="12.75" x14ac:dyDescent="0.2">
      <c r="H19"/>
    </row>
    <row r="20" spans="1:13" x14ac:dyDescent="0.2"/>
    <row r="21" spans="1:13" x14ac:dyDescent="0.2"/>
    <row r="22" spans="1:13" x14ac:dyDescent="0.2"/>
    <row r="23" spans="1:13" ht="15" x14ac:dyDescent="0.25">
      <c r="A23" s="17" t="s">
        <v>14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6"/>
    </row>
    <row r="24" spans="1:13" x14ac:dyDescent="0.2"/>
    <row r="25" spans="1:13" s="6" customFormat="1" ht="12.75" x14ac:dyDescent="0.2">
      <c r="C25" s="12" t="s">
        <v>4</v>
      </c>
    </row>
    <row r="26" spans="1:13" s="6" customFormat="1" ht="12.75" x14ac:dyDescent="0.2">
      <c r="C26" s="81" t="str">
        <f>C18</f>
        <v>Option 2</v>
      </c>
    </row>
    <row r="27" spans="1:13" s="6" customFormat="1" ht="12.75" x14ac:dyDescent="0.2"/>
    <row r="28" spans="1:13" s="6" customFormat="1" ht="12.75" x14ac:dyDescent="0.2"/>
    <row r="29" spans="1:13" s="6" customFormat="1" ht="12.75" x14ac:dyDescent="0.2">
      <c r="C29" s="47" t="s">
        <v>15</v>
      </c>
      <c r="D29" s="246">
        <f>output_dollars</f>
        <v>46203</v>
      </c>
      <c r="E29" s="163"/>
      <c r="F29" s="49" t="str">
        <f>Assumptions!K89</f>
        <v>2026-27</v>
      </c>
      <c r="G29" s="49" t="str">
        <f>Assumptions!L89</f>
        <v>2027-28</v>
      </c>
      <c r="H29" s="49" t="str">
        <f>Assumptions!M89</f>
        <v>2028-29</v>
      </c>
      <c r="I29" s="49" t="str">
        <f>Assumptions!N89</f>
        <v>2029-30</v>
      </c>
      <c r="J29" s="49" t="str">
        <f>Assumptions!O89</f>
        <v>2030-31</v>
      </c>
      <c r="L29" s="49" t="s">
        <v>16</v>
      </c>
    </row>
    <row r="30" spans="1:13" s="6" customFormat="1" ht="12.75" x14ac:dyDescent="0.2">
      <c r="C30" s="4" t="s">
        <v>17</v>
      </c>
      <c r="F30" s="92">
        <f>-INDEX(Consol!I$15:I$82,MATCH($C$26&amp;$C30,Consol!$D$15:$D$82,0))/mill_conv</f>
        <v>0</v>
      </c>
      <c r="G30" s="92">
        <f>-INDEX(Consol!J$15:J$82,MATCH($C$26&amp;$C30,Consol!$D$15:$D$82,0))/mill_conv</f>
        <v>0</v>
      </c>
      <c r="H30" s="92">
        <f>-INDEX(Consol!K$15:K$82,MATCH($C$26&amp;$C30,Consol!$D$15:$D$82,0))/mill_conv</f>
        <v>0</v>
      </c>
      <c r="I30" s="92">
        <f>-INDEX(Consol!L$15:L$82,MATCH($C$26&amp;$C30,Consol!$D$15:$D$82,0))/mill_conv</f>
        <v>9.1148547011972383</v>
      </c>
      <c r="J30" s="92">
        <f>-INDEX(Consol!M$15:M$82,MATCH($C$26&amp;$C30,Consol!$D$15:$D$82,0))/mill_conv</f>
        <v>9.1148547011972383</v>
      </c>
      <c r="K30" s="164"/>
      <c r="L30" s="164">
        <f>SUM(F30:J30)</f>
        <v>18.229709402394477</v>
      </c>
    </row>
    <row r="31" spans="1:13" s="6" customFormat="1" ht="12.75" x14ac:dyDescent="0.2">
      <c r="C31" s="4" t="s">
        <v>18</v>
      </c>
      <c r="D31" s="10"/>
      <c r="E31" s="10"/>
      <c r="F31" s="92">
        <f>-INDEX(Consol!I$15:I$82,MATCH($C$26&amp;$C31,Consol!$D$15:$D$82,0))/mill_conv</f>
        <v>0</v>
      </c>
      <c r="G31" s="92">
        <f>-INDEX(Consol!J$15:J$82,MATCH($C$26&amp;$C31,Consol!$D$15:$D$82,0))/mill_conv</f>
        <v>0</v>
      </c>
      <c r="H31" s="92">
        <f>-INDEX(Consol!K$15:K$82,MATCH($C$26&amp;$C31,Consol!$D$15:$D$82,0))/mill_conv</f>
        <v>0</v>
      </c>
      <c r="I31" s="92">
        <f>-INDEX(Consol!L$15:L$82,MATCH($C$26&amp;$C31,Consol!$D$15:$D$82,0))/mill_conv</f>
        <v>0</v>
      </c>
      <c r="J31" s="92">
        <f>-INDEX(Consol!M$15:M$82,MATCH($C$26&amp;$C31,Consol!$D$15:$D$82,0))/mill_conv</f>
        <v>0</v>
      </c>
      <c r="K31" s="164"/>
      <c r="L31" s="164">
        <f>SUM(F31:J31)</f>
        <v>0</v>
      </c>
    </row>
    <row r="32" spans="1:13" s="6" customFormat="1" ht="12.75" x14ac:dyDescent="0.2"/>
    <row r="33" spans="1:12" s="6" customFormat="1" ht="12.75" x14ac:dyDescent="0.2"/>
    <row r="34" spans="1:12" s="6" customFormat="1" ht="12.75" x14ac:dyDescent="0.2"/>
    <row r="35" spans="1:12" s="6" customFormat="1" ht="15" x14ac:dyDescent="0.25">
      <c r="A35" s="17" t="s">
        <v>19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2" s="6" customFormat="1" ht="12.75" x14ac:dyDescent="0.2"/>
    <row r="37" spans="1:12" s="6" customFormat="1" ht="12.75" x14ac:dyDescent="0.2">
      <c r="C37" s="6" t="s">
        <v>20</v>
      </c>
      <c r="D37" s="10"/>
      <c r="E37" s="10"/>
      <c r="F37" s="277"/>
    </row>
    <row r="38" spans="1:12" s="6" customFormat="1" ht="12.75" x14ac:dyDescent="0.2"/>
    <row r="39" spans="1:12" s="6" customFormat="1" ht="12.75" x14ac:dyDescent="0.2"/>
    <row r="40" spans="1:12" s="6" customFormat="1" ht="12.75" x14ac:dyDescent="0.2"/>
    <row r="41" spans="1:12" s="6" customFormat="1" ht="12.75" x14ac:dyDescent="0.2"/>
    <row r="42" spans="1:12" s="6" customFormat="1" ht="12.75" x14ac:dyDescent="0.2"/>
    <row r="43" spans="1:12" s="6" customFormat="1" ht="12.75" x14ac:dyDescent="0.2"/>
    <row r="44" spans="1:12" s="6" customFormat="1" ht="12.75" x14ac:dyDescent="0.2"/>
    <row r="45" spans="1:12" s="6" customFormat="1" ht="12.75" x14ac:dyDescent="0.2"/>
    <row r="46" spans="1:12" s="6" customFormat="1" ht="12.75" x14ac:dyDescent="0.2"/>
    <row r="47" spans="1:12" s="6" customFormat="1" ht="12.75" x14ac:dyDescent="0.2"/>
    <row r="48" spans="1:12" s="6" customFormat="1" ht="12.75" x14ac:dyDescent="0.2"/>
    <row r="49" spans="1:12" s="6" customFormat="1" ht="12.75" x14ac:dyDescent="0.2"/>
    <row r="50" spans="1:12" s="6" customFormat="1" ht="12.75" x14ac:dyDescent="0.2"/>
    <row r="51" spans="1:12" s="6" customFormat="1" ht="12.75" x14ac:dyDescent="0.2"/>
    <row r="52" spans="1:12" s="6" customFormat="1" ht="12.75" x14ac:dyDescent="0.2"/>
    <row r="53" spans="1:12" s="6" customFormat="1" ht="12.75" x14ac:dyDescent="0.2"/>
    <row r="54" spans="1:12" s="6" customFormat="1" ht="12.75" x14ac:dyDescent="0.2"/>
    <row r="55" spans="1:12" s="6" customFormat="1" ht="12.75" x14ac:dyDescent="0.2"/>
    <row r="56" spans="1:12" s="6" customFormat="1" ht="12.75" x14ac:dyDescent="0.2"/>
    <row r="57" spans="1:12" s="6" customFormat="1" ht="12.75" x14ac:dyDescent="0.2"/>
    <row r="58" spans="1:12" s="6" customFormat="1" ht="12.75" x14ac:dyDescent="0.2"/>
    <row r="59" spans="1:12" s="6" customFormat="1" ht="12.75" x14ac:dyDescent="0.2"/>
    <row r="60" spans="1:12" s="6" customFormat="1" ht="12.75" x14ac:dyDescent="0.2"/>
    <row r="61" spans="1:12" s="6" customFormat="1" ht="12.75" x14ac:dyDescent="0.2"/>
    <row r="62" spans="1:12" s="6" customFormat="1" ht="12.75" x14ac:dyDescent="0.2"/>
    <row r="63" spans="1:12" s="6" customFormat="1" ht="15" x14ac:dyDescent="0.25">
      <c r="A63" s="17" t="s">
        <v>21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s="6" customFormat="1" ht="12.75" x14ac:dyDescent="0.2"/>
    <row r="65" spans="3:13" s="6" customFormat="1" ht="12.75" x14ac:dyDescent="0.2"/>
    <row r="66" spans="3:13" s="6" customFormat="1" ht="12.75" x14ac:dyDescent="0.2">
      <c r="C66" s="47" t="s">
        <v>22</v>
      </c>
      <c r="D66" s="163">
        <f>output_dollars</f>
        <v>46203</v>
      </c>
      <c r="E66" s="163"/>
      <c r="F66" s="49" t="str">
        <f>Sensitivity_calcs!C89</f>
        <v>Option 1 (base case)</v>
      </c>
      <c r="G66" s="49" t="str">
        <f>Sensitivity_calcs!D89</f>
        <v>Option 2</v>
      </c>
      <c r="H66" s="49" t="str">
        <f>Sensitivity_calcs!E89</f>
        <v>Option 3</v>
      </c>
      <c r="I66" s="49" t="str">
        <f>Sensitivity_calcs!F89</f>
        <v>Option 4</v>
      </c>
      <c r="J66" s="49" t="str">
        <f>Sensitivity_calcs!G89</f>
        <v>Option 5</v>
      </c>
      <c r="K66" s="229"/>
      <c r="L66" s="137" t="s">
        <v>23</v>
      </c>
      <c r="M66" s="229"/>
    </row>
    <row r="67" spans="3:13" s="6" customFormat="1" ht="12.75" x14ac:dyDescent="0.2">
      <c r="C67" s="243" t="str">
        <f>Sensitivity_calcs!B90</f>
        <v>None</v>
      </c>
      <c r="D67" s="231"/>
      <c r="E67" s="231"/>
      <c r="F67" s="244">
        <f>Sensitivity_calcs!C90</f>
        <v>0</v>
      </c>
      <c r="G67" s="244">
        <f>Sensitivity_calcs!D90</f>
        <v>4.9857004614876601</v>
      </c>
      <c r="H67" s="244">
        <f>Sensitivity_calcs!E90</f>
        <v>-110.58752214718552</v>
      </c>
      <c r="I67" s="244">
        <f>Sensitivity_calcs!F90</f>
        <v>3.5103060258237386</v>
      </c>
      <c r="J67" s="244" t="str">
        <f>Sensitivity_calcs!G90</f>
        <v/>
      </c>
      <c r="L67" s="245" t="str">
        <f>Sensitivity_calcs!K90</f>
        <v>Option 2</v>
      </c>
    </row>
    <row r="68" spans="3:13" s="6" customFormat="1" ht="12.75" x14ac:dyDescent="0.2">
      <c r="C68" s="230" t="str">
        <f>Sensitivity_calcs!B91</f>
        <v>Capex 10% higher</v>
      </c>
      <c r="D68" s="230"/>
      <c r="E68" s="230"/>
      <c r="F68" s="239">
        <f>Sensitivity_calcs!C91</f>
        <v>0</v>
      </c>
      <c r="G68" s="234">
        <f>Sensitivity_calcs!D91</f>
        <v>3.8234185142231509</v>
      </c>
      <c r="H68" s="234">
        <f>Sensitivity_calcs!E91</f>
        <v>-125.41889694836264</v>
      </c>
      <c r="I68" s="234">
        <f>Sensitivity_calcs!F91</f>
        <v>2.092874041501656</v>
      </c>
      <c r="J68" s="234" t="str">
        <f>Sensitivity_calcs!G91</f>
        <v/>
      </c>
      <c r="L68" s="240" t="str">
        <f>Sensitivity_calcs!K91</f>
        <v>Option 2</v>
      </c>
    </row>
    <row r="69" spans="3:13" s="6" customFormat="1" ht="12.75" x14ac:dyDescent="0.2">
      <c r="C69" s="230" t="str">
        <f>Sensitivity_calcs!B92</f>
        <v>Capex 10% lower</v>
      </c>
      <c r="D69" s="230"/>
      <c r="E69" s="230"/>
      <c r="F69" s="92">
        <f>Sensitivity_calcs!C92</f>
        <v>0</v>
      </c>
      <c r="G69" s="235">
        <f>Sensitivity_calcs!D92</f>
        <v>6.1479824087521706</v>
      </c>
      <c r="H69" s="235">
        <f>Sensitivity_calcs!E92</f>
        <v>-95.756147346008404</v>
      </c>
      <c r="I69" s="235">
        <f>Sensitivity_calcs!F92</f>
        <v>4.9277380101458226</v>
      </c>
      <c r="J69" s="235" t="str">
        <f>Sensitivity_calcs!G92</f>
        <v/>
      </c>
      <c r="L69" s="240" t="str">
        <f>Sensitivity_calcs!K92</f>
        <v>Option 2</v>
      </c>
    </row>
    <row r="70" spans="3:13" s="6" customFormat="1" ht="12.75" x14ac:dyDescent="0.2">
      <c r="C70" s="230" t="str">
        <f>Sensitivity_calcs!B93</f>
        <v>Total benefits 10% higher</v>
      </c>
      <c r="D70" s="230"/>
      <c r="E70" s="230"/>
      <c r="F70" s="92">
        <f>Sensitivity_calcs!C93</f>
        <v>0</v>
      </c>
      <c r="G70" s="235">
        <f>Sensitivity_calcs!D93</f>
        <v>6.6465524549009363</v>
      </c>
      <c r="H70" s="235">
        <f>Sensitivity_calcs!E93</f>
        <v>-106.81489956072693</v>
      </c>
      <c r="I70" s="235">
        <f>Sensitivity_calcs!F93</f>
        <v>5.2787686127281965</v>
      </c>
      <c r="J70" s="235" t="str">
        <f>Sensitivity_calcs!G93</f>
        <v/>
      </c>
      <c r="L70" s="240" t="str">
        <f>Sensitivity_calcs!K93</f>
        <v>Option 2</v>
      </c>
    </row>
    <row r="71" spans="3:13" s="6" customFormat="1" ht="12.75" x14ac:dyDescent="0.2">
      <c r="C71" s="230" t="str">
        <f>Sensitivity_calcs!B94</f>
        <v>Total benefits 10% lower</v>
      </c>
      <c r="D71" s="230"/>
      <c r="E71" s="230"/>
      <c r="F71" s="92">
        <f>Sensitivity_calcs!C94</f>
        <v>0</v>
      </c>
      <c r="G71" s="235">
        <f>Sensitivity_calcs!D94</f>
        <v>3.3248484680743853</v>
      </c>
      <c r="H71" s="235">
        <f>Sensitivity_calcs!E94</f>
        <v>-114.36014473364406</v>
      </c>
      <c r="I71" s="235">
        <f>Sensitivity_calcs!F94</f>
        <v>1.7418434389192818</v>
      </c>
      <c r="J71" s="235" t="str">
        <f>Sensitivity_calcs!G94</f>
        <v/>
      </c>
      <c r="L71" s="240" t="str">
        <f>Sensitivity_calcs!K94</f>
        <v>Option 2</v>
      </c>
    </row>
    <row r="72" spans="3:13" s="6" customFormat="1" ht="12.75" x14ac:dyDescent="0.2">
      <c r="C72" s="230" t="str">
        <f>Sensitivity_calcs!B95</f>
        <v>Capex 10% higher &amp; Total benefits 10% lower</v>
      </c>
      <c r="D72" s="230"/>
      <c r="E72" s="230"/>
      <c r="F72" s="92">
        <f>Sensitivity_calcs!C95</f>
        <v>0</v>
      </c>
      <c r="G72" s="235">
        <f>Sensitivity_calcs!D95</f>
        <v>2.1625665208098757</v>
      </c>
      <c r="H72" s="235">
        <f>Sensitivity_calcs!E95</f>
        <v>-129.1915195348212</v>
      </c>
      <c r="I72" s="235">
        <f>Sensitivity_calcs!F95</f>
        <v>0.32441145459719878</v>
      </c>
      <c r="J72" s="235" t="str">
        <f>Sensitivity_calcs!G95</f>
        <v/>
      </c>
      <c r="L72" s="240" t="str">
        <f>Sensitivity_calcs!K95</f>
        <v>Option 2</v>
      </c>
    </row>
    <row r="73" spans="3:13" s="6" customFormat="1" ht="12.75" x14ac:dyDescent="0.2">
      <c r="C73" s="230">
        <f>Sensitivity_calcs!B96</f>
        <v>0</v>
      </c>
      <c r="D73" s="230"/>
      <c r="E73" s="230"/>
      <c r="F73" s="92" t="str">
        <f>Sensitivity_calcs!C96</f>
        <v/>
      </c>
      <c r="G73" s="235" t="str">
        <f>Sensitivity_calcs!D96</f>
        <v/>
      </c>
      <c r="H73" s="235" t="str">
        <f>Sensitivity_calcs!E96</f>
        <v/>
      </c>
      <c r="I73" s="235" t="str">
        <f>Sensitivity_calcs!F96</f>
        <v/>
      </c>
      <c r="J73" s="235" t="str">
        <f>Sensitivity_calcs!G96</f>
        <v/>
      </c>
      <c r="L73" s="240" t="str">
        <f>Sensitivity_calcs!K96</f>
        <v/>
      </c>
    </row>
    <row r="74" spans="3:13" s="6" customFormat="1" ht="12.75" x14ac:dyDescent="0.2">
      <c r="C74" s="230">
        <f>Sensitivity_calcs!B97</f>
        <v>0</v>
      </c>
      <c r="D74" s="12"/>
      <c r="E74" s="12"/>
      <c r="F74" s="92" t="str">
        <f>Sensitivity_calcs!C97</f>
        <v/>
      </c>
      <c r="G74" s="235" t="str">
        <f>Sensitivity_calcs!D97</f>
        <v/>
      </c>
      <c r="H74" s="235" t="str">
        <f>Sensitivity_calcs!E97</f>
        <v/>
      </c>
      <c r="I74" s="235" t="str">
        <f>Sensitivity_calcs!F97</f>
        <v/>
      </c>
      <c r="J74" s="235" t="str">
        <f>Sensitivity_calcs!G97</f>
        <v/>
      </c>
      <c r="K74" s="232">
        <f>IF(C74=0,0, INDEX($F$66:$J$66, MATCH(MAX($F74:$I74),$F74:$I74,0)))</f>
        <v>0</v>
      </c>
      <c r="L74" s="240" t="str">
        <f>Sensitivity_calcs!K97</f>
        <v/>
      </c>
    </row>
    <row r="75" spans="3:13" s="6" customFormat="1" ht="12.75" x14ac:dyDescent="0.2">
      <c r="D75" s="230">
        <f>Sensitivity_calcs!B98</f>
        <v>0</v>
      </c>
      <c r="E75" s="230"/>
      <c r="F75" s="92" t="str">
        <f>Sensitivity_calcs!C98</f>
        <v/>
      </c>
      <c r="G75" s="235" t="str">
        <f>Sensitivity_calcs!D98</f>
        <v/>
      </c>
      <c r="H75" s="235" t="str">
        <f>Sensitivity_calcs!E98</f>
        <v/>
      </c>
      <c r="I75" s="235" t="str">
        <f>Sensitivity_calcs!F98</f>
        <v/>
      </c>
      <c r="J75" s="235" t="str">
        <f>Sensitivity_calcs!G98</f>
        <v/>
      </c>
      <c r="L75" s="240" t="str">
        <f>Sensitivity_calcs!K98</f>
        <v/>
      </c>
    </row>
    <row r="76" spans="3:13" s="6" customFormat="1" ht="12.75" x14ac:dyDescent="0.2">
      <c r="D76" s="230">
        <f>Sensitivity_calcs!B99</f>
        <v>0</v>
      </c>
      <c r="E76" s="230"/>
      <c r="F76" s="164"/>
      <c r="G76" s="92"/>
      <c r="H76" s="92"/>
      <c r="I76" s="92"/>
      <c r="J76" s="92"/>
    </row>
    <row r="77" spans="3:13" s="6" customFormat="1" ht="12.75" x14ac:dyDescent="0.2">
      <c r="G77" s="92"/>
      <c r="H77" s="92"/>
      <c r="I77" s="92"/>
      <c r="J77" s="92"/>
    </row>
    <row r="78" spans="3:13" s="6" customFormat="1" ht="12.75" x14ac:dyDescent="0.2"/>
    <row r="79" spans="3:13" s="6" customFormat="1" ht="12.75" x14ac:dyDescent="0.2"/>
    <row r="80" spans="3:13" s="6" customFormat="1" ht="12.75" x14ac:dyDescent="0.2"/>
    <row r="81" spans="4:6" s="6" customFormat="1" ht="12.75" x14ac:dyDescent="0.2">
      <c r="D81" s="218"/>
      <c r="E81" s="218"/>
      <c r="F81" s="218"/>
    </row>
    <row r="82" spans="4:6" s="6" customFormat="1" ht="12.75" x14ac:dyDescent="0.2">
      <c r="D82" s="218"/>
      <c r="E82" s="218"/>
      <c r="F82" s="218"/>
    </row>
    <row r="83" spans="4:6" s="6" customFormat="1" ht="12.75" hidden="1" x14ac:dyDescent="0.2">
      <c r="D83" s="218"/>
      <c r="E83" s="218"/>
      <c r="F83" s="218"/>
    </row>
    <row r="84" spans="4:6" s="6" customFormat="1" ht="12.75" hidden="1" x14ac:dyDescent="0.2"/>
    <row r="85" spans="4:6" s="6" customFormat="1" ht="12.75" hidden="1" x14ac:dyDescent="0.2"/>
    <row r="86" spans="4:6" s="6" customFormat="1" ht="12.75" hidden="1" x14ac:dyDescent="0.2"/>
    <row r="87" spans="4:6" s="6" customFormat="1" ht="12.75" hidden="1" x14ac:dyDescent="0.2"/>
    <row r="88" spans="4:6" s="6" customFormat="1" ht="12.75" hidden="1" x14ac:dyDescent="0.2"/>
    <row r="89" spans="4:6" s="6" customFormat="1" ht="12.75" hidden="1" x14ac:dyDescent="0.2"/>
    <row r="90" spans="4:6" s="6" customFormat="1" ht="12.75" hidden="1" x14ac:dyDescent="0.2"/>
    <row r="91" spans="4:6" s="6" customFormat="1" ht="12.75" hidden="1" x14ac:dyDescent="0.2"/>
    <row r="92" spans="4:6" s="6" customFormat="1" ht="12.75" hidden="1" x14ac:dyDescent="0.2"/>
    <row r="93" spans="4:6" s="6" customFormat="1" ht="12.75" hidden="1" x14ac:dyDescent="0.2"/>
    <row r="94" spans="4:6" s="6" customFormat="1" ht="12.75" hidden="1" x14ac:dyDescent="0.2"/>
    <row r="95" spans="4:6" s="6" customFormat="1" ht="12.75" hidden="1" x14ac:dyDescent="0.2"/>
    <row r="96" spans="4:6" s="6" customFormat="1" ht="12.75" hidden="1" x14ac:dyDescent="0.2"/>
    <row r="97" s="6" customFormat="1" ht="12.75" hidden="1" x14ac:dyDescent="0.2"/>
    <row r="98" s="6" customFormat="1" ht="12.75" hidden="1" x14ac:dyDescent="0.2"/>
    <row r="99" s="6" customFormat="1" ht="12.75" hidden="1" x14ac:dyDescent="0.2"/>
    <row r="100" s="6" customFormat="1" ht="12.75" hidden="1" x14ac:dyDescent="0.2"/>
    <row r="101" s="6" customFormat="1" ht="12.75" hidden="1" x14ac:dyDescent="0.2"/>
    <row r="102" s="6" customFormat="1" ht="12.75" hidden="1" x14ac:dyDescent="0.2"/>
    <row r="103" s="6" customFormat="1" ht="12.75" hidden="1" x14ac:dyDescent="0.2"/>
    <row r="104" s="6" customFormat="1" ht="12.75" hidden="1" x14ac:dyDescent="0.2"/>
    <row r="105" s="6" customFormat="1" ht="12.75" hidden="1" x14ac:dyDescent="0.2"/>
    <row r="106" s="6" customFormat="1" ht="12.75" hidden="1" x14ac:dyDescent="0.2"/>
    <row r="107" s="6" customFormat="1" ht="12.75" hidden="1" x14ac:dyDescent="0.2"/>
    <row r="108" s="6" customFormat="1" ht="12.75" hidden="1" x14ac:dyDescent="0.2"/>
    <row r="109" s="6" customFormat="1" ht="12.75" hidden="1" x14ac:dyDescent="0.2"/>
    <row r="110" s="6" customFormat="1" ht="12.75" hidden="1" x14ac:dyDescent="0.2"/>
    <row r="111" s="6" customFormat="1" ht="12.75" hidden="1" x14ac:dyDescent="0.2"/>
    <row r="112" s="6" customFormat="1" ht="12.75" hidden="1" x14ac:dyDescent="0.2"/>
    <row r="113" s="6" customFormat="1" ht="12.75" hidden="1" x14ac:dyDescent="0.2"/>
    <row r="114" s="6" customFormat="1" ht="12.75" hidden="1" x14ac:dyDescent="0.2"/>
    <row r="115" s="6" customFormat="1" ht="12.75" hidden="1" x14ac:dyDescent="0.2"/>
    <row r="116" s="6" customFormat="1" ht="12.75" hidden="1" x14ac:dyDescent="0.2"/>
    <row r="117" s="6" customFormat="1" ht="12.75" hidden="1" x14ac:dyDescent="0.2"/>
    <row r="118" s="6" customFormat="1" ht="12.75" hidden="1" x14ac:dyDescent="0.2"/>
    <row r="119" s="6" customFormat="1" ht="12.75" hidden="1" x14ac:dyDescent="0.2"/>
    <row r="120" s="6" customFormat="1" ht="12.75" hidden="1" x14ac:dyDescent="0.2"/>
    <row r="121" s="6" customFormat="1" ht="12.75" hidden="1" x14ac:dyDescent="0.2"/>
    <row r="122" s="6" customFormat="1" ht="12.75" hidden="1" x14ac:dyDescent="0.2"/>
    <row r="123" s="6" customFormat="1" ht="12.75" hidden="1" x14ac:dyDescent="0.2"/>
    <row r="124" s="6" customFormat="1" ht="12.75" hidden="1" x14ac:dyDescent="0.2"/>
    <row r="125" s="6" customFormat="1" ht="12.75" hidden="1" x14ac:dyDescent="0.2"/>
    <row r="126" s="6" customFormat="1" ht="12.75" hidden="1" x14ac:dyDescent="0.2"/>
    <row r="127" s="6" customFormat="1" ht="12.75" hidden="1" x14ac:dyDescent="0.2"/>
    <row r="128" s="6" customFormat="1" ht="12.75" hidden="1" x14ac:dyDescent="0.2"/>
    <row r="129" s="6" customFormat="1" ht="12.75" hidden="1" x14ac:dyDescent="0.2"/>
    <row r="130" s="6" customFormat="1" ht="12.75" hidden="1" x14ac:dyDescent="0.2"/>
    <row r="131" s="6" customFormat="1" ht="12.75" hidden="1" x14ac:dyDescent="0.2"/>
    <row r="132" s="6" customFormat="1" ht="12.75" hidden="1" x14ac:dyDescent="0.2"/>
    <row r="133" s="6" customFormat="1" ht="12.75" hidden="1" x14ac:dyDescent="0.2"/>
    <row r="134" s="6" customFormat="1" ht="12.75" hidden="1" x14ac:dyDescent="0.2"/>
    <row r="135" s="6" customFormat="1" ht="12.75" hidden="1" x14ac:dyDescent="0.2"/>
    <row r="136" s="6" customFormat="1" ht="12.75" hidden="1" x14ac:dyDescent="0.2"/>
    <row r="137" s="6" customFormat="1" ht="12.75" hidden="1" x14ac:dyDescent="0.2"/>
    <row r="138" s="6" customFormat="1" ht="12.75" hidden="1" x14ac:dyDescent="0.2"/>
    <row r="139" s="6" customFormat="1" ht="12.75" hidden="1" x14ac:dyDescent="0.2"/>
    <row r="140" s="6" customFormat="1" ht="12.75" hidden="1" x14ac:dyDescent="0.2"/>
    <row r="141" s="6" customFormat="1" ht="12.75" hidden="1" x14ac:dyDescent="0.2"/>
    <row r="142" s="6" customFormat="1" ht="12.75" hidden="1" x14ac:dyDescent="0.2"/>
    <row r="143" s="6" customFormat="1" ht="12.75" hidden="1" x14ac:dyDescent="0.2"/>
    <row r="144" s="6" customFormat="1" ht="12.75" hidden="1" x14ac:dyDescent="0.2"/>
    <row r="145" s="6" customFormat="1" ht="12.75" hidden="1" x14ac:dyDescent="0.2"/>
    <row r="146" s="6" customFormat="1" ht="12.75" hidden="1" x14ac:dyDescent="0.2"/>
    <row r="147" s="6" customFormat="1" ht="12.75" hidden="1" x14ac:dyDescent="0.2"/>
    <row r="148" s="6" customFormat="1" ht="12.75" hidden="1" x14ac:dyDescent="0.2"/>
    <row r="149" s="6" customFormat="1" ht="12.75" hidden="1" x14ac:dyDescent="0.2"/>
    <row r="150" s="6" customFormat="1" ht="12.75" hidden="1" x14ac:dyDescent="0.2"/>
    <row r="151" s="6" customFormat="1" ht="12.75" hidden="1" x14ac:dyDescent="0.2"/>
    <row r="152" s="6" customFormat="1" ht="12.75" hidden="1" x14ac:dyDescent="0.2"/>
    <row r="153" s="6" customFormat="1" ht="12.75" hidden="1" x14ac:dyDescent="0.2"/>
    <row r="154" s="6" customFormat="1" ht="12.75" hidden="1" x14ac:dyDescent="0.2"/>
    <row r="155" s="6" customFormat="1" ht="12.75" hidden="1" x14ac:dyDescent="0.2"/>
    <row r="156" s="6" customFormat="1" ht="12.75" hidden="1" x14ac:dyDescent="0.2"/>
    <row r="157" s="6" customFormat="1" ht="12.75" hidden="1" x14ac:dyDescent="0.2"/>
    <row r="158" s="6" customFormat="1" ht="12.75" hidden="1" x14ac:dyDescent="0.2"/>
    <row r="159" s="6" customFormat="1" ht="12.75" hidden="1" x14ac:dyDescent="0.2"/>
    <row r="160" s="6" customFormat="1" ht="12.75" hidden="1" x14ac:dyDescent="0.2"/>
    <row r="161" s="6" customFormat="1" ht="12.75" hidden="1" x14ac:dyDescent="0.2"/>
    <row r="162" s="6" customFormat="1" ht="12.75" hidden="1" x14ac:dyDescent="0.2"/>
    <row r="163" s="6" customFormat="1" ht="12.75" hidden="1" x14ac:dyDescent="0.2"/>
    <row r="164" s="6" customFormat="1" ht="12.75" hidden="1" x14ac:dyDescent="0.2"/>
    <row r="165" s="6" customFormat="1" ht="12.75" hidden="1" x14ac:dyDescent="0.2"/>
    <row r="166" s="6" customFormat="1" ht="12.75" hidden="1" x14ac:dyDescent="0.2"/>
    <row r="167" s="6" customFormat="1" ht="12.75" hidden="1" x14ac:dyDescent="0.2"/>
    <row r="168" s="6" customFormat="1" ht="12.75" hidden="1" x14ac:dyDescent="0.2"/>
    <row r="169" s="6" customFormat="1" ht="12.75" hidden="1" x14ac:dyDescent="0.2"/>
    <row r="170" s="6" customFormat="1" ht="12.75" hidden="1" x14ac:dyDescent="0.2"/>
    <row r="171" s="6" customFormat="1" ht="12.75" hidden="1" x14ac:dyDescent="0.2"/>
    <row r="172" s="6" customFormat="1" ht="12.75" hidden="1" x14ac:dyDescent="0.2"/>
    <row r="173" s="6" customFormat="1" ht="12.75" hidden="1" x14ac:dyDescent="0.2"/>
    <row r="174" s="6" customFormat="1" ht="12.75" hidden="1" x14ac:dyDescent="0.2"/>
    <row r="175" s="6" customFormat="1" ht="12.75" hidden="1" x14ac:dyDescent="0.2"/>
    <row r="176" s="6" customFormat="1" ht="12.75" hidden="1" x14ac:dyDescent="0.2"/>
    <row r="177" s="6" customFormat="1" ht="12.75" hidden="1" x14ac:dyDescent="0.2"/>
    <row r="178" s="6" customFormat="1" ht="12.75" hidden="1" x14ac:dyDescent="0.2"/>
    <row r="179" s="6" customFormat="1" ht="12.75" hidden="1" x14ac:dyDescent="0.2"/>
    <row r="180" s="6" customFormat="1" ht="12.75" hidden="1" x14ac:dyDescent="0.2"/>
    <row r="181" s="6" customFormat="1" ht="12.75" hidden="1" x14ac:dyDescent="0.2"/>
    <row r="182" s="6" customFormat="1" ht="12.75" hidden="1" x14ac:dyDescent="0.2"/>
    <row r="183" s="6" customFormat="1" ht="12.75" hidden="1" x14ac:dyDescent="0.2"/>
    <row r="184" s="6" customFormat="1" ht="12.75" hidden="1" x14ac:dyDescent="0.2"/>
    <row r="185" s="6" customFormat="1" ht="12.75" hidden="1" x14ac:dyDescent="0.2"/>
    <row r="186" s="6" customFormat="1" ht="12.75" hidden="1" x14ac:dyDescent="0.2"/>
    <row r="187" s="6" customFormat="1" ht="12.75" hidden="1" x14ac:dyDescent="0.2"/>
    <row r="188" s="6" customFormat="1" ht="12.75" hidden="1" x14ac:dyDescent="0.2"/>
    <row r="189" s="6" customFormat="1" ht="12.75" hidden="1" x14ac:dyDescent="0.2"/>
    <row r="190" s="6" customFormat="1" ht="12.75" hidden="1" x14ac:dyDescent="0.2"/>
    <row r="191" s="6" customFormat="1" ht="12.75" hidden="1" x14ac:dyDescent="0.2"/>
    <row r="192" s="6" customFormat="1" ht="12.75" hidden="1" x14ac:dyDescent="0.2"/>
    <row r="193" s="6" customFormat="1" ht="12.75" hidden="1" x14ac:dyDescent="0.2"/>
    <row r="194" s="6" customFormat="1" ht="12.75" hidden="1" x14ac:dyDescent="0.2"/>
    <row r="195" s="6" customFormat="1" ht="12.75" hidden="1" x14ac:dyDescent="0.2"/>
    <row r="196" s="6" customFormat="1" ht="12.75" hidden="1" x14ac:dyDescent="0.2"/>
    <row r="197" s="6" customFormat="1" ht="12.75" hidden="1" x14ac:dyDescent="0.2"/>
    <row r="198" s="6" customFormat="1" ht="12.75" hidden="1" x14ac:dyDescent="0.2"/>
    <row r="199" s="6" customFormat="1" ht="12.75" hidden="1" x14ac:dyDescent="0.2"/>
    <row r="200" s="6" customFormat="1" ht="12.75" hidden="1" x14ac:dyDescent="0.2"/>
    <row r="201" s="6" customFormat="1" ht="12.75" hidden="1" x14ac:dyDescent="0.2"/>
    <row r="202" s="6" customFormat="1" ht="12.75" hidden="1" x14ac:dyDescent="0.2"/>
    <row r="203" s="6" customFormat="1" ht="12.75" hidden="1" x14ac:dyDescent="0.2"/>
    <row r="204" s="6" customFormat="1" ht="12.75" hidden="1" x14ac:dyDescent="0.2"/>
    <row r="205" s="6" customFormat="1" ht="12.75" hidden="1" x14ac:dyDescent="0.2"/>
    <row r="206" s="6" customFormat="1" ht="12.75" hidden="1" x14ac:dyDescent="0.2"/>
    <row r="207" s="6" customFormat="1" ht="12.75" hidden="1" x14ac:dyDescent="0.2"/>
    <row r="208" s="6" customFormat="1" ht="12.75" hidden="1" x14ac:dyDescent="0.2"/>
    <row r="209" s="6" customFormat="1" ht="12.75" hidden="1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</sheetData>
  <mergeCells count="6">
    <mergeCell ref="D18:F18"/>
    <mergeCell ref="D9:F9"/>
    <mergeCell ref="D10:F10"/>
    <mergeCell ref="D11:F11"/>
    <mergeCell ref="D12:F12"/>
    <mergeCell ref="D13:F13"/>
  </mergeCells>
  <pageMargins left="0.23622047244094491" right="0.23622047244094491" top="0.74803149606299213" bottom="0.74803149606299213" header="0.31496062992125984" footer="0.31496062992125984"/>
  <pageSetup paperSize="9" scale="5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6" id="{6E0000F2-4B34-40F0-A950-26A22E7F516A}">
            <xm:f>Data!$C9</xm:f>
            <x14:dxf>
              <font>
                <color theme="0"/>
              </font>
            </x14:dxf>
          </x14:cfRule>
          <xm:sqref>C9:D13 G9:I13</xm:sqref>
        </x14:conditionalFormatting>
        <x14:conditionalFormatting xmlns:xm="http://schemas.microsoft.com/office/excel/2006/main">
          <x14:cfRule type="expression" priority="175" id="{6E0000F2-4B34-40F0-A950-26A22E7F516A}">
            <xm:f>AND(Data!$C18, NOT(#REF!))</xm:f>
            <x14:dxf>
              <font>
                <color theme="0"/>
              </font>
            </x14:dxf>
          </x14:cfRule>
          <xm:sqref>C14:E14</xm:sqref>
        </x14:conditionalFormatting>
        <x14:conditionalFormatting xmlns:xm="http://schemas.microsoft.com/office/excel/2006/main">
          <x14:cfRule type="expression" priority="217" id="{6E0000F2-4B34-40F0-A950-26A22E7F516A}">
            <xm:f>Data!$C18</xm:f>
            <x14:dxf>
              <font>
                <color theme="0"/>
              </font>
            </x14:dxf>
          </x14:cfRule>
          <xm:sqref>C15:E15</xm:sqref>
        </x14:conditionalFormatting>
        <x14:conditionalFormatting xmlns:xm="http://schemas.microsoft.com/office/excel/2006/main">
          <x14:cfRule type="expression" priority="26" id="{DCC025E7-DD10-45A4-B46F-8DAF8172BEA5}">
            <xm:f>$D$18=Data!B$25</xm:f>
            <x14:dxf>
              <font>
                <color theme="0" tint="-0.24994659260841701"/>
              </font>
            </x14:dxf>
          </x14:cfRule>
          <xm:sqref>D18:F18</xm:sqref>
        </x14:conditionalFormatting>
        <x14:conditionalFormatting xmlns:xm="http://schemas.microsoft.com/office/excel/2006/main">
          <x14:cfRule type="expression" priority="22" id="{6B3CD12B-2C7F-467C-B21A-8374D0C11F7F}">
            <xm:f>AND($C67&lt;&gt;0, F$66=$L67, Sensitivity_calcs!C$88=FALSE)</xm:f>
            <x14:dxf>
              <fill>
                <patternFill>
                  <bgColor rgb="FFCCFFFF"/>
                </patternFill>
              </fill>
            </x14:dxf>
          </x14:cfRule>
          <xm:sqref>F67 G67:J75</xm:sqref>
        </x14:conditionalFormatting>
        <x14:conditionalFormatting xmlns:xm="http://schemas.microsoft.com/office/excel/2006/main">
          <x14:cfRule type="expression" priority="25" id="{0E9BFFB2-7AAD-452D-A6DC-B193223D0B5B}">
            <xm:f>INDEX(Data!$C$9:$C$13, MATCH(F$66, Data!$B$9:$B$13,0))=TRUE</xm:f>
            <x14:dxf>
              <font>
                <b val="0"/>
                <i val="0"/>
                <color theme="1" tint="0.34998626667073579"/>
              </font>
            </x14:dxf>
          </x14:cfRule>
          <xm:sqref>F66:J66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EEA9-DF92-454A-AC78-2AB747F8189C}">
  <sheetPr codeName="Sheet2">
    <tabColor rgb="FFFFFFCC"/>
    <pageSetUpPr fitToPage="1"/>
  </sheetPr>
  <dimension ref="A1:T111"/>
  <sheetViews>
    <sheetView showGridLines="0" zoomScale="90" zoomScaleNormal="90" workbookViewId="0"/>
  </sheetViews>
  <sheetFormatPr defaultColWidth="9" defaultRowHeight="12.75" x14ac:dyDescent="0.2"/>
  <cols>
    <col min="1" max="1" width="3.625" style="6" customWidth="1"/>
    <col min="2" max="2" width="2.625" style="6" customWidth="1"/>
    <col min="3" max="3" width="18.75" style="6" customWidth="1"/>
    <col min="4" max="4" width="9.25" style="6" customWidth="1"/>
    <col min="5" max="5" width="16.375" style="6" customWidth="1"/>
    <col min="6" max="6" width="1.125" style="6" customWidth="1"/>
    <col min="7" max="7" width="14.75" style="6" customWidth="1"/>
    <col min="8" max="8" width="12.875" style="6" customWidth="1"/>
    <col min="9" max="9" width="11.5" style="6" customWidth="1"/>
    <col min="10" max="10" width="6.875" style="6" customWidth="1"/>
    <col min="11" max="16" width="8.125" style="6" customWidth="1"/>
    <col min="17" max="19" width="9" style="6"/>
    <col min="20" max="20" width="17.625" style="6" customWidth="1"/>
    <col min="21" max="16384" width="9" style="6"/>
  </cols>
  <sheetData>
    <row r="1" spans="1:16" ht="18.75" x14ac:dyDescent="0.3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15.75" x14ac:dyDescent="0.25">
      <c r="A2" s="50" t="str">
        <f>proj</f>
        <v>Horsham REFCL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4" spans="1:16" s="1" customFormat="1" ht="15" x14ac:dyDescent="0.2">
      <c r="A4" s="16" t="s">
        <v>24</v>
      </c>
      <c r="B4" s="16"/>
      <c r="C4" s="14"/>
      <c r="D4" s="14"/>
      <c r="E4" s="14"/>
      <c r="F4" s="14"/>
      <c r="G4" s="14"/>
      <c r="H4" s="14"/>
      <c r="I4" s="14"/>
      <c r="J4" s="14"/>
      <c r="K4" s="15"/>
      <c r="L4" s="15"/>
      <c r="M4" s="15"/>
      <c r="N4" s="15"/>
      <c r="O4" s="15"/>
      <c r="P4" s="15"/>
    </row>
    <row r="5" spans="1:16" s="1" customFormat="1" x14ac:dyDescent="0.2">
      <c r="M5" s="10"/>
      <c r="N5" s="10"/>
      <c r="O5" s="10"/>
      <c r="P5" s="10"/>
    </row>
    <row r="6" spans="1:16" ht="12.75" customHeight="1" x14ac:dyDescent="0.2">
      <c r="C6" s="12" t="s">
        <v>25</v>
      </c>
      <c r="D6" s="58"/>
      <c r="E6" s="11" t="s">
        <v>0</v>
      </c>
    </row>
    <row r="7" spans="1:16" s="1" customFormat="1" ht="12.75" customHeight="1" x14ac:dyDescent="0.2">
      <c r="M7" s="10"/>
      <c r="N7" s="10"/>
      <c r="O7" s="10"/>
      <c r="P7" s="10"/>
    </row>
    <row r="8" spans="1:16" x14ac:dyDescent="0.2">
      <c r="C8" s="12" t="s">
        <v>26</v>
      </c>
      <c r="D8" s="12"/>
      <c r="E8" s="400" t="s">
        <v>1</v>
      </c>
      <c r="F8" s="400"/>
      <c r="G8" s="400"/>
      <c r="H8" s="400"/>
      <c r="I8" s="1"/>
      <c r="J8" s="1"/>
    </row>
    <row r="9" spans="1:16" x14ac:dyDescent="0.2">
      <c r="C9" s="12"/>
      <c r="D9" s="12"/>
    </row>
    <row r="10" spans="1:16" s="1" customFormat="1" x14ac:dyDescent="0.2">
      <c r="C10" s="3" t="s">
        <v>27</v>
      </c>
      <c r="D10" s="58"/>
      <c r="E10" s="54" t="s">
        <v>28</v>
      </c>
      <c r="F10" s="6"/>
      <c r="G10" s="33">
        <v>2023</v>
      </c>
      <c r="I10" s="59"/>
      <c r="J10" s="59"/>
    </row>
    <row r="11" spans="1:16" x14ac:dyDescent="0.2">
      <c r="I11" s="59"/>
      <c r="J11" s="59"/>
    </row>
    <row r="12" spans="1:16" x14ac:dyDescent="0.2">
      <c r="H12" s="37"/>
      <c r="I12" s="37"/>
      <c r="J12" s="37"/>
    </row>
    <row r="13" spans="1:16" s="65" customFormat="1" x14ac:dyDescent="0.2">
      <c r="C13" s="66" t="s">
        <v>12</v>
      </c>
      <c r="D13" s="66"/>
      <c r="E13" s="66" t="s">
        <v>29</v>
      </c>
      <c r="F13" s="66"/>
      <c r="G13" s="66"/>
      <c r="H13" s="67"/>
      <c r="I13" s="67"/>
      <c r="J13" s="67"/>
      <c r="K13" s="67"/>
      <c r="L13"/>
    </row>
    <row r="14" spans="1:16" s="1" customFormat="1" ht="12.75" customHeight="1" x14ac:dyDescent="0.2">
      <c r="C14" s="55" t="str" cm="1">
        <f t="array" ref="C14:C18">options</f>
        <v>Option 1 (base case)</v>
      </c>
      <c r="D14" s="55"/>
      <c r="E14" s="401" t="s">
        <v>30</v>
      </c>
      <c r="F14" s="401"/>
      <c r="G14" s="401"/>
      <c r="H14" s="401"/>
      <c r="I14" s="401"/>
      <c r="J14" s="401"/>
      <c r="K14" s="401"/>
      <c r="L14"/>
    </row>
    <row r="15" spans="1:16" s="1" customFormat="1" ht="12.75" customHeight="1" x14ac:dyDescent="0.2">
      <c r="C15" s="55" t="str">
        <v>Option 2</v>
      </c>
      <c r="D15" s="55"/>
      <c r="E15" s="402" t="s">
        <v>31</v>
      </c>
      <c r="F15" s="402"/>
      <c r="G15" s="402"/>
      <c r="H15" s="402"/>
      <c r="I15" s="402"/>
      <c r="J15" s="402"/>
      <c r="K15" s="402"/>
      <c r="L15"/>
    </row>
    <row r="16" spans="1:16" s="1" customFormat="1" ht="12.75" customHeight="1" x14ac:dyDescent="0.2">
      <c r="C16" s="55" t="str">
        <v>Option 3</v>
      </c>
      <c r="D16" s="55"/>
      <c r="E16" s="402" t="s">
        <v>32</v>
      </c>
      <c r="F16" s="402"/>
      <c r="G16" s="402"/>
      <c r="H16" s="402"/>
      <c r="I16" s="402"/>
      <c r="J16" s="402"/>
      <c r="K16" s="402"/>
      <c r="L16"/>
    </row>
    <row r="17" spans="1:16" s="1" customFormat="1" ht="12.75" customHeight="1" x14ac:dyDescent="0.2">
      <c r="C17" s="55" t="str">
        <v>Option 4</v>
      </c>
      <c r="D17" s="55"/>
      <c r="E17" s="402" t="s">
        <v>33</v>
      </c>
      <c r="F17" s="402"/>
      <c r="G17" s="402"/>
      <c r="H17" s="402"/>
      <c r="I17" s="402"/>
      <c r="J17" s="402"/>
      <c r="K17" s="402"/>
      <c r="L17"/>
    </row>
    <row r="18" spans="1:16" s="1" customFormat="1" ht="12.75" customHeight="1" x14ac:dyDescent="0.2">
      <c r="C18" s="55" t="str">
        <v>Option 5</v>
      </c>
      <c r="D18" s="55"/>
      <c r="E18" s="402"/>
      <c r="F18" s="402"/>
      <c r="G18" s="402"/>
      <c r="H18" s="402"/>
      <c r="I18" s="402"/>
      <c r="J18" s="402"/>
      <c r="K18" s="402"/>
      <c r="L18"/>
    </row>
    <row r="19" spans="1:16" s="1" customFormat="1" ht="12.75" customHeight="1" x14ac:dyDescent="0.2">
      <c r="C19"/>
      <c r="D19"/>
      <c r="E19"/>
      <c r="F19"/>
      <c r="G19"/>
      <c r="H19"/>
      <c r="I19"/>
      <c r="J19"/>
      <c r="K19"/>
      <c r="L19"/>
      <c r="M19"/>
    </row>
    <row r="20" spans="1:16" s="1" customFormat="1" ht="12.75" customHeight="1" x14ac:dyDescent="0.2">
      <c r="C20" s="247" t="s">
        <v>34</v>
      </c>
      <c r="D20"/>
      <c r="E20" s="248" t="s">
        <v>35</v>
      </c>
      <c r="F20"/>
      <c r="G20"/>
      <c r="H20"/>
      <c r="I20"/>
      <c r="J20"/>
      <c r="K20"/>
      <c r="L20"/>
      <c r="M20"/>
    </row>
    <row r="21" spans="1:16" s="1" customFormat="1" ht="12.75" customHeight="1" x14ac:dyDescent="0.2">
      <c r="C21"/>
      <c r="D21"/>
      <c r="E21"/>
      <c r="F21"/>
      <c r="G21"/>
      <c r="H21"/>
      <c r="I21"/>
      <c r="J21"/>
      <c r="K21"/>
      <c r="L21"/>
      <c r="M21"/>
    </row>
    <row r="22" spans="1:16" s="1" customFormat="1" x14ac:dyDescent="0.2">
      <c r="C22" s="1" t="s">
        <v>36</v>
      </c>
      <c r="E22" s="253" t="s">
        <v>37</v>
      </c>
      <c r="F22" s="61" t="s">
        <v>38</v>
      </c>
      <c r="J22" s="61"/>
    </row>
    <row r="23" spans="1:16" s="1" customFormat="1" ht="12.75" customHeight="1" x14ac:dyDescent="0.2">
      <c r="C23"/>
      <c r="D23"/>
      <c r="E23"/>
      <c r="F23"/>
      <c r="G23"/>
      <c r="H23"/>
      <c r="I23"/>
      <c r="J23"/>
      <c r="K23"/>
      <c r="L23"/>
      <c r="M23"/>
    </row>
    <row r="24" spans="1:16" s="1" customFormat="1" ht="15.75" x14ac:dyDescent="0.25">
      <c r="E24" s="5"/>
      <c r="F24" s="5"/>
      <c r="L24" s="6"/>
    </row>
    <row r="25" spans="1:16" s="1" customFormat="1" ht="15" x14ac:dyDescent="0.2">
      <c r="A25" s="16" t="s">
        <v>39</v>
      </c>
      <c r="B25" s="16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5"/>
      <c r="N25" s="15"/>
      <c r="O25" s="15"/>
      <c r="P25" s="15"/>
    </row>
    <row r="26" spans="1:16" s="1" customFormat="1" x14ac:dyDescent="0.2"/>
    <row r="27" spans="1:16" s="1" customFormat="1" x14ac:dyDescent="0.2">
      <c r="C27" s="1" t="s">
        <v>40</v>
      </c>
      <c r="G27" s="60">
        <f>EOMONTH(DATE(Assumptions!$G$10,INDEX(Data!$K$107:$K$108, MATCH(Assumptions!$E$10, Data!$J$107:$J$108,0)), 1),0)</f>
        <v>45291</v>
      </c>
      <c r="H27" s="61" t="s">
        <v>41</v>
      </c>
    </row>
    <row r="28" spans="1:16" s="1" customFormat="1" x14ac:dyDescent="0.2">
      <c r="C28" s="1" t="s">
        <v>42</v>
      </c>
      <c r="G28" s="257">
        <v>3.5000000000000003E-2</v>
      </c>
      <c r="H28" s="61" t="s">
        <v>43</v>
      </c>
      <c r="J28" s="61"/>
    </row>
    <row r="29" spans="1:16" s="1" customFormat="1" x14ac:dyDescent="0.2">
      <c r="C29" s="1" t="s">
        <v>44</v>
      </c>
      <c r="G29" s="258">
        <v>45657</v>
      </c>
      <c r="H29" s="61" t="s">
        <v>45</v>
      </c>
      <c r="J29" s="61"/>
    </row>
    <row r="30" spans="1:16" s="1" customFormat="1" x14ac:dyDescent="0.2">
      <c r="J30" s="61"/>
    </row>
    <row r="31" spans="1:16" x14ac:dyDescent="0.2">
      <c r="C31" s="6" t="s">
        <v>46</v>
      </c>
      <c r="G31" s="259">
        <v>20</v>
      </c>
      <c r="H31" s="61" t="s">
        <v>47</v>
      </c>
    </row>
    <row r="32" spans="1:16" s="1" customFormat="1" x14ac:dyDescent="0.2"/>
    <row r="33" spans="1:20" s="1" customFormat="1" x14ac:dyDescent="0.2">
      <c r="C33" s="1" t="s">
        <v>48</v>
      </c>
      <c r="G33" s="260">
        <v>46203</v>
      </c>
      <c r="H33" s="61" t="s">
        <v>49</v>
      </c>
      <c r="J33" s="61"/>
    </row>
    <row r="34" spans="1:20" s="1" customFormat="1" x14ac:dyDescent="0.2">
      <c r="C34" s="1" t="s">
        <v>50</v>
      </c>
      <c r="G34" s="276">
        <v>45291</v>
      </c>
      <c r="H34" s="61" t="s">
        <v>51</v>
      </c>
      <c r="J34" s="61"/>
    </row>
    <row r="35" spans="1:20" s="1" customFormat="1" ht="13.5" x14ac:dyDescent="0.25">
      <c r="C35" s="1" t="s">
        <v>52</v>
      </c>
      <c r="G35" s="258">
        <v>45107</v>
      </c>
      <c r="H35" s="61"/>
      <c r="J35" s="61"/>
    </row>
    <row r="39" spans="1:20" s="1" customFormat="1" ht="15" x14ac:dyDescent="0.2">
      <c r="A39" s="16" t="s">
        <v>53</v>
      </c>
      <c r="B39" s="16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15"/>
      <c r="N39" s="15"/>
      <c r="O39" s="15"/>
      <c r="P39" s="15"/>
    </row>
    <row r="40" spans="1:20" s="1" customFormat="1" x14ac:dyDescent="0.2">
      <c r="M40" s="10"/>
      <c r="N40" s="10"/>
      <c r="O40" s="10"/>
      <c r="P40" s="10"/>
    </row>
    <row r="41" spans="1:20" s="107" customFormat="1" x14ac:dyDescent="0.2">
      <c r="A41" s="106"/>
      <c r="B41" s="106"/>
      <c r="C41" s="1" t="s">
        <v>54</v>
      </c>
      <c r="D41" s="215"/>
      <c r="E41" s="143" t="s">
        <v>55</v>
      </c>
      <c r="F41" s="108"/>
      <c r="G41" s="265" t="s">
        <v>56</v>
      </c>
      <c r="H41" s="113">
        <v>36496.724915955754</v>
      </c>
      <c r="I41" s="214" t="s">
        <v>57</v>
      </c>
      <c r="J41" s="106"/>
      <c r="M41" s="106"/>
      <c r="N41" s="106"/>
      <c r="O41" s="106"/>
      <c r="P41" s="106"/>
      <c r="Q41" s="106"/>
      <c r="R41" s="106"/>
      <c r="S41" s="106"/>
      <c r="T41" s="106"/>
    </row>
    <row r="42" spans="1:20" s="107" customFormat="1" x14ac:dyDescent="0.2">
      <c r="A42"/>
      <c r="B42"/>
      <c r="C42"/>
      <c r="D42"/>
      <c r="E42"/>
      <c r="F42"/>
      <c r="G42"/>
      <c r="H42"/>
      <c r="I42"/>
      <c r="J42"/>
      <c r="K42"/>
      <c r="L42"/>
      <c r="M42" s="106"/>
      <c r="N42" s="106"/>
      <c r="O42" s="106"/>
      <c r="P42" s="106"/>
      <c r="Q42" s="106"/>
      <c r="R42" s="106"/>
      <c r="S42" s="106"/>
      <c r="T42" s="106"/>
    </row>
    <row r="43" spans="1:20" s="107" customFormat="1" x14ac:dyDescent="0.2">
      <c r="A43" s="106"/>
      <c r="B43" s="106"/>
      <c r="C43" s="106"/>
      <c r="D43" s="109"/>
      <c r="E43" s="109"/>
      <c r="F43" s="109"/>
      <c r="G43" s="109"/>
      <c r="H43" s="112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</row>
    <row r="45" spans="1:20" ht="15" x14ac:dyDescent="0.2">
      <c r="A45" s="16" t="s">
        <v>58</v>
      </c>
      <c r="B45" s="16"/>
      <c r="C45" s="14"/>
      <c r="D45" s="14"/>
      <c r="E45" s="14"/>
      <c r="F45" s="14"/>
      <c r="G45" s="14"/>
      <c r="H45" s="14"/>
      <c r="I45" s="14"/>
      <c r="J45" s="14"/>
      <c r="K45" s="14"/>
      <c r="L45" s="15"/>
      <c r="M45" s="15"/>
      <c r="N45" s="15"/>
      <c r="O45" s="15"/>
      <c r="P45" s="15"/>
    </row>
    <row r="48" spans="1:20" x14ac:dyDescent="0.2">
      <c r="B48" s="27" t="s">
        <v>59</v>
      </c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50" spans="3:8" x14ac:dyDescent="0.2">
      <c r="C50" s="6" t="s">
        <v>60</v>
      </c>
      <c r="G50" s="261">
        <v>5400000</v>
      </c>
      <c r="H50" s="62">
        <v>45107</v>
      </c>
    </row>
    <row r="52" spans="3:8" x14ac:dyDescent="0.2">
      <c r="C52" s="6" t="s">
        <v>61</v>
      </c>
      <c r="G52" s="134">
        <v>0</v>
      </c>
      <c r="H52" s="62">
        <f>input_dollars</f>
        <v>45291</v>
      </c>
    </row>
    <row r="54" spans="3:8" x14ac:dyDescent="0.2">
      <c r="C54" s="12" t="str">
        <f>Data!A83</f>
        <v>Disproportionate factors applied to various bushfire and other risk valuations</v>
      </c>
    </row>
    <row r="55" spans="3:8" x14ac:dyDescent="0.2">
      <c r="C55" s="6" t="str">
        <f>Data!B85</f>
        <v>Harm to property from network</v>
      </c>
      <c r="G55" s="259">
        <f>Data!F85</f>
        <v>1</v>
      </c>
    </row>
    <row r="56" spans="3:8" x14ac:dyDescent="0.2">
      <c r="C56" s="6" t="str">
        <f>Data!B86</f>
        <v>Harm to property from bushfire</v>
      </c>
      <c r="G56" s="259">
        <f>Data!F86</f>
        <v>1</v>
      </c>
    </row>
    <row r="57" spans="3:8" x14ac:dyDescent="0.2">
      <c r="C57" s="6" t="str">
        <f>Data!B87</f>
        <v>Harm to environment</v>
      </c>
      <c r="G57" s="259">
        <f>Data!F87</f>
        <v>1</v>
      </c>
    </row>
    <row r="58" spans="3:8" x14ac:dyDescent="0.2">
      <c r="C58" s="6" t="str">
        <f>Data!B88</f>
        <v>Safety - Public trespass</v>
      </c>
      <c r="G58" s="259">
        <f>Data!F88</f>
        <v>1</v>
      </c>
    </row>
    <row r="59" spans="3:8" x14ac:dyDescent="0.2">
      <c r="C59" s="6" t="str">
        <f>Data!B89</f>
        <v>Safety - Single fatality or serious injury ^</v>
      </c>
      <c r="G59" s="259">
        <f>Data!F89</f>
        <v>3</v>
      </c>
    </row>
    <row r="60" spans="3:8" x14ac:dyDescent="0.2">
      <c r="C60" s="6" t="str">
        <f>Data!B90</f>
        <v>Safety from bushfire in HBRA</v>
      </c>
      <c r="G60" s="259">
        <f>Data!F90</f>
        <v>3</v>
      </c>
    </row>
    <row r="61" spans="3:8" x14ac:dyDescent="0.2">
      <c r="C61" s="6" t="str">
        <f>Data!B91</f>
        <v>Safety - Multiple fatality or serious injury ^</v>
      </c>
      <c r="G61" s="259">
        <f>Data!F91</f>
        <v>6</v>
      </c>
    </row>
    <row r="62" spans="3:8" x14ac:dyDescent="0.2">
      <c r="C62" s="6" t="str">
        <f>Data!B92</f>
        <v>Safety from bushfire (REFCL declared areas)</v>
      </c>
      <c r="G62" s="259">
        <f>Data!F92</f>
        <v>6</v>
      </c>
    </row>
    <row r="63" spans="3:8" x14ac:dyDescent="0.2">
      <c r="C63" s="6" t="str">
        <f>Data!B93</f>
        <v>Safety from bushfire (electric line construction areas)</v>
      </c>
      <c r="G63" s="259">
        <f>Data!F93</f>
        <v>10</v>
      </c>
    </row>
    <row r="64" spans="3:8" x14ac:dyDescent="0.2">
      <c r="E64"/>
      <c r="F64"/>
      <c r="G64"/>
      <c r="H64"/>
    </row>
    <row r="66" spans="2:16" x14ac:dyDescent="0.2">
      <c r="C66" s="72" t="s">
        <v>62</v>
      </c>
    </row>
    <row r="69" spans="2:16" x14ac:dyDescent="0.2">
      <c r="C69" s="47" t="s">
        <v>63</v>
      </c>
      <c r="D69" s="53"/>
      <c r="E69" s="53"/>
      <c r="F69" s="53"/>
      <c r="G69" s="137" t="s">
        <v>64</v>
      </c>
      <c r="H69" s="137" t="s">
        <v>65</v>
      </c>
      <c r="I69" s="137" t="s">
        <v>66</v>
      </c>
      <c r="J69" s="136" t="s">
        <v>67</v>
      </c>
      <c r="K69" s="137"/>
      <c r="L69" s="137"/>
      <c r="M69" s="137"/>
    </row>
    <row r="70" spans="2:16" x14ac:dyDescent="0.2">
      <c r="C70" s="6" t="s">
        <v>68</v>
      </c>
      <c r="G70" s="100">
        <f>G50*INDEX(hy_escalation, MATCH(input_dollars,hy_dates,0))/INDEX(hy_escalation, MATCH(H50,hy_dates,0))</f>
        <v>5607473.5197347086</v>
      </c>
      <c r="H70" s="142">
        <v>0</v>
      </c>
      <c r="I70" s="144">
        <v>0</v>
      </c>
      <c r="J70" s="397">
        <v>0</v>
      </c>
      <c r="K70" s="398"/>
      <c r="L70" s="398"/>
      <c r="M70" s="399"/>
    </row>
    <row r="71" spans="2:16" x14ac:dyDescent="0.2">
      <c r="C71" s="6" t="s">
        <v>69</v>
      </c>
      <c r="G71" s="100">
        <f>G52*INDEX(hy_escalation, MATCH(input_dollars,hy_dates,0))/INDEX(hy_escalation, MATCH(H52,hy_dates,0))</f>
        <v>0</v>
      </c>
      <c r="H71" s="141">
        <v>0</v>
      </c>
      <c r="I71" s="144">
        <v>0</v>
      </c>
      <c r="J71" s="397">
        <v>0</v>
      </c>
      <c r="K71" s="398"/>
      <c r="L71" s="398"/>
      <c r="M71" s="399"/>
    </row>
    <row r="72" spans="2:16" x14ac:dyDescent="0.2">
      <c r="I72" s="140"/>
      <c r="M72"/>
    </row>
    <row r="73" spans="2:16" x14ac:dyDescent="0.2">
      <c r="G73" s="145"/>
    </row>
    <row r="74" spans="2:16" x14ac:dyDescent="0.2">
      <c r="C74" s="72"/>
    </row>
    <row r="77" spans="2:16" x14ac:dyDescent="0.2">
      <c r="B77" s="27" t="s">
        <v>70</v>
      </c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</row>
    <row r="78" spans="2:16" x14ac:dyDescent="0.2">
      <c r="C78" s="6" t="s">
        <v>71</v>
      </c>
      <c r="G78" s="134">
        <v>0</v>
      </c>
      <c r="H78" s="62">
        <f>input_dollars</f>
        <v>45291</v>
      </c>
    </row>
    <row r="79" spans="2:16" x14ac:dyDescent="0.2">
      <c r="C79" s="6" t="s">
        <v>72</v>
      </c>
      <c r="G79" s="134">
        <v>0</v>
      </c>
      <c r="H79" s="62">
        <f>input_dollars</f>
        <v>45291</v>
      </c>
    </row>
    <row r="81" spans="1:16" x14ac:dyDescent="0.2">
      <c r="C81" s="6" t="s">
        <v>73</v>
      </c>
      <c r="G81" s="138">
        <v>0.2</v>
      </c>
    </row>
    <row r="86" spans="1:16" x14ac:dyDescent="0.2">
      <c r="A86" s="1"/>
      <c r="B86" s="1"/>
      <c r="C86" s="1"/>
      <c r="D86" s="1"/>
      <c r="E86" s="1"/>
      <c r="F86" s="1"/>
      <c r="K86" s="1"/>
      <c r="L86" s="1"/>
      <c r="M86" s="1"/>
      <c r="N86" s="1"/>
      <c r="O86" s="1"/>
    </row>
    <row r="87" spans="1:16" ht="15" x14ac:dyDescent="0.2">
      <c r="A87" s="16" t="s">
        <v>74</v>
      </c>
      <c r="B87" s="16"/>
      <c r="C87" s="14"/>
      <c r="D87" s="14"/>
      <c r="E87" s="14"/>
      <c r="F87" s="14"/>
      <c r="G87" s="14"/>
      <c r="H87" s="14"/>
      <c r="I87" s="14"/>
      <c r="J87" s="14"/>
      <c r="K87" s="14"/>
      <c r="L87" s="15"/>
      <c r="M87" s="15"/>
      <c r="N87" s="15"/>
      <c r="O87" s="15"/>
      <c r="P87" s="15"/>
    </row>
    <row r="88" spans="1:16" x14ac:dyDescent="0.2">
      <c r="A88" s="1"/>
      <c r="B88" s="1"/>
      <c r="C88" s="1"/>
      <c r="D88" s="1"/>
      <c r="F88" s="1"/>
      <c r="H88" s="1"/>
      <c r="L88" s="1"/>
      <c r="N88" s="1"/>
      <c r="O88" s="1"/>
    </row>
    <row r="89" spans="1:16" x14ac:dyDescent="0.2">
      <c r="A89" s="1"/>
      <c r="B89" s="27" t="s">
        <v>75</v>
      </c>
      <c r="C89" s="27"/>
      <c r="D89" s="27"/>
      <c r="E89" s="27"/>
      <c r="F89" s="27"/>
      <c r="G89" s="27"/>
      <c r="H89" s="47"/>
      <c r="I89" s="47"/>
      <c r="J89" s="47"/>
      <c r="K89" s="63" t="s">
        <v>37</v>
      </c>
      <c r="L89" s="63" t="s">
        <v>76</v>
      </c>
      <c r="M89" s="63" t="s">
        <v>77</v>
      </c>
      <c r="N89" s="63" t="s">
        <v>78</v>
      </c>
      <c r="O89" s="63" t="s">
        <v>79</v>
      </c>
      <c r="P89" s="63" t="s">
        <v>80</v>
      </c>
    </row>
    <row r="90" spans="1:16" ht="13.5" x14ac:dyDescent="0.25">
      <c r="A90" s="1"/>
      <c r="B90" s="1"/>
      <c r="C90" s="1" t="s">
        <v>81</v>
      </c>
      <c r="D90" s="1"/>
      <c r="F90" s="1"/>
      <c r="G90" s="61"/>
      <c r="H90" s="62">
        <f>G35</f>
        <v>45107</v>
      </c>
      <c r="I90" s="64" t="s">
        <v>82</v>
      </c>
      <c r="J90" s="64"/>
      <c r="K90" s="262">
        <v>2.4730486797759084E-2</v>
      </c>
      <c r="L90" s="262">
        <v>2.2340740091772258E-2</v>
      </c>
      <c r="M90" s="262">
        <v>2.0196329122153123E-2</v>
      </c>
      <c r="N90" s="262">
        <v>1.806294207659629E-2</v>
      </c>
      <c r="O90" s="262">
        <v>1.5913397615084226E-2</v>
      </c>
      <c r="P90" s="262">
        <v>1.3715069432539001E-2</v>
      </c>
    </row>
    <row r="91" spans="1:16" x14ac:dyDescent="0.2">
      <c r="A91" s="1"/>
      <c r="B91" s="1"/>
      <c r="C91" s="1"/>
      <c r="D91" s="1"/>
      <c r="E91" s="1"/>
      <c r="F91" s="1"/>
      <c r="G91" s="1"/>
      <c r="K91" s="1"/>
      <c r="L91" s="1"/>
      <c r="M91" s="1"/>
      <c r="N91" s="1"/>
      <c r="O91" s="1"/>
    </row>
    <row r="92" spans="1:16" x14ac:dyDescent="0.2">
      <c r="A92" s="1"/>
      <c r="B92" s="1"/>
      <c r="C92" s="1"/>
      <c r="D92" s="1"/>
      <c r="E92" s="1"/>
      <c r="F92" s="1"/>
      <c r="K92" s="1"/>
      <c r="L92" s="1"/>
      <c r="M92" s="1"/>
      <c r="N92" s="1"/>
      <c r="O92" s="1"/>
    </row>
    <row r="95" spans="1:16" ht="15" x14ac:dyDescent="0.2">
      <c r="A95" s="16" t="s">
        <v>84</v>
      </c>
      <c r="B95" s="16"/>
      <c r="C95" s="14"/>
      <c r="D95" s="14"/>
      <c r="E95" s="14"/>
      <c r="F95" s="14"/>
      <c r="G95" s="14"/>
      <c r="H95" s="14"/>
      <c r="I95" s="14"/>
      <c r="J95" s="14"/>
      <c r="K95" s="14"/>
      <c r="L95" s="15"/>
      <c r="M95" s="15"/>
      <c r="N95" s="15"/>
      <c r="O95" s="15"/>
      <c r="P95" s="15"/>
    </row>
    <row r="96" spans="1:16" x14ac:dyDescent="0.2">
      <c r="A96" s="1"/>
      <c r="B96" s="1"/>
      <c r="C96" s="1"/>
      <c r="D96" s="1"/>
      <c r="E96" s="1"/>
      <c r="F96" s="1"/>
      <c r="G96" s="1"/>
      <c r="K96" s="1"/>
      <c r="L96" s="1"/>
      <c r="M96" s="1"/>
      <c r="N96" s="1"/>
      <c r="O96" s="1"/>
    </row>
    <row r="97" spans="1:16" x14ac:dyDescent="0.2">
      <c r="A97" s="1"/>
      <c r="B97" s="1"/>
      <c r="C97" s="1"/>
      <c r="D97" s="1"/>
      <c r="E97" s="1"/>
      <c r="F97" s="1"/>
      <c r="G97" s="1"/>
      <c r="K97" s="1"/>
      <c r="L97" s="1"/>
      <c r="M97" s="1"/>
      <c r="N97" s="1"/>
      <c r="O97" s="1"/>
    </row>
    <row r="98" spans="1:16" x14ac:dyDescent="0.2">
      <c r="A98" s="1"/>
      <c r="B98" s="1"/>
      <c r="C98" s="1"/>
      <c r="D98" s="1"/>
      <c r="E98" s="1"/>
      <c r="F98" s="1"/>
      <c r="G98" s="1"/>
      <c r="K98" s="1"/>
      <c r="L98" s="1"/>
      <c r="M98" s="1"/>
      <c r="N98" s="1"/>
      <c r="O98" s="1"/>
    </row>
    <row r="99" spans="1:16" x14ac:dyDescent="0.2">
      <c r="A99" s="1"/>
      <c r="B99" s="150"/>
      <c r="C99" s="150"/>
      <c r="D99" s="53"/>
      <c r="E99" s="254"/>
      <c r="F99" s="150"/>
      <c r="G99" s="150" t="s">
        <v>85</v>
      </c>
      <c r="H99" s="150" t="s">
        <v>86</v>
      </c>
      <c r="I99"/>
      <c r="J99"/>
      <c r="K99"/>
      <c r="L99"/>
      <c r="M99"/>
      <c r="N99"/>
      <c r="O99"/>
      <c r="P99"/>
    </row>
    <row r="100" spans="1:16" x14ac:dyDescent="0.2">
      <c r="B100" s="6">
        <v>1</v>
      </c>
      <c r="C100" s="6" t="str">
        <f>IF(G100=0, "", G$99&amp;" "&amp;ABS($G100)*100&amp;"%"&amp;IF($G100&gt;0, " higher", " lower"))&amp;IF(AND(G100&lt;&gt;0, H100&lt;&gt;0), " &amp; ", "")&amp;IF(H100=0, "", H$99&amp;" "&amp;ABS($H100)*100&amp;"%"&amp;IF($H100&gt;0, " higher", " lower"))</f>
        <v>Capex 10% higher</v>
      </c>
      <c r="E100" s="233"/>
      <c r="G100" s="263">
        <v>0.1</v>
      </c>
      <c r="H100" s="263">
        <v>0</v>
      </c>
      <c r="I100" s="228"/>
      <c r="J100"/>
      <c r="K100"/>
      <c r="L100"/>
      <c r="M100"/>
      <c r="N100"/>
      <c r="O100"/>
      <c r="P100"/>
    </row>
    <row r="101" spans="1:16" x14ac:dyDescent="0.2">
      <c r="B101" s="6">
        <v>2</v>
      </c>
      <c r="C101" s="6" t="str">
        <f>IF(G101=0, "", G$99&amp;" "&amp;ABS($G101)*100&amp;"%"&amp;IF($G101&gt;0, " higher", " lower"))&amp;IF(AND(G101&lt;&gt;0, H101&lt;&gt;0), " &amp; ", "")&amp;IF(H101=0, "", H$99&amp;" "&amp;ABS($H101)*100&amp;"%"&amp;IF($H101&gt;0, " higher", " lower"))</f>
        <v>Capex 10% lower</v>
      </c>
      <c r="E101" s="233"/>
      <c r="G101" s="263">
        <v>-0.1</v>
      </c>
      <c r="H101" s="263">
        <v>0</v>
      </c>
      <c r="I101" s="228"/>
      <c r="J101"/>
      <c r="K101"/>
      <c r="L101"/>
      <c r="M101"/>
      <c r="N101"/>
      <c r="O101"/>
      <c r="P101"/>
    </row>
    <row r="102" spans="1:16" x14ac:dyDescent="0.2">
      <c r="B102" s="6">
        <v>3</v>
      </c>
      <c r="C102" s="6" t="str">
        <f>IF(G102=0, "", G$99&amp;" "&amp;ABS($G102)*100&amp;"%"&amp;IF($G102&gt;0, " higher", " lower"))&amp;IF(AND(G102&lt;&gt;0, H102&lt;&gt;0), " &amp; ", "")&amp;IF(H102=0, "", H$99&amp;" "&amp;ABS($H102)*100&amp;"%"&amp;IF($H102&gt;0, " higher", " lower"))</f>
        <v>Total benefits 10% higher</v>
      </c>
      <c r="E102" s="233"/>
      <c r="G102" s="264">
        <v>0</v>
      </c>
      <c r="H102" s="263">
        <v>0.1</v>
      </c>
      <c r="I102" s="228"/>
      <c r="J102"/>
      <c r="K102"/>
      <c r="L102"/>
      <c r="M102"/>
      <c r="N102"/>
      <c r="O102"/>
      <c r="P102"/>
    </row>
    <row r="103" spans="1:16" x14ac:dyDescent="0.2">
      <c r="B103" s="6">
        <v>4</v>
      </c>
      <c r="C103" s="6" t="str">
        <f>IF(G103=0, "", G$99&amp;" "&amp;ABS($G103)*100&amp;"%"&amp;IF($G103&gt;0, " higher", " lower"))&amp;IF(AND(G103&lt;&gt;0, H103&lt;&gt;0), " &amp; ", "")&amp;IF(H103=0, "", H$99&amp;" "&amp;ABS($H103)*100&amp;"%"&amp;IF($H103&gt;0, " higher", " lower"))</f>
        <v>Total benefits 10% lower</v>
      </c>
      <c r="E103" s="233"/>
      <c r="G103" s="264">
        <v>0</v>
      </c>
      <c r="H103" s="263">
        <v>-0.1</v>
      </c>
      <c r="I103" s="228"/>
      <c r="J103"/>
      <c r="K103"/>
      <c r="L103"/>
      <c r="M103"/>
      <c r="N103"/>
      <c r="O103"/>
      <c r="P103"/>
    </row>
    <row r="104" spans="1:16" x14ac:dyDescent="0.2">
      <c r="B104" s="6">
        <v>5</v>
      </c>
      <c r="C104" s="6" t="str">
        <f>IF(G104=0, "", G$99&amp;" "&amp;ABS($G104)*100&amp;"%"&amp;IF($G104&gt;0, " higher", " lower"))&amp;IF(AND(G104&lt;&gt;0, H104&lt;&gt;0), " &amp; ", "")&amp;IF(H104=0, "", H$99&amp;" "&amp;ABS($H104)*100&amp;"%"&amp;IF($H104&gt;0, " higher", " lower"))</f>
        <v>Capex 10% higher &amp; Total benefits 10% lower</v>
      </c>
      <c r="E104" s="233"/>
      <c r="G104" s="263">
        <v>0.1</v>
      </c>
      <c r="H104" s="263">
        <v>-0.1</v>
      </c>
      <c r="I104" s="228"/>
      <c r="J104"/>
      <c r="K104"/>
      <c r="L104"/>
      <c r="M104"/>
      <c r="N104"/>
      <c r="O104"/>
      <c r="P104"/>
    </row>
    <row r="105" spans="1:16" x14ac:dyDescent="0.2">
      <c r="E105" s="233"/>
      <c r="H105"/>
      <c r="I105"/>
      <c r="J105"/>
      <c r="K105"/>
      <c r="L105"/>
      <c r="M105"/>
      <c r="N105"/>
      <c r="O105"/>
      <c r="P105"/>
    </row>
    <row r="106" spans="1:16" x14ac:dyDescent="0.2">
      <c r="E106" s="227"/>
      <c r="H106"/>
      <c r="I106"/>
      <c r="J106"/>
      <c r="K106"/>
      <c r="L106"/>
      <c r="M106"/>
      <c r="N106"/>
      <c r="O106"/>
      <c r="P106"/>
    </row>
    <row r="107" spans="1:16" x14ac:dyDescent="0.2">
      <c r="H107"/>
      <c r="I107"/>
      <c r="J107"/>
      <c r="K107"/>
      <c r="L107"/>
      <c r="M107"/>
      <c r="N107"/>
      <c r="O107"/>
      <c r="P107"/>
    </row>
    <row r="108" spans="1:16" x14ac:dyDescent="0.2">
      <c r="H108"/>
      <c r="I108"/>
      <c r="J108"/>
      <c r="K108"/>
      <c r="L108"/>
      <c r="M108"/>
      <c r="N108"/>
      <c r="O108"/>
      <c r="P108"/>
    </row>
    <row r="109" spans="1:16" x14ac:dyDescent="0.2">
      <c r="H109"/>
      <c r="I109"/>
      <c r="J109"/>
      <c r="K109"/>
      <c r="L109"/>
      <c r="M109"/>
      <c r="N109"/>
      <c r="O109"/>
      <c r="P109"/>
    </row>
    <row r="110" spans="1:16" x14ac:dyDescent="0.2">
      <c r="H110"/>
      <c r="I110"/>
      <c r="J110"/>
      <c r="K110"/>
      <c r="L110"/>
      <c r="M110"/>
      <c r="N110"/>
      <c r="O110"/>
      <c r="P110"/>
    </row>
    <row r="111" spans="1:16" x14ac:dyDescent="0.2">
      <c r="H111"/>
      <c r="I111"/>
      <c r="J111"/>
      <c r="K111"/>
      <c r="L111"/>
      <c r="M111"/>
      <c r="N111"/>
      <c r="O111"/>
      <c r="P111"/>
    </row>
  </sheetData>
  <mergeCells count="8">
    <mergeCell ref="J70:M70"/>
    <mergeCell ref="J71:M71"/>
    <mergeCell ref="E8:H8"/>
    <mergeCell ref="E14:K14"/>
    <mergeCell ref="E15:K15"/>
    <mergeCell ref="E16:K16"/>
    <mergeCell ref="E17:K17"/>
    <mergeCell ref="E18:K18"/>
  </mergeCells>
  <phoneticPr fontId="80" type="noConversion"/>
  <conditionalFormatting sqref="G41">
    <cfRule type="expression" dxfId="14" priority="162">
      <formula>E41=#REF!</formula>
    </cfRule>
  </conditionalFormatting>
  <dataValidations count="1">
    <dataValidation type="list" allowBlank="1" showInputMessage="1" showErrorMessage="1" sqref="E41" xr:uid="{3C3B5659-643B-4DFF-A84D-4D674BA4C05E}">
      <formula1>list</formula1>
    </dataValidation>
  </dataValidations>
  <pageMargins left="0.25" right="0.25" top="0.75" bottom="0.75" header="0.3" footer="0.3"/>
  <pageSetup paperSize="9" scale="59" fitToHeight="0" orientation="portrait" horizontalDpi="90" verticalDpi="9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F3F10DC4-43C8-4325-9D02-19BA52A23CAF}">
            <xm:f>E6=Data!#REF!</xm:f>
            <x14:dxf>
              <font>
                <color rgb="FFFF0000"/>
              </font>
            </x14:dxf>
          </x14:cfRule>
          <xm:sqref>D6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93A524C-E45A-4CD6-9037-0C9A8CB9BEDE}">
          <x14:formula1>
            <xm:f>Data!$J$107:$J$108</xm:f>
          </x14:formula1>
          <xm:sqref>E10</xm:sqref>
        </x14:dataValidation>
        <x14:dataValidation type="list" allowBlank="1" showInputMessage="1" showErrorMessage="1" xr:uid="{8AD3462E-BCDF-4C70-9696-A5196E905744}">
          <x14:formula1>
            <xm:f>Data!$R$107:$R$109</xm:f>
          </x14:formula1>
          <xm:sqref>E20</xm:sqref>
        </x14:dataValidation>
        <x14:dataValidation type="list" allowBlank="1" showInputMessage="1" showErrorMessage="1" xr:uid="{4146EE4B-BCAC-4E68-A5B1-65A7A34C1F3E}">
          <x14:formula1>
            <xm:f>Data!$P$107:$P$113</xm:f>
          </x14:formula1>
          <xm:sqref>G10</xm:sqref>
        </x14:dataValidation>
        <x14:dataValidation type="list" allowBlank="1" showInputMessage="1" showErrorMessage="1" xr:uid="{76E6FA8E-A026-4C8F-84A6-848CF895714B}">
          <x14:formula1>
            <xm:f>Data!$T$107:$T$110</xm:f>
          </x14:formula1>
          <xm:sqref>E22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4853D-D3A3-4079-BDBE-13E29B41B5A0}">
  <sheetPr codeName="Sheet3">
    <tabColor rgb="FFFF6600"/>
  </sheetPr>
  <dimension ref="A1:XER117"/>
  <sheetViews>
    <sheetView showGridLines="0" zoomScale="90" zoomScaleNormal="90" workbookViewId="0">
      <pane xSplit="4" ySplit="11" topLeftCell="E12" activePane="bottomRight" state="frozen"/>
      <selection pane="topRight" activeCell="E1" sqref="E1"/>
      <selection pane="bottomLeft" activeCell="A12" sqref="A12"/>
      <selection pane="bottomRight" activeCell="E12" sqref="E12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6.8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Horsham REFCL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9" t="s">
        <v>87</v>
      </c>
      <c r="B3" s="5"/>
      <c r="C3" s="316"/>
      <c r="D3" s="82"/>
    </row>
    <row r="4" spans="1:43" x14ac:dyDescent="0.2">
      <c r="A4" s="146"/>
      <c r="B4" s="165"/>
      <c r="C4" s="213"/>
    </row>
    <row r="5" spans="1:43" hidden="1" outlineLevel="1" x14ac:dyDescent="0.2">
      <c r="C5" s="86"/>
      <c r="D5" s="85"/>
      <c r="E5" s="87"/>
      <c r="F5" s="87"/>
      <c r="G5" s="87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">
        <v>88</v>
      </c>
      <c r="B6" s="85"/>
      <c r="C6" s="86"/>
      <c r="D6" s="85"/>
      <c r="E6" s="87"/>
      <c r="F6" s="87"/>
      <c r="G6" s="87"/>
      <c r="H6" s="131">
        <v>0</v>
      </c>
      <c r="I6" s="88">
        <f t="shared" ref="I6:AG6" si="0">H6+1</f>
        <v>1</v>
      </c>
      <c r="J6" s="88">
        <f t="shared" si="0"/>
        <v>2</v>
      </c>
      <c r="K6" s="88">
        <f t="shared" si="0"/>
        <v>3</v>
      </c>
      <c r="L6" s="88">
        <f t="shared" si="0"/>
        <v>4</v>
      </c>
      <c r="M6" s="88">
        <f t="shared" si="0"/>
        <v>5</v>
      </c>
      <c r="N6" s="88">
        <f t="shared" si="0"/>
        <v>6</v>
      </c>
      <c r="O6" s="88">
        <f t="shared" si="0"/>
        <v>7</v>
      </c>
      <c r="P6" s="88">
        <f t="shared" si="0"/>
        <v>8</v>
      </c>
      <c r="Q6" s="88">
        <f t="shared" si="0"/>
        <v>9</v>
      </c>
      <c r="R6" s="88">
        <f t="shared" si="0"/>
        <v>10</v>
      </c>
      <c r="S6" s="88">
        <f t="shared" si="0"/>
        <v>11</v>
      </c>
      <c r="T6" s="88">
        <f t="shared" si="0"/>
        <v>12</v>
      </c>
      <c r="U6" s="88">
        <f t="shared" si="0"/>
        <v>13</v>
      </c>
      <c r="V6" s="88">
        <f t="shared" si="0"/>
        <v>14</v>
      </c>
      <c r="W6" s="88">
        <f t="shared" si="0"/>
        <v>15</v>
      </c>
      <c r="X6" s="88">
        <f t="shared" si="0"/>
        <v>16</v>
      </c>
      <c r="Y6" s="88">
        <f t="shared" si="0"/>
        <v>17</v>
      </c>
      <c r="Z6" s="88">
        <f t="shared" si="0"/>
        <v>18</v>
      </c>
      <c r="AA6" s="88">
        <f t="shared" si="0"/>
        <v>19</v>
      </c>
      <c r="AB6" s="88">
        <f t="shared" si="0"/>
        <v>20</v>
      </c>
      <c r="AC6" s="88">
        <f t="shared" si="0"/>
        <v>21</v>
      </c>
      <c r="AD6" s="88">
        <f t="shared" si="0"/>
        <v>22</v>
      </c>
      <c r="AE6" s="88">
        <f t="shared" si="0"/>
        <v>23</v>
      </c>
      <c r="AF6" s="88">
        <f t="shared" si="0"/>
        <v>24</v>
      </c>
      <c r="AG6" s="88">
        <f t="shared" si="0"/>
        <v>25</v>
      </c>
    </row>
    <row r="7" spans="1:43" hidden="1" outlineLevel="1" x14ac:dyDescent="0.2">
      <c r="A7" s="85" t="s">
        <v>89</v>
      </c>
      <c r="B7" s="85"/>
      <c r="G7" s="139" t="s">
        <v>90</v>
      </c>
      <c r="I7" s="86">
        <f>IF(ISBLANK(Assumptions!K90), H7,Assumptions!K90*thous_conv)</f>
        <v>24.730486797759085</v>
      </c>
      <c r="J7" s="86">
        <f>IF(ISBLANK(Assumptions!L90), I7,Assumptions!L90*thous_conv)</f>
        <v>22.340740091772258</v>
      </c>
      <c r="K7" s="86">
        <f>IF(ISBLANK(Assumptions!M90), J7,Assumptions!M90*thous_conv)</f>
        <v>20.196329122153124</v>
      </c>
      <c r="L7" s="86">
        <f>IF(ISBLANK(Assumptions!N90), K7,Assumptions!N90*thous_conv)</f>
        <v>18.06294207659629</v>
      </c>
      <c r="M7" s="86">
        <f>IF(ISBLANK(Assumptions!O90), L7,Assumptions!O90*thous_conv)</f>
        <v>15.913397615084225</v>
      </c>
      <c r="N7" s="86">
        <f>IF(ISBLANK(Assumptions!P90), M7,Assumptions!P90*thous_conv)</f>
        <v>13.715069432539002</v>
      </c>
      <c r="O7" s="86">
        <f>IF(ISBLANK(Assumptions!Q90), N7,Assumptions!Q90*thous_conv)</f>
        <v>13.715069432539002</v>
      </c>
      <c r="P7" s="86">
        <f>IF(ISBLANK(Assumptions!R90), O7,Assumptions!R90*thous_conv)</f>
        <v>13.715069432539002</v>
      </c>
      <c r="Q7" s="86">
        <f>IF(ISBLANK(Assumptions!S90), P7,Assumptions!S90*thous_conv)</f>
        <v>13.715069432539002</v>
      </c>
      <c r="R7" s="86">
        <f>IF(ISBLANK(Assumptions!T90), Q7,Assumptions!T90*thous_conv)</f>
        <v>13.715069432539002</v>
      </c>
      <c r="S7" s="86">
        <f>IF(ISBLANK(Assumptions!U90), R7,Assumptions!U90*thous_conv)</f>
        <v>13.715069432539002</v>
      </c>
      <c r="T7" s="86">
        <f>IF(ISBLANK(Assumptions!V90), S7,Assumptions!V90*thous_conv)</f>
        <v>13.715069432539002</v>
      </c>
      <c r="U7" s="86">
        <f>IF(ISBLANK(Assumptions!W90), T7,Assumptions!W90*thous_conv)</f>
        <v>13.715069432539002</v>
      </c>
      <c r="V7" s="86">
        <f>IF(ISBLANK(Assumptions!X90), U7,Assumptions!X90*thous_conv)</f>
        <v>13.715069432539002</v>
      </c>
      <c r="W7" s="86">
        <f>IF(ISBLANK(Assumptions!Y90), V7,Assumptions!Y90*thous_conv)</f>
        <v>13.715069432539002</v>
      </c>
      <c r="X7" s="86">
        <f>IF(ISBLANK(Assumptions!Z90), W7,Assumptions!Z90*thous_conv)</f>
        <v>13.715069432539002</v>
      </c>
      <c r="Y7" s="86">
        <f>IF(ISBLANK(Assumptions!AA90), X7,Assumptions!AA90*thous_conv)</f>
        <v>13.715069432539002</v>
      </c>
      <c r="Z7" s="86">
        <f>IF(ISBLANK(Assumptions!AB90), Y7,Assumptions!AB90*thous_conv)</f>
        <v>13.715069432539002</v>
      </c>
      <c r="AA7" s="86">
        <f>IF(ISBLANK(Assumptions!AC90), Z7,Assumptions!AC90*thous_conv)</f>
        <v>13.715069432539002</v>
      </c>
      <c r="AB7" s="86">
        <f>IF(ISBLANK(Assumptions!AD90), AA7,Assumptions!AD90*thous_conv)</f>
        <v>13.715069432539002</v>
      </c>
      <c r="AC7" s="86">
        <f>IF(ISBLANK(Assumptions!AE90), AB7,Assumptions!AE90*thous_conv)</f>
        <v>13.715069432539002</v>
      </c>
      <c r="AD7" s="86">
        <f>IF(ISBLANK(Assumptions!AF90), AC7,Assumptions!AF90*thous_conv)</f>
        <v>13.715069432539002</v>
      </c>
      <c r="AE7" s="86">
        <f>IF(ISBLANK(Assumptions!AG90), AD7,Assumptions!AG90*thous_conv)</f>
        <v>13.715069432539002</v>
      </c>
      <c r="AF7" s="86">
        <f>IF(ISBLANK(Assumptions!AH90), AE7,Assumptions!AH90*thous_conv)</f>
        <v>13.715069432539002</v>
      </c>
      <c r="AG7" s="86">
        <f>IF(ISBLANK(Assumptions!AI90), AF7,Assumptions!AI90*thous_conv)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59"/>
      <c r="B9" s="159"/>
      <c r="C9" s="159"/>
      <c r="D9" s="159"/>
      <c r="E9" s="159"/>
      <c r="F9" s="160"/>
      <c r="G9" s="159" t="s">
        <v>91</v>
      </c>
      <c r="H9" s="275">
        <f>DATE(LEFT(I9,4), 6,30)</f>
        <v>46203</v>
      </c>
      <c r="I9" s="161" t="str">
        <f>start</f>
        <v>2026-27</v>
      </c>
      <c r="J9" s="161" t="str">
        <f t="shared" ref="J9:AG9" si="1">LEFT(I9,4)+1&amp;"-"&amp;RIGHT(I9,2)+1</f>
        <v>2027-28</v>
      </c>
      <c r="K9" s="161" t="str">
        <f t="shared" si="1"/>
        <v>2028-29</v>
      </c>
      <c r="L9" s="161" t="str">
        <f t="shared" si="1"/>
        <v>2029-30</v>
      </c>
      <c r="M9" s="161" t="str">
        <f t="shared" si="1"/>
        <v>2030-31</v>
      </c>
      <c r="N9" s="161" t="str">
        <f t="shared" si="1"/>
        <v>2031-32</v>
      </c>
      <c r="O9" s="161" t="str">
        <f t="shared" si="1"/>
        <v>2032-33</v>
      </c>
      <c r="P9" s="161" t="str">
        <f t="shared" si="1"/>
        <v>2033-34</v>
      </c>
      <c r="Q9" s="161" t="str">
        <f t="shared" si="1"/>
        <v>2034-35</v>
      </c>
      <c r="R9" s="161" t="str">
        <f t="shared" si="1"/>
        <v>2035-36</v>
      </c>
      <c r="S9" s="161" t="str">
        <f t="shared" si="1"/>
        <v>2036-37</v>
      </c>
      <c r="T9" s="161" t="str">
        <f t="shared" si="1"/>
        <v>2037-38</v>
      </c>
      <c r="U9" s="161" t="str">
        <f t="shared" si="1"/>
        <v>2038-39</v>
      </c>
      <c r="V9" s="161" t="str">
        <f t="shared" si="1"/>
        <v>2039-40</v>
      </c>
      <c r="W9" s="161" t="str">
        <f t="shared" si="1"/>
        <v>2040-41</v>
      </c>
      <c r="X9" s="161" t="str">
        <f t="shared" si="1"/>
        <v>2041-42</v>
      </c>
      <c r="Y9" s="161" t="str">
        <f t="shared" si="1"/>
        <v>2042-43</v>
      </c>
      <c r="Z9" s="161" t="str">
        <f t="shared" si="1"/>
        <v>2043-44</v>
      </c>
      <c r="AA9" s="161" t="str">
        <f t="shared" si="1"/>
        <v>2044-45</v>
      </c>
      <c r="AB9" s="161" t="str">
        <f t="shared" si="1"/>
        <v>2045-46</v>
      </c>
      <c r="AC9" s="161" t="str">
        <f t="shared" si="1"/>
        <v>2046-47</v>
      </c>
      <c r="AD9" s="161" t="str">
        <f t="shared" si="1"/>
        <v>2047-48</v>
      </c>
      <c r="AE9" s="161" t="str">
        <f t="shared" si="1"/>
        <v>2048-49</v>
      </c>
      <c r="AF9" s="161" t="str">
        <f t="shared" si="1"/>
        <v>2049-50</v>
      </c>
      <c r="AG9" s="161" t="str">
        <f t="shared" si="1"/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92</v>
      </c>
      <c r="B11" s="78"/>
      <c r="C11" s="79"/>
      <c r="D11" s="79"/>
      <c r="E11" s="79"/>
      <c r="F11" s="79"/>
      <c r="G11" s="18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</row>
    <row r="12" spans="1:43" x14ac:dyDescent="0.2">
      <c r="A12" s="3"/>
      <c r="B12" s="3"/>
      <c r="C12" s="3"/>
      <c r="D12" s="3"/>
      <c r="G12" s="181"/>
    </row>
    <row r="13" spans="1:43" x14ac:dyDescent="0.2">
      <c r="C13" s="3" t="s">
        <v>85</v>
      </c>
      <c r="D13"/>
      <c r="E13" s="105" t="s">
        <v>93</v>
      </c>
      <c r="G13" s="182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30</v>
      </c>
      <c r="D14"/>
      <c r="E14" s="128">
        <v>0</v>
      </c>
      <c r="G14" s="183">
        <f>input_dollars</f>
        <v>45291</v>
      </c>
      <c r="H14" s="2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/>
      <c r="D15"/>
      <c r="E15" s="128">
        <v>0</v>
      </c>
      <c r="G15" s="183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/>
      <c r="D16"/>
      <c r="E16" s="128">
        <v>0</v>
      </c>
      <c r="G16" s="183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17</v>
      </c>
      <c r="G17" s="183">
        <f>input_dollars</f>
        <v>45291</v>
      </c>
      <c r="H17" s="94"/>
      <c r="I17" s="93">
        <f t="shared" ref="I17:AB17" si="2">SUM(I14:I16)</f>
        <v>0</v>
      </c>
      <c r="J17" s="93">
        <f t="shared" si="2"/>
        <v>0</v>
      </c>
      <c r="K17" s="93">
        <f t="shared" si="2"/>
        <v>0</v>
      </c>
      <c r="L17" s="93">
        <f t="shared" si="2"/>
        <v>0</v>
      </c>
      <c r="M17" s="93">
        <f t="shared" si="2"/>
        <v>0</v>
      </c>
      <c r="N17" s="93">
        <f t="shared" si="2"/>
        <v>0</v>
      </c>
      <c r="O17" s="93">
        <f t="shared" si="2"/>
        <v>0</v>
      </c>
      <c r="P17" s="93">
        <f t="shared" si="2"/>
        <v>0</v>
      </c>
      <c r="Q17" s="93">
        <f t="shared" si="2"/>
        <v>0</v>
      </c>
      <c r="R17" s="93">
        <f t="shared" si="2"/>
        <v>0</v>
      </c>
      <c r="S17" s="93">
        <f t="shared" si="2"/>
        <v>0</v>
      </c>
      <c r="T17" s="93">
        <f t="shared" si="2"/>
        <v>0</v>
      </c>
      <c r="U17" s="93">
        <f t="shared" si="2"/>
        <v>0</v>
      </c>
      <c r="V17" s="93">
        <f t="shared" si="2"/>
        <v>0</v>
      </c>
      <c r="W17" s="93">
        <f t="shared" si="2"/>
        <v>0</v>
      </c>
      <c r="X17" s="93">
        <f t="shared" si="2"/>
        <v>0</v>
      </c>
      <c r="Y17" s="93">
        <f t="shared" si="2"/>
        <v>0</v>
      </c>
      <c r="Z17" s="93">
        <f t="shared" si="2"/>
        <v>0</v>
      </c>
      <c r="AA17" s="93">
        <f t="shared" si="2"/>
        <v>0</v>
      </c>
      <c r="AB17" s="93">
        <f t="shared" si="2"/>
        <v>0</v>
      </c>
      <c r="AC17" s="93">
        <f>SUM(AC14:AC16)</f>
        <v>0</v>
      </c>
      <c r="AD17" s="93">
        <f>SUM(AD14:AD16)</f>
        <v>0</v>
      </c>
      <c r="AE17" s="93">
        <f>SUM(AE14:AE16)</f>
        <v>0</v>
      </c>
      <c r="AF17" s="93">
        <f>SUM(AF14:AF16)</f>
        <v>0</v>
      </c>
      <c r="AG17" s="93">
        <f>SUM(AG14:AG16)</f>
        <v>0</v>
      </c>
    </row>
    <row r="18" spans="1:43" x14ac:dyDescent="0.2">
      <c r="C18"/>
      <c r="D18"/>
      <c r="E18"/>
      <c r="G18" s="182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18</v>
      </c>
      <c r="D19"/>
      <c r="E19"/>
      <c r="F19" s="94"/>
      <c r="G19" s="183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2">
      <c r="G20" s="181"/>
    </row>
    <row r="21" spans="1:43" x14ac:dyDescent="0.2">
      <c r="C21"/>
      <c r="D21"/>
      <c r="E21"/>
      <c r="G21" s="182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95</v>
      </c>
      <c r="B22" s="78"/>
      <c r="C22" s="78"/>
      <c r="D22" s="78"/>
      <c r="E22" s="78"/>
      <c r="F22" s="78"/>
      <c r="G22" s="180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4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96</v>
      </c>
      <c r="D24" s="98"/>
      <c r="E24" s="98"/>
      <c r="F24" s="98"/>
      <c r="G24" s="184"/>
      <c r="H24" s="98"/>
      <c r="I24" s="117">
        <v>0</v>
      </c>
      <c r="J24" s="117">
        <v>0</v>
      </c>
      <c r="K24" s="117">
        <v>0</v>
      </c>
      <c r="L24" s="117">
        <v>0</v>
      </c>
      <c r="M24" s="117">
        <v>0</v>
      </c>
      <c r="N24" s="117">
        <v>0</v>
      </c>
      <c r="O24" s="117">
        <v>0</v>
      </c>
      <c r="P24" s="117">
        <v>0</v>
      </c>
      <c r="Q24" s="117">
        <v>0</v>
      </c>
      <c r="R24" s="117">
        <v>0</v>
      </c>
      <c r="S24" s="117">
        <v>0</v>
      </c>
      <c r="T24" s="117">
        <v>0</v>
      </c>
      <c r="U24" s="117">
        <v>0</v>
      </c>
      <c r="V24" s="117">
        <v>0</v>
      </c>
      <c r="W24" s="117">
        <v>0</v>
      </c>
      <c r="X24" s="117">
        <v>0</v>
      </c>
      <c r="Y24" s="117">
        <v>0</v>
      </c>
      <c r="Z24" s="117">
        <v>0</v>
      </c>
      <c r="AA24" s="117">
        <v>0</v>
      </c>
      <c r="AB24" s="117">
        <v>0</v>
      </c>
      <c r="AC24" s="117">
        <v>0</v>
      </c>
      <c r="AD24" s="117">
        <v>0</v>
      </c>
      <c r="AE24" s="117">
        <v>0</v>
      </c>
      <c r="AF24" s="117">
        <v>0</v>
      </c>
      <c r="AG24" s="117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97</v>
      </c>
      <c r="D25" s="184"/>
      <c r="E25" s="98"/>
      <c r="F25" s="98"/>
      <c r="G25" s="184"/>
      <c r="H25" s="98"/>
      <c r="I25" s="117">
        <v>0</v>
      </c>
      <c r="J25" s="117">
        <v>0</v>
      </c>
      <c r="K25" s="117">
        <v>0</v>
      </c>
      <c r="L25" s="117">
        <v>0</v>
      </c>
      <c r="M25" s="117">
        <v>0</v>
      </c>
      <c r="N25" s="117">
        <v>0</v>
      </c>
      <c r="O25" s="117">
        <v>0</v>
      </c>
      <c r="P25" s="117">
        <v>0</v>
      </c>
      <c r="Q25" s="117">
        <v>0</v>
      </c>
      <c r="R25" s="117">
        <v>0</v>
      </c>
      <c r="S25" s="117">
        <v>0</v>
      </c>
      <c r="T25" s="117">
        <v>0</v>
      </c>
      <c r="U25" s="117">
        <v>0</v>
      </c>
      <c r="V25" s="117">
        <v>0</v>
      </c>
      <c r="W25" s="117">
        <v>0</v>
      </c>
      <c r="X25" s="117">
        <v>0</v>
      </c>
      <c r="Y25" s="117">
        <v>0</v>
      </c>
      <c r="Z25" s="117">
        <v>0</v>
      </c>
      <c r="AA25" s="117">
        <v>0</v>
      </c>
      <c r="AB25" s="117">
        <v>0</v>
      </c>
      <c r="AC25" s="117">
        <v>0</v>
      </c>
      <c r="AD25" s="117">
        <v>0</v>
      </c>
      <c r="AE25" s="117">
        <v>0</v>
      </c>
      <c r="AF25" s="117">
        <v>0</v>
      </c>
      <c r="AG25" s="117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4"/>
      <c r="E26" s="98"/>
      <c r="F26" s="98"/>
      <c r="G26" s="184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98</v>
      </c>
      <c r="D27" s="181"/>
      <c r="E27"/>
      <c r="G27" s="183" t="s">
        <v>99</v>
      </c>
      <c r="H27"/>
      <c r="I27" s="147">
        <v>0</v>
      </c>
      <c r="J27" s="147">
        <v>0</v>
      </c>
      <c r="K27" s="147">
        <v>0</v>
      </c>
      <c r="L27" s="147">
        <v>0</v>
      </c>
      <c r="M27" s="147">
        <v>0</v>
      </c>
      <c r="N27" s="147">
        <v>0</v>
      </c>
      <c r="O27" s="147">
        <v>0</v>
      </c>
      <c r="P27" s="147">
        <v>0</v>
      </c>
      <c r="Q27" s="147">
        <v>0</v>
      </c>
      <c r="R27" s="147">
        <v>0</v>
      </c>
      <c r="S27" s="147">
        <v>0</v>
      </c>
      <c r="T27" s="147">
        <v>0</v>
      </c>
      <c r="U27" s="147">
        <v>0</v>
      </c>
      <c r="V27" s="147">
        <v>0</v>
      </c>
      <c r="W27" s="147">
        <v>0</v>
      </c>
      <c r="X27" s="147">
        <v>0</v>
      </c>
      <c r="Y27" s="147">
        <v>0</v>
      </c>
      <c r="Z27" s="147">
        <v>0</v>
      </c>
      <c r="AA27" s="147">
        <v>0</v>
      </c>
      <c r="AB27" s="147">
        <v>0</v>
      </c>
      <c r="AC27" s="147">
        <v>0</v>
      </c>
      <c r="AD27" s="147">
        <v>0</v>
      </c>
      <c r="AE27" s="147">
        <v>0</v>
      </c>
      <c r="AF27" s="147">
        <v>0</v>
      </c>
      <c r="AG27" s="147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100</v>
      </c>
      <c r="D28" s="181" t="s">
        <v>90</v>
      </c>
      <c r="E28" s="100">
        <f>Assumptions!H41*vcr_esc</f>
        <v>34455.236243920997</v>
      </c>
      <c r="F28" s="213" t="str">
        <f>IF(AND(SUM(I27:AG27)&lt;&gt;0, E28=0), "!", "")</f>
        <v/>
      </c>
      <c r="G28" s="183">
        <f>input_dollars</f>
        <v>45291</v>
      </c>
      <c r="H28"/>
      <c r="I28" s="92">
        <f>I27*$E$28</f>
        <v>0</v>
      </c>
      <c r="J28" s="92">
        <f t="shared" ref="J28:AG28" si="3">J27*$E$28</f>
        <v>0</v>
      </c>
      <c r="K28" s="92">
        <f t="shared" si="3"/>
        <v>0</v>
      </c>
      <c r="L28" s="92">
        <f t="shared" si="3"/>
        <v>0</v>
      </c>
      <c r="M28" s="92">
        <f t="shared" si="3"/>
        <v>0</v>
      </c>
      <c r="N28" s="92">
        <f t="shared" si="3"/>
        <v>0</v>
      </c>
      <c r="O28" s="92">
        <f t="shared" si="3"/>
        <v>0</v>
      </c>
      <c r="P28" s="92">
        <f t="shared" si="3"/>
        <v>0</v>
      </c>
      <c r="Q28" s="92">
        <f t="shared" si="3"/>
        <v>0</v>
      </c>
      <c r="R28" s="92">
        <f t="shared" si="3"/>
        <v>0</v>
      </c>
      <c r="S28" s="92">
        <f t="shared" si="3"/>
        <v>0</v>
      </c>
      <c r="T28" s="92">
        <f t="shared" si="3"/>
        <v>0</v>
      </c>
      <c r="U28" s="92">
        <f t="shared" si="3"/>
        <v>0</v>
      </c>
      <c r="V28" s="92">
        <f t="shared" si="3"/>
        <v>0</v>
      </c>
      <c r="W28" s="92">
        <f t="shared" si="3"/>
        <v>0</v>
      </c>
      <c r="X28" s="92">
        <f t="shared" si="3"/>
        <v>0</v>
      </c>
      <c r="Y28" s="92">
        <f t="shared" si="3"/>
        <v>0</v>
      </c>
      <c r="Z28" s="92">
        <f t="shared" si="3"/>
        <v>0</v>
      </c>
      <c r="AA28" s="92">
        <f t="shared" si="3"/>
        <v>0</v>
      </c>
      <c r="AB28" s="92">
        <f t="shared" si="3"/>
        <v>0</v>
      </c>
      <c r="AC28" s="92">
        <f t="shared" si="3"/>
        <v>0</v>
      </c>
      <c r="AD28" s="92">
        <f t="shared" si="3"/>
        <v>0</v>
      </c>
      <c r="AE28" s="92">
        <f t="shared" si="3"/>
        <v>0</v>
      </c>
      <c r="AF28" s="92">
        <f t="shared" si="3"/>
        <v>0</v>
      </c>
      <c r="AG28" s="92">
        <f t="shared" si="3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2"/>
      <c r="E29"/>
      <c r="G29" s="183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101</v>
      </c>
      <c r="D30" s="181" t="s">
        <v>102</v>
      </c>
      <c r="G30" s="183">
        <f>input_dollars</f>
        <v>45291</v>
      </c>
      <c r="H30" s="129"/>
      <c r="I30" s="29">
        <f>Workings_risks!F29</f>
        <v>805182.28622779658</v>
      </c>
      <c r="J30" s="29">
        <f>Workings_risks!G29</f>
        <v>805182.28622779658</v>
      </c>
      <c r="K30" s="29">
        <f>Workings_risks!H29</f>
        <v>805182.28622779658</v>
      </c>
      <c r="L30" s="29">
        <f>Workings_risks!I29</f>
        <v>805182.28622779658</v>
      </c>
      <c r="M30" s="29">
        <f>Workings_risks!J29</f>
        <v>805182.28622779658</v>
      </c>
      <c r="N30" s="29">
        <f>Workings_risks!K29</f>
        <v>805182.28622779658</v>
      </c>
      <c r="O30" s="29">
        <f>Workings_risks!L29</f>
        <v>805182.28622779658</v>
      </c>
      <c r="P30" s="29">
        <f>Workings_risks!M29</f>
        <v>805182.28622779658</v>
      </c>
      <c r="Q30" s="29">
        <f>Workings_risks!N29</f>
        <v>805182.28622779658</v>
      </c>
      <c r="R30" s="29">
        <f>Workings_risks!O29</f>
        <v>805182.28622779658</v>
      </c>
      <c r="S30" s="29">
        <f>Workings_risks!P29</f>
        <v>805182.28622779658</v>
      </c>
      <c r="T30" s="29">
        <f>Workings_risks!Q29</f>
        <v>805182.28622779658</v>
      </c>
      <c r="U30" s="29">
        <f>Workings_risks!R29</f>
        <v>805182.28622779658</v>
      </c>
      <c r="V30" s="29">
        <f>Workings_risks!S29</f>
        <v>805182.28622779658</v>
      </c>
      <c r="W30" s="29">
        <f>Workings_risks!T29</f>
        <v>805182.28622779658</v>
      </c>
      <c r="X30" s="29">
        <f>Workings_risks!U29</f>
        <v>805182.28622779658</v>
      </c>
      <c r="Y30" s="29">
        <f>Workings_risks!V29</f>
        <v>805182.28622779658</v>
      </c>
      <c r="Z30" s="29">
        <f>Workings_risks!W29</f>
        <v>805182.28622779658</v>
      </c>
      <c r="AA30" s="29">
        <f>Workings_risks!X29</f>
        <v>805182.28622779658</v>
      </c>
      <c r="AB30" s="29">
        <f>Workings_risks!Y29</f>
        <v>805182.28622779658</v>
      </c>
      <c r="AC30" s="29">
        <f>Workings_risks!Z29</f>
        <v>805182.28622779658</v>
      </c>
      <c r="AD30" s="29">
        <f>Workings_risks!AA29</f>
        <v>805182.28622779658</v>
      </c>
      <c r="AE30" s="29">
        <f>Workings_risks!AB29</f>
        <v>805182.28622779658</v>
      </c>
      <c r="AF30" s="29">
        <f>Workings_risks!AC29</f>
        <v>805182.28622779658</v>
      </c>
      <c r="AG30" s="29">
        <f>Workings_risks!AD29</f>
        <v>805182.28622779658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103</v>
      </c>
      <c r="D31" s="182"/>
      <c r="E31"/>
      <c r="G31" s="183">
        <f>input_dollars</f>
        <v>45291</v>
      </c>
      <c r="H31" s="129"/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  <c r="AE31" s="29">
        <v>0</v>
      </c>
      <c r="AF31" s="29">
        <v>0</v>
      </c>
      <c r="AG31" s="29"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104</v>
      </c>
      <c r="D32" s="181" t="s">
        <v>102</v>
      </c>
      <c r="E32"/>
      <c r="G32" s="183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  <c r="AE32" s="29">
        <v>0</v>
      </c>
      <c r="AF32" s="29">
        <v>0</v>
      </c>
      <c r="AG32" s="29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242" t="s">
        <v>105</v>
      </c>
      <c r="D33" s="194"/>
      <c r="E33"/>
      <c r="G33" s="183">
        <f>input_dollars</f>
        <v>45291</v>
      </c>
      <c r="H33"/>
      <c r="I33" s="29">
        <f>Workings_risks!F28</f>
        <v>2151611.1790454965</v>
      </c>
      <c r="J33" s="29">
        <f>Workings_risks!G28</f>
        <v>2151611.1790454965</v>
      </c>
      <c r="K33" s="29">
        <f>Workings_risks!H28</f>
        <v>2151611.1790454965</v>
      </c>
      <c r="L33" s="29">
        <f>Workings_risks!I28</f>
        <v>2151611.1790454965</v>
      </c>
      <c r="M33" s="29">
        <f>Workings_risks!J28</f>
        <v>2151611.1790454965</v>
      </c>
      <c r="N33" s="29">
        <f>Workings_risks!K28</f>
        <v>2151611.1790454965</v>
      </c>
      <c r="O33" s="29">
        <f>Workings_risks!L28</f>
        <v>2151611.1790454965</v>
      </c>
      <c r="P33" s="29">
        <f>Workings_risks!M28</f>
        <v>2151611.1790454965</v>
      </c>
      <c r="Q33" s="29">
        <f>Workings_risks!N28</f>
        <v>2151611.1790454965</v>
      </c>
      <c r="R33" s="29">
        <f>Workings_risks!O28</f>
        <v>2151611.1790454965</v>
      </c>
      <c r="S33" s="29">
        <f>Workings_risks!P28</f>
        <v>2151611.1790454965</v>
      </c>
      <c r="T33" s="29">
        <f>Workings_risks!Q28</f>
        <v>2151611.1790454965</v>
      </c>
      <c r="U33" s="29">
        <f>Workings_risks!R28</f>
        <v>2151611.1790454965</v>
      </c>
      <c r="V33" s="29">
        <f>Workings_risks!S28</f>
        <v>2151611.1790454965</v>
      </c>
      <c r="W33" s="29">
        <f>Workings_risks!T28</f>
        <v>2151611.1790454965</v>
      </c>
      <c r="X33" s="29">
        <f>Workings_risks!U28</f>
        <v>2151611.1790454965</v>
      </c>
      <c r="Y33" s="29">
        <f>Workings_risks!V28</f>
        <v>2151611.1790454965</v>
      </c>
      <c r="Z33" s="29">
        <f>Workings_risks!W28</f>
        <v>2151611.1790454965</v>
      </c>
      <c r="AA33" s="29">
        <f>Workings_risks!X28</f>
        <v>2151611.1790454965</v>
      </c>
      <c r="AB33" s="29">
        <f>Workings_risks!Y28</f>
        <v>2151611.1790454965</v>
      </c>
      <c r="AC33" s="29">
        <f>Workings_risks!Z28</f>
        <v>2151611.1790454965</v>
      </c>
      <c r="AD33" s="29">
        <f>Workings_risks!AA28</f>
        <v>2151611.1790454965</v>
      </c>
      <c r="AE33" s="29">
        <f>Workings_risks!AB28</f>
        <v>2151611.1790454965</v>
      </c>
      <c r="AF33" s="29">
        <f>Workings_risks!AC28</f>
        <v>2151611.1790454965</v>
      </c>
      <c r="AG33" s="29">
        <f>Workings_risks!AD28</f>
        <v>2151611.1790454965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242" t="s">
        <v>106</v>
      </c>
      <c r="D34" s="182"/>
      <c r="E34"/>
      <c r="G34" s="183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2"/>
      <c r="E35"/>
      <c r="G35" s="183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5</v>
      </c>
      <c r="D36" s="193"/>
      <c r="E36" s="94"/>
      <c r="F36" s="3"/>
      <c r="G36" s="185"/>
      <c r="H36" s="94"/>
      <c r="I36" s="93">
        <f>SUM(I28:I34)</f>
        <v>2956793.4652732932</v>
      </c>
      <c r="J36" s="93">
        <f t="shared" ref="J36:AB36" si="4">SUM(J28:J34)</f>
        <v>2956793.4652732932</v>
      </c>
      <c r="K36" s="93">
        <f t="shared" si="4"/>
        <v>2956793.4652732932</v>
      </c>
      <c r="L36" s="93">
        <f t="shared" si="4"/>
        <v>2956793.4652732932</v>
      </c>
      <c r="M36" s="93">
        <f t="shared" si="4"/>
        <v>2956793.4652732932</v>
      </c>
      <c r="N36" s="93">
        <f t="shared" si="4"/>
        <v>2956793.4652732932</v>
      </c>
      <c r="O36" s="93">
        <f t="shared" si="4"/>
        <v>2956793.4652732932</v>
      </c>
      <c r="P36" s="93">
        <f t="shared" si="4"/>
        <v>2956793.4652732932</v>
      </c>
      <c r="Q36" s="93">
        <f t="shared" si="4"/>
        <v>2956793.4652732932</v>
      </c>
      <c r="R36" s="93">
        <f t="shared" si="4"/>
        <v>2956793.4652732932</v>
      </c>
      <c r="S36" s="93">
        <f t="shared" si="4"/>
        <v>2956793.4652732932</v>
      </c>
      <c r="T36" s="93">
        <f t="shared" si="4"/>
        <v>2956793.4652732932</v>
      </c>
      <c r="U36" s="93">
        <f t="shared" si="4"/>
        <v>2956793.4652732932</v>
      </c>
      <c r="V36" s="93">
        <f t="shared" si="4"/>
        <v>2956793.4652732932</v>
      </c>
      <c r="W36" s="93">
        <f t="shared" si="4"/>
        <v>2956793.4652732932</v>
      </c>
      <c r="X36" s="93">
        <f t="shared" si="4"/>
        <v>2956793.4652732932</v>
      </c>
      <c r="Y36" s="93">
        <f t="shared" si="4"/>
        <v>2956793.4652732932</v>
      </c>
      <c r="Z36" s="93">
        <f t="shared" si="4"/>
        <v>2956793.4652732932</v>
      </c>
      <c r="AA36" s="93">
        <f t="shared" si="4"/>
        <v>2956793.4652732932</v>
      </c>
      <c r="AB36" s="93">
        <f t="shared" si="4"/>
        <v>2956793.4652732932</v>
      </c>
      <c r="AC36" s="93">
        <f>SUM(AC28:AC34)</f>
        <v>2956793.4652732932</v>
      </c>
      <c r="AD36" s="93">
        <f>SUM(AD28:AD34)</f>
        <v>2956793.4652732932</v>
      </c>
      <c r="AE36" s="93">
        <f>SUM(AE28:AE34)</f>
        <v>2956793.4652732932</v>
      </c>
      <c r="AF36" s="93">
        <f>SUM(AF28:AF34)</f>
        <v>2956793.4652732932</v>
      </c>
      <c r="AG36" s="93">
        <f>SUM(AG28:AG34)</f>
        <v>2956793.4652732932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3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107</v>
      </c>
      <c r="B38" s="78"/>
      <c r="C38" s="78"/>
      <c r="D38" s="78"/>
      <c r="E38" s="78"/>
      <c r="F38" s="78"/>
      <c r="G38" s="180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3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3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108</v>
      </c>
      <c r="G41" s="181" t="s">
        <v>99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25">
      <c r="C42" s="1" t="s">
        <v>109</v>
      </c>
      <c r="G42" s="181" t="s">
        <v>110</v>
      </c>
      <c r="I42" s="28">
        <f t="shared" ref="I42:AG42" si="5">I41*I7</f>
        <v>0</v>
      </c>
      <c r="J42" s="28">
        <f t="shared" si="5"/>
        <v>0</v>
      </c>
      <c r="K42" s="28">
        <f t="shared" si="5"/>
        <v>0</v>
      </c>
      <c r="L42" s="28">
        <f t="shared" si="5"/>
        <v>0</v>
      </c>
      <c r="M42" s="28">
        <f t="shared" si="5"/>
        <v>0</v>
      </c>
      <c r="N42" s="28">
        <f t="shared" si="5"/>
        <v>0</v>
      </c>
      <c r="O42" s="28">
        <f t="shared" si="5"/>
        <v>0</v>
      </c>
      <c r="P42" s="28">
        <f t="shared" si="5"/>
        <v>0</v>
      </c>
      <c r="Q42" s="28">
        <f t="shared" si="5"/>
        <v>0</v>
      </c>
      <c r="R42" s="28">
        <f t="shared" si="5"/>
        <v>0</v>
      </c>
      <c r="S42" s="28">
        <f t="shared" si="5"/>
        <v>0</v>
      </c>
      <c r="T42" s="28">
        <f t="shared" si="5"/>
        <v>0</v>
      </c>
      <c r="U42" s="28">
        <f t="shared" si="5"/>
        <v>0</v>
      </c>
      <c r="V42" s="28">
        <f t="shared" si="5"/>
        <v>0</v>
      </c>
      <c r="W42" s="28">
        <f t="shared" si="5"/>
        <v>0</v>
      </c>
      <c r="X42" s="28">
        <f t="shared" si="5"/>
        <v>0</v>
      </c>
      <c r="Y42" s="28">
        <f t="shared" si="5"/>
        <v>0</v>
      </c>
      <c r="Z42" s="28">
        <f t="shared" si="5"/>
        <v>0</v>
      </c>
      <c r="AA42" s="28">
        <f t="shared" si="5"/>
        <v>0</v>
      </c>
      <c r="AB42" s="28">
        <f t="shared" si="5"/>
        <v>0</v>
      </c>
      <c r="AC42" s="28">
        <f t="shared" si="5"/>
        <v>0</v>
      </c>
      <c r="AD42" s="28">
        <f t="shared" si="5"/>
        <v>0</v>
      </c>
      <c r="AE42" s="28">
        <f t="shared" si="5"/>
        <v>0</v>
      </c>
      <c r="AF42" s="28">
        <f t="shared" si="5"/>
        <v>0</v>
      </c>
      <c r="AG42" s="28">
        <f t="shared" si="5"/>
        <v>0</v>
      </c>
    </row>
    <row r="43" spans="1:16372" x14ac:dyDescent="0.2">
      <c r="D43"/>
      <c r="E43"/>
      <c r="G43" s="18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2"/>
      <c r="E44"/>
      <c r="G44" s="183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111</v>
      </c>
      <c r="D45" s="181" t="s">
        <v>90</v>
      </c>
      <c r="E45" s="100">
        <v>0</v>
      </c>
      <c r="G45" s="183" t="s">
        <v>99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112</v>
      </c>
      <c r="D46" s="181" t="s">
        <v>90</v>
      </c>
      <c r="E46" s="100">
        <v>0</v>
      </c>
      <c r="G46" s="183" t="s">
        <v>99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113</v>
      </c>
      <c r="D47" s="181" t="s">
        <v>90</v>
      </c>
      <c r="E47" s="99">
        <v>0</v>
      </c>
      <c r="G47" s="183" t="s">
        <v>99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114</v>
      </c>
      <c r="D48" s="181" t="s">
        <v>115</v>
      </c>
      <c r="E48" s="99">
        <v>0</v>
      </c>
      <c r="G48" s="183" t="s">
        <v>116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117</v>
      </c>
      <c r="D49" s="181" t="s">
        <v>118</v>
      </c>
      <c r="E49" s="99">
        <v>0</v>
      </c>
      <c r="G49" s="183" t="s">
        <v>119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120</v>
      </c>
      <c r="D50" s="181" t="s">
        <v>118</v>
      </c>
      <c r="E50" s="99">
        <v>0</v>
      </c>
      <c r="G50" s="183" t="s">
        <v>119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121</v>
      </c>
      <c r="D51" s="181" t="s">
        <v>115</v>
      </c>
      <c r="E51" s="99">
        <v>0</v>
      </c>
      <c r="G51" s="183" t="s">
        <v>116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122</v>
      </c>
      <c r="D52" s="181" t="s">
        <v>115</v>
      </c>
      <c r="E52" s="99">
        <v>0</v>
      </c>
      <c r="G52" s="183" t="s">
        <v>116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81"/>
      <c r="G53" s="183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123</v>
      </c>
      <c r="D54" s="181"/>
      <c r="G54" s="183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124</v>
      </c>
      <c r="D55" s="181"/>
      <c r="G55" s="183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81"/>
      <c r="G56" s="181"/>
    </row>
    <row r="57" spans="1:43" x14ac:dyDescent="0.2">
      <c r="C57" s="3" t="s">
        <v>125</v>
      </c>
      <c r="D57" s="193"/>
      <c r="E57" s="94"/>
      <c r="F57" s="3"/>
      <c r="G57" s="186">
        <f>input_dollars</f>
        <v>45291</v>
      </c>
      <c r="H57" s="94"/>
      <c r="I57" s="93" cm="1">
        <f t="array" ref="I57">SUMPRODUCT((I$45:I$52)*($E$45:$E$52))+SUM(I54:I55)+I42</f>
        <v>0</v>
      </c>
      <c r="J57" s="93" cm="1">
        <f t="array" ref="J57">SUMPRODUCT((J$45:J$52)*($E$45:$E$52))+SUM(J54:J55)+J42</f>
        <v>0</v>
      </c>
      <c r="K57" s="93" cm="1">
        <f t="array" ref="K57">SUMPRODUCT((K$45:K$52)*($E$45:$E$52))+SUM(K54:K55)+K42</f>
        <v>0</v>
      </c>
      <c r="L57" s="93" cm="1">
        <f t="array" ref="L57">SUMPRODUCT((L$45:L$52)*($E$45:$E$52))+SUM(L54:L55)+L42</f>
        <v>0</v>
      </c>
      <c r="M57" s="93" cm="1">
        <f t="array" ref="M57">SUMPRODUCT((M$45:M$52)*($E$45:$E$52))+SUM(M54:M55)+M42</f>
        <v>0</v>
      </c>
      <c r="N57" s="93" cm="1">
        <f t="array" ref="N57">SUMPRODUCT((N$45:N$52)*($E$45:$E$52))+SUM(N54:N55)+N42</f>
        <v>0</v>
      </c>
      <c r="O57" s="93" cm="1">
        <f t="array" ref="O57">SUMPRODUCT((O$45:O$52)*($E$45:$E$52))+SUM(O54:O55)+O42</f>
        <v>0</v>
      </c>
      <c r="P57" s="93" cm="1">
        <f t="array" ref="P57">SUMPRODUCT((P$45:P$52)*($E$45:$E$52))+SUM(P54:P55)+P42</f>
        <v>0</v>
      </c>
      <c r="Q57" s="93" cm="1">
        <f t="array" ref="Q57">SUMPRODUCT((Q$45:Q$52)*($E$45:$E$52))+SUM(Q54:Q55)+Q42</f>
        <v>0</v>
      </c>
      <c r="R57" s="93" cm="1">
        <f t="array" ref="R57">SUMPRODUCT((R$45:R$52)*($E$45:$E$52))+SUM(R54:R55)+R42</f>
        <v>0</v>
      </c>
      <c r="S57" s="93" cm="1">
        <f t="array" ref="S57">SUMPRODUCT((S$45:S$52)*($E$45:$E$52))+SUM(S54:S55)+S42</f>
        <v>0</v>
      </c>
      <c r="T57" s="93" cm="1">
        <f t="array" ref="T57">SUMPRODUCT((T$45:T$52)*($E$45:$E$52))+SUM(T54:T55)+T42</f>
        <v>0</v>
      </c>
      <c r="U57" s="93" cm="1">
        <f t="array" ref="U57">SUMPRODUCT((U$45:U$52)*($E$45:$E$52))+SUM(U54:U55)+U42</f>
        <v>0</v>
      </c>
      <c r="V57" s="93" cm="1">
        <f t="array" ref="V57">SUMPRODUCT((V$45:V$52)*($E$45:$E$52))+SUM(V54:V55)+V42</f>
        <v>0</v>
      </c>
      <c r="W57" s="93" cm="1">
        <f t="array" ref="W57">SUMPRODUCT((W$45:W$52)*($E$45:$E$52))+SUM(W54:W55)+W42</f>
        <v>0</v>
      </c>
      <c r="X57" s="93" cm="1">
        <f t="array" ref="X57">SUMPRODUCT((X$45:X$52)*($E$45:$E$52))+SUM(X54:X55)+X42</f>
        <v>0</v>
      </c>
      <c r="Y57" s="93" cm="1">
        <f t="array" ref="Y57">SUMPRODUCT((Y$45:Y$52)*($E$45:$E$52))+SUM(Y54:Y55)+Y42</f>
        <v>0</v>
      </c>
      <c r="Z57" s="93" cm="1">
        <f t="array" ref="Z57">SUMPRODUCT((Z$45:Z$52)*($E$45:$E$52))+SUM(Z54:Z55)+Z42</f>
        <v>0</v>
      </c>
      <c r="AA57" s="93" cm="1">
        <f t="array" ref="AA57">SUMPRODUCT((AA$45:AA$52)*($E$45:$E$52))+SUM(AA54:AA55)+AA42</f>
        <v>0</v>
      </c>
      <c r="AB57" s="93" cm="1">
        <f t="array" ref="AB57">SUMPRODUCT((AB$45:AB$52)*($E$45:$E$52))+SUM(AB54:AB55)+AB42</f>
        <v>0</v>
      </c>
      <c r="AC57" s="93" cm="1">
        <f t="array" ref="AC57">SUMPRODUCT((AC$45:AC$52)*($E$45:$E$52))+SUM(AC54:AC55)+AC42</f>
        <v>0</v>
      </c>
      <c r="AD57" s="93" cm="1">
        <f t="array" ref="AD57">SUMPRODUCT((AD$45:AD$52)*($E$45:$E$52))+SUM(AD54:AD55)+AD42</f>
        <v>0</v>
      </c>
      <c r="AE57" s="93" cm="1">
        <f t="array" ref="AE57">SUMPRODUCT((AE$45:AE$52)*($E$45:$E$52))+SUM(AE54:AE55)+AE42</f>
        <v>0</v>
      </c>
      <c r="AF57" s="93" cm="1">
        <f t="array" ref="AF57">SUMPRODUCT((AF$45:AF$52)*($E$45:$E$52))+SUM(AF54:AF55)+AF42</f>
        <v>0</v>
      </c>
      <c r="AG57" s="93" cm="1">
        <f t="array" ref="AG57">SUMPRODUCT((AG$45:AG$52)*($E$45:$E$52))+SUM(AG54:AG55)+AG42</f>
        <v>0</v>
      </c>
    </row>
    <row r="58" spans="1:43" x14ac:dyDescent="0.2">
      <c r="D58" s="181"/>
      <c r="G58" s="181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81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8</v>
      </c>
      <c r="B60" s="78"/>
      <c r="C60" s="78"/>
      <c r="D60" s="78"/>
      <c r="E60" s="78"/>
      <c r="F60" s="78"/>
      <c r="G60" s="180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8"/>
      <c r="B61" s="98"/>
      <c r="C61" s="98"/>
      <c r="D61" s="98"/>
      <c r="E61" s="98"/>
      <c r="F61" s="98"/>
      <c r="G61" s="184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8"/>
      <c r="B62" s="98"/>
      <c r="C62" s="98"/>
      <c r="D62" s="98"/>
      <c r="E62" s="98"/>
      <c r="F62"/>
      <c r="G62" s="187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C63" s="4"/>
      <c r="F63" s="2"/>
      <c r="G63" s="188"/>
    </row>
    <row r="64" spans="1:43" x14ac:dyDescent="0.2">
      <c r="C64" s="4" t="s">
        <v>126</v>
      </c>
      <c r="G64" s="186">
        <f>input_dollars</f>
        <v>45291</v>
      </c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</row>
    <row r="65" spans="1:33" x14ac:dyDescent="0.2">
      <c r="G65" s="188"/>
    </row>
    <row r="66" spans="1:33" x14ac:dyDescent="0.2">
      <c r="A66" s="6"/>
      <c r="B66" s="6"/>
      <c r="C66" s="127" t="s">
        <v>17</v>
      </c>
      <c r="D66" s="34"/>
      <c r="F66" s="84"/>
      <c r="G66" s="189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No change to existing practices</v>
      </c>
      <c r="D67" s="34"/>
      <c r="F67" s="84"/>
      <c r="G67" s="186">
        <f>input_dollars</f>
        <v>45291</v>
      </c>
      <c r="H67" s="28"/>
      <c r="I67" s="28">
        <f t="shared" ref="I67:AG67" si="6">-I14</f>
        <v>0</v>
      </c>
      <c r="J67" s="28">
        <f t="shared" si="6"/>
        <v>0</v>
      </c>
      <c r="K67" s="28">
        <f t="shared" si="6"/>
        <v>0</v>
      </c>
      <c r="L67" s="28">
        <f t="shared" si="6"/>
        <v>0</v>
      </c>
      <c r="M67" s="28">
        <f t="shared" si="6"/>
        <v>0</v>
      </c>
      <c r="N67" s="28">
        <f t="shared" si="6"/>
        <v>0</v>
      </c>
      <c r="O67" s="28">
        <f t="shared" si="6"/>
        <v>0</v>
      </c>
      <c r="P67" s="28">
        <f t="shared" si="6"/>
        <v>0</v>
      </c>
      <c r="Q67" s="28">
        <f t="shared" si="6"/>
        <v>0</v>
      </c>
      <c r="R67" s="28">
        <f t="shared" si="6"/>
        <v>0</v>
      </c>
      <c r="S67" s="28">
        <f t="shared" si="6"/>
        <v>0</v>
      </c>
      <c r="T67" s="28">
        <f t="shared" si="6"/>
        <v>0</v>
      </c>
      <c r="U67" s="28">
        <f t="shared" si="6"/>
        <v>0</v>
      </c>
      <c r="V67" s="28">
        <f t="shared" si="6"/>
        <v>0</v>
      </c>
      <c r="W67" s="28">
        <f t="shared" si="6"/>
        <v>0</v>
      </c>
      <c r="X67" s="28">
        <f t="shared" si="6"/>
        <v>0</v>
      </c>
      <c r="Y67" s="28">
        <f t="shared" si="6"/>
        <v>0</v>
      </c>
      <c r="Z67" s="28">
        <f t="shared" si="6"/>
        <v>0</v>
      </c>
      <c r="AA67" s="28">
        <f t="shared" si="6"/>
        <v>0</v>
      </c>
      <c r="AB67" s="28">
        <f t="shared" si="6"/>
        <v>0</v>
      </c>
      <c r="AC67" s="28">
        <f t="shared" si="6"/>
        <v>0</v>
      </c>
      <c r="AD67" s="28">
        <f t="shared" si="6"/>
        <v>0</v>
      </c>
      <c r="AE67" s="28">
        <f t="shared" si="6"/>
        <v>0</v>
      </c>
      <c r="AF67" s="28">
        <f t="shared" si="6"/>
        <v>0</v>
      </c>
      <c r="AG67" s="28">
        <f t="shared" si="6"/>
        <v>0</v>
      </c>
    </row>
    <row r="68" spans="1:33" x14ac:dyDescent="0.2">
      <c r="A68" s="6"/>
      <c r="B68" s="6"/>
      <c r="C68" s="4">
        <f>C15</f>
        <v>0</v>
      </c>
      <c r="D68" s="34"/>
      <c r="F68" s="84"/>
      <c r="G68" s="186">
        <f>input_dollars</f>
        <v>45291</v>
      </c>
      <c r="H68" s="28"/>
      <c r="I68" s="28">
        <f t="shared" ref="I68:AG68" si="7">-I15</f>
        <v>0</v>
      </c>
      <c r="J68" s="28">
        <f t="shared" si="7"/>
        <v>0</v>
      </c>
      <c r="K68" s="28">
        <f t="shared" si="7"/>
        <v>0</v>
      </c>
      <c r="L68" s="28">
        <f t="shared" si="7"/>
        <v>0</v>
      </c>
      <c r="M68" s="28">
        <f t="shared" si="7"/>
        <v>0</v>
      </c>
      <c r="N68" s="28">
        <f t="shared" si="7"/>
        <v>0</v>
      </c>
      <c r="O68" s="28">
        <f t="shared" si="7"/>
        <v>0</v>
      </c>
      <c r="P68" s="28">
        <f t="shared" si="7"/>
        <v>0</v>
      </c>
      <c r="Q68" s="28">
        <f t="shared" si="7"/>
        <v>0</v>
      </c>
      <c r="R68" s="28">
        <f t="shared" si="7"/>
        <v>0</v>
      </c>
      <c r="S68" s="28">
        <f t="shared" si="7"/>
        <v>0</v>
      </c>
      <c r="T68" s="28">
        <f t="shared" si="7"/>
        <v>0</v>
      </c>
      <c r="U68" s="28">
        <f t="shared" si="7"/>
        <v>0</v>
      </c>
      <c r="V68" s="28">
        <f t="shared" si="7"/>
        <v>0</v>
      </c>
      <c r="W68" s="28">
        <f t="shared" si="7"/>
        <v>0</v>
      </c>
      <c r="X68" s="28">
        <f t="shared" si="7"/>
        <v>0</v>
      </c>
      <c r="Y68" s="28">
        <f t="shared" si="7"/>
        <v>0</v>
      </c>
      <c r="Z68" s="28">
        <f t="shared" si="7"/>
        <v>0</v>
      </c>
      <c r="AA68" s="28">
        <f t="shared" si="7"/>
        <v>0</v>
      </c>
      <c r="AB68" s="28">
        <f t="shared" si="7"/>
        <v>0</v>
      </c>
      <c r="AC68" s="28">
        <f t="shared" si="7"/>
        <v>0</v>
      </c>
      <c r="AD68" s="28">
        <f t="shared" si="7"/>
        <v>0</v>
      </c>
      <c r="AE68" s="28">
        <f t="shared" si="7"/>
        <v>0</v>
      </c>
      <c r="AF68" s="28">
        <f t="shared" si="7"/>
        <v>0</v>
      </c>
      <c r="AG68" s="28">
        <f t="shared" si="7"/>
        <v>0</v>
      </c>
    </row>
    <row r="69" spans="1:33" x14ac:dyDescent="0.2">
      <c r="A69" s="6"/>
      <c r="B69" s="6"/>
      <c r="C69" s="4">
        <f>C16</f>
        <v>0</v>
      </c>
      <c r="D69" s="34"/>
      <c r="F69" s="84"/>
      <c r="G69" s="186">
        <f>input_dollars</f>
        <v>45291</v>
      </c>
      <c r="H69" s="28"/>
      <c r="I69" s="28">
        <f t="shared" ref="I69:AG69" si="8">-I16</f>
        <v>0</v>
      </c>
      <c r="J69" s="28">
        <f t="shared" si="8"/>
        <v>0</v>
      </c>
      <c r="K69" s="28">
        <f t="shared" si="8"/>
        <v>0</v>
      </c>
      <c r="L69" s="28">
        <f t="shared" si="8"/>
        <v>0</v>
      </c>
      <c r="M69" s="28">
        <f t="shared" si="8"/>
        <v>0</v>
      </c>
      <c r="N69" s="28">
        <f t="shared" si="8"/>
        <v>0</v>
      </c>
      <c r="O69" s="28">
        <f t="shared" si="8"/>
        <v>0</v>
      </c>
      <c r="P69" s="28">
        <f t="shared" si="8"/>
        <v>0</v>
      </c>
      <c r="Q69" s="28">
        <f t="shared" si="8"/>
        <v>0</v>
      </c>
      <c r="R69" s="28">
        <f t="shared" si="8"/>
        <v>0</v>
      </c>
      <c r="S69" s="28">
        <f t="shared" si="8"/>
        <v>0</v>
      </c>
      <c r="T69" s="28">
        <f t="shared" si="8"/>
        <v>0</v>
      </c>
      <c r="U69" s="28">
        <f t="shared" si="8"/>
        <v>0</v>
      </c>
      <c r="V69" s="28">
        <f t="shared" si="8"/>
        <v>0</v>
      </c>
      <c r="W69" s="28">
        <f t="shared" si="8"/>
        <v>0</v>
      </c>
      <c r="X69" s="28">
        <f t="shared" si="8"/>
        <v>0</v>
      </c>
      <c r="Y69" s="28">
        <f t="shared" si="8"/>
        <v>0</v>
      </c>
      <c r="Z69" s="28">
        <f t="shared" si="8"/>
        <v>0</v>
      </c>
      <c r="AA69" s="28">
        <f t="shared" si="8"/>
        <v>0</v>
      </c>
      <c r="AB69" s="28">
        <f t="shared" si="8"/>
        <v>0</v>
      </c>
      <c r="AC69" s="28">
        <f t="shared" si="8"/>
        <v>0</v>
      </c>
      <c r="AD69" s="28">
        <f t="shared" si="8"/>
        <v>0</v>
      </c>
      <c r="AE69" s="28">
        <f t="shared" si="8"/>
        <v>0</v>
      </c>
      <c r="AF69" s="28">
        <f t="shared" si="8"/>
        <v>0</v>
      </c>
      <c r="AG69" s="28">
        <f t="shared" si="8"/>
        <v>0</v>
      </c>
    </row>
    <row r="70" spans="1:33" x14ac:dyDescent="0.2">
      <c r="A70" s="6"/>
      <c r="B70" s="6"/>
      <c r="C70" s="4"/>
      <c r="D70" s="34"/>
      <c r="F70" s="84"/>
      <c r="G70" s="190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7" t="s">
        <v>127</v>
      </c>
      <c r="D71" s="34"/>
      <c r="F71" s="84"/>
      <c r="G71" s="189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No change to existing practices</v>
      </c>
      <c r="D72" s="34"/>
      <c r="F72" s="84"/>
      <c r="G72" s="186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2">
      <c r="A73" s="6"/>
      <c r="B73" s="6"/>
      <c r="C73" s="4">
        <f>C15</f>
        <v>0</v>
      </c>
      <c r="D73" s="34"/>
      <c r="F73" s="84"/>
      <c r="G73" s="186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>
        <f>C16</f>
        <v>0</v>
      </c>
      <c r="D74" s="34"/>
      <c r="F74" s="84"/>
      <c r="G74" s="186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4"/>
      <c r="G75" s="190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7" t="s">
        <v>128</v>
      </c>
      <c r="D76" s="34"/>
      <c r="F76" s="84"/>
      <c r="G76" s="189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No change to existing practices</v>
      </c>
      <c r="D77" s="34"/>
      <c r="F77" s="84"/>
      <c r="G77" s="186">
        <f>input_dollars</f>
        <v>45291</v>
      </c>
      <c r="H77" s="28"/>
      <c r="I77" s="28">
        <f t="shared" ref="I77:AG77" si="9">IF($E14=0,0,-PMT(real_disc, $E14,H72,))</f>
        <v>0</v>
      </c>
      <c r="J77" s="28">
        <f t="shared" si="9"/>
        <v>0</v>
      </c>
      <c r="K77" s="28">
        <f t="shared" si="9"/>
        <v>0</v>
      </c>
      <c r="L77" s="28">
        <f t="shared" si="9"/>
        <v>0</v>
      </c>
      <c r="M77" s="28">
        <f t="shared" si="9"/>
        <v>0</v>
      </c>
      <c r="N77" s="28">
        <f t="shared" si="9"/>
        <v>0</v>
      </c>
      <c r="O77" s="28">
        <f t="shared" si="9"/>
        <v>0</v>
      </c>
      <c r="P77" s="28">
        <f t="shared" si="9"/>
        <v>0</v>
      </c>
      <c r="Q77" s="28">
        <f t="shared" si="9"/>
        <v>0</v>
      </c>
      <c r="R77" s="28">
        <f t="shared" si="9"/>
        <v>0</v>
      </c>
      <c r="S77" s="28">
        <f t="shared" si="9"/>
        <v>0</v>
      </c>
      <c r="T77" s="28">
        <f t="shared" si="9"/>
        <v>0</v>
      </c>
      <c r="U77" s="28">
        <f t="shared" si="9"/>
        <v>0</v>
      </c>
      <c r="V77" s="28">
        <f t="shared" si="9"/>
        <v>0</v>
      </c>
      <c r="W77" s="28">
        <f t="shared" si="9"/>
        <v>0</v>
      </c>
      <c r="X77" s="28">
        <f t="shared" si="9"/>
        <v>0</v>
      </c>
      <c r="Y77" s="28">
        <f t="shared" si="9"/>
        <v>0</v>
      </c>
      <c r="Z77" s="28">
        <f t="shared" si="9"/>
        <v>0</v>
      </c>
      <c r="AA77" s="28">
        <f t="shared" si="9"/>
        <v>0</v>
      </c>
      <c r="AB77" s="28">
        <f t="shared" si="9"/>
        <v>0</v>
      </c>
      <c r="AC77" s="28">
        <f t="shared" si="9"/>
        <v>0</v>
      </c>
      <c r="AD77" s="28">
        <f t="shared" si="9"/>
        <v>0</v>
      </c>
      <c r="AE77" s="28">
        <f t="shared" si="9"/>
        <v>0</v>
      </c>
      <c r="AF77" s="28">
        <f t="shared" si="9"/>
        <v>0</v>
      </c>
      <c r="AG77" s="28">
        <f t="shared" si="9"/>
        <v>0</v>
      </c>
    </row>
    <row r="78" spans="1:33" x14ac:dyDescent="0.2">
      <c r="A78" s="6"/>
      <c r="B78" s="6"/>
      <c r="C78" s="4" t="str">
        <f>$C$76&amp;" - "&amp;C15</f>
        <v xml:space="preserve">Annualised capex - </v>
      </c>
      <c r="D78" s="34"/>
      <c r="F78" s="84"/>
      <c r="G78" s="186">
        <f>input_dollars</f>
        <v>45291</v>
      </c>
      <c r="H78" s="28"/>
      <c r="I78" s="28">
        <f t="shared" ref="I78:AG78" si="10">IF($E15=0,0,-PMT(real_disc, $E15,H73,))</f>
        <v>0</v>
      </c>
      <c r="J78" s="28">
        <f t="shared" si="10"/>
        <v>0</v>
      </c>
      <c r="K78" s="28">
        <f t="shared" si="10"/>
        <v>0</v>
      </c>
      <c r="L78" s="28">
        <f t="shared" si="10"/>
        <v>0</v>
      </c>
      <c r="M78" s="28">
        <f t="shared" si="10"/>
        <v>0</v>
      </c>
      <c r="N78" s="28">
        <f t="shared" si="10"/>
        <v>0</v>
      </c>
      <c r="O78" s="28">
        <f t="shared" si="10"/>
        <v>0</v>
      </c>
      <c r="P78" s="28">
        <f t="shared" si="10"/>
        <v>0</v>
      </c>
      <c r="Q78" s="28">
        <f t="shared" si="10"/>
        <v>0</v>
      </c>
      <c r="R78" s="28">
        <f t="shared" si="10"/>
        <v>0</v>
      </c>
      <c r="S78" s="28">
        <f t="shared" si="10"/>
        <v>0</v>
      </c>
      <c r="T78" s="28">
        <f t="shared" si="10"/>
        <v>0</v>
      </c>
      <c r="U78" s="28">
        <f t="shared" si="10"/>
        <v>0</v>
      </c>
      <c r="V78" s="28">
        <f t="shared" si="10"/>
        <v>0</v>
      </c>
      <c r="W78" s="28">
        <f t="shared" si="10"/>
        <v>0</v>
      </c>
      <c r="X78" s="28">
        <f t="shared" si="10"/>
        <v>0</v>
      </c>
      <c r="Y78" s="28">
        <f t="shared" si="10"/>
        <v>0</v>
      </c>
      <c r="Z78" s="28">
        <f t="shared" si="10"/>
        <v>0</v>
      </c>
      <c r="AA78" s="28">
        <f t="shared" si="10"/>
        <v>0</v>
      </c>
      <c r="AB78" s="28">
        <f t="shared" si="10"/>
        <v>0</v>
      </c>
      <c r="AC78" s="28">
        <f t="shared" si="10"/>
        <v>0</v>
      </c>
      <c r="AD78" s="28">
        <f t="shared" si="10"/>
        <v>0</v>
      </c>
      <c r="AE78" s="28">
        <f t="shared" si="10"/>
        <v>0</v>
      </c>
      <c r="AF78" s="28">
        <f t="shared" si="10"/>
        <v>0</v>
      </c>
      <c r="AG78" s="28">
        <f t="shared" si="10"/>
        <v>0</v>
      </c>
    </row>
    <row r="79" spans="1:33" x14ac:dyDescent="0.2">
      <c r="A79" s="6"/>
      <c r="B79" s="6"/>
      <c r="C79" s="4" t="str">
        <f>$C$76&amp;" - "&amp;C16</f>
        <v xml:space="preserve">Annualised capex - </v>
      </c>
      <c r="D79" s="34"/>
      <c r="F79" s="84"/>
      <c r="G79" s="186">
        <f>input_dollars</f>
        <v>45291</v>
      </c>
      <c r="H79" s="28"/>
      <c r="I79" s="28">
        <f t="shared" ref="I79:AG79" si="11">IF($E16=0,0,-PMT(real_disc, $E16,H74,))</f>
        <v>0</v>
      </c>
      <c r="J79" s="28">
        <f t="shared" si="11"/>
        <v>0</v>
      </c>
      <c r="K79" s="28">
        <f t="shared" si="11"/>
        <v>0</v>
      </c>
      <c r="L79" s="28">
        <f t="shared" si="11"/>
        <v>0</v>
      </c>
      <c r="M79" s="28">
        <f t="shared" si="11"/>
        <v>0</v>
      </c>
      <c r="N79" s="28">
        <f t="shared" si="11"/>
        <v>0</v>
      </c>
      <c r="O79" s="28">
        <f t="shared" si="11"/>
        <v>0</v>
      </c>
      <c r="P79" s="28">
        <f t="shared" si="11"/>
        <v>0</v>
      </c>
      <c r="Q79" s="28">
        <f t="shared" si="11"/>
        <v>0</v>
      </c>
      <c r="R79" s="28">
        <f t="shared" si="11"/>
        <v>0</v>
      </c>
      <c r="S79" s="28">
        <f t="shared" si="11"/>
        <v>0</v>
      </c>
      <c r="T79" s="28">
        <f t="shared" si="11"/>
        <v>0</v>
      </c>
      <c r="U79" s="28">
        <f t="shared" si="11"/>
        <v>0</v>
      </c>
      <c r="V79" s="28">
        <f t="shared" si="11"/>
        <v>0</v>
      </c>
      <c r="W79" s="28">
        <f t="shared" si="11"/>
        <v>0</v>
      </c>
      <c r="X79" s="28">
        <f t="shared" si="11"/>
        <v>0</v>
      </c>
      <c r="Y79" s="28">
        <f t="shared" si="11"/>
        <v>0</v>
      </c>
      <c r="Z79" s="28">
        <f t="shared" si="11"/>
        <v>0</v>
      </c>
      <c r="AA79" s="28">
        <f t="shared" si="11"/>
        <v>0</v>
      </c>
      <c r="AB79" s="28">
        <f t="shared" si="11"/>
        <v>0</v>
      </c>
      <c r="AC79" s="28">
        <f t="shared" si="11"/>
        <v>0</v>
      </c>
      <c r="AD79" s="28">
        <f t="shared" si="11"/>
        <v>0</v>
      </c>
      <c r="AE79" s="28">
        <f t="shared" si="11"/>
        <v>0</v>
      </c>
      <c r="AF79" s="28">
        <f t="shared" si="11"/>
        <v>0</v>
      </c>
      <c r="AG79" s="28">
        <f t="shared" si="11"/>
        <v>0</v>
      </c>
    </row>
    <row r="80" spans="1:33" x14ac:dyDescent="0.2">
      <c r="A80" s="6"/>
      <c r="B80" s="6"/>
      <c r="C80" s="151" t="s">
        <v>129</v>
      </c>
      <c r="D80" s="151"/>
      <c r="E80" s="152"/>
      <c r="F80" s="153"/>
      <c r="G80" s="191">
        <f>input_dollars</f>
        <v>45291</v>
      </c>
      <c r="H80" s="154"/>
      <c r="I80" s="154">
        <f>SUM(I77:I79)</f>
        <v>0</v>
      </c>
      <c r="J80" s="154">
        <f t="shared" ref="J80:AB80" si="12">SUM(J77:J79)</f>
        <v>0</v>
      </c>
      <c r="K80" s="154">
        <f t="shared" si="12"/>
        <v>0</v>
      </c>
      <c r="L80" s="154">
        <f t="shared" si="12"/>
        <v>0</v>
      </c>
      <c r="M80" s="154">
        <f t="shared" si="12"/>
        <v>0</v>
      </c>
      <c r="N80" s="154">
        <f t="shared" si="12"/>
        <v>0</v>
      </c>
      <c r="O80" s="154">
        <f t="shared" si="12"/>
        <v>0</v>
      </c>
      <c r="P80" s="154">
        <f t="shared" si="12"/>
        <v>0</v>
      </c>
      <c r="Q80" s="154">
        <f t="shared" si="12"/>
        <v>0</v>
      </c>
      <c r="R80" s="154">
        <f t="shared" si="12"/>
        <v>0</v>
      </c>
      <c r="S80" s="154">
        <f t="shared" si="12"/>
        <v>0</v>
      </c>
      <c r="T80" s="154">
        <f t="shared" si="12"/>
        <v>0</v>
      </c>
      <c r="U80" s="154">
        <f t="shared" si="12"/>
        <v>0</v>
      </c>
      <c r="V80" s="154">
        <f t="shared" si="12"/>
        <v>0</v>
      </c>
      <c r="W80" s="154">
        <f t="shared" si="12"/>
        <v>0</v>
      </c>
      <c r="X80" s="154">
        <f t="shared" si="12"/>
        <v>0</v>
      </c>
      <c r="Y80" s="154">
        <f t="shared" si="12"/>
        <v>0</v>
      </c>
      <c r="Z80" s="154">
        <f t="shared" si="12"/>
        <v>0</v>
      </c>
      <c r="AA80" s="154">
        <f t="shared" si="12"/>
        <v>0</v>
      </c>
      <c r="AB80" s="154">
        <f t="shared" si="12"/>
        <v>0</v>
      </c>
      <c r="AC80" s="154">
        <f>SUM(AC77:AC79)</f>
        <v>0</v>
      </c>
      <c r="AD80" s="154">
        <f>SUM(AD77:AD79)</f>
        <v>0</v>
      </c>
      <c r="AE80" s="154">
        <f>SUM(AE77:AE79)</f>
        <v>0</v>
      </c>
      <c r="AF80" s="154">
        <f>SUM(AF77:AF79)</f>
        <v>0</v>
      </c>
      <c r="AG80" s="154">
        <f>SUM(AG77:AG79)</f>
        <v>0</v>
      </c>
    </row>
    <row r="81" spans="1:33" x14ac:dyDescent="0.2">
      <c r="A81" s="6"/>
      <c r="B81" s="6"/>
      <c r="C81" s="12"/>
      <c r="D81" s="34"/>
      <c r="F81"/>
      <c r="G81" s="192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128</v>
      </c>
      <c r="D82" s="34"/>
      <c r="F82" s="84"/>
      <c r="G82" s="186">
        <f t="shared" ref="G82:G87" si="13">input_dollars</f>
        <v>45291</v>
      </c>
      <c r="H82" s="28"/>
      <c r="I82" s="28">
        <f>I80</f>
        <v>0</v>
      </c>
      <c r="J82" s="28">
        <f t="shared" ref="J82:AB82" si="14">J80</f>
        <v>0</v>
      </c>
      <c r="K82" s="28">
        <f t="shared" si="14"/>
        <v>0</v>
      </c>
      <c r="L82" s="28">
        <f t="shared" si="14"/>
        <v>0</v>
      </c>
      <c r="M82" s="28">
        <f t="shared" si="14"/>
        <v>0</v>
      </c>
      <c r="N82" s="28">
        <f t="shared" si="14"/>
        <v>0</v>
      </c>
      <c r="O82" s="28">
        <f t="shared" si="14"/>
        <v>0</v>
      </c>
      <c r="P82" s="28">
        <f t="shared" si="14"/>
        <v>0</v>
      </c>
      <c r="Q82" s="28">
        <f t="shared" si="14"/>
        <v>0</v>
      </c>
      <c r="R82" s="28">
        <f t="shared" si="14"/>
        <v>0</v>
      </c>
      <c r="S82" s="28">
        <f t="shared" si="14"/>
        <v>0</v>
      </c>
      <c r="T82" s="28">
        <f t="shared" si="14"/>
        <v>0</v>
      </c>
      <c r="U82" s="28">
        <f t="shared" si="14"/>
        <v>0</v>
      </c>
      <c r="V82" s="28">
        <f t="shared" si="14"/>
        <v>0</v>
      </c>
      <c r="W82" s="28">
        <f t="shared" si="14"/>
        <v>0</v>
      </c>
      <c r="X82" s="28">
        <f t="shared" si="14"/>
        <v>0</v>
      </c>
      <c r="Y82" s="28">
        <f t="shared" si="14"/>
        <v>0</v>
      </c>
      <c r="Z82" s="28">
        <f t="shared" si="14"/>
        <v>0</v>
      </c>
      <c r="AA82" s="28">
        <f t="shared" si="14"/>
        <v>0</v>
      </c>
      <c r="AB82" s="28">
        <f t="shared" si="14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2">
      <c r="A83" s="6"/>
      <c r="B83" s="6"/>
      <c r="C83" s="4" t="s">
        <v>18</v>
      </c>
      <c r="D83" s="34"/>
      <c r="F83" s="84"/>
      <c r="G83" s="186">
        <f t="shared" si="13"/>
        <v>45291</v>
      </c>
      <c r="H83" s="28"/>
      <c r="I83" s="28">
        <f t="shared" ref="I83:AG83" si="15">-I19</f>
        <v>0</v>
      </c>
      <c r="J83" s="28">
        <f t="shared" si="15"/>
        <v>0</v>
      </c>
      <c r="K83" s="28">
        <f t="shared" si="15"/>
        <v>0</v>
      </c>
      <c r="L83" s="28">
        <f t="shared" si="15"/>
        <v>0</v>
      </c>
      <c r="M83" s="28">
        <f t="shared" si="15"/>
        <v>0</v>
      </c>
      <c r="N83" s="28">
        <f t="shared" si="15"/>
        <v>0</v>
      </c>
      <c r="O83" s="28">
        <f t="shared" si="15"/>
        <v>0</v>
      </c>
      <c r="P83" s="28">
        <f t="shared" si="15"/>
        <v>0</v>
      </c>
      <c r="Q83" s="28">
        <f t="shared" si="15"/>
        <v>0</v>
      </c>
      <c r="R83" s="28">
        <f t="shared" si="15"/>
        <v>0</v>
      </c>
      <c r="S83" s="28">
        <f t="shared" si="15"/>
        <v>0</v>
      </c>
      <c r="T83" s="28">
        <f t="shared" si="15"/>
        <v>0</v>
      </c>
      <c r="U83" s="28">
        <f t="shared" si="15"/>
        <v>0</v>
      </c>
      <c r="V83" s="28">
        <f t="shared" si="15"/>
        <v>0</v>
      </c>
      <c r="W83" s="28">
        <f t="shared" si="15"/>
        <v>0</v>
      </c>
      <c r="X83" s="28">
        <f t="shared" si="15"/>
        <v>0</v>
      </c>
      <c r="Y83" s="28">
        <f t="shared" si="15"/>
        <v>0</v>
      </c>
      <c r="Z83" s="28">
        <f t="shared" si="15"/>
        <v>0</v>
      </c>
      <c r="AA83" s="28">
        <f t="shared" si="15"/>
        <v>0</v>
      </c>
      <c r="AB83" s="28">
        <f t="shared" si="15"/>
        <v>0</v>
      </c>
      <c r="AC83" s="28">
        <f t="shared" si="15"/>
        <v>0</v>
      </c>
      <c r="AD83" s="28">
        <f t="shared" si="15"/>
        <v>0</v>
      </c>
      <c r="AE83" s="28">
        <f t="shared" si="15"/>
        <v>0</v>
      </c>
      <c r="AF83" s="28">
        <f t="shared" si="15"/>
        <v>0</v>
      </c>
      <c r="AG83" s="28">
        <f t="shared" si="15"/>
        <v>0</v>
      </c>
    </row>
    <row r="84" spans="1:33" x14ac:dyDescent="0.2">
      <c r="A84" s="6"/>
      <c r="B84" s="6"/>
      <c r="C84" s="4" t="s">
        <v>130</v>
      </c>
      <c r="D84" s="34"/>
      <c r="F84" s="84"/>
      <c r="G84" s="186">
        <f t="shared" si="13"/>
        <v>45291</v>
      </c>
      <c r="H84" s="28"/>
      <c r="I84" s="28">
        <f>I64</f>
        <v>0</v>
      </c>
      <c r="J84" s="28">
        <f t="shared" ref="J84:AB84" si="16">J64</f>
        <v>0</v>
      </c>
      <c r="K84" s="28">
        <f t="shared" si="16"/>
        <v>0</v>
      </c>
      <c r="L84" s="28">
        <f t="shared" si="16"/>
        <v>0</v>
      </c>
      <c r="M84" s="28">
        <f t="shared" si="16"/>
        <v>0</v>
      </c>
      <c r="N84" s="28">
        <f t="shared" si="16"/>
        <v>0</v>
      </c>
      <c r="O84" s="28">
        <f t="shared" si="16"/>
        <v>0</v>
      </c>
      <c r="P84" s="28">
        <f t="shared" si="16"/>
        <v>0</v>
      </c>
      <c r="Q84" s="28">
        <f t="shared" si="16"/>
        <v>0</v>
      </c>
      <c r="R84" s="28">
        <f t="shared" si="16"/>
        <v>0</v>
      </c>
      <c r="S84" s="28">
        <f t="shared" si="16"/>
        <v>0</v>
      </c>
      <c r="T84" s="28">
        <f t="shared" si="16"/>
        <v>0</v>
      </c>
      <c r="U84" s="28">
        <f t="shared" si="16"/>
        <v>0</v>
      </c>
      <c r="V84" s="28">
        <f t="shared" si="16"/>
        <v>0</v>
      </c>
      <c r="W84" s="28">
        <f t="shared" si="16"/>
        <v>0</v>
      </c>
      <c r="X84" s="28">
        <f t="shared" si="16"/>
        <v>0</v>
      </c>
      <c r="Y84" s="28">
        <f t="shared" si="16"/>
        <v>0</v>
      </c>
      <c r="Z84" s="28">
        <f t="shared" si="16"/>
        <v>0</v>
      </c>
      <c r="AA84" s="28">
        <f t="shared" si="16"/>
        <v>0</v>
      </c>
      <c r="AB84" s="28">
        <f t="shared" si="16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2">
      <c r="A85" s="6"/>
      <c r="B85" s="6"/>
      <c r="C85" s="4" t="s">
        <v>131</v>
      </c>
      <c r="D85" s="34"/>
      <c r="F85" s="84"/>
      <c r="G85" s="186">
        <f t="shared" si="13"/>
        <v>45291</v>
      </c>
      <c r="H85" s="28"/>
      <c r="I85" s="28">
        <f t="shared" ref="I85:AG85" si="17">I57</f>
        <v>0</v>
      </c>
      <c r="J85" s="28">
        <f t="shared" si="17"/>
        <v>0</v>
      </c>
      <c r="K85" s="28">
        <f t="shared" si="17"/>
        <v>0</v>
      </c>
      <c r="L85" s="28">
        <f t="shared" si="17"/>
        <v>0</v>
      </c>
      <c r="M85" s="28">
        <f t="shared" si="17"/>
        <v>0</v>
      </c>
      <c r="N85" s="28">
        <f t="shared" si="17"/>
        <v>0</v>
      </c>
      <c r="O85" s="28">
        <f t="shared" si="17"/>
        <v>0</v>
      </c>
      <c r="P85" s="28">
        <f t="shared" si="17"/>
        <v>0</v>
      </c>
      <c r="Q85" s="28">
        <f t="shared" si="17"/>
        <v>0</v>
      </c>
      <c r="R85" s="28">
        <f t="shared" si="17"/>
        <v>0</v>
      </c>
      <c r="S85" s="28">
        <f t="shared" si="17"/>
        <v>0</v>
      </c>
      <c r="T85" s="28">
        <f t="shared" si="17"/>
        <v>0</v>
      </c>
      <c r="U85" s="28">
        <f t="shared" si="17"/>
        <v>0</v>
      </c>
      <c r="V85" s="28">
        <f t="shared" si="17"/>
        <v>0</v>
      </c>
      <c r="W85" s="28">
        <f t="shared" si="17"/>
        <v>0</v>
      </c>
      <c r="X85" s="28">
        <f t="shared" si="17"/>
        <v>0</v>
      </c>
      <c r="Y85" s="28">
        <f t="shared" si="17"/>
        <v>0</v>
      </c>
      <c r="Z85" s="28">
        <f t="shared" si="17"/>
        <v>0</v>
      </c>
      <c r="AA85" s="28">
        <f t="shared" si="17"/>
        <v>0</v>
      </c>
      <c r="AB85" s="28">
        <f t="shared" si="17"/>
        <v>0</v>
      </c>
      <c r="AC85" s="28">
        <f t="shared" si="17"/>
        <v>0</v>
      </c>
      <c r="AD85" s="28">
        <f t="shared" si="17"/>
        <v>0</v>
      </c>
      <c r="AE85" s="28">
        <f t="shared" si="17"/>
        <v>0</v>
      </c>
      <c r="AF85" s="28">
        <f t="shared" si="17"/>
        <v>0</v>
      </c>
      <c r="AG85" s="28">
        <f t="shared" si="17"/>
        <v>0</v>
      </c>
    </row>
    <row r="86" spans="1:33" x14ac:dyDescent="0.2">
      <c r="A86" s="6"/>
      <c r="B86" s="6"/>
      <c r="C86" s="4"/>
      <c r="D86" s="34"/>
      <c r="F86" s="28"/>
      <c r="G86" s="186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8" t="s">
        <v>132</v>
      </c>
      <c r="D87" s="156"/>
      <c r="E87" s="152"/>
      <c r="F87" s="157"/>
      <c r="G87" s="191">
        <f t="shared" si="13"/>
        <v>45291</v>
      </c>
      <c r="H87" s="157"/>
      <c r="I87" s="157">
        <f t="shared" ref="I87:AB87" si="18">SUM(I82:I86)</f>
        <v>0</v>
      </c>
      <c r="J87" s="157">
        <f t="shared" si="18"/>
        <v>0</v>
      </c>
      <c r="K87" s="157">
        <f t="shared" si="18"/>
        <v>0</v>
      </c>
      <c r="L87" s="157">
        <f t="shared" si="18"/>
        <v>0</v>
      </c>
      <c r="M87" s="157">
        <f t="shared" si="18"/>
        <v>0</v>
      </c>
      <c r="N87" s="157">
        <f t="shared" si="18"/>
        <v>0</v>
      </c>
      <c r="O87" s="157">
        <f t="shared" si="18"/>
        <v>0</v>
      </c>
      <c r="P87" s="157">
        <f t="shared" si="18"/>
        <v>0</v>
      </c>
      <c r="Q87" s="157">
        <f t="shared" si="18"/>
        <v>0</v>
      </c>
      <c r="R87" s="157">
        <f t="shared" si="18"/>
        <v>0</v>
      </c>
      <c r="S87" s="157">
        <f t="shared" si="18"/>
        <v>0</v>
      </c>
      <c r="T87" s="157">
        <f t="shared" si="18"/>
        <v>0</v>
      </c>
      <c r="U87" s="157">
        <f t="shared" si="18"/>
        <v>0</v>
      </c>
      <c r="V87" s="157">
        <f t="shared" si="18"/>
        <v>0</v>
      </c>
      <c r="W87" s="157">
        <f t="shared" si="18"/>
        <v>0</v>
      </c>
      <c r="X87" s="157">
        <f t="shared" si="18"/>
        <v>0</v>
      </c>
      <c r="Y87" s="157">
        <f t="shared" si="18"/>
        <v>0</v>
      </c>
      <c r="Z87" s="157">
        <f t="shared" si="18"/>
        <v>0</v>
      </c>
      <c r="AA87" s="157">
        <f t="shared" si="18"/>
        <v>0</v>
      </c>
      <c r="AB87" s="157">
        <f t="shared" si="18"/>
        <v>0</v>
      </c>
      <c r="AC87" s="157">
        <f>SUM(AC82:AC86)</f>
        <v>0</v>
      </c>
      <c r="AD87" s="157">
        <f>SUM(AD82:AD86)</f>
        <v>0</v>
      </c>
      <c r="AE87" s="157">
        <f>SUM(AE82:AE86)</f>
        <v>0</v>
      </c>
      <c r="AF87" s="157">
        <f>SUM(AF82:AF86)</f>
        <v>0</v>
      </c>
      <c r="AG87" s="157">
        <f>SUM(AG82:AG86)</f>
        <v>0</v>
      </c>
    </row>
    <row r="88" spans="1:33" x14ac:dyDescent="0.2">
      <c r="A88" s="6"/>
      <c r="B88" s="6"/>
      <c r="C88" s="12"/>
      <c r="D88" s="34"/>
      <c r="F88" s="120"/>
      <c r="G88" s="186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</row>
    <row r="89" spans="1:33" x14ac:dyDescent="0.2">
      <c r="A89" s="6"/>
      <c r="B89" s="6"/>
      <c r="C89" s="12"/>
      <c r="D89" s="34"/>
      <c r="F89" s="120"/>
      <c r="G89" s="186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</row>
    <row r="90" spans="1:33" x14ac:dyDescent="0.2">
      <c r="A90" s="6"/>
      <c r="B90" s="6"/>
      <c r="C90" s="205"/>
      <c r="D90" s="72"/>
      <c r="E90" s="206"/>
      <c r="F90" s="207"/>
      <c r="G90" s="20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C91" s="206"/>
      <c r="D91" s="206"/>
      <c r="E91" s="206"/>
      <c r="F91" s="206"/>
      <c r="G91" s="206"/>
    </row>
    <row r="92" spans="1:33" x14ac:dyDescent="0.2">
      <c r="C92" s="206"/>
      <c r="D92" s="206"/>
      <c r="E92" s="206"/>
      <c r="F92" s="206"/>
      <c r="G92" s="206"/>
    </row>
    <row r="94" spans="1:33" x14ac:dyDescent="0.2">
      <c r="G94" s="10"/>
    </row>
    <row r="102" spans="1:43" ht="15" x14ac:dyDescent="0.2">
      <c r="A102" s="78" t="s">
        <v>21</v>
      </c>
      <c r="B102" s="78"/>
      <c r="C102" s="78"/>
      <c r="D102" s="78"/>
      <c r="E102" s="78"/>
      <c r="F102" s="78"/>
      <c r="G102" s="180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</row>
    <row r="105" spans="1:43" x14ac:dyDescent="0.2">
      <c r="E105"/>
      <c r="F105"/>
      <c r="G105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</row>
    <row r="106" spans="1:43" x14ac:dyDescent="0.2">
      <c r="A106" s="1" t="s">
        <v>7</v>
      </c>
      <c r="C106" s="1" t="s">
        <v>132</v>
      </c>
      <c r="D106"/>
      <c r="E106"/>
      <c r="F106"/>
      <c r="G106" s="34" t="str">
        <f>PROPER($A$3)&amp;A106</f>
        <v>Option 1 (Base Case)NPV</v>
      </c>
      <c r="I106" s="28">
        <f>I87</f>
        <v>0</v>
      </c>
      <c r="J106" s="28">
        <f t="shared" ref="J106:AG106" si="19">J87</f>
        <v>0</v>
      </c>
      <c r="K106" s="28">
        <f t="shared" si="19"/>
        <v>0</v>
      </c>
      <c r="L106" s="28">
        <f t="shared" si="19"/>
        <v>0</v>
      </c>
      <c r="M106" s="28">
        <f t="shared" si="19"/>
        <v>0</v>
      </c>
      <c r="N106" s="28">
        <f t="shared" si="19"/>
        <v>0</v>
      </c>
      <c r="O106" s="28">
        <f t="shared" si="19"/>
        <v>0</v>
      </c>
      <c r="P106" s="28">
        <f t="shared" si="19"/>
        <v>0</v>
      </c>
      <c r="Q106" s="28">
        <f t="shared" si="19"/>
        <v>0</v>
      </c>
      <c r="R106" s="28">
        <f t="shared" si="19"/>
        <v>0</v>
      </c>
      <c r="S106" s="28">
        <f t="shared" si="19"/>
        <v>0</v>
      </c>
      <c r="T106" s="28">
        <f t="shared" si="19"/>
        <v>0</v>
      </c>
      <c r="U106" s="28">
        <f t="shared" si="19"/>
        <v>0</v>
      </c>
      <c r="V106" s="28">
        <f t="shared" si="19"/>
        <v>0</v>
      </c>
      <c r="W106" s="28">
        <f t="shared" si="19"/>
        <v>0</v>
      </c>
      <c r="X106" s="28">
        <f t="shared" si="19"/>
        <v>0</v>
      </c>
      <c r="Y106" s="28">
        <f t="shared" si="19"/>
        <v>0</v>
      </c>
      <c r="Z106" s="28">
        <f t="shared" si="19"/>
        <v>0</v>
      </c>
      <c r="AA106" s="28">
        <f t="shared" si="19"/>
        <v>0</v>
      </c>
      <c r="AB106" s="28">
        <f t="shared" si="19"/>
        <v>0</v>
      </c>
      <c r="AC106" s="28">
        <f t="shared" si="19"/>
        <v>0</v>
      </c>
      <c r="AD106" s="28">
        <f t="shared" si="19"/>
        <v>0</v>
      </c>
      <c r="AE106" s="28">
        <f t="shared" si="19"/>
        <v>0</v>
      </c>
      <c r="AF106" s="28">
        <f t="shared" si="19"/>
        <v>0</v>
      </c>
      <c r="AG106" s="28">
        <f t="shared" si="19"/>
        <v>0</v>
      </c>
    </row>
    <row r="107" spans="1:43" x14ac:dyDescent="0.2">
      <c r="C107" s="1" t="s">
        <v>129</v>
      </c>
      <c r="D107"/>
      <c r="E107"/>
      <c r="F107"/>
      <c r="G107"/>
      <c r="I107" s="28">
        <f>I82</f>
        <v>0</v>
      </c>
      <c r="J107" s="28">
        <f t="shared" ref="J107:AG107" si="20">J82</f>
        <v>0</v>
      </c>
      <c r="K107" s="28">
        <f t="shared" si="20"/>
        <v>0</v>
      </c>
      <c r="L107" s="28">
        <f t="shared" si="20"/>
        <v>0</v>
      </c>
      <c r="M107" s="28">
        <f t="shared" si="20"/>
        <v>0</v>
      </c>
      <c r="N107" s="28">
        <f t="shared" si="20"/>
        <v>0</v>
      </c>
      <c r="O107" s="28">
        <f t="shared" si="20"/>
        <v>0</v>
      </c>
      <c r="P107" s="28">
        <f t="shared" si="20"/>
        <v>0</v>
      </c>
      <c r="Q107" s="28">
        <f t="shared" si="20"/>
        <v>0</v>
      </c>
      <c r="R107" s="28">
        <f t="shared" si="20"/>
        <v>0</v>
      </c>
      <c r="S107" s="28">
        <f t="shared" si="20"/>
        <v>0</v>
      </c>
      <c r="T107" s="28">
        <f t="shared" si="20"/>
        <v>0</v>
      </c>
      <c r="U107" s="28">
        <f t="shared" si="20"/>
        <v>0</v>
      </c>
      <c r="V107" s="28">
        <f t="shared" si="20"/>
        <v>0</v>
      </c>
      <c r="W107" s="28">
        <f t="shared" si="20"/>
        <v>0</v>
      </c>
      <c r="X107" s="28">
        <f t="shared" si="20"/>
        <v>0</v>
      </c>
      <c r="Y107" s="28">
        <f t="shared" si="20"/>
        <v>0</v>
      </c>
      <c r="Z107" s="28">
        <f t="shared" si="20"/>
        <v>0</v>
      </c>
      <c r="AA107" s="28">
        <f t="shared" si="20"/>
        <v>0</v>
      </c>
      <c r="AB107" s="28">
        <f t="shared" si="20"/>
        <v>0</v>
      </c>
      <c r="AC107" s="28">
        <f t="shared" si="20"/>
        <v>0</v>
      </c>
      <c r="AD107" s="28">
        <f t="shared" si="20"/>
        <v>0</v>
      </c>
      <c r="AE107" s="28">
        <f t="shared" si="20"/>
        <v>0</v>
      </c>
      <c r="AF107" s="28">
        <f t="shared" si="20"/>
        <v>0</v>
      </c>
      <c r="AG107" s="28">
        <f t="shared" si="20"/>
        <v>0</v>
      </c>
    </row>
    <row r="108" spans="1:43" x14ac:dyDescent="0.2">
      <c r="C108" s="1" t="s">
        <v>86</v>
      </c>
      <c r="D108" s="224"/>
      <c r="E108" s="34"/>
      <c r="I108" s="28">
        <f>SUM(I84:I85)</f>
        <v>0</v>
      </c>
      <c r="J108" s="28">
        <f t="shared" ref="J108:AG108" si="21">SUM(J84:J85)</f>
        <v>0</v>
      </c>
      <c r="K108" s="28">
        <f t="shared" si="21"/>
        <v>0</v>
      </c>
      <c r="L108" s="28">
        <f t="shared" si="21"/>
        <v>0</v>
      </c>
      <c r="M108" s="28">
        <f t="shared" si="21"/>
        <v>0</v>
      </c>
      <c r="N108" s="28">
        <f t="shared" si="21"/>
        <v>0</v>
      </c>
      <c r="O108" s="28">
        <f t="shared" si="21"/>
        <v>0</v>
      </c>
      <c r="P108" s="28">
        <f t="shared" si="21"/>
        <v>0</v>
      </c>
      <c r="Q108" s="28">
        <f t="shared" si="21"/>
        <v>0</v>
      </c>
      <c r="R108" s="28">
        <f t="shared" si="21"/>
        <v>0</v>
      </c>
      <c r="S108" s="28">
        <f t="shared" si="21"/>
        <v>0</v>
      </c>
      <c r="T108" s="28">
        <f t="shared" si="21"/>
        <v>0</v>
      </c>
      <c r="U108" s="28">
        <f t="shared" si="21"/>
        <v>0</v>
      </c>
      <c r="V108" s="28">
        <f t="shared" si="21"/>
        <v>0</v>
      </c>
      <c r="W108" s="28">
        <f t="shared" si="21"/>
        <v>0</v>
      </c>
      <c r="X108" s="28">
        <f t="shared" si="21"/>
        <v>0</v>
      </c>
      <c r="Y108" s="28">
        <f t="shared" si="21"/>
        <v>0</v>
      </c>
      <c r="Z108" s="28">
        <f t="shared" si="21"/>
        <v>0</v>
      </c>
      <c r="AA108" s="28">
        <f t="shared" si="21"/>
        <v>0</v>
      </c>
      <c r="AB108" s="28">
        <f t="shared" si="21"/>
        <v>0</v>
      </c>
      <c r="AC108" s="28">
        <f t="shared" si="21"/>
        <v>0</v>
      </c>
      <c r="AD108" s="28">
        <f t="shared" si="21"/>
        <v>0</v>
      </c>
      <c r="AE108" s="28">
        <f t="shared" si="21"/>
        <v>0</v>
      </c>
      <c r="AF108" s="28">
        <f t="shared" si="21"/>
        <v>0</v>
      </c>
      <c r="AG108" s="28">
        <f t="shared" si="21"/>
        <v>0</v>
      </c>
    </row>
    <row r="109" spans="1:43" x14ac:dyDescent="0.2">
      <c r="D109" s="256" t="str">
        <f>Assumptions!G99</f>
        <v>Capex</v>
      </c>
      <c r="E109" s="256" t="str">
        <f>Assumptions!H99</f>
        <v>Total benefits</v>
      </c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</row>
    <row r="110" spans="1:43" x14ac:dyDescent="0.2">
      <c r="A110" s="1" t="str">
        <f>"sens"&amp;Assumptions!B100</f>
        <v>sens1</v>
      </c>
      <c r="C110" s="255" t="str">
        <f>Assumptions!C100</f>
        <v>Capex 10% higher</v>
      </c>
      <c r="D110" s="256">
        <f>Assumptions!G100</f>
        <v>0.1</v>
      </c>
      <c r="E110" s="256">
        <f>Assumptions!H100</f>
        <v>0</v>
      </c>
      <c r="G110" s="34" t="str">
        <f>PROPER($A$3)&amp;A110</f>
        <v>Option 1 (Base Case)sens1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2">
      <c r="A111" s="1" t="str">
        <f>"sens"&amp;Assumptions!B101</f>
        <v>sens2</v>
      </c>
      <c r="C111" s="255" t="str">
        <f>Assumptions!C101</f>
        <v>Capex 10% lower</v>
      </c>
      <c r="D111" s="256">
        <f>Assumptions!G101</f>
        <v>-0.1</v>
      </c>
      <c r="E111" s="256">
        <f>Assumptions!H101</f>
        <v>0</v>
      </c>
      <c r="G111" s="34" t="str">
        <f t="shared" ref="G111:G117" si="22">PROPER($A$3)&amp;A111</f>
        <v>Option 1 (Base Case)sens2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2">
      <c r="A112" s="1" t="str">
        <f>"sens"&amp;Assumptions!B102</f>
        <v>sens3</v>
      </c>
      <c r="C112" s="255" t="str">
        <f>Assumptions!C102</f>
        <v>Total benefits 10% higher</v>
      </c>
      <c r="D112" s="256">
        <f>Assumptions!G102</f>
        <v>0</v>
      </c>
      <c r="E112" s="256">
        <f>Assumptions!H102</f>
        <v>0.1</v>
      </c>
      <c r="G112" s="34" t="str">
        <f t="shared" si="22"/>
        <v>Option 1 (Base Case)sens3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2">
      <c r="A113" s="1" t="str">
        <f>"sens"&amp;Assumptions!B103</f>
        <v>sens4</v>
      </c>
      <c r="C113" s="255" t="str">
        <f>Assumptions!C103</f>
        <v>Total benefits 10% lower</v>
      </c>
      <c r="D113" s="256">
        <f>Assumptions!G103</f>
        <v>0</v>
      </c>
      <c r="E113" s="256">
        <f>Assumptions!H103</f>
        <v>-0.1</v>
      </c>
      <c r="G113" s="34" t="str">
        <f t="shared" si="22"/>
        <v>Option 1 (Base Case)sens4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2">
      <c r="A114" s="1" t="str">
        <f>"sens"&amp;Assumptions!B104</f>
        <v>sens5</v>
      </c>
      <c r="C114" s="255" t="str">
        <f>Assumptions!C104</f>
        <v>Capex 10% higher &amp; Total benefits 10% lower</v>
      </c>
      <c r="D114" s="256">
        <f>Assumptions!G104</f>
        <v>0.1</v>
      </c>
      <c r="E114" s="256">
        <f>Assumptions!H104</f>
        <v>-0.1</v>
      </c>
      <c r="G114" s="34" t="str">
        <f t="shared" si="22"/>
        <v>Option 1 (Base Case)sens5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2">
      <c r="A115" s="1" t="str">
        <f>"sens"&amp;Assumptions!B105</f>
        <v>sens</v>
      </c>
      <c r="C115" s="255">
        <f>Assumptions!C105</f>
        <v>0</v>
      </c>
      <c r="D115" s="256">
        <f>Assumptions!G105</f>
        <v>0</v>
      </c>
      <c r="E115" s="256">
        <f>Assumptions!H105</f>
        <v>0</v>
      </c>
      <c r="G115" s="34" t="str">
        <f t="shared" si="22"/>
        <v>Option 1 (Base Case)sens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2">
      <c r="A116" s="1" t="str">
        <f>"sens"&amp;Assumptions!B106</f>
        <v>sens</v>
      </c>
      <c r="C116" s="255">
        <f>Assumptions!C106</f>
        <v>0</v>
      </c>
      <c r="D116" s="256">
        <f>Assumptions!G106</f>
        <v>0</v>
      </c>
      <c r="E116" s="256">
        <f>Assumptions!H106</f>
        <v>0</v>
      </c>
      <c r="G116" s="34" t="str">
        <f t="shared" si="22"/>
        <v>Option 1 (Base Case)sens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2">
      <c r="A117" s="1" t="str">
        <f>"sens"&amp;Assumptions!B107</f>
        <v>sens</v>
      </c>
      <c r="C117" s="255">
        <f>Assumptions!C107</f>
        <v>0</v>
      </c>
      <c r="D117" s="256">
        <f>Assumptions!G107</f>
        <v>0</v>
      </c>
      <c r="E117" s="256">
        <f>Assumptions!H107</f>
        <v>0</v>
      </c>
      <c r="G117" s="34" t="str">
        <f t="shared" si="22"/>
        <v>Option 1 (Base Case)sens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3" priority="12">
      <formula>AND(SUM($I14:$AB14)&lt;&gt;0, E14=0)</formula>
    </cfRule>
  </conditionalFormatting>
  <conditionalFormatting sqref="E28">
    <cfRule type="expression" dxfId="12" priority="239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AA9D-F89B-4B5B-91A1-7D8DFA0D370D}">
  <sheetPr codeName="Sheet7">
    <tabColor rgb="FF0099FF"/>
  </sheetPr>
  <dimension ref="A1:XER136"/>
  <sheetViews>
    <sheetView showGridLines="0" zoomScale="90" zoomScaleNormal="90" workbookViewId="0">
      <pane xSplit="4" ySplit="11" topLeftCell="E12" activePane="bottomRight" state="frozen"/>
      <selection pane="topRight" activeCell="E1" sqref="E1"/>
      <selection pane="bottomLeft" activeCell="A12" sqref="A12"/>
      <selection pane="bottomRight" activeCell="L14" sqref="L14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Horsham REFCL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9" t="s">
        <v>133</v>
      </c>
      <c r="B3" s="5"/>
      <c r="C3" s="315" t="str">
        <f>INDEX(Assumptions!$E$14:$E$18, MATCH(A3,_xlfn.ANCHORARRAY( Assumptions!$C$14),0))</f>
        <v>Install Single REFCL at HSM ZSS in 2029-30</v>
      </c>
    </row>
    <row r="4" spans="1:43" x14ac:dyDescent="0.2">
      <c r="A4" s="1" t="str">
        <f>(INDEX(Data!$D$9:$D$13, MATCH(A3, options,0)))</f>
        <v/>
      </c>
      <c r="B4" s="165"/>
      <c r="C4" s="213"/>
    </row>
    <row r="5" spans="1:43" hidden="1" outlineLevel="1" x14ac:dyDescent="0.2">
      <c r="C5" s="86"/>
      <c r="D5" s="85"/>
      <c r="E5" s="87"/>
      <c r="F5" s="87"/>
      <c r="G5" s="85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tr">
        <f>'Option1 (base case)'!A6</f>
        <v>Count</v>
      </c>
      <c r="B6" s="85"/>
      <c r="C6" s="86"/>
      <c r="D6" s="85"/>
      <c r="E6" s="87"/>
      <c r="F6" s="87"/>
      <c r="G6" s="85"/>
      <c r="H6" s="88"/>
      <c r="I6" s="88">
        <f>'Option1 (base case)'!I6</f>
        <v>1</v>
      </c>
      <c r="J6" s="88">
        <f>'Option1 (base case)'!J6</f>
        <v>2</v>
      </c>
      <c r="K6" s="88">
        <f>'Option1 (base case)'!K6</f>
        <v>3</v>
      </c>
      <c r="L6" s="88">
        <f>'Option1 (base case)'!L6</f>
        <v>4</v>
      </c>
      <c r="M6" s="88">
        <f>'Option1 (base case)'!M6</f>
        <v>5</v>
      </c>
      <c r="N6" s="88">
        <f>'Option1 (base case)'!N6</f>
        <v>6</v>
      </c>
      <c r="O6" s="88">
        <f>'Option1 (base case)'!O6</f>
        <v>7</v>
      </c>
      <c r="P6" s="88">
        <f>'Option1 (base case)'!P6</f>
        <v>8</v>
      </c>
      <c r="Q6" s="88">
        <f>'Option1 (base case)'!Q6</f>
        <v>9</v>
      </c>
      <c r="R6" s="88">
        <f>'Option1 (base case)'!R6</f>
        <v>10</v>
      </c>
      <c r="S6" s="88">
        <f>'Option1 (base case)'!S6</f>
        <v>11</v>
      </c>
      <c r="T6" s="88">
        <f>'Option1 (base case)'!T6</f>
        <v>12</v>
      </c>
      <c r="U6" s="88">
        <f>'Option1 (base case)'!U6</f>
        <v>13</v>
      </c>
      <c r="V6" s="88">
        <f>'Option1 (base case)'!V6</f>
        <v>14</v>
      </c>
      <c r="W6" s="88">
        <f>'Option1 (base case)'!W6</f>
        <v>15</v>
      </c>
      <c r="X6" s="88">
        <f>'Option1 (base case)'!X6</f>
        <v>16</v>
      </c>
      <c r="Y6" s="88">
        <f>'Option1 (base case)'!Y6</f>
        <v>17</v>
      </c>
      <c r="Z6" s="88">
        <f>'Option1 (base case)'!Z6</f>
        <v>18</v>
      </c>
      <c r="AA6" s="88">
        <f>'Option1 (base case)'!AA6</f>
        <v>19</v>
      </c>
      <c r="AB6" s="88">
        <f>'Option1 (base case)'!AB6</f>
        <v>20</v>
      </c>
      <c r="AC6" s="88">
        <f>'Option1 (base case)'!AC6</f>
        <v>21</v>
      </c>
      <c r="AD6" s="88">
        <f>'Option1 (base case)'!AD6</f>
        <v>22</v>
      </c>
      <c r="AE6" s="88">
        <f>'Option1 (base case)'!AE6</f>
        <v>23</v>
      </c>
      <c r="AF6" s="88">
        <f>'Option1 (base case)'!AF6</f>
        <v>24</v>
      </c>
      <c r="AG6" s="88">
        <f>'Option1 (base case)'!AG6</f>
        <v>25</v>
      </c>
    </row>
    <row r="7" spans="1:43" hidden="1" outlineLevel="1" x14ac:dyDescent="0.2">
      <c r="A7" s="85" t="str">
        <f>'Option1 (base case)'!A7</f>
        <v>Value of CO2 reductions</v>
      </c>
      <c r="B7" s="85"/>
      <c r="G7" s="139" t="s">
        <v>90</v>
      </c>
      <c r="I7" s="86">
        <f>'Option1 (base case)'!I7</f>
        <v>24.730486797759085</v>
      </c>
      <c r="J7" s="86">
        <f>'Option1 (base case)'!J7</f>
        <v>22.340740091772258</v>
      </c>
      <c r="K7" s="86">
        <f>'Option1 (base case)'!K7</f>
        <v>20.196329122153124</v>
      </c>
      <c r="L7" s="86">
        <f>'Option1 (base case)'!L7</f>
        <v>18.06294207659629</v>
      </c>
      <c r="M7" s="86">
        <f>'Option1 (base case)'!M7</f>
        <v>15.913397615084225</v>
      </c>
      <c r="N7" s="86">
        <f>'Option1 (base case)'!N7</f>
        <v>13.715069432539002</v>
      </c>
      <c r="O7" s="86">
        <f>'Option1 (base case)'!O7</f>
        <v>13.715069432539002</v>
      </c>
      <c r="P7" s="86">
        <f>'Option1 (base case)'!P7</f>
        <v>13.715069432539002</v>
      </c>
      <c r="Q7" s="86">
        <f>'Option1 (base case)'!Q7</f>
        <v>13.715069432539002</v>
      </c>
      <c r="R7" s="86">
        <f>'Option1 (base case)'!R7</f>
        <v>13.715069432539002</v>
      </c>
      <c r="S7" s="86">
        <f>'Option1 (base case)'!S7</f>
        <v>13.715069432539002</v>
      </c>
      <c r="T7" s="86">
        <f>'Option1 (base case)'!T7</f>
        <v>13.715069432539002</v>
      </c>
      <c r="U7" s="86">
        <f>'Option1 (base case)'!U7</f>
        <v>13.715069432539002</v>
      </c>
      <c r="V7" s="86">
        <f>'Option1 (base case)'!V7</f>
        <v>13.715069432539002</v>
      </c>
      <c r="W7" s="86">
        <f>'Option1 (base case)'!W7</f>
        <v>13.715069432539002</v>
      </c>
      <c r="X7" s="86">
        <f>'Option1 (base case)'!X7</f>
        <v>13.715069432539002</v>
      </c>
      <c r="Y7" s="86">
        <f>'Option1 (base case)'!Y7</f>
        <v>13.715069432539002</v>
      </c>
      <c r="Z7" s="86">
        <f>'Option1 (base case)'!Z7</f>
        <v>13.715069432539002</v>
      </c>
      <c r="AA7" s="86">
        <f>'Option1 (base case)'!AA7</f>
        <v>13.715069432539002</v>
      </c>
      <c r="AB7" s="86">
        <f>'Option1 (base case)'!AB7</f>
        <v>13.715069432539002</v>
      </c>
      <c r="AC7" s="86">
        <f>'Option1 (base case)'!AC7</f>
        <v>13.715069432539002</v>
      </c>
      <c r="AD7" s="86">
        <f>'Option1 (base case)'!AD7</f>
        <v>13.715069432539002</v>
      </c>
      <c r="AE7" s="86">
        <f>'Option1 (base case)'!AE7</f>
        <v>13.715069432539002</v>
      </c>
      <c r="AF7" s="86">
        <f>'Option1 (base case)'!AF7</f>
        <v>13.715069432539002</v>
      </c>
      <c r="AG7" s="86">
        <f>'Option1 (base case)'!AG7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6"/>
      <c r="B9" s="16"/>
      <c r="C9" s="16"/>
      <c r="D9" s="16"/>
      <c r="E9" s="16"/>
      <c r="F9" s="122"/>
      <c r="G9" s="16" t="s">
        <v>91</v>
      </c>
      <c r="H9" s="195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92</v>
      </c>
      <c r="B11" s="78"/>
      <c r="C11" s="79"/>
      <c r="D11" s="79"/>
      <c r="E11" s="79"/>
      <c r="F11" s="79"/>
      <c r="G11" s="18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</row>
    <row r="12" spans="1:43" x14ac:dyDescent="0.2">
      <c r="A12" s="3"/>
      <c r="B12" s="3"/>
      <c r="C12" s="3"/>
      <c r="D12" s="3"/>
      <c r="G12" s="181"/>
    </row>
    <row r="13" spans="1:43" x14ac:dyDescent="0.2">
      <c r="C13" s="3" t="s">
        <v>85</v>
      </c>
      <c r="D13"/>
      <c r="E13" s="105" t="s">
        <v>93</v>
      </c>
      <c r="G13" s="182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6</v>
      </c>
      <c r="D14"/>
      <c r="E14" s="128">
        <v>30</v>
      </c>
      <c r="G14" s="183">
        <f>input_dollars</f>
        <v>45291</v>
      </c>
      <c r="H14" s="129"/>
      <c r="I14" s="29">
        <f>Workings_costs!E23</f>
        <v>0</v>
      </c>
      <c r="J14" s="29">
        <f>Workings_costs!F23</f>
        <v>0</v>
      </c>
      <c r="K14" s="29">
        <f>Workings_costs!G23</f>
        <v>0</v>
      </c>
      <c r="L14" s="29">
        <f>Workings_costs!H23</f>
        <v>8236093.1280465275</v>
      </c>
      <c r="M14" s="29">
        <f>Workings_costs!I23</f>
        <v>8236093.1280465275</v>
      </c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/>
      <c r="D15"/>
      <c r="E15" s="128">
        <v>0</v>
      </c>
      <c r="G15" s="183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/>
      <c r="D16"/>
      <c r="E16" s="128">
        <v>0</v>
      </c>
      <c r="G16" s="183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17</v>
      </c>
      <c r="G17" s="183">
        <f>input_dollars</f>
        <v>45291</v>
      </c>
      <c r="H17" s="94"/>
      <c r="I17" s="93">
        <f>SUM(I14:I16)</f>
        <v>0</v>
      </c>
      <c r="J17" s="93">
        <f>SUM(J14:J16)</f>
        <v>0</v>
      </c>
      <c r="K17" s="93">
        <f t="shared" ref="K17:Q17" si="0">SUM(K14:K16)</f>
        <v>0</v>
      </c>
      <c r="L17" s="93">
        <f t="shared" si="0"/>
        <v>8236093.1280465275</v>
      </c>
      <c r="M17" s="93">
        <f t="shared" si="0"/>
        <v>8236093.1280465275</v>
      </c>
      <c r="N17" s="93">
        <f t="shared" si="0"/>
        <v>0</v>
      </c>
      <c r="O17" s="93">
        <f t="shared" si="0"/>
        <v>0</v>
      </c>
      <c r="P17" s="93">
        <f t="shared" si="0"/>
        <v>0</v>
      </c>
      <c r="Q17" s="93">
        <f t="shared" si="0"/>
        <v>0</v>
      </c>
      <c r="R17" s="93">
        <f t="shared" ref="R17:AG17" si="1">SUM(R14:R16)</f>
        <v>0</v>
      </c>
      <c r="S17" s="93">
        <f t="shared" si="1"/>
        <v>0</v>
      </c>
      <c r="T17" s="93">
        <f t="shared" si="1"/>
        <v>0</v>
      </c>
      <c r="U17" s="93">
        <f t="shared" si="1"/>
        <v>0</v>
      </c>
      <c r="V17" s="93">
        <f t="shared" si="1"/>
        <v>0</v>
      </c>
      <c r="W17" s="93">
        <f t="shared" si="1"/>
        <v>0</v>
      </c>
      <c r="X17" s="93">
        <f t="shared" si="1"/>
        <v>0</v>
      </c>
      <c r="Y17" s="93">
        <f t="shared" si="1"/>
        <v>0</v>
      </c>
      <c r="Z17" s="93">
        <f t="shared" si="1"/>
        <v>0</v>
      </c>
      <c r="AA17" s="93">
        <f t="shared" si="1"/>
        <v>0</v>
      </c>
      <c r="AB17" s="93">
        <f t="shared" si="1"/>
        <v>0</v>
      </c>
      <c r="AC17" s="93">
        <f t="shared" si="1"/>
        <v>0</v>
      </c>
      <c r="AD17" s="93">
        <f t="shared" si="1"/>
        <v>0</v>
      </c>
      <c r="AE17" s="93">
        <f t="shared" si="1"/>
        <v>0</v>
      </c>
      <c r="AF17" s="93">
        <f t="shared" si="1"/>
        <v>0</v>
      </c>
      <c r="AG17" s="93">
        <f t="shared" si="1"/>
        <v>0</v>
      </c>
    </row>
    <row r="18" spans="1:43" x14ac:dyDescent="0.2">
      <c r="C18"/>
      <c r="D18"/>
      <c r="E18"/>
      <c r="G18" s="182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18</v>
      </c>
      <c r="D19"/>
      <c r="E19"/>
      <c r="F19" s="94"/>
      <c r="G19" s="183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2">
      <c r="G20" s="181"/>
    </row>
    <row r="21" spans="1:43" x14ac:dyDescent="0.2">
      <c r="C21"/>
      <c r="D21"/>
      <c r="E21"/>
      <c r="G21" s="182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95</v>
      </c>
      <c r="B22" s="78"/>
      <c r="C22" s="78"/>
      <c r="D22" s="78"/>
      <c r="E22" s="78"/>
      <c r="F22" s="78"/>
      <c r="G22" s="180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4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96</v>
      </c>
      <c r="D24" s="98"/>
      <c r="E24" s="98"/>
      <c r="F24" s="98"/>
      <c r="G24" s="184"/>
      <c r="H24" s="98"/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48">
        <v>0</v>
      </c>
      <c r="P24" s="148">
        <v>0</v>
      </c>
      <c r="Q24" s="148">
        <v>0</v>
      </c>
      <c r="R24" s="148">
        <v>0</v>
      </c>
      <c r="S24" s="148">
        <v>0</v>
      </c>
      <c r="T24" s="148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  <c r="AG24" s="148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97</v>
      </c>
      <c r="D25" s="184"/>
      <c r="E25" s="98"/>
      <c r="F25" s="98"/>
      <c r="G25" s="184"/>
      <c r="H25" s="98"/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48">
        <v>0</v>
      </c>
      <c r="P25" s="148">
        <v>0</v>
      </c>
      <c r="Q25" s="148">
        <v>0</v>
      </c>
      <c r="R25" s="148">
        <v>0</v>
      </c>
      <c r="S25" s="148">
        <v>0</v>
      </c>
      <c r="T25" s="148">
        <v>0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E25" s="148">
        <v>0</v>
      </c>
      <c r="AF25" s="148">
        <v>0</v>
      </c>
      <c r="AG25" s="148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4"/>
      <c r="E26" s="98"/>
      <c r="F26" s="98"/>
      <c r="G26" s="184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98</v>
      </c>
      <c r="D27" s="181"/>
      <c r="E27"/>
      <c r="G27" s="183" t="s">
        <v>99</v>
      </c>
      <c r="H27"/>
      <c r="I27" s="147">
        <v>0</v>
      </c>
      <c r="J27" s="147">
        <v>0</v>
      </c>
      <c r="K27" s="147">
        <v>0</v>
      </c>
      <c r="L27" s="147">
        <v>0</v>
      </c>
      <c r="M27" s="147">
        <v>0</v>
      </c>
      <c r="N27" s="147">
        <v>0</v>
      </c>
      <c r="O27" s="147">
        <v>0</v>
      </c>
      <c r="P27" s="147">
        <v>0</v>
      </c>
      <c r="Q27" s="147">
        <v>0</v>
      </c>
      <c r="R27" s="147">
        <v>0</v>
      </c>
      <c r="S27" s="147">
        <v>0</v>
      </c>
      <c r="T27" s="147">
        <v>0</v>
      </c>
      <c r="U27" s="147">
        <v>0</v>
      </c>
      <c r="V27" s="147">
        <v>0</v>
      </c>
      <c r="W27" s="147">
        <v>0</v>
      </c>
      <c r="X27" s="147">
        <v>0</v>
      </c>
      <c r="Y27" s="147">
        <v>0</v>
      </c>
      <c r="Z27" s="147">
        <v>0</v>
      </c>
      <c r="AA27" s="147">
        <v>0</v>
      </c>
      <c r="AB27" s="147">
        <v>0</v>
      </c>
      <c r="AC27" s="147">
        <v>0</v>
      </c>
      <c r="AD27" s="147">
        <v>0</v>
      </c>
      <c r="AE27" s="147">
        <v>0</v>
      </c>
      <c r="AF27" s="147">
        <v>0</v>
      </c>
      <c r="AG27" s="147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100</v>
      </c>
      <c r="D28" s="181" t="s">
        <v>90</v>
      </c>
      <c r="E28" s="100">
        <f>Assumptions!H41*vcr_esc</f>
        <v>34455.236243920997</v>
      </c>
      <c r="F28" s="213" t="str">
        <f>IF(AND(SUM(I27:AG27)&lt;&gt;0, E28=0), "!", "")</f>
        <v/>
      </c>
      <c r="G28" s="183">
        <f>input_dollars</f>
        <v>45291</v>
      </c>
      <c r="H28"/>
      <c r="I28" s="92">
        <f>I27*$E$28</f>
        <v>0</v>
      </c>
      <c r="J28" s="92">
        <f t="shared" ref="J28:AG28" si="2">J27*$E$28</f>
        <v>0</v>
      </c>
      <c r="K28" s="92">
        <f t="shared" si="2"/>
        <v>0</v>
      </c>
      <c r="L28" s="92">
        <f t="shared" si="2"/>
        <v>0</v>
      </c>
      <c r="M28" s="92">
        <f t="shared" si="2"/>
        <v>0</v>
      </c>
      <c r="N28" s="92">
        <f t="shared" si="2"/>
        <v>0</v>
      </c>
      <c r="O28" s="92">
        <f t="shared" si="2"/>
        <v>0</v>
      </c>
      <c r="P28" s="92">
        <f t="shared" si="2"/>
        <v>0</v>
      </c>
      <c r="Q28" s="92">
        <f t="shared" si="2"/>
        <v>0</v>
      </c>
      <c r="R28" s="92">
        <f t="shared" si="2"/>
        <v>0</v>
      </c>
      <c r="S28" s="92">
        <f t="shared" si="2"/>
        <v>0</v>
      </c>
      <c r="T28" s="92">
        <f t="shared" si="2"/>
        <v>0</v>
      </c>
      <c r="U28" s="92">
        <f t="shared" si="2"/>
        <v>0</v>
      </c>
      <c r="V28" s="92">
        <f t="shared" si="2"/>
        <v>0</v>
      </c>
      <c r="W28" s="92">
        <f t="shared" si="2"/>
        <v>0</v>
      </c>
      <c r="X28" s="92">
        <f t="shared" si="2"/>
        <v>0</v>
      </c>
      <c r="Y28" s="92">
        <f t="shared" si="2"/>
        <v>0</v>
      </c>
      <c r="Z28" s="92">
        <f t="shared" si="2"/>
        <v>0</v>
      </c>
      <c r="AA28" s="92">
        <f t="shared" si="2"/>
        <v>0</v>
      </c>
      <c r="AB28" s="92">
        <f t="shared" si="2"/>
        <v>0</v>
      </c>
      <c r="AC28" s="92">
        <f t="shared" si="2"/>
        <v>0</v>
      </c>
      <c r="AD28" s="92">
        <f t="shared" si="2"/>
        <v>0</v>
      </c>
      <c r="AE28" s="92">
        <f t="shared" si="2"/>
        <v>0</v>
      </c>
      <c r="AF28" s="92">
        <f t="shared" si="2"/>
        <v>0</v>
      </c>
      <c r="AG28" s="92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2"/>
      <c r="E29"/>
      <c r="G29" s="183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101</v>
      </c>
      <c r="D30" s="181" t="s">
        <v>102</v>
      </c>
      <c r="G30" s="183">
        <f>input_dollars</f>
        <v>45291</v>
      </c>
      <c r="H30" s="129"/>
      <c r="I30" s="29">
        <f>Workings_risks!F43</f>
        <v>805182.28622779658</v>
      </c>
      <c r="J30" s="29">
        <f>Workings_risks!G43</f>
        <v>805182.28622779658</v>
      </c>
      <c r="K30" s="29">
        <f>Workings_risks!H43</f>
        <v>805182.28622779658</v>
      </c>
      <c r="L30" s="29">
        <f>Workings_risks!I43</f>
        <v>805182.28622779658</v>
      </c>
      <c r="M30" s="29">
        <f>Workings_risks!J43</f>
        <v>805182.28622779658</v>
      </c>
      <c r="N30" s="29">
        <f>Workings_risks!K43</f>
        <v>552677.12126675958</v>
      </c>
      <c r="O30" s="29">
        <f>Workings_risks!L43</f>
        <v>552677.12126675958</v>
      </c>
      <c r="P30" s="29">
        <f>Workings_risks!M43</f>
        <v>552677.12126675958</v>
      </c>
      <c r="Q30" s="29">
        <f>Workings_risks!N43</f>
        <v>552677.12126675958</v>
      </c>
      <c r="R30" s="29">
        <f>Workings_risks!O43</f>
        <v>552677.12126675958</v>
      </c>
      <c r="S30" s="29">
        <f>Workings_risks!P43</f>
        <v>552677.12126675958</v>
      </c>
      <c r="T30" s="29">
        <f>Workings_risks!Q43</f>
        <v>552677.12126675958</v>
      </c>
      <c r="U30" s="29">
        <f>Workings_risks!R43</f>
        <v>552677.12126675958</v>
      </c>
      <c r="V30" s="29">
        <f>Workings_risks!S43</f>
        <v>552677.12126675958</v>
      </c>
      <c r="W30" s="29">
        <f>Workings_risks!T43</f>
        <v>552677.12126675958</v>
      </c>
      <c r="X30" s="29">
        <f>Workings_risks!U43</f>
        <v>552677.12126675958</v>
      </c>
      <c r="Y30" s="29">
        <f>Workings_risks!V43</f>
        <v>552677.12126675958</v>
      </c>
      <c r="Z30" s="29">
        <f>Workings_risks!W43</f>
        <v>552677.12126675958</v>
      </c>
      <c r="AA30" s="29">
        <f>Workings_risks!X43</f>
        <v>552677.12126675958</v>
      </c>
      <c r="AB30" s="29">
        <f>Workings_risks!Y43</f>
        <v>552677.12126675958</v>
      </c>
      <c r="AC30" s="29">
        <f>Workings_risks!Z43</f>
        <v>552677.12126675958</v>
      </c>
      <c r="AD30" s="29">
        <f>Workings_risks!AA43</f>
        <v>552677.12126675958</v>
      </c>
      <c r="AE30" s="29">
        <f>Workings_risks!AB43</f>
        <v>552677.12126675958</v>
      </c>
      <c r="AF30" s="29">
        <f>Workings_risks!AC43</f>
        <v>552677.12126675958</v>
      </c>
      <c r="AG30" s="29">
        <f>Workings_risks!AD43</f>
        <v>552677.12126675958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103</v>
      </c>
      <c r="D31" s="182"/>
      <c r="E31"/>
      <c r="G31" s="183">
        <f>input_dollars</f>
        <v>45291</v>
      </c>
      <c r="H31" s="129"/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  <c r="AE31" s="29">
        <v>0</v>
      </c>
      <c r="AF31" s="29">
        <v>0</v>
      </c>
      <c r="AG31" s="29"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104</v>
      </c>
      <c r="D32" s="181" t="s">
        <v>102</v>
      </c>
      <c r="E32"/>
      <c r="G32" s="183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  <c r="AE32" s="29">
        <v>0</v>
      </c>
      <c r="AF32" s="29">
        <v>0</v>
      </c>
      <c r="AG32" s="29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51" t="s">
        <v>105</v>
      </c>
      <c r="D33" s="194"/>
      <c r="E33"/>
      <c r="G33" s="183">
        <f>input_dollars</f>
        <v>45291</v>
      </c>
      <c r="H33"/>
      <c r="I33" s="29">
        <f>Workings_risks!F42</f>
        <v>2151611.1790454965</v>
      </c>
      <c r="J33" s="29">
        <f>Workings_risks!G42</f>
        <v>2151611.1790454965</v>
      </c>
      <c r="K33" s="29">
        <f>Workings_risks!H42</f>
        <v>2151611.1790454965</v>
      </c>
      <c r="L33" s="29">
        <f>Workings_risks!I42</f>
        <v>2151611.1790454965</v>
      </c>
      <c r="M33" s="29">
        <f>Workings_risks!J42</f>
        <v>2151611.1790454965</v>
      </c>
      <c r="N33" s="29">
        <f>Workings_risks!K42</f>
        <v>1075805.5895227483</v>
      </c>
      <c r="O33" s="29">
        <f>Workings_risks!L42</f>
        <v>1075805.5895227483</v>
      </c>
      <c r="P33" s="29">
        <f>Workings_risks!M42</f>
        <v>1075805.5895227483</v>
      </c>
      <c r="Q33" s="29">
        <f>Workings_risks!N42</f>
        <v>1075805.5895227483</v>
      </c>
      <c r="R33" s="29">
        <f>Workings_risks!O42</f>
        <v>1075805.5895227483</v>
      </c>
      <c r="S33" s="29">
        <f>Workings_risks!P42</f>
        <v>1075805.5895227483</v>
      </c>
      <c r="T33" s="29">
        <f>Workings_risks!Q42</f>
        <v>1075805.5895227483</v>
      </c>
      <c r="U33" s="29">
        <f>Workings_risks!R42</f>
        <v>1075805.5895227483</v>
      </c>
      <c r="V33" s="29">
        <f>Workings_risks!S42</f>
        <v>1075805.5895227483</v>
      </c>
      <c r="W33" s="29">
        <f>Workings_risks!T42</f>
        <v>1075805.5895227483</v>
      </c>
      <c r="X33" s="29">
        <f>Workings_risks!U42</f>
        <v>1075805.5895227483</v>
      </c>
      <c r="Y33" s="29">
        <f>Workings_risks!V42</f>
        <v>1075805.5895227483</v>
      </c>
      <c r="Z33" s="29">
        <f>Workings_risks!W42</f>
        <v>1075805.5895227483</v>
      </c>
      <c r="AA33" s="29">
        <f>Workings_risks!X42</f>
        <v>1075805.5895227483</v>
      </c>
      <c r="AB33" s="29">
        <f>Workings_risks!Y42</f>
        <v>1075805.5895227483</v>
      </c>
      <c r="AC33" s="29">
        <f>Workings_risks!Z42</f>
        <v>1075805.5895227483</v>
      </c>
      <c r="AD33" s="29">
        <f>Workings_risks!AA42</f>
        <v>1075805.5895227483</v>
      </c>
      <c r="AE33" s="29">
        <f>Workings_risks!AB42</f>
        <v>1075805.5895227483</v>
      </c>
      <c r="AF33" s="29">
        <f>Workings_risks!AC42</f>
        <v>1075805.5895227483</v>
      </c>
      <c r="AG33" s="29">
        <f>Workings_risks!AD42</f>
        <v>1075805.5895227483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51" t="s">
        <v>106</v>
      </c>
      <c r="D34" s="182"/>
      <c r="E34"/>
      <c r="G34" s="183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2"/>
      <c r="E35"/>
      <c r="G35" s="183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5</v>
      </c>
      <c r="D36" s="193"/>
      <c r="E36" s="94"/>
      <c r="F36" s="3"/>
      <c r="G36" s="185"/>
      <c r="H36" s="94"/>
      <c r="I36" s="95">
        <f>SUM(I28:I34)</f>
        <v>2956793.4652732932</v>
      </c>
      <c r="J36" s="95">
        <f t="shared" ref="J36:AG36" si="3">SUM(J28:J34)</f>
        <v>2956793.4652732932</v>
      </c>
      <c r="K36" s="95">
        <f t="shared" si="3"/>
        <v>2956793.4652732932</v>
      </c>
      <c r="L36" s="95">
        <f t="shared" si="3"/>
        <v>2956793.4652732932</v>
      </c>
      <c r="M36" s="95">
        <f t="shared" si="3"/>
        <v>2956793.4652732932</v>
      </c>
      <c r="N36" s="95">
        <f t="shared" si="3"/>
        <v>1628482.7107895077</v>
      </c>
      <c r="O36" s="95">
        <f t="shared" si="3"/>
        <v>1628482.7107895077</v>
      </c>
      <c r="P36" s="95">
        <f t="shared" si="3"/>
        <v>1628482.7107895077</v>
      </c>
      <c r="Q36" s="95">
        <f t="shared" si="3"/>
        <v>1628482.7107895077</v>
      </c>
      <c r="R36" s="95">
        <f t="shared" si="3"/>
        <v>1628482.7107895077</v>
      </c>
      <c r="S36" s="95">
        <f t="shared" si="3"/>
        <v>1628482.7107895077</v>
      </c>
      <c r="T36" s="95">
        <f t="shared" si="3"/>
        <v>1628482.7107895077</v>
      </c>
      <c r="U36" s="95">
        <f t="shared" si="3"/>
        <v>1628482.7107895077</v>
      </c>
      <c r="V36" s="95">
        <f t="shared" si="3"/>
        <v>1628482.7107895077</v>
      </c>
      <c r="W36" s="95">
        <f t="shared" si="3"/>
        <v>1628482.7107895077</v>
      </c>
      <c r="X36" s="95">
        <f t="shared" si="3"/>
        <v>1628482.7107895077</v>
      </c>
      <c r="Y36" s="95">
        <f t="shared" si="3"/>
        <v>1628482.7107895077</v>
      </c>
      <c r="Z36" s="95">
        <f t="shared" si="3"/>
        <v>1628482.7107895077</v>
      </c>
      <c r="AA36" s="95">
        <f t="shared" si="3"/>
        <v>1628482.7107895077</v>
      </c>
      <c r="AB36" s="95">
        <f t="shared" si="3"/>
        <v>1628482.7107895077</v>
      </c>
      <c r="AC36" s="95">
        <f t="shared" si="3"/>
        <v>1628482.7107895077</v>
      </c>
      <c r="AD36" s="95">
        <f t="shared" si="3"/>
        <v>1628482.7107895077</v>
      </c>
      <c r="AE36" s="95">
        <f t="shared" si="3"/>
        <v>1628482.7107895077</v>
      </c>
      <c r="AF36" s="95">
        <f t="shared" si="3"/>
        <v>1628482.7107895077</v>
      </c>
      <c r="AG36" s="95">
        <f t="shared" si="3"/>
        <v>1628482.7107895077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3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107</v>
      </c>
      <c r="B38" s="78"/>
      <c r="C38" s="78"/>
      <c r="D38" s="78"/>
      <c r="E38" s="78"/>
      <c r="F38" s="78"/>
      <c r="G38" s="180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3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3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108</v>
      </c>
      <c r="G41" s="181" t="s">
        <v>99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25">
      <c r="C42" s="1" t="s">
        <v>109</v>
      </c>
      <c r="G42" s="181" t="s">
        <v>110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</row>
    <row r="43" spans="1:16372" x14ac:dyDescent="0.2">
      <c r="D43"/>
      <c r="E43"/>
      <c r="G43" s="18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2"/>
      <c r="E44"/>
      <c r="G44" s="183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111</v>
      </c>
      <c r="D45" s="181" t="s">
        <v>90</v>
      </c>
      <c r="E45" s="100">
        <v>0</v>
      </c>
      <c r="G45" s="183" t="s">
        <v>99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112</v>
      </c>
      <c r="D46" s="181" t="s">
        <v>90</v>
      </c>
      <c r="E46" s="100">
        <v>0</v>
      </c>
      <c r="G46" s="183" t="s">
        <v>99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113</v>
      </c>
      <c r="D47" s="181" t="s">
        <v>90</v>
      </c>
      <c r="E47" s="99">
        <v>0</v>
      </c>
      <c r="G47" s="183" t="s">
        <v>99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114</v>
      </c>
      <c r="D48" s="181" t="s">
        <v>115</v>
      </c>
      <c r="E48" s="99">
        <v>0</v>
      </c>
      <c r="G48" s="183" t="s">
        <v>116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117</v>
      </c>
      <c r="D49" s="181" t="s">
        <v>118</v>
      </c>
      <c r="E49" s="99">
        <v>0</v>
      </c>
      <c r="G49" s="183" t="s">
        <v>119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120</v>
      </c>
      <c r="D50" s="181" t="s">
        <v>118</v>
      </c>
      <c r="E50" s="99">
        <v>0</v>
      </c>
      <c r="G50" s="183" t="s">
        <v>119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121</v>
      </c>
      <c r="D51" s="181" t="s">
        <v>115</v>
      </c>
      <c r="E51" s="99">
        <v>0</v>
      </c>
      <c r="G51" s="183" t="s">
        <v>116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122</v>
      </c>
      <c r="D52" s="181" t="s">
        <v>115</v>
      </c>
      <c r="E52" s="99">
        <v>0</v>
      </c>
      <c r="G52" s="183" t="s">
        <v>116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81"/>
      <c r="G53" s="183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123</v>
      </c>
      <c r="D54" s="181"/>
      <c r="G54" s="183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124</v>
      </c>
      <c r="D55" s="181"/>
      <c r="G55" s="183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81"/>
      <c r="G56" s="181"/>
    </row>
    <row r="57" spans="1:43" x14ac:dyDescent="0.2">
      <c r="C57" s="3" t="s">
        <v>125</v>
      </c>
      <c r="D57" s="193"/>
      <c r="E57" s="94"/>
      <c r="F57" s="3"/>
      <c r="G57" s="186">
        <f>input_dollars</f>
        <v>45291</v>
      </c>
      <c r="H57" s="94"/>
      <c r="I57" s="149" cm="1">
        <f t="array" ref="I57">SUMPRODUCT((I$45:I$52)*($E$45:$E$52))+SUM(I54:I55)+I42</f>
        <v>0</v>
      </c>
      <c r="J57" s="149" cm="1">
        <f t="array" ref="J57">SUMPRODUCT((J$45:J$52)*($E$45:$E$52))+SUM(J54:J55)+J42</f>
        <v>0</v>
      </c>
      <c r="K57" s="149" cm="1">
        <f t="array" ref="K57">SUMPRODUCT((K$45:K$52)*($E$45:$E$52))+SUM(K54:K55)+K42</f>
        <v>0</v>
      </c>
      <c r="L57" s="149" cm="1">
        <f t="array" ref="L57">SUMPRODUCT((L$45:L$52)*($E$45:$E$52))+SUM(L54:L55)+L42</f>
        <v>0</v>
      </c>
      <c r="M57" s="149" cm="1">
        <f t="array" ref="M57">SUMPRODUCT((M$45:M$52)*($E$45:$E$52))+SUM(M54:M55)+M42</f>
        <v>0</v>
      </c>
      <c r="N57" s="149" cm="1">
        <f t="array" ref="N57">SUMPRODUCT((N$45:N$52)*($E$45:$E$52))+SUM(N54:N55)+N42</f>
        <v>0</v>
      </c>
      <c r="O57" s="149" cm="1">
        <f t="array" ref="O57">SUMPRODUCT((O$45:O$52)*($E$45:$E$52))+SUM(O54:O55)+O42</f>
        <v>0</v>
      </c>
      <c r="P57" s="149" cm="1">
        <f t="array" ref="P57">SUMPRODUCT((P$45:P$52)*($E$45:$E$52))+SUM(P54:P55)+P42</f>
        <v>0</v>
      </c>
      <c r="Q57" s="149" cm="1">
        <f t="array" ref="Q57">SUMPRODUCT((Q$45:Q$52)*($E$45:$E$52))+SUM(Q54:Q55)+Q42</f>
        <v>0</v>
      </c>
      <c r="R57" s="149" cm="1">
        <f t="array" ref="R57">SUMPRODUCT((R$45:R$52)*($E$45:$E$52))+SUM(R54:R55)+R42</f>
        <v>0</v>
      </c>
      <c r="S57" s="149" cm="1">
        <f t="array" ref="S57">SUMPRODUCT((S$45:S$52)*($E$45:$E$52))+SUM(S54:S55)+S42</f>
        <v>0</v>
      </c>
      <c r="T57" s="149" cm="1">
        <f t="array" ref="T57">SUMPRODUCT((T$45:T$52)*($E$45:$E$52))+SUM(T54:T55)+T42</f>
        <v>0</v>
      </c>
      <c r="U57" s="149" cm="1">
        <f t="array" ref="U57">SUMPRODUCT((U$45:U$52)*($E$45:$E$52))+SUM(U54:U55)+U42</f>
        <v>0</v>
      </c>
      <c r="V57" s="149" cm="1">
        <f t="array" ref="V57">SUMPRODUCT((V$45:V$52)*($E$45:$E$52))+SUM(V54:V55)+V42</f>
        <v>0</v>
      </c>
      <c r="W57" s="149" cm="1">
        <f t="array" ref="W57">SUMPRODUCT((W$45:W$52)*($E$45:$E$52))+SUM(W54:W55)+W42</f>
        <v>0</v>
      </c>
      <c r="X57" s="149" cm="1">
        <f t="array" ref="X57">SUMPRODUCT((X$45:X$52)*($E$45:$E$52))+SUM(X54:X55)+X42</f>
        <v>0</v>
      </c>
      <c r="Y57" s="149" cm="1">
        <f t="array" ref="Y57">SUMPRODUCT((Y$45:Y$52)*($E$45:$E$52))+SUM(Y54:Y55)+Y42</f>
        <v>0</v>
      </c>
      <c r="Z57" s="149" cm="1">
        <f t="array" ref="Z57">SUMPRODUCT((Z$45:Z$52)*($E$45:$E$52))+SUM(Z54:Z55)+Z42</f>
        <v>0</v>
      </c>
      <c r="AA57" s="149" cm="1">
        <f t="array" ref="AA57">SUMPRODUCT((AA$45:AA$52)*($E$45:$E$52))+SUM(AA54:AA55)+AA42</f>
        <v>0</v>
      </c>
      <c r="AB57" s="149" cm="1">
        <f t="array" ref="AB57">SUMPRODUCT((AB$45:AB$52)*($E$45:$E$52))+SUM(AB54:AB55)+AB42</f>
        <v>0</v>
      </c>
      <c r="AC57" s="149" cm="1">
        <f t="array" ref="AC57">SUMPRODUCT((AC$45:AC$52)*($E$45:$E$52))+SUM(AC54:AC55)+AC42</f>
        <v>0</v>
      </c>
      <c r="AD57" s="149" cm="1">
        <f t="array" ref="AD57">SUMPRODUCT((AD$45:AD$52)*($E$45:$E$52))+SUM(AD54:AD55)+AD42</f>
        <v>0</v>
      </c>
      <c r="AE57" s="149" cm="1">
        <f t="array" ref="AE57">SUMPRODUCT((AE$45:AE$52)*($E$45:$E$52))+SUM(AE54:AE55)+AE42</f>
        <v>0</v>
      </c>
      <c r="AF57" s="149" cm="1">
        <f t="array" ref="AF57">SUMPRODUCT((AF$45:AF$52)*($E$45:$E$52))+SUM(AF54:AF55)+AF42</f>
        <v>0</v>
      </c>
      <c r="AG57" s="149" cm="1">
        <f t="array" ref="AG57">SUMPRODUCT((AG$45:AG$52)*($E$45:$E$52))+SUM(AG54:AG55)+AG42</f>
        <v>0</v>
      </c>
    </row>
    <row r="58" spans="1:43" x14ac:dyDescent="0.2">
      <c r="D58" s="181"/>
      <c r="G58" s="181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81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8</v>
      </c>
      <c r="B60" s="78"/>
      <c r="C60" s="78"/>
      <c r="D60" s="78"/>
      <c r="E60" s="78"/>
      <c r="F60" s="78"/>
      <c r="G60" s="180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8"/>
      <c r="B61" s="98"/>
      <c r="C61" s="98"/>
      <c r="D61" s="98"/>
      <c r="E61" s="98"/>
      <c r="F61" s="98"/>
      <c r="G61" s="184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8"/>
      <c r="B62" s="98"/>
      <c r="C62" s="98"/>
      <c r="D62" s="98"/>
      <c r="E62" s="98"/>
      <c r="F62"/>
      <c r="G62" s="187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C63" s="4"/>
      <c r="F63" s="2"/>
      <c r="G63" s="18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</row>
    <row r="64" spans="1:43" x14ac:dyDescent="0.2">
      <c r="C64" s="4" t="str">
        <f>'Option1 (base case)'!C64</f>
        <v>Risks mitigated vs base case</v>
      </c>
      <c r="G64" s="186">
        <f>input_dollars</f>
        <v>45291</v>
      </c>
      <c r="I64" s="114">
        <f>(1-INDEX(Data!$C$9:$C$13, MATCH($A$3, options,0)))*('Option1 (base case)'!I36-I36)</f>
        <v>0</v>
      </c>
      <c r="J64" s="114">
        <f>(1-INDEX(Data!$C$9:$C$13, MATCH($A$3, options,0)))*('Option1 (base case)'!J36-J36)</f>
        <v>0</v>
      </c>
      <c r="K64" s="114">
        <f>(1-INDEX(Data!$C$9:$C$13, MATCH($A$3, options,0)))*('Option1 (base case)'!K36-K36)</f>
        <v>0</v>
      </c>
      <c r="L64" s="114">
        <f>(1-INDEX(Data!$C$9:$C$13, MATCH($A$3, options,0)))*('Option1 (base case)'!L36-L36)</f>
        <v>0</v>
      </c>
      <c r="M64" s="114">
        <f>(1-INDEX(Data!$C$9:$C$13, MATCH($A$3, options,0)))*('Option1 (base case)'!M36-M36)</f>
        <v>0</v>
      </c>
      <c r="N64" s="114">
        <f>(1-INDEX(Data!$C$9:$C$13, MATCH($A$3, options,0)))*('Option1 (base case)'!N36-N36)</f>
        <v>1328310.7544837855</v>
      </c>
      <c r="O64" s="114">
        <f>(1-INDEX(Data!$C$9:$C$13, MATCH($A$3, options,0)))*('Option1 (base case)'!O36-O36)</f>
        <v>1328310.7544837855</v>
      </c>
      <c r="P64" s="114">
        <f>(1-INDEX(Data!$C$9:$C$13, MATCH($A$3, options,0)))*('Option1 (base case)'!P36-P36)</f>
        <v>1328310.7544837855</v>
      </c>
      <c r="Q64" s="114">
        <f>(1-INDEX(Data!$C$9:$C$13, MATCH($A$3, options,0)))*('Option1 (base case)'!Q36-Q36)</f>
        <v>1328310.7544837855</v>
      </c>
      <c r="R64" s="114">
        <f>(1-INDEX(Data!$C$9:$C$13, MATCH($A$3, options,0)))*('Option1 (base case)'!R36-R36)</f>
        <v>1328310.7544837855</v>
      </c>
      <c r="S64" s="114">
        <f>(1-INDEX(Data!$C$9:$C$13, MATCH($A$3, options,0)))*('Option1 (base case)'!S36-S36)</f>
        <v>1328310.7544837855</v>
      </c>
      <c r="T64" s="114">
        <f>(1-INDEX(Data!$C$9:$C$13, MATCH($A$3, options,0)))*('Option1 (base case)'!T36-T36)</f>
        <v>1328310.7544837855</v>
      </c>
      <c r="U64" s="114">
        <f>(1-INDEX(Data!$C$9:$C$13, MATCH($A$3, options,0)))*('Option1 (base case)'!U36-U36)</f>
        <v>1328310.7544837855</v>
      </c>
      <c r="V64" s="114">
        <f>(1-INDEX(Data!$C$9:$C$13, MATCH($A$3, options,0)))*('Option1 (base case)'!V36-V36)</f>
        <v>1328310.7544837855</v>
      </c>
      <c r="W64" s="114">
        <f>(1-INDEX(Data!$C$9:$C$13, MATCH($A$3, options,0)))*('Option1 (base case)'!W36-W36)</f>
        <v>1328310.7544837855</v>
      </c>
      <c r="X64" s="114">
        <f>(1-INDEX(Data!$C$9:$C$13, MATCH($A$3, options,0)))*('Option1 (base case)'!X36-X36)</f>
        <v>1328310.7544837855</v>
      </c>
      <c r="Y64" s="114">
        <f>(1-INDEX(Data!$C$9:$C$13, MATCH($A$3, options,0)))*('Option1 (base case)'!Y36-Y36)</f>
        <v>1328310.7544837855</v>
      </c>
      <c r="Z64" s="114">
        <f>(1-INDEX(Data!$C$9:$C$13, MATCH($A$3, options,0)))*('Option1 (base case)'!Z36-Z36)</f>
        <v>1328310.7544837855</v>
      </c>
      <c r="AA64" s="114">
        <f>(1-INDEX(Data!$C$9:$C$13, MATCH($A$3, options,0)))*('Option1 (base case)'!AA36-AA36)</f>
        <v>1328310.7544837855</v>
      </c>
      <c r="AB64" s="114">
        <f>(1-INDEX(Data!$C$9:$C$13, MATCH($A$3, options,0)))*('Option1 (base case)'!AB36-AB36)</f>
        <v>1328310.7544837855</v>
      </c>
      <c r="AC64" s="114">
        <f>(1-INDEX(Data!$C$9:$C$13, MATCH($A$3, options,0)))*('Option1 (base case)'!AC36-AC36)</f>
        <v>1328310.7544837855</v>
      </c>
      <c r="AD64" s="114">
        <f>(1-INDEX(Data!$C$9:$C$13, MATCH($A$3, options,0)))*('Option1 (base case)'!AD36-AD36)</f>
        <v>1328310.7544837855</v>
      </c>
      <c r="AE64" s="114">
        <f>(1-INDEX(Data!$C$9:$C$13, MATCH($A$3, options,0)))*('Option1 (base case)'!AE36-AE36)</f>
        <v>1328310.7544837855</v>
      </c>
      <c r="AF64" s="114">
        <f>(1-INDEX(Data!$C$9:$C$13, MATCH($A$3, options,0)))*('Option1 (base case)'!AF36-AF36)</f>
        <v>1328310.7544837855</v>
      </c>
      <c r="AG64" s="114">
        <f>(1-INDEX(Data!$C$9:$C$13, MATCH($A$3, options,0)))*('Option1 (base case)'!AG36-AG36)</f>
        <v>1328310.7544837855</v>
      </c>
    </row>
    <row r="65" spans="1:33" x14ac:dyDescent="0.2">
      <c r="G65" s="188"/>
    </row>
    <row r="66" spans="1:33" x14ac:dyDescent="0.2">
      <c r="A66" s="6"/>
      <c r="B66" s="6"/>
      <c r="C66" s="127" t="s">
        <v>17</v>
      </c>
      <c r="D66" s="34"/>
      <c r="F66" s="84"/>
      <c r="G66" s="189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Single REFCL</v>
      </c>
      <c r="D67" s="34"/>
      <c r="F67" s="84"/>
      <c r="G67" s="186">
        <f>input_dollars</f>
        <v>45291</v>
      </c>
      <c r="H67" s="28"/>
      <c r="I67" s="28">
        <f>-I14</f>
        <v>0</v>
      </c>
      <c r="J67" s="28">
        <f>-J14</f>
        <v>0</v>
      </c>
      <c r="K67" s="28">
        <f t="shared" ref="K67:AG67" si="5">-K14</f>
        <v>0</v>
      </c>
      <c r="L67" s="28">
        <f>-L14</f>
        <v>-8236093.1280465275</v>
      </c>
      <c r="M67" s="28">
        <f>-M14</f>
        <v>-8236093.1280465275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2">
      <c r="A68" s="6"/>
      <c r="B68" s="6"/>
      <c r="C68" s="4">
        <f>C15</f>
        <v>0</v>
      </c>
      <c r="D68" s="34"/>
      <c r="F68" s="84"/>
      <c r="G68" s="186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2">
      <c r="A69" s="6"/>
      <c r="B69" s="6"/>
      <c r="C69" s="4">
        <f>C16</f>
        <v>0</v>
      </c>
      <c r="D69" s="34"/>
      <c r="F69" s="84"/>
      <c r="G69" s="186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2">
      <c r="A70" s="6"/>
      <c r="B70" s="6"/>
      <c r="C70" s="4"/>
      <c r="D70" s="34"/>
      <c r="F70" s="84"/>
      <c r="G70" s="190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7" t="s">
        <v>127</v>
      </c>
      <c r="D71" s="34"/>
      <c r="F71" s="84"/>
      <c r="G71" s="189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Single REFCL</v>
      </c>
      <c r="D72" s="34"/>
      <c r="F72" s="84"/>
      <c r="G72" s="186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-8236093.1280465275</v>
      </c>
      <c r="M72" s="28" cm="1">
        <f t="array" ref="M72">SUMPRODUCT(($I67:M67))-SUMPRODUCT(($I67:M67)*($I$6:M$6&lt;=(M$6-$E14)))</f>
        <v>-16472186.256093055</v>
      </c>
      <c r="N72" s="28" cm="1">
        <f t="array" ref="N72">SUMPRODUCT(($I67:N67))-SUMPRODUCT(($I67:N67)*($I$6:N$6&lt;=(N$6-$E14)))</f>
        <v>-16472186.256093055</v>
      </c>
      <c r="O72" s="28" cm="1">
        <f t="array" ref="O72">SUMPRODUCT(($I67:O67))-SUMPRODUCT(($I67:O67)*($I$6:O$6&lt;=(O$6-$E14)))</f>
        <v>-16472186.256093055</v>
      </c>
      <c r="P72" s="28" cm="1">
        <f t="array" ref="P72">SUMPRODUCT(($I67:P67))-SUMPRODUCT(($I67:P67)*($I$6:P$6&lt;=(P$6-$E14)))</f>
        <v>-16472186.256093055</v>
      </c>
      <c r="Q72" s="28" cm="1">
        <f t="array" ref="Q72">SUMPRODUCT(($I67:Q67))-SUMPRODUCT(($I67:Q67)*($I$6:Q$6&lt;=(Q$6-$E14)))</f>
        <v>-16472186.256093055</v>
      </c>
      <c r="R72" s="28" cm="1">
        <f t="array" ref="R72">SUMPRODUCT(($I67:R67))-SUMPRODUCT(($I67:R67)*($I$6:R$6&lt;=(R$6-$E14)))</f>
        <v>-16472186.256093055</v>
      </c>
      <c r="S72" s="28" cm="1">
        <f t="array" ref="S72">SUMPRODUCT(($I67:S67))-SUMPRODUCT(($I67:S67)*($I$6:S$6&lt;=(S$6-$E14)))</f>
        <v>-16472186.256093055</v>
      </c>
      <c r="T72" s="28" cm="1">
        <f t="array" ref="T72">SUMPRODUCT(($I67:T67))-SUMPRODUCT(($I67:T67)*($I$6:T$6&lt;=(T$6-$E14)))</f>
        <v>-16472186.256093055</v>
      </c>
      <c r="U72" s="28" cm="1">
        <f t="array" ref="U72">SUMPRODUCT(($I67:U67))-SUMPRODUCT(($I67:U67)*($I$6:U$6&lt;=(U$6-$E14)))</f>
        <v>-16472186.256093055</v>
      </c>
      <c r="V72" s="28" cm="1">
        <f t="array" ref="V72">SUMPRODUCT(($I67:V67))-SUMPRODUCT(($I67:V67)*($I$6:V$6&lt;=(V$6-$E14)))</f>
        <v>-16472186.256093055</v>
      </c>
      <c r="W72" s="28" cm="1">
        <f t="array" ref="W72">SUMPRODUCT(($I67:W67))-SUMPRODUCT(($I67:W67)*($I$6:W$6&lt;=(W$6-$E14)))</f>
        <v>-16472186.256093055</v>
      </c>
      <c r="X72" s="28" cm="1">
        <f t="array" ref="X72">SUMPRODUCT(($I67:X67))-SUMPRODUCT(($I67:X67)*($I$6:X$6&lt;=(X$6-$E14)))</f>
        <v>-16472186.256093055</v>
      </c>
      <c r="Y72" s="28" cm="1">
        <f t="array" ref="Y72">SUMPRODUCT(($I67:Y67))-SUMPRODUCT(($I67:Y67)*($I$6:Y$6&lt;=(Y$6-$E14)))</f>
        <v>-16472186.256093055</v>
      </c>
      <c r="Z72" s="28" cm="1">
        <f t="array" ref="Z72">SUMPRODUCT(($I67:Z67))-SUMPRODUCT(($I67:Z67)*($I$6:Z$6&lt;=(Z$6-$E14)))</f>
        <v>-16472186.256093055</v>
      </c>
      <c r="AA72" s="28" cm="1">
        <f t="array" ref="AA72">SUMPRODUCT(($I67:AA67))-SUMPRODUCT(($I67:AA67)*($I$6:AA$6&lt;=(AA$6-$E14)))</f>
        <v>-16472186.256093055</v>
      </c>
      <c r="AB72" s="28" cm="1">
        <f t="array" ref="AB72">SUMPRODUCT(($I67:AB67))-SUMPRODUCT(($I67:AB67)*($I$6:AB$6&lt;=(AB$6-$E14)))</f>
        <v>-16472186.256093055</v>
      </c>
      <c r="AC72" s="28" cm="1">
        <f t="array" ref="AC72">SUMPRODUCT(($I67:AC67))-SUMPRODUCT(($I67:AC67)*($I$6:AC$6&lt;=(AC$6-$E14)))</f>
        <v>-16472186.256093055</v>
      </c>
      <c r="AD72" s="28" cm="1">
        <f t="array" ref="AD72">SUMPRODUCT(($I67:AD67))-SUMPRODUCT(($I67:AD67)*($I$6:AD$6&lt;=(AD$6-$E14)))</f>
        <v>-16472186.256093055</v>
      </c>
      <c r="AE72" s="28" cm="1">
        <f t="array" ref="AE72">SUMPRODUCT(($I67:AE67))-SUMPRODUCT(($I67:AE67)*($I$6:AE$6&lt;=(AE$6-$E14)))</f>
        <v>-16472186.256093055</v>
      </c>
      <c r="AF72" s="28" cm="1">
        <f t="array" ref="AF72">SUMPRODUCT(($I67:AF67))-SUMPRODUCT(($I67:AF67)*($I$6:AF$6&lt;=(AF$6-$E14)))</f>
        <v>-16472186.256093055</v>
      </c>
      <c r="AG72" s="28" cm="1">
        <f t="array" ref="AG72">SUMPRODUCT(($I67:AG67))-SUMPRODUCT(($I67:AG67)*($I$6:AG$6&lt;=(AG$6-$E14)))</f>
        <v>-16472186.256093055</v>
      </c>
    </row>
    <row r="73" spans="1:33" x14ac:dyDescent="0.2">
      <c r="A73" s="6"/>
      <c r="B73" s="6"/>
      <c r="C73" s="4">
        <f>C15</f>
        <v>0</v>
      </c>
      <c r="D73" s="34"/>
      <c r="F73" s="84"/>
      <c r="G73" s="186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>
        <f>C16</f>
        <v>0</v>
      </c>
      <c r="D74" s="34"/>
      <c r="F74" s="84"/>
      <c r="G74" s="186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4"/>
      <c r="G75" s="190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7" t="s">
        <v>128</v>
      </c>
      <c r="D76" s="34"/>
      <c r="F76" s="84"/>
      <c r="G76" s="189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Single REFCL</v>
      </c>
      <c r="D77" s="34"/>
      <c r="F77" s="84"/>
      <c r="G77" s="186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-447807.35061464005</v>
      </c>
      <c r="N77" s="28">
        <f t="shared" si="8"/>
        <v>-895614.70122928009</v>
      </c>
      <c r="O77" s="28">
        <f t="shared" si="8"/>
        <v>-895614.70122928009</v>
      </c>
      <c r="P77" s="28">
        <f t="shared" si="8"/>
        <v>-895614.70122928009</v>
      </c>
      <c r="Q77" s="28">
        <f t="shared" si="8"/>
        <v>-895614.70122928009</v>
      </c>
      <c r="R77" s="28">
        <f t="shared" si="8"/>
        <v>-895614.70122928009</v>
      </c>
      <c r="S77" s="28">
        <f t="shared" si="8"/>
        <v>-895614.70122928009</v>
      </c>
      <c r="T77" s="28">
        <f t="shared" si="8"/>
        <v>-895614.70122928009</v>
      </c>
      <c r="U77" s="28">
        <f t="shared" si="8"/>
        <v>-895614.70122928009</v>
      </c>
      <c r="V77" s="28">
        <f t="shared" si="8"/>
        <v>-895614.70122928009</v>
      </c>
      <c r="W77" s="28">
        <f t="shared" si="8"/>
        <v>-895614.70122928009</v>
      </c>
      <c r="X77" s="28">
        <f t="shared" si="8"/>
        <v>-895614.70122928009</v>
      </c>
      <c r="Y77" s="28">
        <f t="shared" si="8"/>
        <v>-895614.70122928009</v>
      </c>
      <c r="Z77" s="28">
        <f t="shared" si="8"/>
        <v>-895614.70122928009</v>
      </c>
      <c r="AA77" s="28">
        <f t="shared" si="8"/>
        <v>-895614.70122928009</v>
      </c>
      <c r="AB77" s="28">
        <f t="shared" si="8"/>
        <v>-895614.70122928009</v>
      </c>
      <c r="AC77" s="28">
        <f t="shared" si="8"/>
        <v>-895614.70122928009</v>
      </c>
      <c r="AD77" s="28">
        <f t="shared" si="8"/>
        <v>-895614.70122928009</v>
      </c>
      <c r="AE77" s="28">
        <f t="shared" si="8"/>
        <v>-895614.70122928009</v>
      </c>
      <c r="AF77" s="28">
        <f t="shared" si="8"/>
        <v>-895614.70122928009</v>
      </c>
      <c r="AG77" s="28">
        <f t="shared" si="8"/>
        <v>-895614.70122928009</v>
      </c>
    </row>
    <row r="78" spans="1:33" x14ac:dyDescent="0.2">
      <c r="A78" s="6"/>
      <c r="B78" s="6"/>
      <c r="C78" s="4" t="str">
        <f>$C$76&amp;" - "&amp;C15</f>
        <v xml:space="preserve">Annualised capex - </v>
      </c>
      <c r="D78" s="34"/>
      <c r="F78" s="84"/>
      <c r="G78" s="186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2">
      <c r="A79" s="6"/>
      <c r="B79" s="6"/>
      <c r="C79" s="4" t="str">
        <f>$C$76&amp;" - "&amp;C16</f>
        <v xml:space="preserve">Annualised capex - </v>
      </c>
      <c r="D79" s="34"/>
      <c r="F79" s="84"/>
      <c r="G79" s="186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2">
      <c r="A80" s="6"/>
      <c r="B80" s="6"/>
      <c r="C80" s="151" t="s">
        <v>129</v>
      </c>
      <c r="D80" s="151"/>
      <c r="E80" s="152"/>
      <c r="F80" s="153"/>
      <c r="G80" s="191">
        <f>input_dollars</f>
        <v>45291</v>
      </c>
      <c r="H80" s="154"/>
      <c r="I80" s="154">
        <f>SUM(I77:I79)</f>
        <v>0</v>
      </c>
      <c r="J80" s="154">
        <f t="shared" ref="J80:AB80" si="11">SUM(J77:J79)</f>
        <v>0</v>
      </c>
      <c r="K80" s="154">
        <f t="shared" si="11"/>
        <v>0</v>
      </c>
      <c r="L80" s="154">
        <f t="shared" si="11"/>
        <v>0</v>
      </c>
      <c r="M80" s="154">
        <f t="shared" si="11"/>
        <v>-447807.35061464005</v>
      </c>
      <c r="N80" s="154">
        <f t="shared" si="11"/>
        <v>-895614.70122928009</v>
      </c>
      <c r="O80" s="154">
        <f t="shared" si="11"/>
        <v>-895614.70122928009</v>
      </c>
      <c r="P80" s="154">
        <f t="shared" si="11"/>
        <v>-895614.70122928009</v>
      </c>
      <c r="Q80" s="154">
        <f t="shared" si="11"/>
        <v>-895614.70122928009</v>
      </c>
      <c r="R80" s="154">
        <f t="shared" si="11"/>
        <v>-895614.70122928009</v>
      </c>
      <c r="S80" s="154">
        <f t="shared" si="11"/>
        <v>-895614.70122928009</v>
      </c>
      <c r="T80" s="154">
        <f t="shared" si="11"/>
        <v>-895614.70122928009</v>
      </c>
      <c r="U80" s="154">
        <f t="shared" si="11"/>
        <v>-895614.70122928009</v>
      </c>
      <c r="V80" s="154">
        <f t="shared" si="11"/>
        <v>-895614.70122928009</v>
      </c>
      <c r="W80" s="154">
        <f t="shared" si="11"/>
        <v>-895614.70122928009</v>
      </c>
      <c r="X80" s="154">
        <f t="shared" si="11"/>
        <v>-895614.70122928009</v>
      </c>
      <c r="Y80" s="154">
        <f t="shared" si="11"/>
        <v>-895614.70122928009</v>
      </c>
      <c r="Z80" s="154">
        <f t="shared" si="11"/>
        <v>-895614.70122928009</v>
      </c>
      <c r="AA80" s="154">
        <f t="shared" si="11"/>
        <v>-895614.70122928009</v>
      </c>
      <c r="AB80" s="154">
        <f t="shared" si="11"/>
        <v>-895614.70122928009</v>
      </c>
      <c r="AC80" s="154">
        <f>SUM(AC77:AC79)</f>
        <v>-895614.70122928009</v>
      </c>
      <c r="AD80" s="154">
        <f>SUM(AD77:AD79)</f>
        <v>-895614.70122928009</v>
      </c>
      <c r="AE80" s="154">
        <f>SUM(AE77:AE79)</f>
        <v>-895614.70122928009</v>
      </c>
      <c r="AF80" s="154">
        <f>SUM(AF77:AF79)</f>
        <v>-895614.70122928009</v>
      </c>
      <c r="AG80" s="154">
        <f>SUM(AG77:AG79)</f>
        <v>-895614.70122928009</v>
      </c>
    </row>
    <row r="81" spans="1:33" x14ac:dyDescent="0.2">
      <c r="A81" s="6"/>
      <c r="B81" s="6"/>
      <c r="C81" s="12"/>
      <c r="D81" s="34"/>
      <c r="F81"/>
      <c r="G81" s="192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128</v>
      </c>
      <c r="D82" s="34"/>
      <c r="F82" s="84"/>
      <c r="G82" s="186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-447807.35061464005</v>
      </c>
      <c r="N82" s="28">
        <f t="shared" si="13"/>
        <v>-895614.70122928009</v>
      </c>
      <c r="O82" s="28">
        <f t="shared" si="13"/>
        <v>-895614.70122928009</v>
      </c>
      <c r="P82" s="28">
        <f t="shared" si="13"/>
        <v>-895614.70122928009</v>
      </c>
      <c r="Q82" s="28">
        <f t="shared" si="13"/>
        <v>-895614.70122928009</v>
      </c>
      <c r="R82" s="28">
        <f t="shared" si="13"/>
        <v>-895614.70122928009</v>
      </c>
      <c r="S82" s="28">
        <f t="shared" si="13"/>
        <v>-895614.70122928009</v>
      </c>
      <c r="T82" s="28">
        <f t="shared" si="13"/>
        <v>-895614.70122928009</v>
      </c>
      <c r="U82" s="28">
        <f t="shared" si="13"/>
        <v>-895614.70122928009</v>
      </c>
      <c r="V82" s="28">
        <f t="shared" si="13"/>
        <v>-895614.70122928009</v>
      </c>
      <c r="W82" s="28">
        <f t="shared" si="13"/>
        <v>-895614.70122928009</v>
      </c>
      <c r="X82" s="28">
        <f t="shared" si="13"/>
        <v>-895614.70122928009</v>
      </c>
      <c r="Y82" s="28">
        <f t="shared" si="13"/>
        <v>-895614.70122928009</v>
      </c>
      <c r="Z82" s="28">
        <f t="shared" si="13"/>
        <v>-895614.70122928009</v>
      </c>
      <c r="AA82" s="28">
        <f t="shared" si="13"/>
        <v>-895614.70122928009</v>
      </c>
      <c r="AB82" s="28">
        <f t="shared" si="13"/>
        <v>-895614.70122928009</v>
      </c>
      <c r="AC82" s="28">
        <f>AC80</f>
        <v>-895614.70122928009</v>
      </c>
      <c r="AD82" s="28">
        <f>AD80</f>
        <v>-895614.70122928009</v>
      </c>
      <c r="AE82" s="28">
        <f>AE80</f>
        <v>-895614.70122928009</v>
      </c>
      <c r="AF82" s="28">
        <f>AF80</f>
        <v>-895614.70122928009</v>
      </c>
      <c r="AG82" s="28">
        <f>AG80</f>
        <v>-895614.70122928009</v>
      </c>
    </row>
    <row r="83" spans="1:33" x14ac:dyDescent="0.2">
      <c r="A83" s="6"/>
      <c r="B83" s="6"/>
      <c r="C83" s="4" t="s">
        <v>18</v>
      </c>
      <c r="D83" s="34"/>
      <c r="F83" s="84"/>
      <c r="G83" s="186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2">
      <c r="A84" s="6"/>
      <c r="B84" s="6"/>
      <c r="C84" s="4" t="s">
        <v>130</v>
      </c>
      <c r="D84" s="34"/>
      <c r="F84" s="84"/>
      <c r="G84" s="186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1328310.7544837855</v>
      </c>
      <c r="O84" s="28">
        <f t="shared" si="15"/>
        <v>1328310.7544837855</v>
      </c>
      <c r="P84" s="28">
        <f t="shared" si="15"/>
        <v>1328310.7544837855</v>
      </c>
      <c r="Q84" s="28">
        <f t="shared" si="15"/>
        <v>1328310.7544837855</v>
      </c>
      <c r="R84" s="28">
        <f t="shared" si="15"/>
        <v>1328310.7544837855</v>
      </c>
      <c r="S84" s="28">
        <f t="shared" si="15"/>
        <v>1328310.7544837855</v>
      </c>
      <c r="T84" s="28">
        <f t="shared" si="15"/>
        <v>1328310.7544837855</v>
      </c>
      <c r="U84" s="28">
        <f t="shared" si="15"/>
        <v>1328310.7544837855</v>
      </c>
      <c r="V84" s="28">
        <f t="shared" si="15"/>
        <v>1328310.7544837855</v>
      </c>
      <c r="W84" s="28">
        <f t="shared" si="15"/>
        <v>1328310.7544837855</v>
      </c>
      <c r="X84" s="28">
        <f t="shared" si="15"/>
        <v>1328310.7544837855</v>
      </c>
      <c r="Y84" s="28">
        <f t="shared" si="15"/>
        <v>1328310.7544837855</v>
      </c>
      <c r="Z84" s="28">
        <f t="shared" si="15"/>
        <v>1328310.7544837855</v>
      </c>
      <c r="AA84" s="28">
        <f t="shared" si="15"/>
        <v>1328310.7544837855</v>
      </c>
      <c r="AB84" s="28">
        <f t="shared" si="15"/>
        <v>1328310.7544837855</v>
      </c>
      <c r="AC84" s="28">
        <f>AC64</f>
        <v>1328310.7544837855</v>
      </c>
      <c r="AD84" s="28">
        <f>AD64</f>
        <v>1328310.7544837855</v>
      </c>
      <c r="AE84" s="28">
        <f>AE64</f>
        <v>1328310.7544837855</v>
      </c>
      <c r="AF84" s="28">
        <f>AF64</f>
        <v>1328310.7544837855</v>
      </c>
      <c r="AG84" s="28">
        <f>AG64</f>
        <v>1328310.7544837855</v>
      </c>
    </row>
    <row r="85" spans="1:33" x14ac:dyDescent="0.2">
      <c r="A85" s="6"/>
      <c r="B85" s="6"/>
      <c r="C85" s="4" t="s">
        <v>131</v>
      </c>
      <c r="D85" s="34"/>
      <c r="F85" s="84"/>
      <c r="G85" s="186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2">
      <c r="A86" s="6"/>
      <c r="B86" s="6"/>
      <c r="C86" s="4"/>
      <c r="D86" s="34"/>
      <c r="F86" s="28"/>
      <c r="G86" s="186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5" t="s">
        <v>132</v>
      </c>
      <c r="D87" s="156"/>
      <c r="E87" s="152"/>
      <c r="F87" s="157"/>
      <c r="G87" s="191">
        <f t="shared" si="12"/>
        <v>45291</v>
      </c>
      <c r="H87" s="157"/>
      <c r="I87" s="157">
        <f t="shared" ref="I87:AB87" si="17">SUM(I82:I86)</f>
        <v>0</v>
      </c>
      <c r="J87" s="157">
        <f t="shared" si="17"/>
        <v>0</v>
      </c>
      <c r="K87" s="157">
        <f t="shared" si="17"/>
        <v>0</v>
      </c>
      <c r="L87" s="157">
        <f t="shared" si="17"/>
        <v>0</v>
      </c>
      <c r="M87" s="157">
        <f t="shared" si="17"/>
        <v>-447807.35061464005</v>
      </c>
      <c r="N87" s="157">
        <f t="shared" si="17"/>
        <v>432696.05325450539</v>
      </c>
      <c r="O87" s="157">
        <f t="shared" si="17"/>
        <v>432696.05325450539</v>
      </c>
      <c r="P87" s="157">
        <f t="shared" si="17"/>
        <v>432696.05325450539</v>
      </c>
      <c r="Q87" s="157">
        <f t="shared" si="17"/>
        <v>432696.05325450539</v>
      </c>
      <c r="R87" s="157">
        <f t="shared" si="17"/>
        <v>432696.05325450539</v>
      </c>
      <c r="S87" s="157">
        <f t="shared" si="17"/>
        <v>432696.05325450539</v>
      </c>
      <c r="T87" s="157">
        <f t="shared" si="17"/>
        <v>432696.05325450539</v>
      </c>
      <c r="U87" s="157">
        <f t="shared" si="17"/>
        <v>432696.05325450539</v>
      </c>
      <c r="V87" s="157">
        <f t="shared" si="17"/>
        <v>432696.05325450539</v>
      </c>
      <c r="W87" s="157">
        <f t="shared" si="17"/>
        <v>432696.05325450539</v>
      </c>
      <c r="X87" s="157">
        <f t="shared" si="17"/>
        <v>432696.05325450539</v>
      </c>
      <c r="Y87" s="157">
        <f t="shared" si="17"/>
        <v>432696.05325450539</v>
      </c>
      <c r="Z87" s="157">
        <f t="shared" si="17"/>
        <v>432696.05325450539</v>
      </c>
      <c r="AA87" s="157">
        <f t="shared" si="17"/>
        <v>432696.05325450539</v>
      </c>
      <c r="AB87" s="157">
        <f t="shared" si="17"/>
        <v>432696.05325450539</v>
      </c>
      <c r="AC87" s="157">
        <f>SUM(AC82:AC86)</f>
        <v>432696.05325450539</v>
      </c>
      <c r="AD87" s="157">
        <f>SUM(AD82:AD86)</f>
        <v>432696.05325450539</v>
      </c>
      <c r="AE87" s="157">
        <f>SUM(AE82:AE86)</f>
        <v>432696.05325450539</v>
      </c>
      <c r="AF87" s="157">
        <f>SUM(AF82:AF86)</f>
        <v>432696.05325450539</v>
      </c>
      <c r="AG87" s="157">
        <f>SUM(AG82:AG86)</f>
        <v>432696.05325450539</v>
      </c>
    </row>
    <row r="88" spans="1:33" x14ac:dyDescent="0.2">
      <c r="A88" s="6"/>
      <c r="B88" s="6"/>
      <c r="C88" s="12"/>
      <c r="D88" s="34"/>
      <c r="F88" s="121"/>
      <c r="G88" s="186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</row>
    <row r="89" spans="1:33" x14ac:dyDescent="0.2">
      <c r="A89" s="6"/>
      <c r="B89" s="6"/>
      <c r="C89" s="12"/>
      <c r="D89" s="34"/>
      <c r="F89" s="121"/>
      <c r="G89" s="186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</row>
    <row r="90" spans="1:33" x14ac:dyDescent="0.2">
      <c r="A90" s="6"/>
      <c r="B90" s="6"/>
      <c r="C90" s="205" t="s">
        <v>134</v>
      </c>
      <c r="D90" s="72"/>
      <c r="E90" s="206"/>
      <c r="F90" s="207"/>
      <c r="G90" s="208" cm="1">
        <f t="array" ref="G90">IF(SUM($I17:$AG17)=0,0,(INDEX(I$6:AG$6,MATCH(TRUE,INDEX($I17:$AG17&lt;&gt;0,),0))))</f>
        <v>4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A91" s="6"/>
      <c r="B91" s="6"/>
      <c r="C91" s="72"/>
      <c r="D91" s="209"/>
      <c r="E91" s="206"/>
      <c r="F91" s="207"/>
      <c r="G91" s="208"/>
      <c r="H91" s="30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2"/>
      <c r="X91" s="92"/>
      <c r="Y91" s="92"/>
      <c r="Z91" s="92"/>
      <c r="AA91" s="92"/>
      <c r="AB91" s="92"/>
      <c r="AC91" s="92"/>
      <c r="AD91" s="92"/>
      <c r="AE91" s="92"/>
      <c r="AF91" s="92"/>
      <c r="AG91" s="92"/>
    </row>
    <row r="92" spans="1:33" x14ac:dyDescent="0.2">
      <c r="C92" s="210" t="s">
        <v>135</v>
      </c>
      <c r="D92" s="211"/>
      <c r="E92" s="211"/>
      <c r="F92" s="211"/>
      <c r="G92" s="212">
        <f>IF(_xlfn.MINIFS($G$90:$G$91, $G$90:$G$91, "&gt;"&amp;0)=0, $A$4, _xlfn.MINIFS($G$90:$G$91, $G$90:$G$91, "&gt;"&amp;0))</f>
        <v>4</v>
      </c>
    </row>
    <row r="94" spans="1:33" x14ac:dyDescent="0.2">
      <c r="G94" s="10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8"/>
      <c r="Z94" s="28"/>
      <c r="AA94" s="28"/>
      <c r="AB94" s="28"/>
      <c r="AC94" s="28"/>
      <c r="AD94" s="28"/>
      <c r="AE94" s="28"/>
      <c r="AF94" s="28"/>
      <c r="AG94" s="28"/>
    </row>
    <row r="95" spans="1:33" x14ac:dyDescent="0.2"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</row>
    <row r="96" spans="1:33" x14ac:dyDescent="0.2"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</row>
    <row r="97" spans="1:43" x14ac:dyDescent="0.2"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</row>
    <row r="98" spans="1:43" x14ac:dyDescent="0.2"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</row>
    <row r="99" spans="1:43" x14ac:dyDescent="0.2"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</row>
    <row r="100" spans="1:43" x14ac:dyDescent="0.2"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</row>
    <row r="101" spans="1:43" x14ac:dyDescent="0.2"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</row>
    <row r="102" spans="1:43" ht="15" x14ac:dyDescent="0.2">
      <c r="A102" s="78" t="s">
        <v>21</v>
      </c>
      <c r="B102" s="78"/>
      <c r="C102" s="78"/>
      <c r="D102" s="78"/>
      <c r="E102" s="78"/>
      <c r="F102" s="78"/>
      <c r="G102" s="180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</row>
    <row r="105" spans="1:43" x14ac:dyDescent="0.2">
      <c r="D105"/>
      <c r="E105"/>
      <c r="F105"/>
      <c r="G105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</row>
    <row r="106" spans="1:43" x14ac:dyDescent="0.2">
      <c r="A106" s="1" t="s">
        <v>7</v>
      </c>
      <c r="C106" s="1" t="s">
        <v>132</v>
      </c>
      <c r="D106"/>
      <c r="E106"/>
      <c r="F106"/>
      <c r="G106" s="34" t="str">
        <f>PROPER($A$3)&amp;A106</f>
        <v>Option 2NPV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-447807.35061464005</v>
      </c>
      <c r="N106" s="28">
        <f t="shared" si="18"/>
        <v>432696.05325450539</v>
      </c>
      <c r="O106" s="28">
        <f t="shared" si="18"/>
        <v>432696.05325450539</v>
      </c>
      <c r="P106" s="28">
        <f t="shared" si="18"/>
        <v>432696.05325450539</v>
      </c>
      <c r="Q106" s="28">
        <f t="shared" si="18"/>
        <v>432696.05325450539</v>
      </c>
      <c r="R106" s="28">
        <f t="shared" si="18"/>
        <v>432696.05325450539</v>
      </c>
      <c r="S106" s="28">
        <f t="shared" si="18"/>
        <v>432696.05325450539</v>
      </c>
      <c r="T106" s="28">
        <f t="shared" si="18"/>
        <v>432696.05325450539</v>
      </c>
      <c r="U106" s="28">
        <f t="shared" si="18"/>
        <v>432696.05325450539</v>
      </c>
      <c r="V106" s="28">
        <f t="shared" si="18"/>
        <v>432696.05325450539</v>
      </c>
      <c r="W106" s="28">
        <f t="shared" si="18"/>
        <v>432696.05325450539</v>
      </c>
      <c r="X106" s="28">
        <f t="shared" si="18"/>
        <v>432696.05325450539</v>
      </c>
      <c r="Y106" s="28">
        <f t="shared" si="18"/>
        <v>432696.05325450539</v>
      </c>
      <c r="Z106" s="28">
        <f t="shared" si="18"/>
        <v>432696.05325450539</v>
      </c>
      <c r="AA106" s="28">
        <f t="shared" si="18"/>
        <v>432696.05325450539</v>
      </c>
      <c r="AB106" s="28">
        <f t="shared" si="18"/>
        <v>432696.05325450539</v>
      </c>
      <c r="AC106" s="28">
        <f t="shared" si="18"/>
        <v>432696.05325450539</v>
      </c>
      <c r="AD106" s="28">
        <f t="shared" si="18"/>
        <v>432696.05325450539</v>
      </c>
      <c r="AE106" s="28">
        <f t="shared" si="18"/>
        <v>432696.05325450539</v>
      </c>
      <c r="AF106" s="28">
        <f t="shared" si="18"/>
        <v>432696.05325450539</v>
      </c>
      <c r="AG106" s="28">
        <f t="shared" si="18"/>
        <v>432696.05325450539</v>
      </c>
    </row>
    <row r="107" spans="1:43" x14ac:dyDescent="0.2">
      <c r="C107" s="1" t="s">
        <v>129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-447807.35061464005</v>
      </c>
      <c r="N107" s="28">
        <f t="shared" si="19"/>
        <v>-895614.70122928009</v>
      </c>
      <c r="O107" s="28">
        <f t="shared" si="19"/>
        <v>-895614.70122928009</v>
      </c>
      <c r="P107" s="28">
        <f t="shared" si="19"/>
        <v>-895614.70122928009</v>
      </c>
      <c r="Q107" s="28">
        <f t="shared" si="19"/>
        <v>-895614.70122928009</v>
      </c>
      <c r="R107" s="28">
        <f t="shared" si="19"/>
        <v>-895614.70122928009</v>
      </c>
      <c r="S107" s="28">
        <f t="shared" si="19"/>
        <v>-895614.70122928009</v>
      </c>
      <c r="T107" s="28">
        <f t="shared" si="19"/>
        <v>-895614.70122928009</v>
      </c>
      <c r="U107" s="28">
        <f t="shared" si="19"/>
        <v>-895614.70122928009</v>
      </c>
      <c r="V107" s="28">
        <f t="shared" si="19"/>
        <v>-895614.70122928009</v>
      </c>
      <c r="W107" s="28">
        <f t="shared" si="19"/>
        <v>-895614.70122928009</v>
      </c>
      <c r="X107" s="28">
        <f t="shared" si="19"/>
        <v>-895614.70122928009</v>
      </c>
      <c r="Y107" s="28">
        <f t="shared" si="19"/>
        <v>-895614.70122928009</v>
      </c>
      <c r="Z107" s="28">
        <f t="shared" si="19"/>
        <v>-895614.70122928009</v>
      </c>
      <c r="AA107" s="28">
        <f t="shared" si="19"/>
        <v>-895614.70122928009</v>
      </c>
      <c r="AB107" s="28">
        <f t="shared" si="19"/>
        <v>-895614.70122928009</v>
      </c>
      <c r="AC107" s="28">
        <f t="shared" si="19"/>
        <v>-895614.70122928009</v>
      </c>
      <c r="AD107" s="28">
        <f t="shared" si="19"/>
        <v>-895614.70122928009</v>
      </c>
      <c r="AE107" s="28">
        <f t="shared" si="19"/>
        <v>-895614.70122928009</v>
      </c>
      <c r="AF107" s="28">
        <f t="shared" si="19"/>
        <v>-895614.70122928009</v>
      </c>
      <c r="AG107" s="28">
        <f t="shared" si="19"/>
        <v>-895614.70122928009</v>
      </c>
    </row>
    <row r="108" spans="1:43" x14ac:dyDescent="0.2">
      <c r="C108" s="1" t="s">
        <v>86</v>
      </c>
      <c r="D108" s="224"/>
      <c r="E108" s="34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1328310.7544837855</v>
      </c>
      <c r="O108" s="28">
        <f t="shared" si="20"/>
        <v>1328310.7544837855</v>
      </c>
      <c r="P108" s="28">
        <f t="shared" si="20"/>
        <v>1328310.7544837855</v>
      </c>
      <c r="Q108" s="28">
        <f t="shared" si="20"/>
        <v>1328310.7544837855</v>
      </c>
      <c r="R108" s="28">
        <f t="shared" si="20"/>
        <v>1328310.7544837855</v>
      </c>
      <c r="S108" s="28">
        <f t="shared" si="20"/>
        <v>1328310.7544837855</v>
      </c>
      <c r="T108" s="28">
        <f t="shared" si="20"/>
        <v>1328310.7544837855</v>
      </c>
      <c r="U108" s="28">
        <f t="shared" si="20"/>
        <v>1328310.7544837855</v>
      </c>
      <c r="V108" s="28">
        <f t="shared" si="20"/>
        <v>1328310.7544837855</v>
      </c>
      <c r="W108" s="28">
        <f t="shared" si="20"/>
        <v>1328310.7544837855</v>
      </c>
      <c r="X108" s="28">
        <f t="shared" si="20"/>
        <v>1328310.7544837855</v>
      </c>
      <c r="Y108" s="28">
        <f t="shared" si="20"/>
        <v>1328310.7544837855</v>
      </c>
      <c r="Z108" s="28">
        <f t="shared" si="20"/>
        <v>1328310.7544837855</v>
      </c>
      <c r="AA108" s="28">
        <f t="shared" si="20"/>
        <v>1328310.7544837855</v>
      </c>
      <c r="AB108" s="28">
        <f t="shared" si="20"/>
        <v>1328310.7544837855</v>
      </c>
      <c r="AC108" s="28">
        <f t="shared" si="20"/>
        <v>1328310.7544837855</v>
      </c>
      <c r="AD108" s="28">
        <f t="shared" si="20"/>
        <v>1328310.7544837855</v>
      </c>
      <c r="AE108" s="28">
        <f t="shared" si="20"/>
        <v>1328310.7544837855</v>
      </c>
      <c r="AF108" s="28">
        <f t="shared" si="20"/>
        <v>1328310.7544837855</v>
      </c>
      <c r="AG108" s="28">
        <f t="shared" si="20"/>
        <v>1328310.7544837855</v>
      </c>
    </row>
    <row r="109" spans="1:43" x14ac:dyDescent="0.2">
      <c r="D109" s="256" t="str">
        <f>Assumptions!G99</f>
        <v>Capex</v>
      </c>
      <c r="E109" s="256" t="str">
        <f>Assumptions!H99</f>
        <v>Total benefits</v>
      </c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</row>
    <row r="110" spans="1:43" x14ac:dyDescent="0.2">
      <c r="A110" s="1" t="str">
        <f>"sens"&amp;Assumptions!B100</f>
        <v>sens1</v>
      </c>
      <c r="C110" s="255" t="str">
        <f>Assumptions!C100</f>
        <v>Capex 10% higher</v>
      </c>
      <c r="D110" s="256">
        <f>Assumptions!G100</f>
        <v>0.1</v>
      </c>
      <c r="E110" s="256">
        <f>Assumptions!H100</f>
        <v>0</v>
      </c>
      <c r="G110" s="34" t="str">
        <f>PROPER($A$3)&amp;A110</f>
        <v>Option 2sens1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-492588.08567610406</v>
      </c>
      <c r="N110" s="28" cm="1">
        <f t="array" ref="N110">N$106+IF($C110&lt;&gt;0,SUMPRODUCT((N$107:N$108)*TRANSPOSE(($D110:$E110))),0)</f>
        <v>343134.58313157735</v>
      </c>
      <c r="O110" s="28" cm="1">
        <f t="array" ref="O110">O$106+IF($C110&lt;&gt;0,SUMPRODUCT((O$107:O$108)*TRANSPOSE(($D110:$E110))),0)</f>
        <v>343134.58313157735</v>
      </c>
      <c r="P110" s="28" cm="1">
        <f t="array" ref="P110">P$106+IF($C110&lt;&gt;0,SUMPRODUCT((P$107:P$108)*TRANSPOSE(($D110:$E110))),0)</f>
        <v>343134.58313157735</v>
      </c>
      <c r="Q110" s="28" cm="1">
        <f t="array" ref="Q110">Q$106+IF($C110&lt;&gt;0,SUMPRODUCT((Q$107:Q$108)*TRANSPOSE(($D110:$E110))),0)</f>
        <v>343134.58313157735</v>
      </c>
      <c r="R110" s="28" cm="1">
        <f t="array" ref="R110">R$106+IF($C110&lt;&gt;0,SUMPRODUCT((R$107:R$108)*TRANSPOSE(($D110:$E110))),0)</f>
        <v>343134.58313157735</v>
      </c>
      <c r="S110" s="28" cm="1">
        <f t="array" ref="S110">S$106+IF($C110&lt;&gt;0,SUMPRODUCT((S$107:S$108)*TRANSPOSE(($D110:$E110))),0)</f>
        <v>343134.58313157735</v>
      </c>
      <c r="T110" s="28" cm="1">
        <f t="array" ref="T110">T$106+IF($C110&lt;&gt;0,SUMPRODUCT((T$107:T$108)*TRANSPOSE(($D110:$E110))),0)</f>
        <v>343134.58313157735</v>
      </c>
      <c r="U110" s="28" cm="1">
        <f t="array" ref="U110">U$106+IF($C110&lt;&gt;0,SUMPRODUCT((U$107:U$108)*TRANSPOSE(($D110:$E110))),0)</f>
        <v>343134.58313157735</v>
      </c>
      <c r="V110" s="28" cm="1">
        <f t="array" ref="V110">V$106+IF($C110&lt;&gt;0,SUMPRODUCT((V$107:V$108)*TRANSPOSE(($D110:$E110))),0)</f>
        <v>343134.58313157735</v>
      </c>
      <c r="W110" s="28" cm="1">
        <f t="array" ref="W110">W$106+IF($C110&lt;&gt;0,SUMPRODUCT((W$107:W$108)*TRANSPOSE(($D110:$E110))),0)</f>
        <v>343134.58313157735</v>
      </c>
      <c r="X110" s="28" cm="1">
        <f t="array" ref="X110">X$106+IF($C110&lt;&gt;0,SUMPRODUCT((X$107:X$108)*TRANSPOSE(($D110:$E110))),0)</f>
        <v>343134.58313157735</v>
      </c>
      <c r="Y110" s="28" cm="1">
        <f t="array" ref="Y110">Y$106+IF($C110&lt;&gt;0,SUMPRODUCT((Y$107:Y$108)*TRANSPOSE(($D110:$E110))),0)</f>
        <v>343134.58313157735</v>
      </c>
      <c r="Z110" s="28" cm="1">
        <f t="array" ref="Z110">Z$106+IF($C110&lt;&gt;0,SUMPRODUCT((Z$107:Z$108)*TRANSPOSE(($D110:$E110))),0)</f>
        <v>343134.58313157735</v>
      </c>
      <c r="AA110" s="28" cm="1">
        <f t="array" ref="AA110">AA$106+IF($C110&lt;&gt;0,SUMPRODUCT((AA$107:AA$108)*TRANSPOSE(($D110:$E110))),0)</f>
        <v>343134.58313157735</v>
      </c>
      <c r="AB110" s="28" cm="1">
        <f t="array" ref="AB110">AB$106+IF($C110&lt;&gt;0,SUMPRODUCT((AB$107:AB$108)*TRANSPOSE(($D110:$E110))),0)</f>
        <v>343134.58313157735</v>
      </c>
      <c r="AC110" s="28" cm="1">
        <f t="array" ref="AC110">AC$106+IF($C110&lt;&gt;0,SUMPRODUCT((AC$107:AC$108)*TRANSPOSE(($D110:$E110))),0)</f>
        <v>343134.58313157735</v>
      </c>
      <c r="AD110" s="28" cm="1">
        <f t="array" ref="AD110">AD$106+IF($C110&lt;&gt;0,SUMPRODUCT((AD$107:AD$108)*TRANSPOSE(($D110:$E110))),0)</f>
        <v>343134.58313157735</v>
      </c>
      <c r="AE110" s="28" cm="1">
        <f t="array" ref="AE110">AE$106+IF($C110&lt;&gt;0,SUMPRODUCT((AE$107:AE$108)*TRANSPOSE(($D110:$E110))),0)</f>
        <v>343134.58313157735</v>
      </c>
      <c r="AF110" s="28" cm="1">
        <f t="array" ref="AF110">AF$106+IF($C110&lt;&gt;0,SUMPRODUCT((AF$107:AF$108)*TRANSPOSE(($D110:$E110))),0)</f>
        <v>343134.58313157735</v>
      </c>
      <c r="AG110" s="28" cm="1">
        <f t="array" ref="AG110">AG$106+IF($C110&lt;&gt;0,SUMPRODUCT((AG$107:AG$108)*TRANSPOSE(($D110:$E110))),0)</f>
        <v>343134.58313157735</v>
      </c>
    </row>
    <row r="111" spans="1:43" x14ac:dyDescent="0.2">
      <c r="A111" s="1" t="str">
        <f>"sens"&amp;Assumptions!B101</f>
        <v>sens2</v>
      </c>
      <c r="C111" s="255" t="str">
        <f>Assumptions!C101</f>
        <v>Capex 10% lower</v>
      </c>
      <c r="D111" s="256">
        <f>Assumptions!G101</f>
        <v>-0.1</v>
      </c>
      <c r="E111" s="256">
        <f>Assumptions!H101</f>
        <v>0</v>
      </c>
      <c r="G111" s="34" t="str">
        <f t="shared" ref="G111:G117" si="21">PROPER($A$3)&amp;A111</f>
        <v>Option 2sens2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-403026.61555317603</v>
      </c>
      <c r="N111" s="28" cm="1">
        <f t="array" ref="N111">N$106+IF($C111&lt;&gt;0,SUMPRODUCT((N$107:N$108)*TRANSPOSE(($D111:$E111))),0)</f>
        <v>522257.52337743342</v>
      </c>
      <c r="O111" s="28" cm="1">
        <f t="array" ref="O111">O$106+IF($C111&lt;&gt;0,SUMPRODUCT((O$107:O$108)*TRANSPOSE(($D111:$E111))),0)</f>
        <v>522257.52337743342</v>
      </c>
      <c r="P111" s="28" cm="1">
        <f t="array" ref="P111">P$106+IF($C111&lt;&gt;0,SUMPRODUCT((P$107:P$108)*TRANSPOSE(($D111:$E111))),0)</f>
        <v>522257.52337743342</v>
      </c>
      <c r="Q111" s="28" cm="1">
        <f t="array" ref="Q111">Q$106+IF($C111&lt;&gt;0,SUMPRODUCT((Q$107:Q$108)*TRANSPOSE(($D111:$E111))),0)</f>
        <v>522257.52337743342</v>
      </c>
      <c r="R111" s="28" cm="1">
        <f t="array" ref="R111">R$106+IF($C111&lt;&gt;0,SUMPRODUCT((R$107:R$108)*TRANSPOSE(($D111:$E111))),0)</f>
        <v>522257.52337743342</v>
      </c>
      <c r="S111" s="28" cm="1">
        <f t="array" ref="S111">S$106+IF($C111&lt;&gt;0,SUMPRODUCT((S$107:S$108)*TRANSPOSE(($D111:$E111))),0)</f>
        <v>522257.52337743342</v>
      </c>
      <c r="T111" s="28" cm="1">
        <f t="array" ref="T111">T$106+IF($C111&lt;&gt;0,SUMPRODUCT((T$107:T$108)*TRANSPOSE(($D111:$E111))),0)</f>
        <v>522257.52337743342</v>
      </c>
      <c r="U111" s="28" cm="1">
        <f t="array" ref="U111">U$106+IF($C111&lt;&gt;0,SUMPRODUCT((U$107:U$108)*TRANSPOSE(($D111:$E111))),0)</f>
        <v>522257.52337743342</v>
      </c>
      <c r="V111" s="28" cm="1">
        <f t="array" ref="V111">V$106+IF($C111&lt;&gt;0,SUMPRODUCT((V$107:V$108)*TRANSPOSE(($D111:$E111))),0)</f>
        <v>522257.52337743342</v>
      </c>
      <c r="W111" s="28" cm="1">
        <f t="array" ref="W111">W$106+IF($C111&lt;&gt;0,SUMPRODUCT((W$107:W$108)*TRANSPOSE(($D111:$E111))),0)</f>
        <v>522257.52337743342</v>
      </c>
      <c r="X111" s="28" cm="1">
        <f t="array" ref="X111">X$106+IF($C111&lt;&gt;0,SUMPRODUCT((X$107:X$108)*TRANSPOSE(($D111:$E111))),0)</f>
        <v>522257.52337743342</v>
      </c>
      <c r="Y111" s="28" cm="1">
        <f t="array" ref="Y111">Y$106+IF($C111&lt;&gt;0,SUMPRODUCT((Y$107:Y$108)*TRANSPOSE(($D111:$E111))),0)</f>
        <v>522257.52337743342</v>
      </c>
      <c r="Z111" s="28" cm="1">
        <f t="array" ref="Z111">Z$106+IF($C111&lt;&gt;0,SUMPRODUCT((Z$107:Z$108)*TRANSPOSE(($D111:$E111))),0)</f>
        <v>522257.52337743342</v>
      </c>
      <c r="AA111" s="28" cm="1">
        <f t="array" ref="AA111">AA$106+IF($C111&lt;&gt;0,SUMPRODUCT((AA$107:AA$108)*TRANSPOSE(($D111:$E111))),0)</f>
        <v>522257.52337743342</v>
      </c>
      <c r="AB111" s="28" cm="1">
        <f t="array" ref="AB111">AB$106+IF($C111&lt;&gt;0,SUMPRODUCT((AB$107:AB$108)*TRANSPOSE(($D111:$E111))),0)</f>
        <v>522257.52337743342</v>
      </c>
      <c r="AC111" s="28" cm="1">
        <f t="array" ref="AC111">AC$106+IF($C111&lt;&gt;0,SUMPRODUCT((AC$107:AC$108)*TRANSPOSE(($D111:$E111))),0)</f>
        <v>522257.52337743342</v>
      </c>
      <c r="AD111" s="28" cm="1">
        <f t="array" ref="AD111">AD$106+IF($C111&lt;&gt;0,SUMPRODUCT((AD$107:AD$108)*TRANSPOSE(($D111:$E111))),0)</f>
        <v>522257.52337743342</v>
      </c>
      <c r="AE111" s="28" cm="1">
        <f t="array" ref="AE111">AE$106+IF($C111&lt;&gt;0,SUMPRODUCT((AE$107:AE$108)*TRANSPOSE(($D111:$E111))),0)</f>
        <v>522257.52337743342</v>
      </c>
      <c r="AF111" s="28" cm="1">
        <f t="array" ref="AF111">AF$106+IF($C111&lt;&gt;0,SUMPRODUCT((AF$107:AF$108)*TRANSPOSE(($D111:$E111))),0)</f>
        <v>522257.52337743342</v>
      </c>
      <c r="AG111" s="28" cm="1">
        <f t="array" ref="AG111">AG$106+IF($C111&lt;&gt;0,SUMPRODUCT((AG$107:AG$108)*TRANSPOSE(($D111:$E111))),0)</f>
        <v>522257.52337743342</v>
      </c>
    </row>
    <row r="112" spans="1:43" x14ac:dyDescent="0.2">
      <c r="A112" s="1" t="str">
        <f>"sens"&amp;Assumptions!B102</f>
        <v>sens3</v>
      </c>
      <c r="C112" s="255" t="str">
        <f>Assumptions!C102</f>
        <v>Total benefits 10% higher</v>
      </c>
      <c r="D112" s="256">
        <f>Assumptions!G102</f>
        <v>0</v>
      </c>
      <c r="E112" s="256">
        <f>Assumptions!H102</f>
        <v>0.1</v>
      </c>
      <c r="G112" s="34" t="str">
        <f t="shared" si="21"/>
        <v>Option 2sens3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-447807.35061464005</v>
      </c>
      <c r="N112" s="28" cm="1">
        <f t="array" ref="N112">N$106+IF($C112&lt;&gt;0,SUMPRODUCT((N$107:N$108)*TRANSPOSE(($D112:$E112))),0)</f>
        <v>565527.12870288396</v>
      </c>
      <c r="O112" s="28" cm="1">
        <f t="array" ref="O112">O$106+IF($C112&lt;&gt;0,SUMPRODUCT((O$107:O$108)*TRANSPOSE(($D112:$E112))),0)</f>
        <v>565527.12870288396</v>
      </c>
      <c r="P112" s="28" cm="1">
        <f t="array" ref="P112">P$106+IF($C112&lt;&gt;0,SUMPRODUCT((P$107:P$108)*TRANSPOSE(($D112:$E112))),0)</f>
        <v>565527.12870288396</v>
      </c>
      <c r="Q112" s="28" cm="1">
        <f t="array" ref="Q112">Q$106+IF($C112&lt;&gt;0,SUMPRODUCT((Q$107:Q$108)*TRANSPOSE(($D112:$E112))),0)</f>
        <v>565527.12870288396</v>
      </c>
      <c r="R112" s="28" cm="1">
        <f t="array" ref="R112">R$106+IF($C112&lt;&gt;0,SUMPRODUCT((R$107:R$108)*TRANSPOSE(($D112:$E112))),0)</f>
        <v>565527.12870288396</v>
      </c>
      <c r="S112" s="28" cm="1">
        <f t="array" ref="S112">S$106+IF($C112&lt;&gt;0,SUMPRODUCT((S$107:S$108)*TRANSPOSE(($D112:$E112))),0)</f>
        <v>565527.12870288396</v>
      </c>
      <c r="T112" s="28" cm="1">
        <f t="array" ref="T112">T$106+IF($C112&lt;&gt;0,SUMPRODUCT((T$107:T$108)*TRANSPOSE(($D112:$E112))),0)</f>
        <v>565527.12870288396</v>
      </c>
      <c r="U112" s="28" cm="1">
        <f t="array" ref="U112">U$106+IF($C112&lt;&gt;0,SUMPRODUCT((U$107:U$108)*TRANSPOSE(($D112:$E112))),0)</f>
        <v>565527.12870288396</v>
      </c>
      <c r="V112" s="28" cm="1">
        <f t="array" ref="V112">V$106+IF($C112&lt;&gt;0,SUMPRODUCT((V$107:V$108)*TRANSPOSE(($D112:$E112))),0)</f>
        <v>565527.12870288396</v>
      </c>
      <c r="W112" s="28" cm="1">
        <f t="array" ref="W112">W$106+IF($C112&lt;&gt;0,SUMPRODUCT((W$107:W$108)*TRANSPOSE(($D112:$E112))),0)</f>
        <v>565527.12870288396</v>
      </c>
      <c r="X112" s="28" cm="1">
        <f t="array" ref="X112">X$106+IF($C112&lt;&gt;0,SUMPRODUCT((X$107:X$108)*TRANSPOSE(($D112:$E112))),0)</f>
        <v>565527.12870288396</v>
      </c>
      <c r="Y112" s="28" cm="1">
        <f t="array" ref="Y112">Y$106+IF($C112&lt;&gt;0,SUMPRODUCT((Y$107:Y$108)*TRANSPOSE(($D112:$E112))),0)</f>
        <v>565527.12870288396</v>
      </c>
      <c r="Z112" s="28" cm="1">
        <f t="array" ref="Z112">Z$106+IF($C112&lt;&gt;0,SUMPRODUCT((Z$107:Z$108)*TRANSPOSE(($D112:$E112))),0)</f>
        <v>565527.12870288396</v>
      </c>
      <c r="AA112" s="28" cm="1">
        <f t="array" ref="AA112">AA$106+IF($C112&lt;&gt;0,SUMPRODUCT((AA$107:AA$108)*TRANSPOSE(($D112:$E112))),0)</f>
        <v>565527.12870288396</v>
      </c>
      <c r="AB112" s="28" cm="1">
        <f t="array" ref="AB112">AB$106+IF($C112&lt;&gt;0,SUMPRODUCT((AB$107:AB$108)*TRANSPOSE(($D112:$E112))),0)</f>
        <v>565527.12870288396</v>
      </c>
      <c r="AC112" s="28" cm="1">
        <f t="array" ref="AC112">AC$106+IF($C112&lt;&gt;0,SUMPRODUCT((AC$107:AC$108)*TRANSPOSE(($D112:$E112))),0)</f>
        <v>565527.12870288396</v>
      </c>
      <c r="AD112" s="28" cm="1">
        <f t="array" ref="AD112">AD$106+IF($C112&lt;&gt;0,SUMPRODUCT((AD$107:AD$108)*TRANSPOSE(($D112:$E112))),0)</f>
        <v>565527.12870288396</v>
      </c>
      <c r="AE112" s="28" cm="1">
        <f t="array" ref="AE112">AE$106+IF($C112&lt;&gt;0,SUMPRODUCT((AE$107:AE$108)*TRANSPOSE(($D112:$E112))),0)</f>
        <v>565527.12870288396</v>
      </c>
      <c r="AF112" s="28" cm="1">
        <f t="array" ref="AF112">AF$106+IF($C112&lt;&gt;0,SUMPRODUCT((AF$107:AF$108)*TRANSPOSE(($D112:$E112))),0)</f>
        <v>565527.12870288396</v>
      </c>
      <c r="AG112" s="28" cm="1">
        <f t="array" ref="AG112">AG$106+IF($C112&lt;&gt;0,SUMPRODUCT((AG$107:AG$108)*TRANSPOSE(($D112:$E112))),0)</f>
        <v>565527.12870288396</v>
      </c>
    </row>
    <row r="113" spans="1:33" x14ac:dyDescent="0.2">
      <c r="A113" s="1" t="str">
        <f>"sens"&amp;Assumptions!B103</f>
        <v>sens4</v>
      </c>
      <c r="C113" s="255" t="str">
        <f>Assumptions!C103</f>
        <v>Total benefits 10% lower</v>
      </c>
      <c r="D113" s="256">
        <f>Assumptions!G103</f>
        <v>0</v>
      </c>
      <c r="E113" s="256">
        <f>Assumptions!H103</f>
        <v>-0.1</v>
      </c>
      <c r="G113" s="34" t="str">
        <f t="shared" si="21"/>
        <v>Option 2sens4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-447807.35061464005</v>
      </c>
      <c r="N113" s="28" cm="1">
        <f t="array" ref="N113">N$106+IF($C113&lt;&gt;0,SUMPRODUCT((N$107:N$108)*TRANSPOSE(($D113:$E113))),0)</f>
        <v>299864.97780612682</v>
      </c>
      <c r="O113" s="28" cm="1">
        <f t="array" ref="O113">O$106+IF($C113&lt;&gt;0,SUMPRODUCT((O$107:O$108)*TRANSPOSE(($D113:$E113))),0)</f>
        <v>299864.97780612682</v>
      </c>
      <c r="P113" s="28" cm="1">
        <f t="array" ref="P113">P$106+IF($C113&lt;&gt;0,SUMPRODUCT((P$107:P$108)*TRANSPOSE(($D113:$E113))),0)</f>
        <v>299864.97780612682</v>
      </c>
      <c r="Q113" s="28" cm="1">
        <f t="array" ref="Q113">Q$106+IF($C113&lt;&gt;0,SUMPRODUCT((Q$107:Q$108)*TRANSPOSE(($D113:$E113))),0)</f>
        <v>299864.97780612682</v>
      </c>
      <c r="R113" s="28" cm="1">
        <f t="array" ref="R113">R$106+IF($C113&lt;&gt;0,SUMPRODUCT((R$107:R$108)*TRANSPOSE(($D113:$E113))),0)</f>
        <v>299864.97780612682</v>
      </c>
      <c r="S113" s="28" cm="1">
        <f t="array" ref="S113">S$106+IF($C113&lt;&gt;0,SUMPRODUCT((S$107:S$108)*TRANSPOSE(($D113:$E113))),0)</f>
        <v>299864.97780612682</v>
      </c>
      <c r="T113" s="28" cm="1">
        <f t="array" ref="T113">T$106+IF($C113&lt;&gt;0,SUMPRODUCT((T$107:T$108)*TRANSPOSE(($D113:$E113))),0)</f>
        <v>299864.97780612682</v>
      </c>
      <c r="U113" s="28" cm="1">
        <f t="array" ref="U113">U$106+IF($C113&lt;&gt;0,SUMPRODUCT((U$107:U$108)*TRANSPOSE(($D113:$E113))),0)</f>
        <v>299864.97780612682</v>
      </c>
      <c r="V113" s="28" cm="1">
        <f t="array" ref="V113">V$106+IF($C113&lt;&gt;0,SUMPRODUCT((V$107:V$108)*TRANSPOSE(($D113:$E113))),0)</f>
        <v>299864.97780612682</v>
      </c>
      <c r="W113" s="28" cm="1">
        <f t="array" ref="W113">W$106+IF($C113&lt;&gt;0,SUMPRODUCT((W$107:W$108)*TRANSPOSE(($D113:$E113))),0)</f>
        <v>299864.97780612682</v>
      </c>
      <c r="X113" s="28" cm="1">
        <f t="array" ref="X113">X$106+IF($C113&lt;&gt;0,SUMPRODUCT((X$107:X$108)*TRANSPOSE(($D113:$E113))),0)</f>
        <v>299864.97780612682</v>
      </c>
      <c r="Y113" s="28" cm="1">
        <f t="array" ref="Y113">Y$106+IF($C113&lt;&gt;0,SUMPRODUCT((Y$107:Y$108)*TRANSPOSE(($D113:$E113))),0)</f>
        <v>299864.97780612682</v>
      </c>
      <c r="Z113" s="28" cm="1">
        <f t="array" ref="Z113">Z$106+IF($C113&lt;&gt;0,SUMPRODUCT((Z$107:Z$108)*TRANSPOSE(($D113:$E113))),0)</f>
        <v>299864.97780612682</v>
      </c>
      <c r="AA113" s="28" cm="1">
        <f t="array" ref="AA113">AA$106+IF($C113&lt;&gt;0,SUMPRODUCT((AA$107:AA$108)*TRANSPOSE(($D113:$E113))),0)</f>
        <v>299864.97780612682</v>
      </c>
      <c r="AB113" s="28" cm="1">
        <f t="array" ref="AB113">AB$106+IF($C113&lt;&gt;0,SUMPRODUCT((AB$107:AB$108)*TRANSPOSE(($D113:$E113))),0)</f>
        <v>299864.97780612682</v>
      </c>
      <c r="AC113" s="28" cm="1">
        <f t="array" ref="AC113">AC$106+IF($C113&lt;&gt;0,SUMPRODUCT((AC$107:AC$108)*TRANSPOSE(($D113:$E113))),0)</f>
        <v>299864.97780612682</v>
      </c>
      <c r="AD113" s="28" cm="1">
        <f t="array" ref="AD113">AD$106+IF($C113&lt;&gt;0,SUMPRODUCT((AD$107:AD$108)*TRANSPOSE(($D113:$E113))),0)</f>
        <v>299864.97780612682</v>
      </c>
      <c r="AE113" s="28" cm="1">
        <f t="array" ref="AE113">AE$106+IF($C113&lt;&gt;0,SUMPRODUCT((AE$107:AE$108)*TRANSPOSE(($D113:$E113))),0)</f>
        <v>299864.97780612682</v>
      </c>
      <c r="AF113" s="28" cm="1">
        <f t="array" ref="AF113">AF$106+IF($C113&lt;&gt;0,SUMPRODUCT((AF$107:AF$108)*TRANSPOSE(($D113:$E113))),0)</f>
        <v>299864.97780612682</v>
      </c>
      <c r="AG113" s="28" cm="1">
        <f t="array" ref="AG113">AG$106+IF($C113&lt;&gt;0,SUMPRODUCT((AG$107:AG$108)*TRANSPOSE(($D113:$E113))),0)</f>
        <v>299864.97780612682</v>
      </c>
    </row>
    <row r="114" spans="1:33" x14ac:dyDescent="0.2">
      <c r="A114" s="1" t="str">
        <f>"sens"&amp;Assumptions!B104</f>
        <v>sens5</v>
      </c>
      <c r="C114" s="255" t="str">
        <f>Assumptions!C104</f>
        <v>Capex 10% higher &amp; Total benefits 10% lower</v>
      </c>
      <c r="D114" s="256">
        <f>Assumptions!G104</f>
        <v>0.1</v>
      </c>
      <c r="E114" s="256">
        <f>Assumptions!H104</f>
        <v>-0.1</v>
      </c>
      <c r="G114" s="34" t="str">
        <f t="shared" si="21"/>
        <v>Option 2sens5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-492588.08567610406</v>
      </c>
      <c r="N114" s="28" cm="1">
        <f t="array" ref="N114">N$106+IF($C114&lt;&gt;0,SUMPRODUCT((N$107:N$108)*TRANSPOSE(($D114:$E114))),0)</f>
        <v>210303.50768319884</v>
      </c>
      <c r="O114" s="28" cm="1">
        <f t="array" ref="O114">O$106+IF($C114&lt;&gt;0,SUMPRODUCT((O$107:O$108)*TRANSPOSE(($D114:$E114))),0)</f>
        <v>210303.50768319884</v>
      </c>
      <c r="P114" s="28" cm="1">
        <f t="array" ref="P114">P$106+IF($C114&lt;&gt;0,SUMPRODUCT((P$107:P$108)*TRANSPOSE(($D114:$E114))),0)</f>
        <v>210303.50768319884</v>
      </c>
      <c r="Q114" s="28" cm="1">
        <f t="array" ref="Q114">Q$106+IF($C114&lt;&gt;0,SUMPRODUCT((Q$107:Q$108)*TRANSPOSE(($D114:$E114))),0)</f>
        <v>210303.50768319884</v>
      </c>
      <c r="R114" s="28" cm="1">
        <f t="array" ref="R114">R$106+IF($C114&lt;&gt;0,SUMPRODUCT((R$107:R$108)*TRANSPOSE(($D114:$E114))),0)</f>
        <v>210303.50768319884</v>
      </c>
      <c r="S114" s="28" cm="1">
        <f t="array" ref="S114">S$106+IF($C114&lt;&gt;0,SUMPRODUCT((S$107:S$108)*TRANSPOSE(($D114:$E114))),0)</f>
        <v>210303.50768319884</v>
      </c>
      <c r="T114" s="28" cm="1">
        <f t="array" ref="T114">T$106+IF($C114&lt;&gt;0,SUMPRODUCT((T$107:T$108)*TRANSPOSE(($D114:$E114))),0)</f>
        <v>210303.50768319884</v>
      </c>
      <c r="U114" s="28" cm="1">
        <f t="array" ref="U114">U$106+IF($C114&lt;&gt;0,SUMPRODUCT((U$107:U$108)*TRANSPOSE(($D114:$E114))),0)</f>
        <v>210303.50768319884</v>
      </c>
      <c r="V114" s="28" cm="1">
        <f t="array" ref="V114">V$106+IF($C114&lt;&gt;0,SUMPRODUCT((V$107:V$108)*TRANSPOSE(($D114:$E114))),0)</f>
        <v>210303.50768319884</v>
      </c>
      <c r="W114" s="28" cm="1">
        <f t="array" ref="W114">W$106+IF($C114&lt;&gt;0,SUMPRODUCT((W$107:W$108)*TRANSPOSE(($D114:$E114))),0)</f>
        <v>210303.50768319884</v>
      </c>
      <c r="X114" s="28" cm="1">
        <f t="array" ref="X114">X$106+IF($C114&lt;&gt;0,SUMPRODUCT((X$107:X$108)*TRANSPOSE(($D114:$E114))),0)</f>
        <v>210303.50768319884</v>
      </c>
      <c r="Y114" s="28" cm="1">
        <f t="array" ref="Y114">Y$106+IF($C114&lt;&gt;0,SUMPRODUCT((Y$107:Y$108)*TRANSPOSE(($D114:$E114))),0)</f>
        <v>210303.50768319884</v>
      </c>
      <c r="Z114" s="28" cm="1">
        <f t="array" ref="Z114">Z$106+IF($C114&lt;&gt;0,SUMPRODUCT((Z$107:Z$108)*TRANSPOSE(($D114:$E114))),0)</f>
        <v>210303.50768319884</v>
      </c>
      <c r="AA114" s="28" cm="1">
        <f t="array" ref="AA114">AA$106+IF($C114&lt;&gt;0,SUMPRODUCT((AA$107:AA$108)*TRANSPOSE(($D114:$E114))),0)</f>
        <v>210303.50768319884</v>
      </c>
      <c r="AB114" s="28" cm="1">
        <f t="array" ref="AB114">AB$106+IF($C114&lt;&gt;0,SUMPRODUCT((AB$107:AB$108)*TRANSPOSE(($D114:$E114))),0)</f>
        <v>210303.50768319884</v>
      </c>
      <c r="AC114" s="28" cm="1">
        <f t="array" ref="AC114">AC$106+IF($C114&lt;&gt;0,SUMPRODUCT((AC$107:AC$108)*TRANSPOSE(($D114:$E114))),0)</f>
        <v>210303.50768319884</v>
      </c>
      <c r="AD114" s="28" cm="1">
        <f t="array" ref="AD114">AD$106+IF($C114&lt;&gt;0,SUMPRODUCT((AD$107:AD$108)*TRANSPOSE(($D114:$E114))),0)</f>
        <v>210303.50768319884</v>
      </c>
      <c r="AE114" s="28" cm="1">
        <f t="array" ref="AE114">AE$106+IF($C114&lt;&gt;0,SUMPRODUCT((AE$107:AE$108)*TRANSPOSE(($D114:$E114))),0)</f>
        <v>210303.50768319884</v>
      </c>
      <c r="AF114" s="28" cm="1">
        <f t="array" ref="AF114">AF$106+IF($C114&lt;&gt;0,SUMPRODUCT((AF$107:AF$108)*TRANSPOSE(($D114:$E114))),0)</f>
        <v>210303.50768319884</v>
      </c>
      <c r="AG114" s="28" cm="1">
        <f t="array" ref="AG114">AG$106+IF($C114&lt;&gt;0,SUMPRODUCT((AG$107:AG$108)*TRANSPOSE(($D114:$E114))),0)</f>
        <v>210303.50768319884</v>
      </c>
    </row>
    <row r="115" spans="1:33" x14ac:dyDescent="0.2">
      <c r="A115" s="1" t="str">
        <f>"sens"&amp;Assumptions!B105</f>
        <v>sens</v>
      </c>
      <c r="C115" s="255">
        <f>Assumptions!C105</f>
        <v>0</v>
      </c>
      <c r="D115" s="256">
        <f>Assumptions!G105</f>
        <v>0</v>
      </c>
      <c r="E115" s="256">
        <f>Assumptions!H105</f>
        <v>0</v>
      </c>
      <c r="G115" s="34" t="str">
        <f t="shared" si="21"/>
        <v>Option 2sens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-447807.35061464005</v>
      </c>
      <c r="N115" s="28" cm="1">
        <f t="array" ref="N115">N$106+IF($C115&lt;&gt;0,SUMPRODUCT((N$107:N$108)*TRANSPOSE(($D115:$E115))),0)</f>
        <v>432696.05325450539</v>
      </c>
      <c r="O115" s="28" cm="1">
        <f t="array" ref="O115">O$106+IF($C115&lt;&gt;0,SUMPRODUCT((O$107:O$108)*TRANSPOSE(($D115:$E115))),0)</f>
        <v>432696.05325450539</v>
      </c>
      <c r="P115" s="28" cm="1">
        <f t="array" ref="P115">P$106+IF($C115&lt;&gt;0,SUMPRODUCT((P$107:P$108)*TRANSPOSE(($D115:$E115))),0)</f>
        <v>432696.05325450539</v>
      </c>
      <c r="Q115" s="28" cm="1">
        <f t="array" ref="Q115">Q$106+IF($C115&lt;&gt;0,SUMPRODUCT((Q$107:Q$108)*TRANSPOSE(($D115:$E115))),0)</f>
        <v>432696.05325450539</v>
      </c>
      <c r="R115" s="28" cm="1">
        <f t="array" ref="R115">R$106+IF($C115&lt;&gt;0,SUMPRODUCT((R$107:R$108)*TRANSPOSE(($D115:$E115))),0)</f>
        <v>432696.05325450539</v>
      </c>
      <c r="S115" s="28" cm="1">
        <f t="array" ref="S115">S$106+IF($C115&lt;&gt;0,SUMPRODUCT((S$107:S$108)*TRANSPOSE(($D115:$E115))),0)</f>
        <v>432696.05325450539</v>
      </c>
      <c r="T115" s="28" cm="1">
        <f t="array" ref="T115">T$106+IF($C115&lt;&gt;0,SUMPRODUCT((T$107:T$108)*TRANSPOSE(($D115:$E115))),0)</f>
        <v>432696.05325450539</v>
      </c>
      <c r="U115" s="28" cm="1">
        <f t="array" ref="U115">U$106+IF($C115&lt;&gt;0,SUMPRODUCT((U$107:U$108)*TRANSPOSE(($D115:$E115))),0)</f>
        <v>432696.05325450539</v>
      </c>
      <c r="V115" s="28" cm="1">
        <f t="array" ref="V115">V$106+IF($C115&lt;&gt;0,SUMPRODUCT((V$107:V$108)*TRANSPOSE(($D115:$E115))),0)</f>
        <v>432696.05325450539</v>
      </c>
      <c r="W115" s="28" cm="1">
        <f t="array" ref="W115">W$106+IF($C115&lt;&gt;0,SUMPRODUCT((W$107:W$108)*TRANSPOSE(($D115:$E115))),0)</f>
        <v>432696.05325450539</v>
      </c>
      <c r="X115" s="28" cm="1">
        <f t="array" ref="X115">X$106+IF($C115&lt;&gt;0,SUMPRODUCT((X$107:X$108)*TRANSPOSE(($D115:$E115))),0)</f>
        <v>432696.05325450539</v>
      </c>
      <c r="Y115" s="28" cm="1">
        <f t="array" ref="Y115">Y$106+IF($C115&lt;&gt;0,SUMPRODUCT((Y$107:Y$108)*TRANSPOSE(($D115:$E115))),0)</f>
        <v>432696.05325450539</v>
      </c>
      <c r="Z115" s="28" cm="1">
        <f t="array" ref="Z115">Z$106+IF($C115&lt;&gt;0,SUMPRODUCT((Z$107:Z$108)*TRANSPOSE(($D115:$E115))),0)</f>
        <v>432696.05325450539</v>
      </c>
      <c r="AA115" s="28" cm="1">
        <f t="array" ref="AA115">AA$106+IF($C115&lt;&gt;0,SUMPRODUCT((AA$107:AA$108)*TRANSPOSE(($D115:$E115))),0)</f>
        <v>432696.05325450539</v>
      </c>
      <c r="AB115" s="28" cm="1">
        <f t="array" ref="AB115">AB$106+IF($C115&lt;&gt;0,SUMPRODUCT((AB$107:AB$108)*TRANSPOSE(($D115:$E115))),0)</f>
        <v>432696.05325450539</v>
      </c>
      <c r="AC115" s="28" cm="1">
        <f t="array" ref="AC115">AC$106+IF($C115&lt;&gt;0,SUMPRODUCT((AC$107:AC$108)*TRANSPOSE(($D115:$E115))),0)</f>
        <v>432696.05325450539</v>
      </c>
      <c r="AD115" s="28" cm="1">
        <f t="array" ref="AD115">AD$106+IF($C115&lt;&gt;0,SUMPRODUCT((AD$107:AD$108)*TRANSPOSE(($D115:$E115))),0)</f>
        <v>432696.05325450539</v>
      </c>
      <c r="AE115" s="28" cm="1">
        <f t="array" ref="AE115">AE$106+IF($C115&lt;&gt;0,SUMPRODUCT((AE$107:AE$108)*TRANSPOSE(($D115:$E115))),0)</f>
        <v>432696.05325450539</v>
      </c>
      <c r="AF115" s="28" cm="1">
        <f t="array" ref="AF115">AF$106+IF($C115&lt;&gt;0,SUMPRODUCT((AF$107:AF$108)*TRANSPOSE(($D115:$E115))),0)</f>
        <v>432696.05325450539</v>
      </c>
      <c r="AG115" s="28" cm="1">
        <f t="array" ref="AG115">AG$106+IF($C115&lt;&gt;0,SUMPRODUCT((AG$107:AG$108)*TRANSPOSE(($D115:$E115))),0)</f>
        <v>432696.05325450539</v>
      </c>
    </row>
    <row r="116" spans="1:33" x14ac:dyDescent="0.2">
      <c r="A116" s="1" t="str">
        <f>"sens"&amp;Assumptions!B106</f>
        <v>sens</v>
      </c>
      <c r="C116" s="255">
        <f>Assumptions!C106</f>
        <v>0</v>
      </c>
      <c r="D116" s="256">
        <f>Assumptions!G106</f>
        <v>0</v>
      </c>
      <c r="E116" s="256">
        <f>Assumptions!H106</f>
        <v>0</v>
      </c>
      <c r="G116" s="34" t="str">
        <f t="shared" si="21"/>
        <v>Option 2sens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-447807.35061464005</v>
      </c>
      <c r="N116" s="28" cm="1">
        <f t="array" ref="N116">N$106+IF($C116&lt;&gt;0,SUMPRODUCT((N$107:N$108)*TRANSPOSE(($D116:$E116))),0)</f>
        <v>432696.05325450539</v>
      </c>
      <c r="O116" s="28" cm="1">
        <f t="array" ref="O116">O$106+IF($C116&lt;&gt;0,SUMPRODUCT((O$107:O$108)*TRANSPOSE(($D116:$E116))),0)</f>
        <v>432696.05325450539</v>
      </c>
      <c r="P116" s="28" cm="1">
        <f t="array" ref="P116">P$106+IF($C116&lt;&gt;0,SUMPRODUCT((P$107:P$108)*TRANSPOSE(($D116:$E116))),0)</f>
        <v>432696.05325450539</v>
      </c>
      <c r="Q116" s="28" cm="1">
        <f t="array" ref="Q116">Q$106+IF($C116&lt;&gt;0,SUMPRODUCT((Q$107:Q$108)*TRANSPOSE(($D116:$E116))),0)</f>
        <v>432696.05325450539</v>
      </c>
      <c r="R116" s="28" cm="1">
        <f t="array" ref="R116">R$106+IF($C116&lt;&gt;0,SUMPRODUCT((R$107:R$108)*TRANSPOSE(($D116:$E116))),0)</f>
        <v>432696.05325450539</v>
      </c>
      <c r="S116" s="28" cm="1">
        <f t="array" ref="S116">S$106+IF($C116&lt;&gt;0,SUMPRODUCT((S$107:S$108)*TRANSPOSE(($D116:$E116))),0)</f>
        <v>432696.05325450539</v>
      </c>
      <c r="T116" s="28" cm="1">
        <f t="array" ref="T116">T$106+IF($C116&lt;&gt;0,SUMPRODUCT((T$107:T$108)*TRANSPOSE(($D116:$E116))),0)</f>
        <v>432696.05325450539</v>
      </c>
      <c r="U116" s="28" cm="1">
        <f t="array" ref="U116">U$106+IF($C116&lt;&gt;0,SUMPRODUCT((U$107:U$108)*TRANSPOSE(($D116:$E116))),0)</f>
        <v>432696.05325450539</v>
      </c>
      <c r="V116" s="28" cm="1">
        <f t="array" ref="V116">V$106+IF($C116&lt;&gt;0,SUMPRODUCT((V$107:V$108)*TRANSPOSE(($D116:$E116))),0)</f>
        <v>432696.05325450539</v>
      </c>
      <c r="W116" s="28" cm="1">
        <f t="array" ref="W116">W$106+IF($C116&lt;&gt;0,SUMPRODUCT((W$107:W$108)*TRANSPOSE(($D116:$E116))),0)</f>
        <v>432696.05325450539</v>
      </c>
      <c r="X116" s="28" cm="1">
        <f t="array" ref="X116">X$106+IF($C116&lt;&gt;0,SUMPRODUCT((X$107:X$108)*TRANSPOSE(($D116:$E116))),0)</f>
        <v>432696.05325450539</v>
      </c>
      <c r="Y116" s="28" cm="1">
        <f t="array" ref="Y116">Y$106+IF($C116&lt;&gt;0,SUMPRODUCT((Y$107:Y$108)*TRANSPOSE(($D116:$E116))),0)</f>
        <v>432696.05325450539</v>
      </c>
      <c r="Z116" s="28" cm="1">
        <f t="array" ref="Z116">Z$106+IF($C116&lt;&gt;0,SUMPRODUCT((Z$107:Z$108)*TRANSPOSE(($D116:$E116))),0)</f>
        <v>432696.05325450539</v>
      </c>
      <c r="AA116" s="28" cm="1">
        <f t="array" ref="AA116">AA$106+IF($C116&lt;&gt;0,SUMPRODUCT((AA$107:AA$108)*TRANSPOSE(($D116:$E116))),0)</f>
        <v>432696.05325450539</v>
      </c>
      <c r="AB116" s="28" cm="1">
        <f t="array" ref="AB116">AB$106+IF($C116&lt;&gt;0,SUMPRODUCT((AB$107:AB$108)*TRANSPOSE(($D116:$E116))),0)</f>
        <v>432696.05325450539</v>
      </c>
      <c r="AC116" s="28" cm="1">
        <f t="array" ref="AC116">AC$106+IF($C116&lt;&gt;0,SUMPRODUCT((AC$107:AC$108)*TRANSPOSE(($D116:$E116))),0)</f>
        <v>432696.05325450539</v>
      </c>
      <c r="AD116" s="28" cm="1">
        <f t="array" ref="AD116">AD$106+IF($C116&lt;&gt;0,SUMPRODUCT((AD$107:AD$108)*TRANSPOSE(($D116:$E116))),0)</f>
        <v>432696.05325450539</v>
      </c>
      <c r="AE116" s="28" cm="1">
        <f t="array" ref="AE116">AE$106+IF($C116&lt;&gt;0,SUMPRODUCT((AE$107:AE$108)*TRANSPOSE(($D116:$E116))),0)</f>
        <v>432696.05325450539</v>
      </c>
      <c r="AF116" s="28" cm="1">
        <f t="array" ref="AF116">AF$106+IF($C116&lt;&gt;0,SUMPRODUCT((AF$107:AF$108)*TRANSPOSE(($D116:$E116))),0)</f>
        <v>432696.05325450539</v>
      </c>
      <c r="AG116" s="28" cm="1">
        <f t="array" ref="AG116">AG$106+IF($C116&lt;&gt;0,SUMPRODUCT((AG$107:AG$108)*TRANSPOSE(($D116:$E116))),0)</f>
        <v>432696.05325450539</v>
      </c>
    </row>
    <row r="117" spans="1:33" x14ac:dyDescent="0.2">
      <c r="A117" s="1" t="str">
        <f>"sens"&amp;Assumptions!B107</f>
        <v>sens</v>
      </c>
      <c r="C117" s="255">
        <f>Assumptions!C107</f>
        <v>0</v>
      </c>
      <c r="D117" s="256">
        <f>Assumptions!G107</f>
        <v>0</v>
      </c>
      <c r="E117" s="256">
        <f>Assumptions!H107</f>
        <v>0</v>
      </c>
      <c r="G117" s="34" t="str">
        <f t="shared" si="21"/>
        <v>Option 2sens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-447807.35061464005</v>
      </c>
      <c r="N117" s="28" cm="1">
        <f t="array" ref="N117">N$106+IF($C117&lt;&gt;0,SUMPRODUCT((N$107:N$108)*TRANSPOSE(($D117:$E117))),0)</f>
        <v>432696.05325450539</v>
      </c>
      <c r="O117" s="28" cm="1">
        <f t="array" ref="O117">O$106+IF($C117&lt;&gt;0,SUMPRODUCT((O$107:O$108)*TRANSPOSE(($D117:$E117))),0)</f>
        <v>432696.05325450539</v>
      </c>
      <c r="P117" s="28" cm="1">
        <f t="array" ref="P117">P$106+IF($C117&lt;&gt;0,SUMPRODUCT((P$107:P$108)*TRANSPOSE(($D117:$E117))),0)</f>
        <v>432696.05325450539</v>
      </c>
      <c r="Q117" s="28" cm="1">
        <f t="array" ref="Q117">Q$106+IF($C117&lt;&gt;0,SUMPRODUCT((Q$107:Q$108)*TRANSPOSE(($D117:$E117))),0)</f>
        <v>432696.05325450539</v>
      </c>
      <c r="R117" s="28" cm="1">
        <f t="array" ref="R117">R$106+IF($C117&lt;&gt;0,SUMPRODUCT((R$107:R$108)*TRANSPOSE(($D117:$E117))),0)</f>
        <v>432696.05325450539</v>
      </c>
      <c r="S117" s="28" cm="1">
        <f t="array" ref="S117">S$106+IF($C117&lt;&gt;0,SUMPRODUCT((S$107:S$108)*TRANSPOSE(($D117:$E117))),0)</f>
        <v>432696.05325450539</v>
      </c>
      <c r="T117" s="28" cm="1">
        <f t="array" ref="T117">T$106+IF($C117&lt;&gt;0,SUMPRODUCT((T$107:T$108)*TRANSPOSE(($D117:$E117))),0)</f>
        <v>432696.05325450539</v>
      </c>
      <c r="U117" s="28" cm="1">
        <f t="array" ref="U117">U$106+IF($C117&lt;&gt;0,SUMPRODUCT((U$107:U$108)*TRANSPOSE(($D117:$E117))),0)</f>
        <v>432696.05325450539</v>
      </c>
      <c r="V117" s="28" cm="1">
        <f t="array" ref="V117">V$106+IF($C117&lt;&gt;0,SUMPRODUCT((V$107:V$108)*TRANSPOSE(($D117:$E117))),0)</f>
        <v>432696.05325450539</v>
      </c>
      <c r="W117" s="28" cm="1">
        <f t="array" ref="W117">W$106+IF($C117&lt;&gt;0,SUMPRODUCT((W$107:W$108)*TRANSPOSE(($D117:$E117))),0)</f>
        <v>432696.05325450539</v>
      </c>
      <c r="X117" s="28" cm="1">
        <f t="array" ref="X117">X$106+IF($C117&lt;&gt;0,SUMPRODUCT((X$107:X$108)*TRANSPOSE(($D117:$E117))),0)</f>
        <v>432696.05325450539</v>
      </c>
      <c r="Y117" s="28" cm="1">
        <f t="array" ref="Y117">Y$106+IF($C117&lt;&gt;0,SUMPRODUCT((Y$107:Y$108)*TRANSPOSE(($D117:$E117))),0)</f>
        <v>432696.05325450539</v>
      </c>
      <c r="Z117" s="28" cm="1">
        <f t="array" ref="Z117">Z$106+IF($C117&lt;&gt;0,SUMPRODUCT((Z$107:Z$108)*TRANSPOSE(($D117:$E117))),0)</f>
        <v>432696.05325450539</v>
      </c>
      <c r="AA117" s="28" cm="1">
        <f t="array" ref="AA117">AA$106+IF($C117&lt;&gt;0,SUMPRODUCT((AA$107:AA$108)*TRANSPOSE(($D117:$E117))),0)</f>
        <v>432696.05325450539</v>
      </c>
      <c r="AB117" s="28" cm="1">
        <f t="array" ref="AB117">AB$106+IF($C117&lt;&gt;0,SUMPRODUCT((AB$107:AB$108)*TRANSPOSE(($D117:$E117))),0)</f>
        <v>432696.05325450539</v>
      </c>
      <c r="AC117" s="28" cm="1">
        <f t="array" ref="AC117">AC$106+IF($C117&lt;&gt;0,SUMPRODUCT((AC$107:AC$108)*TRANSPOSE(($D117:$E117))),0)</f>
        <v>432696.05325450539</v>
      </c>
      <c r="AD117" s="28" cm="1">
        <f t="array" ref="AD117">AD$106+IF($C117&lt;&gt;0,SUMPRODUCT((AD$107:AD$108)*TRANSPOSE(($D117:$E117))),0)</f>
        <v>432696.05325450539</v>
      </c>
      <c r="AE117" s="28" cm="1">
        <f t="array" ref="AE117">AE$106+IF($C117&lt;&gt;0,SUMPRODUCT((AE$107:AE$108)*TRANSPOSE(($D117:$E117))),0)</f>
        <v>432696.05325450539</v>
      </c>
      <c r="AF117" s="28" cm="1">
        <f t="array" ref="AF117">AF$106+IF($C117&lt;&gt;0,SUMPRODUCT((AF$107:AF$108)*TRANSPOSE(($D117:$E117))),0)</f>
        <v>432696.05325450539</v>
      </c>
      <c r="AG117" s="28" cm="1">
        <f t="array" ref="AG117">AG$106+IF($C117&lt;&gt;0,SUMPRODUCT((AG$107:AG$108)*TRANSPOSE(($D117:$E117))),0)</f>
        <v>432696.05325450539</v>
      </c>
    </row>
    <row r="118" spans="1:33" x14ac:dyDescent="0.2">
      <c r="E118" s="217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</row>
    <row r="129" spans="9:12" x14ac:dyDescent="0.2">
      <c r="I129" s="221"/>
      <c r="J129" s="221"/>
      <c r="K129" s="221"/>
      <c r="L129" s="221"/>
    </row>
    <row r="130" spans="9:12" x14ac:dyDescent="0.2">
      <c r="I130" s="221"/>
      <c r="J130" s="221"/>
      <c r="K130" s="221"/>
      <c r="L130" s="221"/>
    </row>
    <row r="131" spans="9:12" x14ac:dyDescent="0.2">
      <c r="I131" s="221"/>
      <c r="J131" s="221"/>
      <c r="K131" s="221"/>
      <c r="L131" s="221"/>
    </row>
    <row r="132" spans="9:12" x14ac:dyDescent="0.2">
      <c r="I132" s="221"/>
      <c r="J132" s="221"/>
      <c r="K132" s="221"/>
      <c r="L132" s="221"/>
    </row>
    <row r="133" spans="9:12" x14ac:dyDescent="0.2">
      <c r="I133" s="221"/>
      <c r="J133" s="221"/>
      <c r="K133" s="221"/>
      <c r="L133" s="221"/>
    </row>
    <row r="134" spans="9:12" x14ac:dyDescent="0.2">
      <c r="I134" s="221"/>
      <c r="J134" s="221"/>
      <c r="K134" s="221"/>
      <c r="L134" s="221"/>
    </row>
    <row r="135" spans="9:12" x14ac:dyDescent="0.2">
      <c r="I135" s="221"/>
      <c r="J135" s="221"/>
      <c r="K135" s="221"/>
      <c r="L135" s="221"/>
    </row>
    <row r="136" spans="9:12" x14ac:dyDescent="0.2">
      <c r="I136" s="221"/>
      <c r="J136" s="221"/>
      <c r="K136" s="221"/>
      <c r="L136" s="221"/>
    </row>
  </sheetData>
  <conditionalFormatting sqref="E14:E16">
    <cfRule type="expression" dxfId="10" priority="1">
      <formula>AND(SUM($I14:$AB14)&lt;&gt;0, E14=0)</formula>
    </cfRule>
  </conditionalFormatting>
  <conditionalFormatting sqref="E28">
    <cfRule type="expression" dxfId="9" priority="236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4F65EB60-FCE6-4945-964C-D8B8AF8E6CEB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8E919-3C6A-4976-AA18-0C14B57A2441}">
  <sheetPr codeName="Sheet5">
    <tabColor rgb="FF0099FF"/>
  </sheetPr>
  <dimension ref="A1:XER117"/>
  <sheetViews>
    <sheetView showGridLines="0" zoomScale="90" zoomScaleNormal="90" workbookViewId="0">
      <pane xSplit="4" ySplit="11" topLeftCell="E12" activePane="bottomRight" state="frozen"/>
      <selection pane="topRight" activeCell="E1" sqref="E1"/>
      <selection pane="bottomLeft" activeCell="A12" sqref="A12"/>
      <selection pane="bottomRight" activeCell="E12" sqref="E12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Horsham REFCL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9" t="s">
        <v>136</v>
      </c>
      <c r="B3" s="5"/>
      <c r="C3" s="315" t="str">
        <f>INDEX(Assumptions!$E$14:$E$18, MATCH(A3,_xlfn.ANCHORARRAY( Assumptions!$C$14),0))</f>
        <v>Install covered conductor for HSM feeders</v>
      </c>
    </row>
    <row r="4" spans="1:43" x14ac:dyDescent="0.2">
      <c r="A4" s="1" t="str">
        <f>(INDEX(Data!$D$9:$D$13, MATCH(A3, options,0)))</f>
        <v/>
      </c>
      <c r="B4" s="165"/>
      <c r="C4" s="213"/>
    </row>
    <row r="5" spans="1:43" hidden="1" outlineLevel="1" x14ac:dyDescent="0.2">
      <c r="C5" s="86"/>
      <c r="D5" s="85"/>
      <c r="E5" s="87"/>
      <c r="F5" s="87"/>
      <c r="G5" s="85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tr">
        <f>'Option1 (base case)'!A6</f>
        <v>Count</v>
      </c>
      <c r="B6" s="85"/>
      <c r="C6" s="86"/>
      <c r="D6" s="85"/>
      <c r="E6" s="87"/>
      <c r="F6" s="87"/>
      <c r="G6" s="85"/>
      <c r="H6" s="88"/>
      <c r="I6" s="88">
        <f>'Option1 (base case)'!I6</f>
        <v>1</v>
      </c>
      <c r="J6" s="88">
        <f>'Option1 (base case)'!J6</f>
        <v>2</v>
      </c>
      <c r="K6" s="88">
        <f>'Option1 (base case)'!K6</f>
        <v>3</v>
      </c>
      <c r="L6" s="88">
        <f>'Option1 (base case)'!L6</f>
        <v>4</v>
      </c>
      <c r="M6" s="88">
        <f>'Option1 (base case)'!M6</f>
        <v>5</v>
      </c>
      <c r="N6" s="88">
        <f>'Option1 (base case)'!N6</f>
        <v>6</v>
      </c>
      <c r="O6" s="88">
        <f>'Option1 (base case)'!O6</f>
        <v>7</v>
      </c>
      <c r="P6" s="88">
        <f>'Option1 (base case)'!P6</f>
        <v>8</v>
      </c>
      <c r="Q6" s="88">
        <f>'Option1 (base case)'!Q6</f>
        <v>9</v>
      </c>
      <c r="R6" s="88">
        <f>'Option1 (base case)'!R6</f>
        <v>10</v>
      </c>
      <c r="S6" s="88">
        <f>'Option1 (base case)'!S6</f>
        <v>11</v>
      </c>
      <c r="T6" s="88">
        <f>'Option1 (base case)'!T6</f>
        <v>12</v>
      </c>
      <c r="U6" s="88">
        <f>'Option1 (base case)'!U6</f>
        <v>13</v>
      </c>
      <c r="V6" s="88">
        <f>'Option1 (base case)'!V6</f>
        <v>14</v>
      </c>
      <c r="W6" s="88">
        <f>'Option1 (base case)'!W6</f>
        <v>15</v>
      </c>
      <c r="X6" s="88">
        <f>'Option1 (base case)'!X6</f>
        <v>16</v>
      </c>
      <c r="Y6" s="88">
        <f>'Option1 (base case)'!Y6</f>
        <v>17</v>
      </c>
      <c r="Z6" s="88">
        <f>'Option1 (base case)'!Z6</f>
        <v>18</v>
      </c>
      <c r="AA6" s="88">
        <f>'Option1 (base case)'!AA6</f>
        <v>19</v>
      </c>
      <c r="AB6" s="88">
        <f>'Option1 (base case)'!AB6</f>
        <v>20</v>
      </c>
      <c r="AC6" s="88">
        <f>'Option1 (base case)'!AC6</f>
        <v>21</v>
      </c>
      <c r="AD6" s="88">
        <f>'Option1 (base case)'!AD6</f>
        <v>22</v>
      </c>
      <c r="AE6" s="88">
        <f>'Option1 (base case)'!AE6</f>
        <v>23</v>
      </c>
      <c r="AF6" s="88">
        <f>'Option1 (base case)'!AF6</f>
        <v>24</v>
      </c>
      <c r="AG6" s="88">
        <f>'Option1 (base case)'!AG6</f>
        <v>25</v>
      </c>
    </row>
    <row r="7" spans="1:43" hidden="1" outlineLevel="1" x14ac:dyDescent="0.2">
      <c r="A7" s="85" t="str">
        <f>'Option1 (base case)'!A7</f>
        <v>Value of CO2 reductions</v>
      </c>
      <c r="B7" s="85"/>
      <c r="G7" s="139" t="s">
        <v>90</v>
      </c>
      <c r="I7" s="86">
        <f>'Option1 (base case)'!I7</f>
        <v>24.730486797759085</v>
      </c>
      <c r="J7" s="86">
        <f>'Option1 (base case)'!J7</f>
        <v>22.340740091772258</v>
      </c>
      <c r="K7" s="86">
        <f>'Option1 (base case)'!K7</f>
        <v>20.196329122153124</v>
      </c>
      <c r="L7" s="86">
        <f>'Option1 (base case)'!L7</f>
        <v>18.06294207659629</v>
      </c>
      <c r="M7" s="86">
        <f>'Option1 (base case)'!M7</f>
        <v>15.913397615084225</v>
      </c>
      <c r="N7" s="86">
        <f>'Option1 (base case)'!N7</f>
        <v>13.715069432539002</v>
      </c>
      <c r="O7" s="86">
        <f>'Option1 (base case)'!O7</f>
        <v>13.715069432539002</v>
      </c>
      <c r="P7" s="86">
        <f>'Option1 (base case)'!P7</f>
        <v>13.715069432539002</v>
      </c>
      <c r="Q7" s="86">
        <f>'Option1 (base case)'!Q7</f>
        <v>13.715069432539002</v>
      </c>
      <c r="R7" s="86">
        <f>'Option1 (base case)'!R7</f>
        <v>13.715069432539002</v>
      </c>
      <c r="S7" s="86">
        <f>'Option1 (base case)'!S7</f>
        <v>13.715069432539002</v>
      </c>
      <c r="T7" s="86">
        <f>'Option1 (base case)'!T7</f>
        <v>13.715069432539002</v>
      </c>
      <c r="U7" s="86">
        <f>'Option1 (base case)'!U7</f>
        <v>13.715069432539002</v>
      </c>
      <c r="V7" s="86">
        <f>'Option1 (base case)'!V7</f>
        <v>13.715069432539002</v>
      </c>
      <c r="W7" s="86">
        <f>'Option1 (base case)'!W7</f>
        <v>13.715069432539002</v>
      </c>
      <c r="X7" s="86">
        <f>'Option1 (base case)'!X7</f>
        <v>13.715069432539002</v>
      </c>
      <c r="Y7" s="86">
        <f>'Option1 (base case)'!Y7</f>
        <v>13.715069432539002</v>
      </c>
      <c r="Z7" s="86">
        <f>'Option1 (base case)'!Z7</f>
        <v>13.715069432539002</v>
      </c>
      <c r="AA7" s="86">
        <f>'Option1 (base case)'!AA7</f>
        <v>13.715069432539002</v>
      </c>
      <c r="AB7" s="86">
        <f>'Option1 (base case)'!AB7</f>
        <v>13.715069432539002</v>
      </c>
      <c r="AC7" s="86">
        <f>'Option1 (base case)'!AC7</f>
        <v>13.715069432539002</v>
      </c>
      <c r="AD7" s="86">
        <f>'Option1 (base case)'!AD7</f>
        <v>13.715069432539002</v>
      </c>
      <c r="AE7" s="86">
        <f>'Option1 (base case)'!AE7</f>
        <v>13.715069432539002</v>
      </c>
      <c r="AF7" s="86">
        <f>'Option1 (base case)'!AF7</f>
        <v>13.715069432539002</v>
      </c>
      <c r="AG7" s="86">
        <f>'Option1 (base case)'!AG7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6"/>
      <c r="B9" s="16"/>
      <c r="C9" s="16"/>
      <c r="D9" s="16"/>
      <c r="E9" s="16"/>
      <c r="F9" s="122"/>
      <c r="G9" s="16" t="s">
        <v>91</v>
      </c>
      <c r="H9" s="195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92</v>
      </c>
      <c r="B11" s="78"/>
      <c r="C11" s="79"/>
      <c r="D11" s="79"/>
      <c r="E11" s="79"/>
      <c r="F11" s="79"/>
      <c r="G11" s="18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</row>
    <row r="12" spans="1:43" x14ac:dyDescent="0.2">
      <c r="A12" s="3"/>
      <c r="B12" s="3"/>
      <c r="C12" s="3"/>
      <c r="D12" s="3"/>
      <c r="G12" s="181"/>
      <c r="AH12"/>
    </row>
    <row r="13" spans="1:43" x14ac:dyDescent="0.2">
      <c r="C13" s="3" t="s">
        <v>85</v>
      </c>
      <c r="D13"/>
      <c r="E13" s="105" t="s">
        <v>93</v>
      </c>
      <c r="G13" s="182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137</v>
      </c>
      <c r="D14"/>
      <c r="E14" s="128">
        <v>30</v>
      </c>
      <c r="G14" s="183">
        <f>input_dollars</f>
        <v>45291</v>
      </c>
      <c r="H14" s="129"/>
      <c r="I14" s="29">
        <f>Workings_costs!E35</f>
        <v>0</v>
      </c>
      <c r="J14" s="29">
        <f>Workings_costs!F35</f>
        <v>0</v>
      </c>
      <c r="K14" s="29">
        <f>Workings_costs!G35</f>
        <v>0</v>
      </c>
      <c r="L14" s="29">
        <f>Workings_costs!H35</f>
        <v>105097205</v>
      </c>
      <c r="M14" s="29">
        <f>Workings_costs!I35</f>
        <v>105097205</v>
      </c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/>
      <c r="D15"/>
      <c r="E15" s="128">
        <v>0</v>
      </c>
      <c r="G15" s="183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/>
      <c r="D16"/>
      <c r="E16" s="128">
        <v>0</v>
      </c>
      <c r="G16" s="183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17</v>
      </c>
      <c r="G17" s="183">
        <f>input_dollars</f>
        <v>45291</v>
      </c>
      <c r="H17" s="94"/>
      <c r="I17" s="93">
        <f t="shared" ref="I17:Q17" si="0">SUM(I14:I16)</f>
        <v>0</v>
      </c>
      <c r="J17" s="93">
        <f t="shared" si="0"/>
        <v>0</v>
      </c>
      <c r="K17" s="93">
        <f t="shared" si="0"/>
        <v>0</v>
      </c>
      <c r="L17" s="93">
        <f t="shared" si="0"/>
        <v>105097205</v>
      </c>
      <c r="M17" s="93">
        <f t="shared" si="0"/>
        <v>105097205</v>
      </c>
      <c r="N17" s="93">
        <f t="shared" si="0"/>
        <v>0</v>
      </c>
      <c r="O17" s="93">
        <f t="shared" si="0"/>
        <v>0</v>
      </c>
      <c r="P17" s="93">
        <f t="shared" si="0"/>
        <v>0</v>
      </c>
      <c r="Q17" s="93">
        <f t="shared" si="0"/>
        <v>0</v>
      </c>
      <c r="R17" s="93">
        <f t="shared" ref="R17:AB17" si="1">SUM(R14:R16)</f>
        <v>0</v>
      </c>
      <c r="S17" s="93">
        <f t="shared" si="1"/>
        <v>0</v>
      </c>
      <c r="T17" s="93">
        <f t="shared" si="1"/>
        <v>0</v>
      </c>
      <c r="U17" s="93">
        <f t="shared" si="1"/>
        <v>0</v>
      </c>
      <c r="V17" s="93">
        <f t="shared" si="1"/>
        <v>0</v>
      </c>
      <c r="W17" s="93">
        <f t="shared" si="1"/>
        <v>0</v>
      </c>
      <c r="X17" s="93">
        <f t="shared" si="1"/>
        <v>0</v>
      </c>
      <c r="Y17" s="93">
        <f t="shared" si="1"/>
        <v>0</v>
      </c>
      <c r="Z17" s="93">
        <f t="shared" si="1"/>
        <v>0</v>
      </c>
      <c r="AA17" s="93">
        <f t="shared" si="1"/>
        <v>0</v>
      </c>
      <c r="AB17" s="93">
        <f t="shared" si="1"/>
        <v>0</v>
      </c>
      <c r="AC17" s="93">
        <f>SUM(AC14:AC16)</f>
        <v>0</v>
      </c>
      <c r="AD17" s="93">
        <f>SUM(AD14:AD16)</f>
        <v>0</v>
      </c>
      <c r="AE17" s="93">
        <f>SUM(AE14:AE16)</f>
        <v>0</v>
      </c>
      <c r="AF17" s="93">
        <f>SUM(AF14:AF16)</f>
        <v>0</v>
      </c>
      <c r="AG17" s="93">
        <f>SUM(AG14:AG16)</f>
        <v>0</v>
      </c>
      <c r="AH17"/>
    </row>
    <row r="18" spans="1:43" x14ac:dyDescent="0.2">
      <c r="C18"/>
      <c r="D18"/>
      <c r="E18"/>
      <c r="G18" s="182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18</v>
      </c>
      <c r="D19"/>
      <c r="E19"/>
      <c r="F19" s="94"/>
      <c r="G19" s="183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  <c r="AH19"/>
    </row>
    <row r="20" spans="1:43" x14ac:dyDescent="0.2">
      <c r="G20" s="181"/>
      <c r="AH20"/>
    </row>
    <row r="21" spans="1:43" x14ac:dyDescent="0.2">
      <c r="C21"/>
      <c r="D21"/>
      <c r="E21"/>
      <c r="G21" s="182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95</v>
      </c>
      <c r="B22" s="78"/>
      <c r="C22" s="78"/>
      <c r="D22" s="78"/>
      <c r="E22" s="78"/>
      <c r="F22" s="78"/>
      <c r="G22" s="180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4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96</v>
      </c>
      <c r="D24" s="98"/>
      <c r="E24" s="98"/>
      <c r="F24" s="98"/>
      <c r="G24" s="184"/>
      <c r="H24" s="98"/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48">
        <v>0</v>
      </c>
      <c r="P24" s="148">
        <v>0</v>
      </c>
      <c r="Q24" s="148">
        <v>0</v>
      </c>
      <c r="R24" s="148">
        <v>0</v>
      </c>
      <c r="S24" s="148">
        <v>0</v>
      </c>
      <c r="T24" s="148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  <c r="AG24" s="148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97</v>
      </c>
      <c r="D25" s="184"/>
      <c r="E25" s="98"/>
      <c r="F25" s="98"/>
      <c r="G25" s="184"/>
      <c r="H25" s="98"/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48">
        <v>0</v>
      </c>
      <c r="P25" s="148">
        <v>0</v>
      </c>
      <c r="Q25" s="148">
        <v>0</v>
      </c>
      <c r="R25" s="148">
        <v>0</v>
      </c>
      <c r="S25" s="148">
        <v>0</v>
      </c>
      <c r="T25" s="148">
        <v>0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E25" s="148">
        <v>0</v>
      </c>
      <c r="AF25" s="148">
        <v>0</v>
      </c>
      <c r="AG25" s="148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4"/>
      <c r="E26" s="98"/>
      <c r="F26" s="98"/>
      <c r="G26" s="184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98</v>
      </c>
      <c r="D27" s="181"/>
      <c r="E27"/>
      <c r="G27" s="183" t="s">
        <v>99</v>
      </c>
      <c r="H27"/>
      <c r="I27" s="147">
        <v>0</v>
      </c>
      <c r="J27" s="147">
        <v>0</v>
      </c>
      <c r="K27" s="147">
        <v>0</v>
      </c>
      <c r="L27" s="147">
        <v>0</v>
      </c>
      <c r="M27" s="147">
        <v>0</v>
      </c>
      <c r="N27" s="147">
        <v>0</v>
      </c>
      <c r="O27" s="147">
        <v>0</v>
      </c>
      <c r="P27" s="147">
        <v>0</v>
      </c>
      <c r="Q27" s="147">
        <v>0</v>
      </c>
      <c r="R27" s="147">
        <v>0</v>
      </c>
      <c r="S27" s="147">
        <v>0</v>
      </c>
      <c r="T27" s="147">
        <v>0</v>
      </c>
      <c r="U27" s="147">
        <v>0</v>
      </c>
      <c r="V27" s="147">
        <v>0</v>
      </c>
      <c r="W27" s="147">
        <v>0</v>
      </c>
      <c r="X27" s="147">
        <v>0</v>
      </c>
      <c r="Y27" s="147">
        <v>0</v>
      </c>
      <c r="Z27" s="147">
        <v>0</v>
      </c>
      <c r="AA27" s="147">
        <v>0</v>
      </c>
      <c r="AB27" s="147">
        <v>0</v>
      </c>
      <c r="AC27" s="147">
        <v>0</v>
      </c>
      <c r="AD27" s="147">
        <v>0</v>
      </c>
      <c r="AE27" s="147">
        <v>0</v>
      </c>
      <c r="AF27" s="147">
        <v>0</v>
      </c>
      <c r="AG27" s="147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100</v>
      </c>
      <c r="D28" s="181" t="s">
        <v>90</v>
      </c>
      <c r="E28" s="100">
        <f>Assumptions!H41*vcr_esc</f>
        <v>34455.236243920997</v>
      </c>
      <c r="F28" s="213" t="str">
        <f>IF(AND(SUM(I27:AG27)&lt;&gt;0, E28=0), "!", "")</f>
        <v/>
      </c>
      <c r="G28" s="183">
        <f>input_dollars</f>
        <v>45291</v>
      </c>
      <c r="H28"/>
      <c r="I28" s="92">
        <f>I27*$E$28</f>
        <v>0</v>
      </c>
      <c r="J28" s="92">
        <f t="shared" ref="J28:AG28" si="2">J27*$E$28</f>
        <v>0</v>
      </c>
      <c r="K28" s="92">
        <f t="shared" si="2"/>
        <v>0</v>
      </c>
      <c r="L28" s="92">
        <f t="shared" si="2"/>
        <v>0</v>
      </c>
      <c r="M28" s="92">
        <f t="shared" si="2"/>
        <v>0</v>
      </c>
      <c r="N28" s="92">
        <f t="shared" si="2"/>
        <v>0</v>
      </c>
      <c r="O28" s="92">
        <f t="shared" si="2"/>
        <v>0</v>
      </c>
      <c r="P28" s="92">
        <f t="shared" si="2"/>
        <v>0</v>
      </c>
      <c r="Q28" s="92">
        <f t="shared" si="2"/>
        <v>0</v>
      </c>
      <c r="R28" s="92">
        <f t="shared" si="2"/>
        <v>0</v>
      </c>
      <c r="S28" s="92">
        <f t="shared" si="2"/>
        <v>0</v>
      </c>
      <c r="T28" s="92">
        <f t="shared" si="2"/>
        <v>0</v>
      </c>
      <c r="U28" s="92">
        <f t="shared" si="2"/>
        <v>0</v>
      </c>
      <c r="V28" s="92">
        <f t="shared" si="2"/>
        <v>0</v>
      </c>
      <c r="W28" s="92">
        <f t="shared" si="2"/>
        <v>0</v>
      </c>
      <c r="X28" s="92">
        <f t="shared" si="2"/>
        <v>0</v>
      </c>
      <c r="Y28" s="92">
        <f t="shared" si="2"/>
        <v>0</v>
      </c>
      <c r="Z28" s="92">
        <f t="shared" si="2"/>
        <v>0</v>
      </c>
      <c r="AA28" s="92">
        <f t="shared" si="2"/>
        <v>0</v>
      </c>
      <c r="AB28" s="92">
        <f t="shared" si="2"/>
        <v>0</v>
      </c>
      <c r="AC28" s="92">
        <f t="shared" si="2"/>
        <v>0</v>
      </c>
      <c r="AD28" s="92">
        <f t="shared" si="2"/>
        <v>0</v>
      </c>
      <c r="AE28" s="92">
        <f t="shared" si="2"/>
        <v>0</v>
      </c>
      <c r="AF28" s="92">
        <f t="shared" si="2"/>
        <v>0</v>
      </c>
      <c r="AG28" s="92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2"/>
      <c r="E29"/>
      <c r="G29" s="183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101</v>
      </c>
      <c r="D30" s="181" t="s">
        <v>102</v>
      </c>
      <c r="G30" s="183">
        <f>input_dollars</f>
        <v>45291</v>
      </c>
      <c r="H30" s="129"/>
      <c r="I30" s="29">
        <f>Workings_risks!F57</f>
        <v>805182.28622779658</v>
      </c>
      <c r="J30" s="29">
        <f>Workings_risks!G57</f>
        <v>805182.28622779658</v>
      </c>
      <c r="K30" s="29">
        <f>Workings_risks!H57</f>
        <v>805182.28622779658</v>
      </c>
      <c r="L30" s="29">
        <f>Workings_risks!I57</f>
        <v>483109.37173667795</v>
      </c>
      <c r="M30" s="29">
        <f>Workings_risks!J57</f>
        <v>322072.91449111857</v>
      </c>
      <c r="N30" s="29">
        <f>Workings_risks!K57</f>
        <v>161036.45724555929</v>
      </c>
      <c r="O30" s="29">
        <f>Workings_risks!L57</f>
        <v>161036.45724555929</v>
      </c>
      <c r="P30" s="29">
        <f>Workings_risks!M57</f>
        <v>161036.45724555929</v>
      </c>
      <c r="Q30" s="29">
        <f>Workings_risks!N57</f>
        <v>161036.45724555929</v>
      </c>
      <c r="R30" s="29">
        <f>Workings_risks!O57</f>
        <v>161036.45724555929</v>
      </c>
      <c r="S30" s="29">
        <f>Workings_risks!P57</f>
        <v>161036.45724555929</v>
      </c>
      <c r="T30" s="29">
        <f>Workings_risks!Q57</f>
        <v>161036.45724555929</v>
      </c>
      <c r="U30" s="29">
        <f>Workings_risks!R57</f>
        <v>161036.45724555929</v>
      </c>
      <c r="V30" s="29">
        <f>Workings_risks!S57</f>
        <v>161036.45724555929</v>
      </c>
      <c r="W30" s="29">
        <f>Workings_risks!T57</f>
        <v>161036.45724555929</v>
      </c>
      <c r="X30" s="29">
        <f>Workings_risks!U57</f>
        <v>161036.45724555929</v>
      </c>
      <c r="Y30" s="29">
        <f>Workings_risks!V57</f>
        <v>161036.45724555929</v>
      </c>
      <c r="Z30" s="29">
        <f>Workings_risks!W57</f>
        <v>161036.45724555929</v>
      </c>
      <c r="AA30" s="29">
        <f>Workings_risks!X57</f>
        <v>161036.45724555929</v>
      </c>
      <c r="AB30" s="29">
        <f>Workings_risks!Y57</f>
        <v>161036.45724555929</v>
      </c>
      <c r="AC30" s="29">
        <f>Workings_risks!Z57</f>
        <v>161036.45724555929</v>
      </c>
      <c r="AD30" s="29">
        <f>Workings_risks!AA57</f>
        <v>161036.45724555929</v>
      </c>
      <c r="AE30" s="29">
        <f>Workings_risks!AB57</f>
        <v>161036.45724555929</v>
      </c>
      <c r="AF30" s="29">
        <f>Workings_risks!AC57</f>
        <v>161036.45724555929</v>
      </c>
      <c r="AG30" s="29">
        <f>Workings_risks!AD57</f>
        <v>161036.45724555929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103</v>
      </c>
      <c r="D31" s="182"/>
      <c r="E31"/>
      <c r="G31" s="183">
        <f>input_dollars</f>
        <v>45291</v>
      </c>
      <c r="H31" s="129"/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  <c r="AE31" s="29">
        <v>0</v>
      </c>
      <c r="AF31" s="29">
        <v>0</v>
      </c>
      <c r="AG31" s="29"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104</v>
      </c>
      <c r="D32" s="181" t="s">
        <v>102</v>
      </c>
      <c r="E32"/>
      <c r="G32" s="183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  <c r="AE32" s="29">
        <v>0</v>
      </c>
      <c r="AF32" s="29">
        <v>0</v>
      </c>
      <c r="AG32" s="29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51" t="s">
        <v>105</v>
      </c>
      <c r="D33" s="194"/>
      <c r="E33"/>
      <c r="G33" s="183">
        <f>input_dollars</f>
        <v>45291</v>
      </c>
      <c r="H33"/>
      <c r="I33" s="29">
        <f>Workings_risks!F56</f>
        <v>2151611.1790454965</v>
      </c>
      <c r="J33" s="29">
        <f>Workings_risks!G56</f>
        <v>2151611.1790454965</v>
      </c>
      <c r="K33" s="29">
        <f>Workings_risks!H56</f>
        <v>2151611.1790454965</v>
      </c>
      <c r="L33" s="29">
        <f>Workings_risks!I56</f>
        <v>1097321.7013132032</v>
      </c>
      <c r="M33" s="29">
        <f>Workings_risks!J56</f>
        <v>570176.96244705655</v>
      </c>
      <c r="N33" s="29">
        <f>Workings_risks!K56</f>
        <v>43032.223580909966</v>
      </c>
      <c r="O33" s="29">
        <f>Workings_risks!L56</f>
        <v>43032.223580909966</v>
      </c>
      <c r="P33" s="29">
        <f>Workings_risks!M56</f>
        <v>43032.223580909966</v>
      </c>
      <c r="Q33" s="29">
        <f>Workings_risks!N56</f>
        <v>43032.223580909966</v>
      </c>
      <c r="R33" s="29">
        <f>Workings_risks!O56</f>
        <v>43032.223580909966</v>
      </c>
      <c r="S33" s="29">
        <f>Workings_risks!P56</f>
        <v>43032.223580909966</v>
      </c>
      <c r="T33" s="29">
        <f>Workings_risks!Q56</f>
        <v>43032.223580909966</v>
      </c>
      <c r="U33" s="29">
        <f>Workings_risks!R56</f>
        <v>43032.223580909966</v>
      </c>
      <c r="V33" s="29">
        <f>Workings_risks!S56</f>
        <v>43032.223580909966</v>
      </c>
      <c r="W33" s="29">
        <f>Workings_risks!T56</f>
        <v>43032.223580909966</v>
      </c>
      <c r="X33" s="29">
        <f>Workings_risks!U56</f>
        <v>43032.223580909966</v>
      </c>
      <c r="Y33" s="29">
        <f>Workings_risks!V56</f>
        <v>43032.223580909966</v>
      </c>
      <c r="Z33" s="29">
        <f>Workings_risks!W56</f>
        <v>43032.223580909966</v>
      </c>
      <c r="AA33" s="29">
        <f>Workings_risks!X56</f>
        <v>43032.223580909966</v>
      </c>
      <c r="AB33" s="29">
        <f>Workings_risks!Y56</f>
        <v>43032.223580909966</v>
      </c>
      <c r="AC33" s="29">
        <f>Workings_risks!Z56</f>
        <v>43032.223580909966</v>
      </c>
      <c r="AD33" s="29">
        <f>Workings_risks!AA56</f>
        <v>43032.223580909966</v>
      </c>
      <c r="AE33" s="29">
        <f>Workings_risks!AB56</f>
        <v>43032.223580909966</v>
      </c>
      <c r="AF33" s="29">
        <f>Workings_risks!AC56</f>
        <v>43032.223580909966</v>
      </c>
      <c r="AG33" s="29">
        <f>Workings_risks!AD56</f>
        <v>43032.223580909966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242" t="s">
        <v>106</v>
      </c>
      <c r="D34" s="182"/>
      <c r="E34"/>
      <c r="G34" s="183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2"/>
      <c r="E35"/>
      <c r="G35" s="183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5</v>
      </c>
      <c r="D36" s="193"/>
      <c r="E36" s="94"/>
      <c r="F36" s="3"/>
      <c r="G36" s="185"/>
      <c r="H36" s="94"/>
      <c r="I36" s="95">
        <f>SUM(I28:I34)</f>
        <v>2956793.4652732932</v>
      </c>
      <c r="J36" s="95">
        <f t="shared" ref="J36:AB36" si="3">SUM(J28:J34)</f>
        <v>2956793.4652732932</v>
      </c>
      <c r="K36" s="95">
        <f t="shared" si="3"/>
        <v>2956793.4652732932</v>
      </c>
      <c r="L36" s="95">
        <f t="shared" si="3"/>
        <v>1580431.073049881</v>
      </c>
      <c r="M36" s="95">
        <f t="shared" si="3"/>
        <v>892249.87693817518</v>
      </c>
      <c r="N36" s="95">
        <f t="shared" si="3"/>
        <v>204068.68082646927</v>
      </c>
      <c r="O36" s="95">
        <f t="shared" si="3"/>
        <v>204068.68082646927</v>
      </c>
      <c r="P36" s="95">
        <f t="shared" si="3"/>
        <v>204068.68082646927</v>
      </c>
      <c r="Q36" s="95">
        <f t="shared" si="3"/>
        <v>204068.68082646927</v>
      </c>
      <c r="R36" s="95">
        <f t="shared" si="3"/>
        <v>204068.68082646927</v>
      </c>
      <c r="S36" s="95">
        <f t="shared" si="3"/>
        <v>204068.68082646927</v>
      </c>
      <c r="T36" s="95">
        <f t="shared" si="3"/>
        <v>204068.68082646927</v>
      </c>
      <c r="U36" s="95">
        <f t="shared" si="3"/>
        <v>204068.68082646927</v>
      </c>
      <c r="V36" s="95">
        <f t="shared" si="3"/>
        <v>204068.68082646927</v>
      </c>
      <c r="W36" s="95">
        <f t="shared" si="3"/>
        <v>204068.68082646927</v>
      </c>
      <c r="X36" s="95">
        <f t="shared" si="3"/>
        <v>204068.68082646927</v>
      </c>
      <c r="Y36" s="95">
        <f t="shared" si="3"/>
        <v>204068.68082646927</v>
      </c>
      <c r="Z36" s="95">
        <f t="shared" si="3"/>
        <v>204068.68082646927</v>
      </c>
      <c r="AA36" s="95">
        <f t="shared" si="3"/>
        <v>204068.68082646927</v>
      </c>
      <c r="AB36" s="95">
        <f t="shared" si="3"/>
        <v>204068.68082646927</v>
      </c>
      <c r="AC36" s="95">
        <f>SUM(AC28:AC34)</f>
        <v>204068.68082646927</v>
      </c>
      <c r="AD36" s="95">
        <f>SUM(AD28:AD34)</f>
        <v>204068.68082646927</v>
      </c>
      <c r="AE36" s="95">
        <f>SUM(AE28:AE34)</f>
        <v>204068.68082646927</v>
      </c>
      <c r="AF36" s="95">
        <f>SUM(AF28:AF34)</f>
        <v>204068.68082646927</v>
      </c>
      <c r="AG36" s="95">
        <f>SUM(AG28:AG34)</f>
        <v>204068.68082646927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3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107</v>
      </c>
      <c r="B38" s="78"/>
      <c r="C38" s="78"/>
      <c r="D38" s="78"/>
      <c r="E38" s="78"/>
      <c r="F38" s="78"/>
      <c r="G38" s="180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3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3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108</v>
      </c>
      <c r="G41" s="181" t="s">
        <v>99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</row>
    <row r="42" spans="1:16372" ht="13.5" x14ac:dyDescent="0.25">
      <c r="C42" s="1" t="s">
        <v>109</v>
      </c>
      <c r="G42" s="181" t="s">
        <v>110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  <c r="AH42"/>
    </row>
    <row r="43" spans="1:16372" x14ac:dyDescent="0.2">
      <c r="D43"/>
      <c r="E43"/>
      <c r="G43" s="18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2"/>
      <c r="E44"/>
      <c r="G44" s="183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111</v>
      </c>
      <c r="D45" s="181" t="s">
        <v>90</v>
      </c>
      <c r="E45" s="100">
        <v>0</v>
      </c>
      <c r="G45" s="183" t="s">
        <v>99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  <c r="AH45"/>
    </row>
    <row r="46" spans="1:16372" x14ac:dyDescent="0.2">
      <c r="C46" s="1" t="s">
        <v>112</v>
      </c>
      <c r="D46" s="181" t="s">
        <v>90</v>
      </c>
      <c r="E46" s="100">
        <v>0</v>
      </c>
      <c r="G46" s="183" t="s">
        <v>99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  <c r="AH46"/>
    </row>
    <row r="47" spans="1:16372" x14ac:dyDescent="0.2">
      <c r="C47" s="1" t="s">
        <v>113</v>
      </c>
      <c r="D47" s="181" t="s">
        <v>90</v>
      </c>
      <c r="E47" s="99">
        <v>0</v>
      </c>
      <c r="G47" s="183" t="s">
        <v>99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/>
    </row>
    <row r="48" spans="1:16372" x14ac:dyDescent="0.2">
      <c r="C48" s="1" t="s">
        <v>114</v>
      </c>
      <c r="D48" s="181" t="s">
        <v>115</v>
      </c>
      <c r="E48" s="99">
        <v>0</v>
      </c>
      <c r="G48" s="183" t="s">
        <v>116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  <c r="AH48"/>
    </row>
    <row r="49" spans="1:43" x14ac:dyDescent="0.2">
      <c r="C49" s="1" t="s">
        <v>117</v>
      </c>
      <c r="D49" s="181" t="s">
        <v>118</v>
      </c>
      <c r="E49" s="99">
        <v>0</v>
      </c>
      <c r="G49" s="183" t="s">
        <v>119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  <c r="AH49"/>
    </row>
    <row r="50" spans="1:43" x14ac:dyDescent="0.2">
      <c r="C50" s="1" t="s">
        <v>120</v>
      </c>
      <c r="D50" s="181" t="s">
        <v>118</v>
      </c>
      <c r="E50" s="99">
        <v>0</v>
      </c>
      <c r="G50" s="183" t="s">
        <v>119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  <c r="AH50"/>
    </row>
    <row r="51" spans="1:43" x14ac:dyDescent="0.2">
      <c r="C51" s="1" t="s">
        <v>121</v>
      </c>
      <c r="D51" s="181" t="s">
        <v>115</v>
      </c>
      <c r="E51" s="99">
        <v>0</v>
      </c>
      <c r="G51" s="183" t="s">
        <v>116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  <c r="AH51"/>
    </row>
    <row r="52" spans="1:43" x14ac:dyDescent="0.2">
      <c r="C52" s="1" t="s">
        <v>122</v>
      </c>
      <c r="D52" s="181" t="s">
        <v>115</v>
      </c>
      <c r="E52" s="99">
        <v>0</v>
      </c>
      <c r="G52" s="183" t="s">
        <v>116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  <c r="AH52"/>
    </row>
    <row r="53" spans="1:43" x14ac:dyDescent="0.2">
      <c r="D53" s="181"/>
      <c r="G53" s="183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/>
    </row>
    <row r="54" spans="1:43" x14ac:dyDescent="0.2">
      <c r="C54" s="1" t="s">
        <v>123</v>
      </c>
      <c r="D54" s="181"/>
      <c r="G54" s="183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  <c r="AH54"/>
    </row>
    <row r="55" spans="1:43" x14ac:dyDescent="0.2">
      <c r="C55" s="1" t="s">
        <v>124</v>
      </c>
      <c r="D55" s="181"/>
      <c r="G55" s="183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  <c r="AH55"/>
    </row>
    <row r="56" spans="1:43" x14ac:dyDescent="0.2">
      <c r="D56" s="181"/>
      <c r="G56" s="181"/>
      <c r="AH56"/>
    </row>
    <row r="57" spans="1:43" x14ac:dyDescent="0.2">
      <c r="C57" s="3" t="s">
        <v>125</v>
      </c>
      <c r="D57" s="193"/>
      <c r="E57" s="94"/>
      <c r="F57" s="3"/>
      <c r="G57" s="186">
        <f>input_dollars</f>
        <v>45291</v>
      </c>
      <c r="H57" s="94"/>
      <c r="I57" s="149" cm="1">
        <f t="array" ref="I57">SUMPRODUCT((I$45:I$52)*($E$45:$E$52))+SUM(I54:I55)+I42</f>
        <v>0</v>
      </c>
      <c r="J57" s="149" cm="1">
        <f t="array" ref="J57">SUMPRODUCT((J$45:J$52)*($E$45:$E$52))+SUM(J54:J55)+J42</f>
        <v>0</v>
      </c>
      <c r="K57" s="149" cm="1">
        <f t="array" ref="K57">SUMPRODUCT((K$45:K$52)*($E$45:$E$52))+SUM(K54:K55)+K42</f>
        <v>0</v>
      </c>
      <c r="L57" s="149" cm="1">
        <f t="array" ref="L57">SUMPRODUCT((L$45:L$52)*($E$45:$E$52))+SUM(L54:L55)+L42</f>
        <v>0</v>
      </c>
      <c r="M57" s="149" cm="1">
        <f t="array" ref="M57">SUMPRODUCT((M$45:M$52)*($E$45:$E$52))+SUM(M54:M55)+M42</f>
        <v>0</v>
      </c>
      <c r="N57" s="149" cm="1">
        <f t="array" ref="N57">SUMPRODUCT((N$45:N$52)*($E$45:$E$52))+SUM(N54:N55)+N42</f>
        <v>0</v>
      </c>
      <c r="O57" s="149" cm="1">
        <f t="array" ref="O57">SUMPRODUCT((O$45:O$52)*($E$45:$E$52))+SUM(O54:O55)+O42</f>
        <v>0</v>
      </c>
      <c r="P57" s="149" cm="1">
        <f t="array" ref="P57">SUMPRODUCT((P$45:P$52)*($E$45:$E$52))+SUM(P54:P55)+P42</f>
        <v>0</v>
      </c>
      <c r="Q57" s="149" cm="1">
        <f t="array" ref="Q57">SUMPRODUCT((Q$45:Q$52)*($E$45:$E$52))+SUM(Q54:Q55)+Q42</f>
        <v>0</v>
      </c>
      <c r="R57" s="149" cm="1">
        <f t="array" ref="R57">SUMPRODUCT((R$45:R$52)*($E$45:$E$52))+SUM(R54:R55)+R42</f>
        <v>0</v>
      </c>
      <c r="S57" s="149" cm="1">
        <f t="array" ref="S57">SUMPRODUCT((S$45:S$52)*($E$45:$E$52))+SUM(S54:S55)+S42</f>
        <v>0</v>
      </c>
      <c r="T57" s="149" cm="1">
        <f t="array" ref="T57">SUMPRODUCT((T$45:T$52)*($E$45:$E$52))+SUM(T54:T55)+T42</f>
        <v>0</v>
      </c>
      <c r="U57" s="149" cm="1">
        <f t="array" ref="U57">SUMPRODUCT((U$45:U$52)*($E$45:$E$52))+SUM(U54:U55)+U42</f>
        <v>0</v>
      </c>
      <c r="V57" s="149" cm="1">
        <f t="array" ref="V57">SUMPRODUCT((V$45:V$52)*($E$45:$E$52))+SUM(V54:V55)+V42</f>
        <v>0</v>
      </c>
      <c r="W57" s="149" cm="1">
        <f t="array" ref="W57">SUMPRODUCT((W$45:W$52)*($E$45:$E$52))+SUM(W54:W55)+W42</f>
        <v>0</v>
      </c>
      <c r="X57" s="149" cm="1">
        <f t="array" ref="X57">SUMPRODUCT((X$45:X$52)*($E$45:$E$52))+SUM(X54:X55)+X42</f>
        <v>0</v>
      </c>
      <c r="Y57" s="149" cm="1">
        <f t="array" ref="Y57">SUMPRODUCT((Y$45:Y$52)*($E$45:$E$52))+SUM(Y54:Y55)+Y42</f>
        <v>0</v>
      </c>
      <c r="Z57" s="149" cm="1">
        <f t="array" ref="Z57">SUMPRODUCT((Z$45:Z$52)*($E$45:$E$52))+SUM(Z54:Z55)+Z42</f>
        <v>0</v>
      </c>
      <c r="AA57" s="149" cm="1">
        <f t="array" ref="AA57">SUMPRODUCT((AA$45:AA$52)*($E$45:$E$52))+SUM(AA54:AA55)+AA42</f>
        <v>0</v>
      </c>
      <c r="AB57" s="149" cm="1">
        <f t="array" ref="AB57">SUMPRODUCT((AB$45:AB$52)*($E$45:$E$52))+SUM(AB54:AB55)+AB42</f>
        <v>0</v>
      </c>
      <c r="AC57" s="149" cm="1">
        <f t="array" ref="AC57">SUMPRODUCT((AC$45:AC$52)*($E$45:$E$52))+SUM(AC54:AC55)+AC42</f>
        <v>0</v>
      </c>
      <c r="AD57" s="149" cm="1">
        <f t="array" ref="AD57">SUMPRODUCT((AD$45:AD$52)*($E$45:$E$52))+SUM(AD54:AD55)+AD42</f>
        <v>0</v>
      </c>
      <c r="AE57" s="149" cm="1">
        <f t="array" ref="AE57">SUMPRODUCT((AE$45:AE$52)*($E$45:$E$52))+SUM(AE54:AE55)+AE42</f>
        <v>0</v>
      </c>
      <c r="AF57" s="149" cm="1">
        <f t="array" ref="AF57">SUMPRODUCT((AF$45:AF$52)*($E$45:$E$52))+SUM(AF54:AF55)+AF42</f>
        <v>0</v>
      </c>
      <c r="AG57" s="149" cm="1">
        <f t="array" ref="AG57">SUMPRODUCT((AG$45:AG$52)*($E$45:$E$52))+SUM(AG54:AG55)+AG42</f>
        <v>0</v>
      </c>
      <c r="AH57"/>
    </row>
    <row r="58" spans="1:43" x14ac:dyDescent="0.2">
      <c r="D58" s="181"/>
      <c r="G58" s="181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/>
    </row>
    <row r="59" spans="1:43" x14ac:dyDescent="0.2">
      <c r="G59" s="181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/>
    </row>
    <row r="60" spans="1:43" ht="15" x14ac:dyDescent="0.2">
      <c r="A60" s="78" t="s">
        <v>8</v>
      </c>
      <c r="B60" s="78"/>
      <c r="C60" s="78"/>
      <c r="D60" s="78"/>
      <c r="E60" s="78"/>
      <c r="F60" s="78"/>
      <c r="G60" s="180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8"/>
      <c r="B61" s="98"/>
      <c r="C61" s="98"/>
      <c r="D61" s="98"/>
      <c r="E61" s="98"/>
      <c r="F61" s="98"/>
      <c r="G61" s="184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8"/>
      <c r="B62" s="98"/>
      <c r="C62" s="98"/>
      <c r="D62" s="98"/>
      <c r="E62" s="98"/>
      <c r="F62"/>
      <c r="G62" s="187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C63" s="4"/>
      <c r="F63" s="2"/>
      <c r="G63" s="18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/>
    </row>
    <row r="64" spans="1:43" x14ac:dyDescent="0.2">
      <c r="C64" s="4" t="str">
        <f>'Option1 (base case)'!C64</f>
        <v>Risks mitigated vs base case</v>
      </c>
      <c r="G64" s="186">
        <f>input_dollars</f>
        <v>45291</v>
      </c>
      <c r="I64" s="114">
        <f>(1-INDEX(Data!$C$9:$C$13, MATCH($A$3, options,0)))*('Option1 (base case)'!I36-I36)</f>
        <v>0</v>
      </c>
      <c r="J64" s="114">
        <f>(1-INDEX(Data!$C$9:$C$13, MATCH($A$3, options,0)))*('Option1 (base case)'!J36-J36)</f>
        <v>0</v>
      </c>
      <c r="K64" s="114">
        <f>(1-INDEX(Data!$C$9:$C$13, MATCH($A$3, options,0)))*('Option1 (base case)'!K36-K36)</f>
        <v>0</v>
      </c>
      <c r="L64" s="114">
        <f>(1-INDEX(Data!$C$9:$C$13, MATCH($A$3, options,0)))*('Option1 (base case)'!L36-L36)</f>
        <v>1376362.3922234122</v>
      </c>
      <c r="M64" s="114">
        <f>(1-INDEX(Data!$C$9:$C$13, MATCH($A$3, options,0)))*('Option1 (base case)'!M36-M36)</f>
        <v>2064543.588335118</v>
      </c>
      <c r="N64" s="114">
        <f>(1-INDEX(Data!$C$9:$C$13, MATCH($A$3, options,0)))*('Option1 (base case)'!N36-N36)</f>
        <v>2752724.7844468239</v>
      </c>
      <c r="O64" s="114">
        <f>(1-INDEX(Data!$C$9:$C$13, MATCH($A$3, options,0)))*('Option1 (base case)'!O36-O36)</f>
        <v>2752724.7844468239</v>
      </c>
      <c r="P64" s="114">
        <f>(1-INDEX(Data!$C$9:$C$13, MATCH($A$3, options,0)))*('Option1 (base case)'!P36-P36)</f>
        <v>2752724.7844468239</v>
      </c>
      <c r="Q64" s="114">
        <f>(1-INDEX(Data!$C$9:$C$13, MATCH($A$3, options,0)))*('Option1 (base case)'!Q36-Q36)</f>
        <v>2752724.7844468239</v>
      </c>
      <c r="R64" s="114">
        <f>(1-INDEX(Data!$C$9:$C$13, MATCH($A$3, options,0)))*('Option1 (base case)'!R36-R36)</f>
        <v>2752724.7844468239</v>
      </c>
      <c r="S64" s="114">
        <f>(1-INDEX(Data!$C$9:$C$13, MATCH($A$3, options,0)))*('Option1 (base case)'!S36-S36)</f>
        <v>2752724.7844468239</v>
      </c>
      <c r="T64" s="114">
        <f>(1-INDEX(Data!$C$9:$C$13, MATCH($A$3, options,0)))*('Option1 (base case)'!T36-T36)</f>
        <v>2752724.7844468239</v>
      </c>
      <c r="U64" s="114">
        <f>(1-INDEX(Data!$C$9:$C$13, MATCH($A$3, options,0)))*('Option1 (base case)'!U36-U36)</f>
        <v>2752724.7844468239</v>
      </c>
      <c r="V64" s="114">
        <f>(1-INDEX(Data!$C$9:$C$13, MATCH($A$3, options,0)))*('Option1 (base case)'!V36-V36)</f>
        <v>2752724.7844468239</v>
      </c>
      <c r="W64" s="114">
        <f>(1-INDEX(Data!$C$9:$C$13, MATCH($A$3, options,0)))*('Option1 (base case)'!W36-W36)</f>
        <v>2752724.7844468239</v>
      </c>
      <c r="X64" s="114">
        <f>(1-INDEX(Data!$C$9:$C$13, MATCH($A$3, options,0)))*('Option1 (base case)'!X36-X36)</f>
        <v>2752724.7844468239</v>
      </c>
      <c r="Y64" s="114">
        <f>(1-INDEX(Data!$C$9:$C$13, MATCH($A$3, options,0)))*('Option1 (base case)'!Y36-Y36)</f>
        <v>2752724.7844468239</v>
      </c>
      <c r="Z64" s="114">
        <f>(1-INDEX(Data!$C$9:$C$13, MATCH($A$3, options,0)))*('Option1 (base case)'!Z36-Z36)</f>
        <v>2752724.7844468239</v>
      </c>
      <c r="AA64" s="114">
        <f>(1-INDEX(Data!$C$9:$C$13, MATCH($A$3, options,0)))*('Option1 (base case)'!AA36-AA36)</f>
        <v>2752724.7844468239</v>
      </c>
      <c r="AB64" s="114">
        <f>(1-INDEX(Data!$C$9:$C$13, MATCH($A$3, options,0)))*('Option1 (base case)'!AB36-AB36)</f>
        <v>2752724.7844468239</v>
      </c>
      <c r="AC64" s="114">
        <f>(1-INDEX(Data!$C$9:$C$13, MATCH($A$3, options,0)))*('Option1 (base case)'!AC36-AC36)</f>
        <v>2752724.7844468239</v>
      </c>
      <c r="AD64" s="114">
        <f>(1-INDEX(Data!$C$9:$C$13, MATCH($A$3, options,0)))*('Option1 (base case)'!AD36-AD36)</f>
        <v>2752724.7844468239</v>
      </c>
      <c r="AE64" s="114">
        <f>(1-INDEX(Data!$C$9:$C$13, MATCH($A$3, options,0)))*('Option1 (base case)'!AE36-AE36)</f>
        <v>2752724.7844468239</v>
      </c>
      <c r="AF64" s="114">
        <f>(1-INDEX(Data!$C$9:$C$13, MATCH($A$3, options,0)))*('Option1 (base case)'!AF36-AF36)</f>
        <v>2752724.7844468239</v>
      </c>
      <c r="AG64" s="114">
        <f>(1-INDEX(Data!$C$9:$C$13, MATCH($A$3, options,0)))*('Option1 (base case)'!AG36-AG36)</f>
        <v>2752724.7844468239</v>
      </c>
      <c r="AH64"/>
    </row>
    <row r="65" spans="1:34" x14ac:dyDescent="0.2">
      <c r="G65" s="188"/>
      <c r="AH65"/>
    </row>
    <row r="66" spans="1:34" x14ac:dyDescent="0.2">
      <c r="A66" s="6"/>
      <c r="B66" s="6"/>
      <c r="C66" s="127" t="s">
        <v>17</v>
      </c>
      <c r="D66" s="34"/>
      <c r="F66" s="84"/>
      <c r="G66" s="189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/>
    </row>
    <row r="67" spans="1:34" x14ac:dyDescent="0.2">
      <c r="A67" s="6"/>
      <c r="B67" s="6"/>
      <c r="C67" s="4" t="str">
        <f>C14</f>
        <v>Covered conductor</v>
      </c>
      <c r="D67" s="34"/>
      <c r="F67" s="84"/>
      <c r="G67" s="186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-105097205</v>
      </c>
      <c r="M67" s="28">
        <f t="shared" si="5"/>
        <v>-105097205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  <c r="AH67"/>
    </row>
    <row r="68" spans="1:34" x14ac:dyDescent="0.2">
      <c r="A68" s="6"/>
      <c r="B68" s="6"/>
      <c r="C68" s="4">
        <f>C15</f>
        <v>0</v>
      </c>
      <c r="D68" s="34"/>
      <c r="F68" s="84"/>
      <c r="G68" s="186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  <c r="AH68"/>
    </row>
    <row r="69" spans="1:34" x14ac:dyDescent="0.2">
      <c r="A69" s="6"/>
      <c r="B69" s="6"/>
      <c r="C69" s="4">
        <f>C16</f>
        <v>0</v>
      </c>
      <c r="D69" s="34"/>
      <c r="F69" s="84"/>
      <c r="G69" s="186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  <c r="AH69"/>
    </row>
    <row r="70" spans="1:34" x14ac:dyDescent="0.2">
      <c r="A70" s="6"/>
      <c r="B70" s="6"/>
      <c r="C70" s="4"/>
      <c r="D70" s="34"/>
      <c r="F70" s="84"/>
      <c r="G70" s="190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/>
    </row>
    <row r="71" spans="1:34" x14ac:dyDescent="0.2">
      <c r="A71" s="6"/>
      <c r="B71" s="6"/>
      <c r="C71" s="127" t="s">
        <v>127</v>
      </c>
      <c r="D71" s="34"/>
      <c r="F71" s="84"/>
      <c r="G71" s="189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/>
    </row>
    <row r="72" spans="1:34" x14ac:dyDescent="0.2">
      <c r="A72" s="6"/>
      <c r="B72" s="6"/>
      <c r="C72" s="4" t="str">
        <f>C14</f>
        <v>Covered conductor</v>
      </c>
      <c r="D72" s="34"/>
      <c r="F72" s="84"/>
      <c r="G72" s="186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-105097205</v>
      </c>
      <c r="M72" s="28" cm="1">
        <f t="array" ref="M72">SUMPRODUCT(($I67:M67))-SUMPRODUCT(($I67:M67)*($I$6:M$6&lt;=(M$6-$E14)))</f>
        <v>-210194410</v>
      </c>
      <c r="N72" s="28" cm="1">
        <f t="array" ref="N72">SUMPRODUCT(($I67:N67))-SUMPRODUCT(($I67:N67)*($I$6:N$6&lt;=(N$6-$E14)))</f>
        <v>-210194410</v>
      </c>
      <c r="O72" s="28" cm="1">
        <f t="array" ref="O72">SUMPRODUCT(($I67:O67))-SUMPRODUCT(($I67:O67)*($I$6:O$6&lt;=(O$6-$E14)))</f>
        <v>-210194410</v>
      </c>
      <c r="P72" s="28" cm="1">
        <f t="array" ref="P72">SUMPRODUCT(($I67:P67))-SUMPRODUCT(($I67:P67)*($I$6:P$6&lt;=(P$6-$E14)))</f>
        <v>-210194410</v>
      </c>
      <c r="Q72" s="28" cm="1">
        <f t="array" ref="Q72">SUMPRODUCT(($I67:Q67))-SUMPRODUCT(($I67:Q67)*($I$6:Q$6&lt;=(Q$6-$E14)))</f>
        <v>-210194410</v>
      </c>
      <c r="R72" s="28" cm="1">
        <f t="array" ref="R72">SUMPRODUCT(($I67:R67))-SUMPRODUCT(($I67:R67)*($I$6:R$6&lt;=(R$6-$E14)))</f>
        <v>-210194410</v>
      </c>
      <c r="S72" s="28" cm="1">
        <f t="array" ref="S72">SUMPRODUCT(($I67:S67))-SUMPRODUCT(($I67:S67)*($I$6:S$6&lt;=(S$6-$E14)))</f>
        <v>-210194410</v>
      </c>
      <c r="T72" s="28" cm="1">
        <f t="array" ref="T72">SUMPRODUCT(($I67:T67))-SUMPRODUCT(($I67:T67)*($I$6:T$6&lt;=(T$6-$E14)))</f>
        <v>-210194410</v>
      </c>
      <c r="U72" s="28" cm="1">
        <f t="array" ref="U72">SUMPRODUCT(($I67:U67))-SUMPRODUCT(($I67:U67)*($I$6:U$6&lt;=(U$6-$E14)))</f>
        <v>-210194410</v>
      </c>
      <c r="V72" s="28" cm="1">
        <f t="array" ref="V72">SUMPRODUCT(($I67:V67))-SUMPRODUCT(($I67:V67)*($I$6:V$6&lt;=(V$6-$E14)))</f>
        <v>-210194410</v>
      </c>
      <c r="W72" s="28" cm="1">
        <f t="array" ref="W72">SUMPRODUCT(($I67:W67))-SUMPRODUCT(($I67:W67)*($I$6:W$6&lt;=(W$6-$E14)))</f>
        <v>-210194410</v>
      </c>
      <c r="X72" s="28" cm="1">
        <f t="array" ref="X72">SUMPRODUCT(($I67:X67))-SUMPRODUCT(($I67:X67)*($I$6:X$6&lt;=(X$6-$E14)))</f>
        <v>-210194410</v>
      </c>
      <c r="Y72" s="28" cm="1">
        <f t="array" ref="Y72">SUMPRODUCT(($I67:Y67))-SUMPRODUCT(($I67:Y67)*($I$6:Y$6&lt;=(Y$6-$E14)))</f>
        <v>-210194410</v>
      </c>
      <c r="Z72" s="28" cm="1">
        <f t="array" ref="Z72">SUMPRODUCT(($I67:Z67))-SUMPRODUCT(($I67:Z67)*($I$6:Z$6&lt;=(Z$6-$E14)))</f>
        <v>-210194410</v>
      </c>
      <c r="AA72" s="28" cm="1">
        <f t="array" ref="AA72">SUMPRODUCT(($I67:AA67))-SUMPRODUCT(($I67:AA67)*($I$6:AA$6&lt;=(AA$6-$E14)))</f>
        <v>-210194410</v>
      </c>
      <c r="AB72" s="28" cm="1">
        <f t="array" ref="AB72">SUMPRODUCT(($I67:AB67))-SUMPRODUCT(($I67:AB67)*($I$6:AB$6&lt;=(AB$6-$E14)))</f>
        <v>-210194410</v>
      </c>
      <c r="AC72" s="28" cm="1">
        <f t="array" ref="AC72">SUMPRODUCT(($I67:AC67))-SUMPRODUCT(($I67:AC67)*($I$6:AC$6&lt;=(AC$6-$E14)))</f>
        <v>-210194410</v>
      </c>
      <c r="AD72" s="28" cm="1">
        <f t="array" ref="AD72">SUMPRODUCT(($I67:AD67))-SUMPRODUCT(($I67:AD67)*($I$6:AD$6&lt;=(AD$6-$E14)))</f>
        <v>-210194410</v>
      </c>
      <c r="AE72" s="28" cm="1">
        <f t="array" ref="AE72">SUMPRODUCT(($I67:AE67))-SUMPRODUCT(($I67:AE67)*($I$6:AE$6&lt;=(AE$6-$E14)))</f>
        <v>-210194410</v>
      </c>
      <c r="AF72" s="28" cm="1">
        <f t="array" ref="AF72">SUMPRODUCT(($I67:AF67))-SUMPRODUCT(($I67:AF67)*($I$6:AF$6&lt;=(AF$6-$E14)))</f>
        <v>-210194410</v>
      </c>
      <c r="AG72" s="28" cm="1">
        <f t="array" ref="AG72">SUMPRODUCT(($I67:AG67))-SUMPRODUCT(($I67:AG67)*($I$6:AG$6&lt;=(AG$6-$E14)))</f>
        <v>-210194410</v>
      </c>
      <c r="AH72"/>
    </row>
    <row r="73" spans="1:34" x14ac:dyDescent="0.2">
      <c r="A73" s="6"/>
      <c r="B73" s="6"/>
      <c r="C73" s="4">
        <f>C15</f>
        <v>0</v>
      </c>
      <c r="D73" s="34"/>
      <c r="F73" s="84"/>
      <c r="G73" s="186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  <c r="AH73"/>
    </row>
    <row r="74" spans="1:34" x14ac:dyDescent="0.2">
      <c r="A74" s="6"/>
      <c r="B74" s="6"/>
      <c r="C74" s="4">
        <f>C16</f>
        <v>0</v>
      </c>
      <c r="D74" s="34"/>
      <c r="F74" s="84"/>
      <c r="G74" s="186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  <c r="AH74"/>
    </row>
    <row r="75" spans="1:34" x14ac:dyDescent="0.2">
      <c r="A75" s="6"/>
      <c r="B75" s="6"/>
      <c r="C75" s="4"/>
      <c r="D75" s="34"/>
      <c r="F75" s="84"/>
      <c r="G75" s="190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/>
    </row>
    <row r="76" spans="1:34" x14ac:dyDescent="0.2">
      <c r="A76" s="6"/>
      <c r="B76" s="6"/>
      <c r="C76" s="127" t="s">
        <v>128</v>
      </c>
      <c r="D76" s="34"/>
      <c r="G76" s="189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/>
    </row>
    <row r="77" spans="1:34" x14ac:dyDescent="0.2">
      <c r="A77" s="6"/>
      <c r="B77" s="6"/>
      <c r="C77" s="4" t="str">
        <f>$C$76&amp;" - "&amp;C14</f>
        <v>Annualised capex - Covered conductor</v>
      </c>
      <c r="D77" s="34"/>
      <c r="G77" s="186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-5714274.9840683723</v>
      </c>
      <c r="N77" s="28">
        <f t="shared" si="8"/>
        <v>-11428549.968136745</v>
      </c>
      <c r="O77" s="28">
        <f t="shared" si="8"/>
        <v>-11428549.968136745</v>
      </c>
      <c r="P77" s="28">
        <f t="shared" si="8"/>
        <v>-11428549.968136745</v>
      </c>
      <c r="Q77" s="28">
        <f t="shared" si="8"/>
        <v>-11428549.968136745</v>
      </c>
      <c r="R77" s="28">
        <f t="shared" si="8"/>
        <v>-11428549.968136745</v>
      </c>
      <c r="S77" s="28">
        <f t="shared" si="8"/>
        <v>-11428549.968136745</v>
      </c>
      <c r="T77" s="28">
        <f t="shared" si="8"/>
        <v>-11428549.968136745</v>
      </c>
      <c r="U77" s="28">
        <f t="shared" si="8"/>
        <v>-11428549.968136745</v>
      </c>
      <c r="V77" s="28">
        <f t="shared" si="8"/>
        <v>-11428549.968136745</v>
      </c>
      <c r="W77" s="28">
        <f t="shared" si="8"/>
        <v>-11428549.968136745</v>
      </c>
      <c r="X77" s="28">
        <f t="shared" si="8"/>
        <v>-11428549.968136745</v>
      </c>
      <c r="Y77" s="28">
        <f t="shared" si="8"/>
        <v>-11428549.968136745</v>
      </c>
      <c r="Z77" s="28">
        <f t="shared" si="8"/>
        <v>-11428549.968136745</v>
      </c>
      <c r="AA77" s="28">
        <f t="shared" si="8"/>
        <v>-11428549.968136745</v>
      </c>
      <c r="AB77" s="28">
        <f t="shared" si="8"/>
        <v>-11428549.968136745</v>
      </c>
      <c r="AC77" s="28">
        <f t="shared" si="8"/>
        <v>-11428549.968136745</v>
      </c>
      <c r="AD77" s="28">
        <f t="shared" si="8"/>
        <v>-11428549.968136745</v>
      </c>
      <c r="AE77" s="28">
        <f t="shared" si="8"/>
        <v>-11428549.968136745</v>
      </c>
      <c r="AF77" s="28">
        <f t="shared" si="8"/>
        <v>-11428549.968136745</v>
      </c>
      <c r="AG77" s="28">
        <f t="shared" si="8"/>
        <v>-11428549.968136745</v>
      </c>
      <c r="AH77"/>
    </row>
    <row r="78" spans="1:34" x14ac:dyDescent="0.2">
      <c r="A78" s="6"/>
      <c r="B78" s="6"/>
      <c r="C78" s="4" t="str">
        <f>$C$76&amp;" - "&amp;C15</f>
        <v xml:space="preserve">Annualised capex - </v>
      </c>
      <c r="D78" s="34"/>
      <c r="G78" s="186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  <c r="AH78"/>
    </row>
    <row r="79" spans="1:34" x14ac:dyDescent="0.2">
      <c r="A79" s="6"/>
      <c r="B79" s="6"/>
      <c r="C79" s="4" t="str">
        <f>$C$76&amp;" - "&amp;C16</f>
        <v xml:space="preserve">Annualised capex - </v>
      </c>
      <c r="D79" s="34"/>
      <c r="G79" s="186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  <c r="AH79"/>
    </row>
    <row r="80" spans="1:34" x14ac:dyDescent="0.2">
      <c r="A80" s="6"/>
      <c r="B80" s="6"/>
      <c r="C80" s="151" t="s">
        <v>129</v>
      </c>
      <c r="D80" s="151"/>
      <c r="E80" s="152"/>
      <c r="F80" s="153"/>
      <c r="G80" s="191">
        <f>input_dollars</f>
        <v>45291</v>
      </c>
      <c r="H80" s="154"/>
      <c r="I80" s="154">
        <f>SUM(I77:I79)</f>
        <v>0</v>
      </c>
      <c r="J80" s="154">
        <f t="shared" ref="J80:AB80" si="11">SUM(J77:J79)</f>
        <v>0</v>
      </c>
      <c r="K80" s="154">
        <f t="shared" si="11"/>
        <v>0</v>
      </c>
      <c r="L80" s="154">
        <f t="shared" si="11"/>
        <v>0</v>
      </c>
      <c r="M80" s="154">
        <f t="shared" si="11"/>
        <v>-5714274.9840683723</v>
      </c>
      <c r="N80" s="154">
        <f t="shared" si="11"/>
        <v>-11428549.968136745</v>
      </c>
      <c r="O80" s="154">
        <f t="shared" si="11"/>
        <v>-11428549.968136745</v>
      </c>
      <c r="P80" s="154">
        <f t="shared" si="11"/>
        <v>-11428549.968136745</v>
      </c>
      <c r="Q80" s="154">
        <f t="shared" si="11"/>
        <v>-11428549.968136745</v>
      </c>
      <c r="R80" s="154">
        <f t="shared" si="11"/>
        <v>-11428549.968136745</v>
      </c>
      <c r="S80" s="154">
        <f t="shared" si="11"/>
        <v>-11428549.968136745</v>
      </c>
      <c r="T80" s="154">
        <f t="shared" si="11"/>
        <v>-11428549.968136745</v>
      </c>
      <c r="U80" s="154">
        <f t="shared" si="11"/>
        <v>-11428549.968136745</v>
      </c>
      <c r="V80" s="154">
        <f t="shared" si="11"/>
        <v>-11428549.968136745</v>
      </c>
      <c r="W80" s="154">
        <f t="shared" si="11"/>
        <v>-11428549.968136745</v>
      </c>
      <c r="X80" s="154">
        <f t="shared" si="11"/>
        <v>-11428549.968136745</v>
      </c>
      <c r="Y80" s="154">
        <f t="shared" si="11"/>
        <v>-11428549.968136745</v>
      </c>
      <c r="Z80" s="154">
        <f t="shared" si="11"/>
        <v>-11428549.968136745</v>
      </c>
      <c r="AA80" s="154">
        <f t="shared" si="11"/>
        <v>-11428549.968136745</v>
      </c>
      <c r="AB80" s="154">
        <f t="shared" si="11"/>
        <v>-11428549.968136745</v>
      </c>
      <c r="AC80" s="154">
        <f>SUM(AC77:AC79)</f>
        <v>-11428549.968136745</v>
      </c>
      <c r="AD80" s="154">
        <f>SUM(AD77:AD79)</f>
        <v>-11428549.968136745</v>
      </c>
      <c r="AE80" s="154">
        <f>SUM(AE77:AE79)</f>
        <v>-11428549.968136745</v>
      </c>
      <c r="AF80" s="154">
        <f>SUM(AF77:AF79)</f>
        <v>-11428549.968136745</v>
      </c>
      <c r="AG80" s="154">
        <f>SUM(AG77:AG79)</f>
        <v>-11428549.968136745</v>
      </c>
      <c r="AH80"/>
    </row>
    <row r="81" spans="1:34" x14ac:dyDescent="0.2">
      <c r="A81" s="6"/>
      <c r="B81" s="6"/>
      <c r="C81" s="12"/>
      <c r="D81" s="34"/>
      <c r="F81"/>
      <c r="G81" s="192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4" x14ac:dyDescent="0.2">
      <c r="A82" s="6"/>
      <c r="B82" s="6"/>
      <c r="C82" s="4" t="s">
        <v>128</v>
      </c>
      <c r="D82" s="34"/>
      <c r="F82" s="84"/>
      <c r="G82" s="186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-5714274.9840683723</v>
      </c>
      <c r="N82" s="28">
        <f t="shared" si="13"/>
        <v>-11428549.968136745</v>
      </c>
      <c r="O82" s="28">
        <f t="shared" si="13"/>
        <v>-11428549.968136745</v>
      </c>
      <c r="P82" s="28">
        <f t="shared" si="13"/>
        <v>-11428549.968136745</v>
      </c>
      <c r="Q82" s="28">
        <f t="shared" si="13"/>
        <v>-11428549.968136745</v>
      </c>
      <c r="R82" s="28">
        <f t="shared" si="13"/>
        <v>-11428549.968136745</v>
      </c>
      <c r="S82" s="28">
        <f t="shared" si="13"/>
        <v>-11428549.968136745</v>
      </c>
      <c r="T82" s="28">
        <f t="shared" si="13"/>
        <v>-11428549.968136745</v>
      </c>
      <c r="U82" s="28">
        <f t="shared" si="13"/>
        <v>-11428549.968136745</v>
      </c>
      <c r="V82" s="28">
        <f t="shared" si="13"/>
        <v>-11428549.968136745</v>
      </c>
      <c r="W82" s="28">
        <f t="shared" si="13"/>
        <v>-11428549.968136745</v>
      </c>
      <c r="X82" s="28">
        <f t="shared" si="13"/>
        <v>-11428549.968136745</v>
      </c>
      <c r="Y82" s="28">
        <f t="shared" si="13"/>
        <v>-11428549.968136745</v>
      </c>
      <c r="Z82" s="28">
        <f t="shared" si="13"/>
        <v>-11428549.968136745</v>
      </c>
      <c r="AA82" s="28">
        <f t="shared" si="13"/>
        <v>-11428549.968136745</v>
      </c>
      <c r="AB82" s="28">
        <f t="shared" si="13"/>
        <v>-11428549.968136745</v>
      </c>
      <c r="AC82" s="28">
        <f>AC80</f>
        <v>-11428549.968136745</v>
      </c>
      <c r="AD82" s="28">
        <f>AD80</f>
        <v>-11428549.968136745</v>
      </c>
      <c r="AE82" s="28">
        <f>AE80</f>
        <v>-11428549.968136745</v>
      </c>
      <c r="AF82" s="28">
        <f>AF80</f>
        <v>-11428549.968136745</v>
      </c>
      <c r="AG82" s="28">
        <f>AG80</f>
        <v>-11428549.968136745</v>
      </c>
      <c r="AH82"/>
    </row>
    <row r="83" spans="1:34" x14ac:dyDescent="0.2">
      <c r="A83" s="6"/>
      <c r="B83" s="6"/>
      <c r="C83" s="4" t="s">
        <v>18</v>
      </c>
      <c r="D83" s="34"/>
      <c r="F83" s="84"/>
      <c r="G83" s="186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  <c r="AH83"/>
    </row>
    <row r="84" spans="1:34" x14ac:dyDescent="0.2">
      <c r="A84" s="6"/>
      <c r="B84" s="6"/>
      <c r="C84" s="4" t="s">
        <v>130</v>
      </c>
      <c r="D84" s="34"/>
      <c r="F84" s="84"/>
      <c r="G84" s="186">
        <f t="shared" si="12"/>
        <v>45291</v>
      </c>
      <c r="H84" s="28"/>
      <c r="I84" s="28">
        <f t="shared" ref="I84:AG84" si="15">I64</f>
        <v>0</v>
      </c>
      <c r="J84" s="28">
        <f t="shared" si="15"/>
        <v>0</v>
      </c>
      <c r="K84" s="28">
        <f t="shared" si="15"/>
        <v>0</v>
      </c>
      <c r="L84" s="28">
        <f t="shared" si="15"/>
        <v>1376362.3922234122</v>
      </c>
      <c r="M84" s="28">
        <f t="shared" si="15"/>
        <v>2064543.588335118</v>
      </c>
      <c r="N84" s="28">
        <f t="shared" si="15"/>
        <v>2752724.7844468239</v>
      </c>
      <c r="O84" s="28">
        <f t="shared" si="15"/>
        <v>2752724.7844468239</v>
      </c>
      <c r="P84" s="28">
        <f t="shared" si="15"/>
        <v>2752724.7844468239</v>
      </c>
      <c r="Q84" s="28">
        <f t="shared" si="15"/>
        <v>2752724.7844468239</v>
      </c>
      <c r="R84" s="28">
        <f t="shared" si="15"/>
        <v>2752724.7844468239</v>
      </c>
      <c r="S84" s="28">
        <f t="shared" si="15"/>
        <v>2752724.7844468239</v>
      </c>
      <c r="T84" s="28">
        <f t="shared" si="15"/>
        <v>2752724.7844468239</v>
      </c>
      <c r="U84" s="28">
        <f t="shared" si="15"/>
        <v>2752724.7844468239</v>
      </c>
      <c r="V84" s="28">
        <f t="shared" si="15"/>
        <v>2752724.7844468239</v>
      </c>
      <c r="W84" s="28">
        <f t="shared" si="15"/>
        <v>2752724.7844468239</v>
      </c>
      <c r="X84" s="28">
        <f t="shared" si="15"/>
        <v>2752724.7844468239</v>
      </c>
      <c r="Y84" s="28">
        <f t="shared" si="15"/>
        <v>2752724.7844468239</v>
      </c>
      <c r="Z84" s="28">
        <f t="shared" si="15"/>
        <v>2752724.7844468239</v>
      </c>
      <c r="AA84" s="28">
        <f t="shared" si="15"/>
        <v>2752724.7844468239</v>
      </c>
      <c r="AB84" s="28">
        <f t="shared" si="15"/>
        <v>2752724.7844468239</v>
      </c>
      <c r="AC84" s="28">
        <f t="shared" si="15"/>
        <v>2752724.7844468239</v>
      </c>
      <c r="AD84" s="28">
        <f t="shared" si="15"/>
        <v>2752724.7844468239</v>
      </c>
      <c r="AE84" s="28">
        <f t="shared" si="15"/>
        <v>2752724.7844468239</v>
      </c>
      <c r="AF84" s="28">
        <f t="shared" si="15"/>
        <v>2752724.7844468239</v>
      </c>
      <c r="AG84" s="28">
        <f t="shared" si="15"/>
        <v>2752724.7844468239</v>
      </c>
      <c r="AH84"/>
    </row>
    <row r="85" spans="1:34" x14ac:dyDescent="0.2">
      <c r="A85" s="6"/>
      <c r="B85" s="6"/>
      <c r="C85" s="4" t="s">
        <v>131</v>
      </c>
      <c r="D85" s="34"/>
      <c r="F85" s="84"/>
      <c r="G85" s="186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  <c r="AH85"/>
    </row>
    <row r="86" spans="1:34" x14ac:dyDescent="0.2">
      <c r="A86" s="6"/>
      <c r="B86" s="6"/>
      <c r="C86" s="4"/>
      <c r="D86" s="34"/>
      <c r="F86" s="28"/>
      <c r="G86" s="186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/>
    </row>
    <row r="87" spans="1:34" x14ac:dyDescent="0.2">
      <c r="A87" s="6"/>
      <c r="B87" s="6"/>
      <c r="C87" s="155" t="s">
        <v>132</v>
      </c>
      <c r="D87" s="156"/>
      <c r="E87" s="152"/>
      <c r="F87" s="157"/>
      <c r="G87" s="191">
        <f t="shared" si="12"/>
        <v>45291</v>
      </c>
      <c r="H87" s="157"/>
      <c r="I87" s="157">
        <f t="shared" ref="I87:AB87" si="17">SUM(I82:I86)</f>
        <v>0</v>
      </c>
      <c r="J87" s="157">
        <f t="shared" si="17"/>
        <v>0</v>
      </c>
      <c r="K87" s="157">
        <f t="shared" si="17"/>
        <v>0</v>
      </c>
      <c r="L87" s="157">
        <f t="shared" si="17"/>
        <v>1376362.3922234122</v>
      </c>
      <c r="M87" s="157">
        <f t="shared" si="17"/>
        <v>-3649731.395733254</v>
      </c>
      <c r="N87" s="157">
        <f t="shared" si="17"/>
        <v>-8675825.1836899202</v>
      </c>
      <c r="O87" s="157">
        <f t="shared" si="17"/>
        <v>-8675825.1836899202</v>
      </c>
      <c r="P87" s="157">
        <f t="shared" si="17"/>
        <v>-8675825.1836899202</v>
      </c>
      <c r="Q87" s="157">
        <f t="shared" si="17"/>
        <v>-8675825.1836899202</v>
      </c>
      <c r="R87" s="157">
        <f t="shared" si="17"/>
        <v>-8675825.1836899202</v>
      </c>
      <c r="S87" s="157">
        <f t="shared" si="17"/>
        <v>-8675825.1836899202</v>
      </c>
      <c r="T87" s="157">
        <f t="shared" si="17"/>
        <v>-8675825.1836899202</v>
      </c>
      <c r="U87" s="157">
        <f t="shared" si="17"/>
        <v>-8675825.1836899202</v>
      </c>
      <c r="V87" s="157">
        <f t="shared" si="17"/>
        <v>-8675825.1836899202</v>
      </c>
      <c r="W87" s="157">
        <f t="shared" si="17"/>
        <v>-8675825.1836899202</v>
      </c>
      <c r="X87" s="157">
        <f t="shared" si="17"/>
        <v>-8675825.1836899202</v>
      </c>
      <c r="Y87" s="157">
        <f t="shared" si="17"/>
        <v>-8675825.1836899202</v>
      </c>
      <c r="Z87" s="157">
        <f t="shared" si="17"/>
        <v>-8675825.1836899202</v>
      </c>
      <c r="AA87" s="157">
        <f t="shared" si="17"/>
        <v>-8675825.1836899202</v>
      </c>
      <c r="AB87" s="157">
        <f t="shared" si="17"/>
        <v>-8675825.1836899202</v>
      </c>
      <c r="AC87" s="157">
        <f>SUM(AC82:AC86)</f>
        <v>-8675825.1836899202</v>
      </c>
      <c r="AD87" s="157">
        <f>SUM(AD82:AD86)</f>
        <v>-8675825.1836899202</v>
      </c>
      <c r="AE87" s="157">
        <f>SUM(AE82:AE86)</f>
        <v>-8675825.1836899202</v>
      </c>
      <c r="AF87" s="157">
        <f>SUM(AF82:AF86)</f>
        <v>-8675825.1836899202</v>
      </c>
      <c r="AG87" s="157">
        <f>SUM(AG82:AG86)</f>
        <v>-8675825.1836899202</v>
      </c>
      <c r="AH87"/>
    </row>
    <row r="88" spans="1:34" x14ac:dyDescent="0.2">
      <c r="A88" s="6"/>
      <c r="B88" s="6"/>
      <c r="C88" s="12"/>
      <c r="D88" s="34"/>
      <c r="F88" s="121"/>
      <c r="G88" s="186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  <c r="AH88"/>
    </row>
    <row r="89" spans="1:34" x14ac:dyDescent="0.2">
      <c r="A89" s="6"/>
      <c r="B89" s="6"/>
      <c r="C89" s="12"/>
      <c r="D89" s="34"/>
      <c r="F89" s="121"/>
      <c r="G89" s="186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  <c r="AH89"/>
    </row>
    <row r="90" spans="1:34" x14ac:dyDescent="0.2">
      <c r="A90" s="6"/>
      <c r="B90" s="6"/>
      <c r="C90" s="205" t="s">
        <v>134</v>
      </c>
      <c r="D90" s="72"/>
      <c r="E90" s="206"/>
      <c r="F90" s="207"/>
      <c r="G90" s="208" cm="1">
        <f t="array" ref="G90">IF(SUM($I17:$AG17)=0,0,(INDEX(I$6:AG$6,MATCH(TRUE,INDEX($I17:$AG17&lt;&gt;0,),0))))</f>
        <v>4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/>
    </row>
    <row r="91" spans="1:34" x14ac:dyDescent="0.2">
      <c r="C91" s="72"/>
      <c r="D91" s="209"/>
      <c r="E91" s="206"/>
      <c r="F91" s="206"/>
      <c r="G91" s="208"/>
    </row>
    <row r="92" spans="1:34" x14ac:dyDescent="0.2">
      <c r="C92" s="210" t="s">
        <v>135</v>
      </c>
      <c r="D92" s="211"/>
      <c r="E92" s="211"/>
      <c r="F92" s="211"/>
      <c r="G92" s="212">
        <f>IF(_xlfn.MINIFS($G$90:$G$91, $G$90:$G$91, "&gt;"&amp;0)=0, $A$4, _xlfn.MINIFS($G$90:$G$91, $G$90:$G$91, "&gt;"&amp;0))</f>
        <v>4</v>
      </c>
    </row>
    <row r="94" spans="1:34" x14ac:dyDescent="0.2">
      <c r="G94" s="10"/>
    </row>
    <row r="102" spans="1:43" ht="15" x14ac:dyDescent="0.2">
      <c r="A102" s="78" t="s">
        <v>21</v>
      </c>
      <c r="B102" s="78"/>
      <c r="C102" s="78"/>
      <c r="D102" s="78"/>
      <c r="E102" s="78"/>
      <c r="F102" s="78"/>
      <c r="G102" s="180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</row>
    <row r="105" spans="1:43" x14ac:dyDescent="0.2"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</row>
    <row r="106" spans="1:43" x14ac:dyDescent="0.2">
      <c r="A106" s="1" t="s">
        <v>7</v>
      </c>
      <c r="C106" s="1" t="s">
        <v>132</v>
      </c>
      <c r="D106"/>
      <c r="E106"/>
      <c r="F106"/>
      <c r="G106" s="34" t="str">
        <f>PROPER($A$3)&amp;A106</f>
        <v>Option 3NPV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1376362.3922234122</v>
      </c>
      <c r="M106" s="28">
        <f t="shared" si="18"/>
        <v>-3649731.395733254</v>
      </c>
      <c r="N106" s="28">
        <f t="shared" si="18"/>
        <v>-8675825.1836899202</v>
      </c>
      <c r="O106" s="28">
        <f t="shared" si="18"/>
        <v>-8675825.1836899202</v>
      </c>
      <c r="P106" s="28">
        <f t="shared" si="18"/>
        <v>-8675825.1836899202</v>
      </c>
      <c r="Q106" s="28">
        <f t="shared" si="18"/>
        <v>-8675825.1836899202</v>
      </c>
      <c r="R106" s="28">
        <f t="shared" si="18"/>
        <v>-8675825.1836899202</v>
      </c>
      <c r="S106" s="28">
        <f t="shared" si="18"/>
        <v>-8675825.1836899202</v>
      </c>
      <c r="T106" s="28">
        <f t="shared" si="18"/>
        <v>-8675825.1836899202</v>
      </c>
      <c r="U106" s="28">
        <f t="shared" si="18"/>
        <v>-8675825.1836899202</v>
      </c>
      <c r="V106" s="28">
        <f t="shared" si="18"/>
        <v>-8675825.1836899202</v>
      </c>
      <c r="W106" s="28">
        <f t="shared" si="18"/>
        <v>-8675825.1836899202</v>
      </c>
      <c r="X106" s="28">
        <f t="shared" si="18"/>
        <v>-8675825.1836899202</v>
      </c>
      <c r="Y106" s="28">
        <f t="shared" si="18"/>
        <v>-8675825.1836899202</v>
      </c>
      <c r="Z106" s="28">
        <f t="shared" si="18"/>
        <v>-8675825.1836899202</v>
      </c>
      <c r="AA106" s="28">
        <f t="shared" si="18"/>
        <v>-8675825.1836899202</v>
      </c>
      <c r="AB106" s="28">
        <f t="shared" si="18"/>
        <v>-8675825.1836899202</v>
      </c>
      <c r="AC106" s="28">
        <f t="shared" si="18"/>
        <v>-8675825.1836899202</v>
      </c>
      <c r="AD106" s="28">
        <f t="shared" si="18"/>
        <v>-8675825.1836899202</v>
      </c>
      <c r="AE106" s="28">
        <f t="shared" si="18"/>
        <v>-8675825.1836899202</v>
      </c>
      <c r="AF106" s="28">
        <f t="shared" si="18"/>
        <v>-8675825.1836899202</v>
      </c>
      <c r="AG106" s="28">
        <f t="shared" si="18"/>
        <v>-8675825.1836899202</v>
      </c>
    </row>
    <row r="107" spans="1:43" x14ac:dyDescent="0.2">
      <c r="C107" s="1" t="s">
        <v>129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-5714274.9840683723</v>
      </c>
      <c r="N107" s="28">
        <f t="shared" si="19"/>
        <v>-11428549.968136745</v>
      </c>
      <c r="O107" s="28">
        <f t="shared" si="19"/>
        <v>-11428549.968136745</v>
      </c>
      <c r="P107" s="28">
        <f t="shared" si="19"/>
        <v>-11428549.968136745</v>
      </c>
      <c r="Q107" s="28">
        <f t="shared" si="19"/>
        <v>-11428549.968136745</v>
      </c>
      <c r="R107" s="28">
        <f t="shared" si="19"/>
        <v>-11428549.968136745</v>
      </c>
      <c r="S107" s="28">
        <f t="shared" si="19"/>
        <v>-11428549.968136745</v>
      </c>
      <c r="T107" s="28">
        <f t="shared" si="19"/>
        <v>-11428549.968136745</v>
      </c>
      <c r="U107" s="28">
        <f t="shared" si="19"/>
        <v>-11428549.968136745</v>
      </c>
      <c r="V107" s="28">
        <f t="shared" si="19"/>
        <v>-11428549.968136745</v>
      </c>
      <c r="W107" s="28">
        <f t="shared" si="19"/>
        <v>-11428549.968136745</v>
      </c>
      <c r="X107" s="28">
        <f t="shared" si="19"/>
        <v>-11428549.968136745</v>
      </c>
      <c r="Y107" s="28">
        <f t="shared" si="19"/>
        <v>-11428549.968136745</v>
      </c>
      <c r="Z107" s="28">
        <f t="shared" si="19"/>
        <v>-11428549.968136745</v>
      </c>
      <c r="AA107" s="28">
        <f t="shared" si="19"/>
        <v>-11428549.968136745</v>
      </c>
      <c r="AB107" s="28">
        <f t="shared" si="19"/>
        <v>-11428549.968136745</v>
      </c>
      <c r="AC107" s="28">
        <f t="shared" si="19"/>
        <v>-11428549.968136745</v>
      </c>
      <c r="AD107" s="28">
        <f t="shared" si="19"/>
        <v>-11428549.968136745</v>
      </c>
      <c r="AE107" s="28">
        <f t="shared" si="19"/>
        <v>-11428549.968136745</v>
      </c>
      <c r="AF107" s="28">
        <f t="shared" si="19"/>
        <v>-11428549.968136745</v>
      </c>
      <c r="AG107" s="28">
        <f t="shared" si="19"/>
        <v>-11428549.968136745</v>
      </c>
    </row>
    <row r="108" spans="1:43" x14ac:dyDescent="0.2">
      <c r="C108" s="1" t="s">
        <v>86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1376362.3922234122</v>
      </c>
      <c r="M108" s="28">
        <f t="shared" si="20"/>
        <v>2064543.588335118</v>
      </c>
      <c r="N108" s="28">
        <f t="shared" si="20"/>
        <v>2752724.7844468239</v>
      </c>
      <c r="O108" s="28">
        <f t="shared" si="20"/>
        <v>2752724.7844468239</v>
      </c>
      <c r="P108" s="28">
        <f t="shared" si="20"/>
        <v>2752724.7844468239</v>
      </c>
      <c r="Q108" s="28">
        <f t="shared" si="20"/>
        <v>2752724.7844468239</v>
      </c>
      <c r="R108" s="28">
        <f t="shared" si="20"/>
        <v>2752724.7844468239</v>
      </c>
      <c r="S108" s="28">
        <f t="shared" si="20"/>
        <v>2752724.7844468239</v>
      </c>
      <c r="T108" s="28">
        <f t="shared" si="20"/>
        <v>2752724.7844468239</v>
      </c>
      <c r="U108" s="28">
        <f t="shared" si="20"/>
        <v>2752724.7844468239</v>
      </c>
      <c r="V108" s="28">
        <f t="shared" si="20"/>
        <v>2752724.7844468239</v>
      </c>
      <c r="W108" s="28">
        <f t="shared" si="20"/>
        <v>2752724.7844468239</v>
      </c>
      <c r="X108" s="28">
        <f t="shared" si="20"/>
        <v>2752724.7844468239</v>
      </c>
      <c r="Y108" s="28">
        <f t="shared" si="20"/>
        <v>2752724.7844468239</v>
      </c>
      <c r="Z108" s="28">
        <f t="shared" si="20"/>
        <v>2752724.7844468239</v>
      </c>
      <c r="AA108" s="28">
        <f t="shared" si="20"/>
        <v>2752724.7844468239</v>
      </c>
      <c r="AB108" s="28">
        <f t="shared" si="20"/>
        <v>2752724.7844468239</v>
      </c>
      <c r="AC108" s="28">
        <f t="shared" si="20"/>
        <v>2752724.7844468239</v>
      </c>
      <c r="AD108" s="28">
        <f t="shared" si="20"/>
        <v>2752724.7844468239</v>
      </c>
      <c r="AE108" s="28">
        <f t="shared" si="20"/>
        <v>2752724.7844468239</v>
      </c>
      <c r="AF108" s="28">
        <f t="shared" si="20"/>
        <v>2752724.7844468239</v>
      </c>
      <c r="AG108" s="28">
        <f t="shared" si="20"/>
        <v>2752724.7844468239</v>
      </c>
    </row>
    <row r="109" spans="1:43" x14ac:dyDescent="0.2">
      <c r="D109" s="256" t="str">
        <f>Assumptions!G99</f>
        <v>Capex</v>
      </c>
      <c r="E109" s="256" t="str">
        <f>Assumptions!H99</f>
        <v>Total benefits</v>
      </c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</row>
    <row r="110" spans="1:43" x14ac:dyDescent="0.2">
      <c r="A110" s="1" t="str">
        <f>"sens"&amp;Assumptions!B100</f>
        <v>sens1</v>
      </c>
      <c r="C110" s="255" t="str">
        <f>Assumptions!C100</f>
        <v>Capex 10% higher</v>
      </c>
      <c r="D110" s="256">
        <f>Assumptions!G100</f>
        <v>0.1</v>
      </c>
      <c r="E110" s="256">
        <f>Assumptions!H100</f>
        <v>0</v>
      </c>
      <c r="G110" s="34" t="str">
        <f>PROPER($A$3)&amp;A110</f>
        <v>Option 3sens1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1376362.3922234122</v>
      </c>
      <c r="M110" s="28" cm="1">
        <f t="array" ref="M110">M$106+IF($C110&lt;&gt;0,SUMPRODUCT((M$107:M$108)*TRANSPOSE(($D110:$E110))),0)</f>
        <v>-4221158.8941400908</v>
      </c>
      <c r="N110" s="28" cm="1">
        <f t="array" ref="N110">N$106+IF($C110&lt;&gt;0,SUMPRODUCT((N$107:N$108)*TRANSPOSE(($D110:$E110))),0)</f>
        <v>-9818680.1805035956</v>
      </c>
      <c r="O110" s="28" cm="1">
        <f t="array" ref="O110">O$106+IF($C110&lt;&gt;0,SUMPRODUCT((O$107:O$108)*TRANSPOSE(($D110:$E110))),0)</f>
        <v>-9818680.1805035956</v>
      </c>
      <c r="P110" s="28" cm="1">
        <f t="array" ref="P110">P$106+IF($C110&lt;&gt;0,SUMPRODUCT((P$107:P$108)*TRANSPOSE(($D110:$E110))),0)</f>
        <v>-9818680.1805035956</v>
      </c>
      <c r="Q110" s="28" cm="1">
        <f t="array" ref="Q110">Q$106+IF($C110&lt;&gt;0,SUMPRODUCT((Q$107:Q$108)*TRANSPOSE(($D110:$E110))),0)</f>
        <v>-9818680.1805035956</v>
      </c>
      <c r="R110" s="28" cm="1">
        <f t="array" ref="R110">R$106+IF($C110&lt;&gt;0,SUMPRODUCT((R$107:R$108)*TRANSPOSE(($D110:$E110))),0)</f>
        <v>-9818680.1805035956</v>
      </c>
      <c r="S110" s="28" cm="1">
        <f t="array" ref="S110">S$106+IF($C110&lt;&gt;0,SUMPRODUCT((S$107:S$108)*TRANSPOSE(($D110:$E110))),0)</f>
        <v>-9818680.1805035956</v>
      </c>
      <c r="T110" s="28" cm="1">
        <f t="array" ref="T110">T$106+IF($C110&lt;&gt;0,SUMPRODUCT((T$107:T$108)*TRANSPOSE(($D110:$E110))),0)</f>
        <v>-9818680.1805035956</v>
      </c>
      <c r="U110" s="28" cm="1">
        <f t="array" ref="U110">U$106+IF($C110&lt;&gt;0,SUMPRODUCT((U$107:U$108)*TRANSPOSE(($D110:$E110))),0)</f>
        <v>-9818680.1805035956</v>
      </c>
      <c r="V110" s="28" cm="1">
        <f t="array" ref="V110">V$106+IF($C110&lt;&gt;0,SUMPRODUCT((V$107:V$108)*TRANSPOSE(($D110:$E110))),0)</f>
        <v>-9818680.1805035956</v>
      </c>
      <c r="W110" s="28" cm="1">
        <f t="array" ref="W110">W$106+IF($C110&lt;&gt;0,SUMPRODUCT((W$107:W$108)*TRANSPOSE(($D110:$E110))),0)</f>
        <v>-9818680.1805035956</v>
      </c>
      <c r="X110" s="28" cm="1">
        <f t="array" ref="X110">X$106+IF($C110&lt;&gt;0,SUMPRODUCT((X$107:X$108)*TRANSPOSE(($D110:$E110))),0)</f>
        <v>-9818680.1805035956</v>
      </c>
      <c r="Y110" s="28" cm="1">
        <f t="array" ref="Y110">Y$106+IF($C110&lt;&gt;0,SUMPRODUCT((Y$107:Y$108)*TRANSPOSE(($D110:$E110))),0)</f>
        <v>-9818680.1805035956</v>
      </c>
      <c r="Z110" s="28" cm="1">
        <f t="array" ref="Z110">Z$106+IF($C110&lt;&gt;0,SUMPRODUCT((Z$107:Z$108)*TRANSPOSE(($D110:$E110))),0)</f>
        <v>-9818680.1805035956</v>
      </c>
      <c r="AA110" s="28" cm="1">
        <f t="array" ref="AA110">AA$106+IF($C110&lt;&gt;0,SUMPRODUCT((AA$107:AA$108)*TRANSPOSE(($D110:$E110))),0)</f>
        <v>-9818680.1805035956</v>
      </c>
      <c r="AB110" s="28" cm="1">
        <f t="array" ref="AB110">AB$106+IF($C110&lt;&gt;0,SUMPRODUCT((AB$107:AB$108)*TRANSPOSE(($D110:$E110))),0)</f>
        <v>-9818680.1805035956</v>
      </c>
      <c r="AC110" s="28" cm="1">
        <f t="array" ref="AC110">AC$106+IF($C110&lt;&gt;0,SUMPRODUCT((AC$107:AC$108)*TRANSPOSE(($D110:$E110))),0)</f>
        <v>-9818680.1805035956</v>
      </c>
      <c r="AD110" s="28" cm="1">
        <f t="array" ref="AD110">AD$106+IF($C110&lt;&gt;0,SUMPRODUCT((AD$107:AD$108)*TRANSPOSE(($D110:$E110))),0)</f>
        <v>-9818680.1805035956</v>
      </c>
      <c r="AE110" s="28" cm="1">
        <f t="array" ref="AE110">AE$106+IF($C110&lt;&gt;0,SUMPRODUCT((AE$107:AE$108)*TRANSPOSE(($D110:$E110))),0)</f>
        <v>-9818680.1805035956</v>
      </c>
      <c r="AF110" s="28" cm="1">
        <f t="array" ref="AF110">AF$106+IF($C110&lt;&gt;0,SUMPRODUCT((AF$107:AF$108)*TRANSPOSE(($D110:$E110))),0)</f>
        <v>-9818680.1805035956</v>
      </c>
      <c r="AG110" s="28" cm="1">
        <f t="array" ref="AG110">AG$106+IF($C110&lt;&gt;0,SUMPRODUCT((AG$107:AG$108)*TRANSPOSE(($D110:$E110))),0)</f>
        <v>-9818680.1805035956</v>
      </c>
    </row>
    <row r="111" spans="1:43" x14ac:dyDescent="0.2">
      <c r="A111" s="1" t="str">
        <f>"sens"&amp;Assumptions!B101</f>
        <v>sens2</v>
      </c>
      <c r="C111" s="255" t="str">
        <f>Assumptions!C101</f>
        <v>Capex 10% lower</v>
      </c>
      <c r="D111" s="256">
        <f>Assumptions!G101</f>
        <v>-0.1</v>
      </c>
      <c r="E111" s="256">
        <f>Assumptions!H101</f>
        <v>0</v>
      </c>
      <c r="G111" s="34" t="str">
        <f t="shared" ref="G111:G117" si="21">PROPER($A$3)&amp;A111</f>
        <v>Option 3sens2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1376362.3922234122</v>
      </c>
      <c r="M111" s="28" cm="1">
        <f t="array" ref="M111">M$106+IF($C111&lt;&gt;0,SUMPRODUCT((M$107:M$108)*TRANSPOSE(($D111:$E111))),0)</f>
        <v>-3078303.8973264168</v>
      </c>
      <c r="N111" s="28" cm="1">
        <f t="array" ref="N111">N$106+IF($C111&lt;&gt;0,SUMPRODUCT((N$107:N$108)*TRANSPOSE(($D111:$E111))),0)</f>
        <v>-7532970.1868762458</v>
      </c>
      <c r="O111" s="28" cm="1">
        <f t="array" ref="O111">O$106+IF($C111&lt;&gt;0,SUMPRODUCT((O$107:O$108)*TRANSPOSE(($D111:$E111))),0)</f>
        <v>-7532970.1868762458</v>
      </c>
      <c r="P111" s="28" cm="1">
        <f t="array" ref="P111">P$106+IF($C111&lt;&gt;0,SUMPRODUCT((P$107:P$108)*TRANSPOSE(($D111:$E111))),0)</f>
        <v>-7532970.1868762458</v>
      </c>
      <c r="Q111" s="28" cm="1">
        <f t="array" ref="Q111">Q$106+IF($C111&lt;&gt;0,SUMPRODUCT((Q$107:Q$108)*TRANSPOSE(($D111:$E111))),0)</f>
        <v>-7532970.1868762458</v>
      </c>
      <c r="R111" s="28" cm="1">
        <f t="array" ref="R111">R$106+IF($C111&lt;&gt;0,SUMPRODUCT((R$107:R$108)*TRANSPOSE(($D111:$E111))),0)</f>
        <v>-7532970.1868762458</v>
      </c>
      <c r="S111" s="28" cm="1">
        <f t="array" ref="S111">S$106+IF($C111&lt;&gt;0,SUMPRODUCT((S$107:S$108)*TRANSPOSE(($D111:$E111))),0)</f>
        <v>-7532970.1868762458</v>
      </c>
      <c r="T111" s="28" cm="1">
        <f t="array" ref="T111">T$106+IF($C111&lt;&gt;0,SUMPRODUCT((T$107:T$108)*TRANSPOSE(($D111:$E111))),0)</f>
        <v>-7532970.1868762458</v>
      </c>
      <c r="U111" s="28" cm="1">
        <f t="array" ref="U111">U$106+IF($C111&lt;&gt;0,SUMPRODUCT((U$107:U$108)*TRANSPOSE(($D111:$E111))),0)</f>
        <v>-7532970.1868762458</v>
      </c>
      <c r="V111" s="28" cm="1">
        <f t="array" ref="V111">V$106+IF($C111&lt;&gt;0,SUMPRODUCT((V$107:V$108)*TRANSPOSE(($D111:$E111))),0)</f>
        <v>-7532970.1868762458</v>
      </c>
      <c r="W111" s="28" cm="1">
        <f t="array" ref="W111">W$106+IF($C111&lt;&gt;0,SUMPRODUCT((W$107:W$108)*TRANSPOSE(($D111:$E111))),0)</f>
        <v>-7532970.1868762458</v>
      </c>
      <c r="X111" s="28" cm="1">
        <f t="array" ref="X111">X$106+IF($C111&lt;&gt;0,SUMPRODUCT((X$107:X$108)*TRANSPOSE(($D111:$E111))),0)</f>
        <v>-7532970.1868762458</v>
      </c>
      <c r="Y111" s="28" cm="1">
        <f t="array" ref="Y111">Y$106+IF($C111&lt;&gt;0,SUMPRODUCT((Y$107:Y$108)*TRANSPOSE(($D111:$E111))),0)</f>
        <v>-7532970.1868762458</v>
      </c>
      <c r="Z111" s="28" cm="1">
        <f t="array" ref="Z111">Z$106+IF($C111&lt;&gt;0,SUMPRODUCT((Z$107:Z$108)*TRANSPOSE(($D111:$E111))),0)</f>
        <v>-7532970.1868762458</v>
      </c>
      <c r="AA111" s="28" cm="1">
        <f t="array" ref="AA111">AA$106+IF($C111&lt;&gt;0,SUMPRODUCT((AA$107:AA$108)*TRANSPOSE(($D111:$E111))),0)</f>
        <v>-7532970.1868762458</v>
      </c>
      <c r="AB111" s="28" cm="1">
        <f t="array" ref="AB111">AB$106+IF($C111&lt;&gt;0,SUMPRODUCT((AB$107:AB$108)*TRANSPOSE(($D111:$E111))),0)</f>
        <v>-7532970.1868762458</v>
      </c>
      <c r="AC111" s="28" cm="1">
        <f t="array" ref="AC111">AC$106+IF($C111&lt;&gt;0,SUMPRODUCT((AC$107:AC$108)*TRANSPOSE(($D111:$E111))),0)</f>
        <v>-7532970.1868762458</v>
      </c>
      <c r="AD111" s="28" cm="1">
        <f t="array" ref="AD111">AD$106+IF($C111&lt;&gt;0,SUMPRODUCT((AD$107:AD$108)*TRANSPOSE(($D111:$E111))),0)</f>
        <v>-7532970.1868762458</v>
      </c>
      <c r="AE111" s="28" cm="1">
        <f t="array" ref="AE111">AE$106+IF($C111&lt;&gt;0,SUMPRODUCT((AE$107:AE$108)*TRANSPOSE(($D111:$E111))),0)</f>
        <v>-7532970.1868762458</v>
      </c>
      <c r="AF111" s="28" cm="1">
        <f t="array" ref="AF111">AF$106+IF($C111&lt;&gt;0,SUMPRODUCT((AF$107:AF$108)*TRANSPOSE(($D111:$E111))),0)</f>
        <v>-7532970.1868762458</v>
      </c>
      <c r="AG111" s="28" cm="1">
        <f t="array" ref="AG111">AG$106+IF($C111&lt;&gt;0,SUMPRODUCT((AG$107:AG$108)*TRANSPOSE(($D111:$E111))),0)</f>
        <v>-7532970.1868762458</v>
      </c>
    </row>
    <row r="112" spans="1:43" x14ac:dyDescent="0.2">
      <c r="A112" s="1" t="str">
        <f>"sens"&amp;Assumptions!B102</f>
        <v>sens3</v>
      </c>
      <c r="C112" s="255" t="str">
        <f>Assumptions!C102</f>
        <v>Total benefits 10% higher</v>
      </c>
      <c r="D112" s="256">
        <f>Assumptions!G102</f>
        <v>0</v>
      </c>
      <c r="E112" s="256">
        <f>Assumptions!H102</f>
        <v>0.1</v>
      </c>
      <c r="G112" s="34" t="str">
        <f t="shared" si="21"/>
        <v>Option 3sens3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1513998.6314457534</v>
      </c>
      <c r="M112" s="28" cm="1">
        <f t="array" ref="M112">M$106+IF($C112&lt;&gt;0,SUMPRODUCT((M$107:M$108)*TRANSPOSE(($D112:$E112))),0)</f>
        <v>-3443277.0368997422</v>
      </c>
      <c r="N112" s="28" cm="1">
        <f t="array" ref="N112">N$106+IF($C112&lt;&gt;0,SUMPRODUCT((N$107:N$108)*TRANSPOSE(($D112:$E112))),0)</f>
        <v>-8400552.7052452378</v>
      </c>
      <c r="O112" s="28" cm="1">
        <f t="array" ref="O112">O$106+IF($C112&lt;&gt;0,SUMPRODUCT((O$107:O$108)*TRANSPOSE(($D112:$E112))),0)</f>
        <v>-8400552.7052452378</v>
      </c>
      <c r="P112" s="28" cm="1">
        <f t="array" ref="P112">P$106+IF($C112&lt;&gt;0,SUMPRODUCT((P$107:P$108)*TRANSPOSE(($D112:$E112))),0)</f>
        <v>-8400552.7052452378</v>
      </c>
      <c r="Q112" s="28" cm="1">
        <f t="array" ref="Q112">Q$106+IF($C112&lt;&gt;0,SUMPRODUCT((Q$107:Q$108)*TRANSPOSE(($D112:$E112))),0)</f>
        <v>-8400552.7052452378</v>
      </c>
      <c r="R112" s="28" cm="1">
        <f t="array" ref="R112">R$106+IF($C112&lt;&gt;0,SUMPRODUCT((R$107:R$108)*TRANSPOSE(($D112:$E112))),0)</f>
        <v>-8400552.7052452378</v>
      </c>
      <c r="S112" s="28" cm="1">
        <f t="array" ref="S112">S$106+IF($C112&lt;&gt;0,SUMPRODUCT((S$107:S$108)*TRANSPOSE(($D112:$E112))),0)</f>
        <v>-8400552.7052452378</v>
      </c>
      <c r="T112" s="28" cm="1">
        <f t="array" ref="T112">T$106+IF($C112&lt;&gt;0,SUMPRODUCT((T$107:T$108)*TRANSPOSE(($D112:$E112))),0)</f>
        <v>-8400552.7052452378</v>
      </c>
      <c r="U112" s="28" cm="1">
        <f t="array" ref="U112">U$106+IF($C112&lt;&gt;0,SUMPRODUCT((U$107:U$108)*TRANSPOSE(($D112:$E112))),0)</f>
        <v>-8400552.7052452378</v>
      </c>
      <c r="V112" s="28" cm="1">
        <f t="array" ref="V112">V$106+IF($C112&lt;&gt;0,SUMPRODUCT((V$107:V$108)*TRANSPOSE(($D112:$E112))),0)</f>
        <v>-8400552.7052452378</v>
      </c>
      <c r="W112" s="28" cm="1">
        <f t="array" ref="W112">W$106+IF($C112&lt;&gt;0,SUMPRODUCT((W$107:W$108)*TRANSPOSE(($D112:$E112))),0)</f>
        <v>-8400552.7052452378</v>
      </c>
      <c r="X112" s="28" cm="1">
        <f t="array" ref="X112">X$106+IF($C112&lt;&gt;0,SUMPRODUCT((X$107:X$108)*TRANSPOSE(($D112:$E112))),0)</f>
        <v>-8400552.7052452378</v>
      </c>
      <c r="Y112" s="28" cm="1">
        <f t="array" ref="Y112">Y$106+IF($C112&lt;&gt;0,SUMPRODUCT((Y$107:Y$108)*TRANSPOSE(($D112:$E112))),0)</f>
        <v>-8400552.7052452378</v>
      </c>
      <c r="Z112" s="28" cm="1">
        <f t="array" ref="Z112">Z$106+IF($C112&lt;&gt;0,SUMPRODUCT((Z$107:Z$108)*TRANSPOSE(($D112:$E112))),0)</f>
        <v>-8400552.7052452378</v>
      </c>
      <c r="AA112" s="28" cm="1">
        <f t="array" ref="AA112">AA$106+IF($C112&lt;&gt;0,SUMPRODUCT((AA$107:AA$108)*TRANSPOSE(($D112:$E112))),0)</f>
        <v>-8400552.7052452378</v>
      </c>
      <c r="AB112" s="28" cm="1">
        <f t="array" ref="AB112">AB$106+IF($C112&lt;&gt;0,SUMPRODUCT((AB$107:AB$108)*TRANSPOSE(($D112:$E112))),0)</f>
        <v>-8400552.7052452378</v>
      </c>
      <c r="AC112" s="28" cm="1">
        <f t="array" ref="AC112">AC$106+IF($C112&lt;&gt;0,SUMPRODUCT((AC$107:AC$108)*TRANSPOSE(($D112:$E112))),0)</f>
        <v>-8400552.7052452378</v>
      </c>
      <c r="AD112" s="28" cm="1">
        <f t="array" ref="AD112">AD$106+IF($C112&lt;&gt;0,SUMPRODUCT((AD$107:AD$108)*TRANSPOSE(($D112:$E112))),0)</f>
        <v>-8400552.7052452378</v>
      </c>
      <c r="AE112" s="28" cm="1">
        <f t="array" ref="AE112">AE$106+IF($C112&lt;&gt;0,SUMPRODUCT((AE$107:AE$108)*TRANSPOSE(($D112:$E112))),0)</f>
        <v>-8400552.7052452378</v>
      </c>
      <c r="AF112" s="28" cm="1">
        <f t="array" ref="AF112">AF$106+IF($C112&lt;&gt;0,SUMPRODUCT((AF$107:AF$108)*TRANSPOSE(($D112:$E112))),0)</f>
        <v>-8400552.7052452378</v>
      </c>
      <c r="AG112" s="28" cm="1">
        <f t="array" ref="AG112">AG$106+IF($C112&lt;&gt;0,SUMPRODUCT((AG$107:AG$108)*TRANSPOSE(($D112:$E112))),0)</f>
        <v>-8400552.7052452378</v>
      </c>
    </row>
    <row r="113" spans="1:33" x14ac:dyDescent="0.2">
      <c r="A113" s="1" t="str">
        <f>"sens"&amp;Assumptions!B103</f>
        <v>sens4</v>
      </c>
      <c r="C113" s="255" t="str">
        <f>Assumptions!C103</f>
        <v>Total benefits 10% lower</v>
      </c>
      <c r="D113" s="256">
        <f>Assumptions!G103</f>
        <v>0</v>
      </c>
      <c r="E113" s="256">
        <f>Assumptions!H103</f>
        <v>-0.1</v>
      </c>
      <c r="G113" s="34" t="str">
        <f t="shared" si="21"/>
        <v>Option 3sens4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1238726.153001071</v>
      </c>
      <c r="M113" s="28" cm="1">
        <f t="array" ref="M113">M$106+IF($C113&lt;&gt;0,SUMPRODUCT((M$107:M$108)*TRANSPOSE(($D113:$E113))),0)</f>
        <v>-3856185.7545667659</v>
      </c>
      <c r="N113" s="28" cm="1">
        <f t="array" ref="N113">N$106+IF($C113&lt;&gt;0,SUMPRODUCT((N$107:N$108)*TRANSPOSE(($D113:$E113))),0)</f>
        <v>-8951097.6621346027</v>
      </c>
      <c r="O113" s="28" cm="1">
        <f t="array" ref="O113">O$106+IF($C113&lt;&gt;0,SUMPRODUCT((O$107:O$108)*TRANSPOSE(($D113:$E113))),0)</f>
        <v>-8951097.6621346027</v>
      </c>
      <c r="P113" s="28" cm="1">
        <f t="array" ref="P113">P$106+IF($C113&lt;&gt;0,SUMPRODUCT((P$107:P$108)*TRANSPOSE(($D113:$E113))),0)</f>
        <v>-8951097.6621346027</v>
      </c>
      <c r="Q113" s="28" cm="1">
        <f t="array" ref="Q113">Q$106+IF($C113&lt;&gt;0,SUMPRODUCT((Q$107:Q$108)*TRANSPOSE(($D113:$E113))),0)</f>
        <v>-8951097.6621346027</v>
      </c>
      <c r="R113" s="28" cm="1">
        <f t="array" ref="R113">R$106+IF($C113&lt;&gt;0,SUMPRODUCT((R$107:R$108)*TRANSPOSE(($D113:$E113))),0)</f>
        <v>-8951097.6621346027</v>
      </c>
      <c r="S113" s="28" cm="1">
        <f t="array" ref="S113">S$106+IF($C113&lt;&gt;0,SUMPRODUCT((S$107:S$108)*TRANSPOSE(($D113:$E113))),0)</f>
        <v>-8951097.6621346027</v>
      </c>
      <c r="T113" s="28" cm="1">
        <f t="array" ref="T113">T$106+IF($C113&lt;&gt;0,SUMPRODUCT((T$107:T$108)*TRANSPOSE(($D113:$E113))),0)</f>
        <v>-8951097.6621346027</v>
      </c>
      <c r="U113" s="28" cm="1">
        <f t="array" ref="U113">U$106+IF($C113&lt;&gt;0,SUMPRODUCT((U$107:U$108)*TRANSPOSE(($D113:$E113))),0)</f>
        <v>-8951097.6621346027</v>
      </c>
      <c r="V113" s="28" cm="1">
        <f t="array" ref="V113">V$106+IF($C113&lt;&gt;0,SUMPRODUCT((V$107:V$108)*TRANSPOSE(($D113:$E113))),0)</f>
        <v>-8951097.6621346027</v>
      </c>
      <c r="W113" s="28" cm="1">
        <f t="array" ref="W113">W$106+IF($C113&lt;&gt;0,SUMPRODUCT((W$107:W$108)*TRANSPOSE(($D113:$E113))),0)</f>
        <v>-8951097.6621346027</v>
      </c>
      <c r="X113" s="28" cm="1">
        <f t="array" ref="X113">X$106+IF($C113&lt;&gt;0,SUMPRODUCT((X$107:X$108)*TRANSPOSE(($D113:$E113))),0)</f>
        <v>-8951097.6621346027</v>
      </c>
      <c r="Y113" s="28" cm="1">
        <f t="array" ref="Y113">Y$106+IF($C113&lt;&gt;0,SUMPRODUCT((Y$107:Y$108)*TRANSPOSE(($D113:$E113))),0)</f>
        <v>-8951097.6621346027</v>
      </c>
      <c r="Z113" s="28" cm="1">
        <f t="array" ref="Z113">Z$106+IF($C113&lt;&gt;0,SUMPRODUCT((Z$107:Z$108)*TRANSPOSE(($D113:$E113))),0)</f>
        <v>-8951097.6621346027</v>
      </c>
      <c r="AA113" s="28" cm="1">
        <f t="array" ref="AA113">AA$106+IF($C113&lt;&gt;0,SUMPRODUCT((AA$107:AA$108)*TRANSPOSE(($D113:$E113))),0)</f>
        <v>-8951097.6621346027</v>
      </c>
      <c r="AB113" s="28" cm="1">
        <f t="array" ref="AB113">AB$106+IF($C113&lt;&gt;0,SUMPRODUCT((AB$107:AB$108)*TRANSPOSE(($D113:$E113))),0)</f>
        <v>-8951097.6621346027</v>
      </c>
      <c r="AC113" s="28" cm="1">
        <f t="array" ref="AC113">AC$106+IF($C113&lt;&gt;0,SUMPRODUCT((AC$107:AC$108)*TRANSPOSE(($D113:$E113))),0)</f>
        <v>-8951097.6621346027</v>
      </c>
      <c r="AD113" s="28" cm="1">
        <f t="array" ref="AD113">AD$106+IF($C113&lt;&gt;0,SUMPRODUCT((AD$107:AD$108)*TRANSPOSE(($D113:$E113))),0)</f>
        <v>-8951097.6621346027</v>
      </c>
      <c r="AE113" s="28" cm="1">
        <f t="array" ref="AE113">AE$106+IF($C113&lt;&gt;0,SUMPRODUCT((AE$107:AE$108)*TRANSPOSE(($D113:$E113))),0)</f>
        <v>-8951097.6621346027</v>
      </c>
      <c r="AF113" s="28" cm="1">
        <f t="array" ref="AF113">AF$106+IF($C113&lt;&gt;0,SUMPRODUCT((AF$107:AF$108)*TRANSPOSE(($D113:$E113))),0)</f>
        <v>-8951097.6621346027</v>
      </c>
      <c r="AG113" s="28" cm="1">
        <f t="array" ref="AG113">AG$106+IF($C113&lt;&gt;0,SUMPRODUCT((AG$107:AG$108)*TRANSPOSE(($D113:$E113))),0)</f>
        <v>-8951097.6621346027</v>
      </c>
    </row>
    <row r="114" spans="1:33" x14ac:dyDescent="0.2">
      <c r="A114" s="1" t="str">
        <f>"sens"&amp;Assumptions!B104</f>
        <v>sens5</v>
      </c>
      <c r="C114" s="255" t="str">
        <f>Assumptions!C104</f>
        <v>Capex 10% higher &amp; Total benefits 10% lower</v>
      </c>
      <c r="D114" s="256">
        <f>Assumptions!G104</f>
        <v>0.1</v>
      </c>
      <c r="E114" s="256">
        <f>Assumptions!H104</f>
        <v>-0.1</v>
      </c>
      <c r="G114" s="34" t="str">
        <f t="shared" si="21"/>
        <v>Option 3sens5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1238726.153001071</v>
      </c>
      <c r="M114" s="28" cm="1">
        <f t="array" ref="M114">M$106+IF($C114&lt;&gt;0,SUMPRODUCT((M$107:M$108)*TRANSPOSE(($D114:$E114))),0)</f>
        <v>-4427613.2529736031</v>
      </c>
      <c r="N114" s="28" cm="1">
        <f t="array" ref="N114">N$106+IF($C114&lt;&gt;0,SUMPRODUCT((N$107:N$108)*TRANSPOSE(($D114:$E114))),0)</f>
        <v>-10093952.658948276</v>
      </c>
      <c r="O114" s="28" cm="1">
        <f t="array" ref="O114">O$106+IF($C114&lt;&gt;0,SUMPRODUCT((O$107:O$108)*TRANSPOSE(($D114:$E114))),0)</f>
        <v>-10093952.658948276</v>
      </c>
      <c r="P114" s="28" cm="1">
        <f t="array" ref="P114">P$106+IF($C114&lt;&gt;0,SUMPRODUCT((P$107:P$108)*TRANSPOSE(($D114:$E114))),0)</f>
        <v>-10093952.658948276</v>
      </c>
      <c r="Q114" s="28" cm="1">
        <f t="array" ref="Q114">Q$106+IF($C114&lt;&gt;0,SUMPRODUCT((Q$107:Q$108)*TRANSPOSE(($D114:$E114))),0)</f>
        <v>-10093952.658948276</v>
      </c>
      <c r="R114" s="28" cm="1">
        <f t="array" ref="R114">R$106+IF($C114&lt;&gt;0,SUMPRODUCT((R$107:R$108)*TRANSPOSE(($D114:$E114))),0)</f>
        <v>-10093952.658948276</v>
      </c>
      <c r="S114" s="28" cm="1">
        <f t="array" ref="S114">S$106+IF($C114&lt;&gt;0,SUMPRODUCT((S$107:S$108)*TRANSPOSE(($D114:$E114))),0)</f>
        <v>-10093952.658948276</v>
      </c>
      <c r="T114" s="28" cm="1">
        <f t="array" ref="T114">T$106+IF($C114&lt;&gt;0,SUMPRODUCT((T$107:T$108)*TRANSPOSE(($D114:$E114))),0)</f>
        <v>-10093952.658948276</v>
      </c>
      <c r="U114" s="28" cm="1">
        <f t="array" ref="U114">U$106+IF($C114&lt;&gt;0,SUMPRODUCT((U$107:U$108)*TRANSPOSE(($D114:$E114))),0)</f>
        <v>-10093952.658948276</v>
      </c>
      <c r="V114" s="28" cm="1">
        <f t="array" ref="V114">V$106+IF($C114&lt;&gt;0,SUMPRODUCT((V$107:V$108)*TRANSPOSE(($D114:$E114))),0)</f>
        <v>-10093952.658948276</v>
      </c>
      <c r="W114" s="28" cm="1">
        <f t="array" ref="W114">W$106+IF($C114&lt;&gt;0,SUMPRODUCT((W$107:W$108)*TRANSPOSE(($D114:$E114))),0)</f>
        <v>-10093952.658948276</v>
      </c>
      <c r="X114" s="28" cm="1">
        <f t="array" ref="X114">X$106+IF($C114&lt;&gt;0,SUMPRODUCT((X$107:X$108)*TRANSPOSE(($D114:$E114))),0)</f>
        <v>-10093952.658948276</v>
      </c>
      <c r="Y114" s="28" cm="1">
        <f t="array" ref="Y114">Y$106+IF($C114&lt;&gt;0,SUMPRODUCT((Y$107:Y$108)*TRANSPOSE(($D114:$E114))),0)</f>
        <v>-10093952.658948276</v>
      </c>
      <c r="Z114" s="28" cm="1">
        <f t="array" ref="Z114">Z$106+IF($C114&lt;&gt;0,SUMPRODUCT((Z$107:Z$108)*TRANSPOSE(($D114:$E114))),0)</f>
        <v>-10093952.658948276</v>
      </c>
      <c r="AA114" s="28" cm="1">
        <f t="array" ref="AA114">AA$106+IF($C114&lt;&gt;0,SUMPRODUCT((AA$107:AA$108)*TRANSPOSE(($D114:$E114))),0)</f>
        <v>-10093952.658948276</v>
      </c>
      <c r="AB114" s="28" cm="1">
        <f t="array" ref="AB114">AB$106+IF($C114&lt;&gt;0,SUMPRODUCT((AB$107:AB$108)*TRANSPOSE(($D114:$E114))),0)</f>
        <v>-10093952.658948276</v>
      </c>
      <c r="AC114" s="28" cm="1">
        <f t="array" ref="AC114">AC$106+IF($C114&lt;&gt;0,SUMPRODUCT((AC$107:AC$108)*TRANSPOSE(($D114:$E114))),0)</f>
        <v>-10093952.658948276</v>
      </c>
      <c r="AD114" s="28" cm="1">
        <f t="array" ref="AD114">AD$106+IF($C114&lt;&gt;0,SUMPRODUCT((AD$107:AD$108)*TRANSPOSE(($D114:$E114))),0)</f>
        <v>-10093952.658948276</v>
      </c>
      <c r="AE114" s="28" cm="1">
        <f t="array" ref="AE114">AE$106+IF($C114&lt;&gt;0,SUMPRODUCT((AE$107:AE$108)*TRANSPOSE(($D114:$E114))),0)</f>
        <v>-10093952.658948276</v>
      </c>
      <c r="AF114" s="28" cm="1">
        <f t="array" ref="AF114">AF$106+IF($C114&lt;&gt;0,SUMPRODUCT((AF$107:AF$108)*TRANSPOSE(($D114:$E114))),0)</f>
        <v>-10093952.658948276</v>
      </c>
      <c r="AG114" s="28" cm="1">
        <f t="array" ref="AG114">AG$106+IF($C114&lt;&gt;0,SUMPRODUCT((AG$107:AG$108)*TRANSPOSE(($D114:$E114))),0)</f>
        <v>-10093952.658948276</v>
      </c>
    </row>
    <row r="115" spans="1:33" x14ac:dyDescent="0.2">
      <c r="A115" s="1" t="str">
        <f>"sens"&amp;Assumptions!B105</f>
        <v>sens</v>
      </c>
      <c r="C115" s="255">
        <f>Assumptions!C105</f>
        <v>0</v>
      </c>
      <c r="D115" s="256">
        <f>Assumptions!G105</f>
        <v>0</v>
      </c>
      <c r="E115" s="256">
        <f>Assumptions!H105</f>
        <v>0</v>
      </c>
      <c r="G115" s="34" t="str">
        <f t="shared" si="21"/>
        <v>Option 3sens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1376362.3922234122</v>
      </c>
      <c r="M115" s="28" cm="1">
        <f t="array" ref="M115">M$106+IF($C115&lt;&gt;0,SUMPRODUCT((M$107:M$108)*TRANSPOSE(($D115:$E115))),0)</f>
        <v>-3649731.395733254</v>
      </c>
      <c r="N115" s="28" cm="1">
        <f t="array" ref="N115">N$106+IF($C115&lt;&gt;0,SUMPRODUCT((N$107:N$108)*TRANSPOSE(($D115:$E115))),0)</f>
        <v>-8675825.1836899202</v>
      </c>
      <c r="O115" s="28" cm="1">
        <f t="array" ref="O115">O$106+IF($C115&lt;&gt;0,SUMPRODUCT((O$107:O$108)*TRANSPOSE(($D115:$E115))),0)</f>
        <v>-8675825.1836899202</v>
      </c>
      <c r="P115" s="28" cm="1">
        <f t="array" ref="P115">P$106+IF($C115&lt;&gt;0,SUMPRODUCT((P$107:P$108)*TRANSPOSE(($D115:$E115))),0)</f>
        <v>-8675825.1836899202</v>
      </c>
      <c r="Q115" s="28" cm="1">
        <f t="array" ref="Q115">Q$106+IF($C115&lt;&gt;0,SUMPRODUCT((Q$107:Q$108)*TRANSPOSE(($D115:$E115))),0)</f>
        <v>-8675825.1836899202</v>
      </c>
      <c r="R115" s="28" cm="1">
        <f t="array" ref="R115">R$106+IF($C115&lt;&gt;0,SUMPRODUCT((R$107:R$108)*TRANSPOSE(($D115:$E115))),0)</f>
        <v>-8675825.1836899202</v>
      </c>
      <c r="S115" s="28" cm="1">
        <f t="array" ref="S115">S$106+IF($C115&lt;&gt;0,SUMPRODUCT((S$107:S$108)*TRANSPOSE(($D115:$E115))),0)</f>
        <v>-8675825.1836899202</v>
      </c>
      <c r="T115" s="28" cm="1">
        <f t="array" ref="T115">T$106+IF($C115&lt;&gt;0,SUMPRODUCT((T$107:T$108)*TRANSPOSE(($D115:$E115))),0)</f>
        <v>-8675825.1836899202</v>
      </c>
      <c r="U115" s="28" cm="1">
        <f t="array" ref="U115">U$106+IF($C115&lt;&gt;0,SUMPRODUCT((U$107:U$108)*TRANSPOSE(($D115:$E115))),0)</f>
        <v>-8675825.1836899202</v>
      </c>
      <c r="V115" s="28" cm="1">
        <f t="array" ref="V115">V$106+IF($C115&lt;&gt;0,SUMPRODUCT((V$107:V$108)*TRANSPOSE(($D115:$E115))),0)</f>
        <v>-8675825.1836899202</v>
      </c>
      <c r="W115" s="28" cm="1">
        <f t="array" ref="W115">W$106+IF($C115&lt;&gt;0,SUMPRODUCT((W$107:W$108)*TRANSPOSE(($D115:$E115))),0)</f>
        <v>-8675825.1836899202</v>
      </c>
      <c r="X115" s="28" cm="1">
        <f t="array" ref="X115">X$106+IF($C115&lt;&gt;0,SUMPRODUCT((X$107:X$108)*TRANSPOSE(($D115:$E115))),0)</f>
        <v>-8675825.1836899202</v>
      </c>
      <c r="Y115" s="28" cm="1">
        <f t="array" ref="Y115">Y$106+IF($C115&lt;&gt;0,SUMPRODUCT((Y$107:Y$108)*TRANSPOSE(($D115:$E115))),0)</f>
        <v>-8675825.1836899202</v>
      </c>
      <c r="Z115" s="28" cm="1">
        <f t="array" ref="Z115">Z$106+IF($C115&lt;&gt;0,SUMPRODUCT((Z$107:Z$108)*TRANSPOSE(($D115:$E115))),0)</f>
        <v>-8675825.1836899202</v>
      </c>
      <c r="AA115" s="28" cm="1">
        <f t="array" ref="AA115">AA$106+IF($C115&lt;&gt;0,SUMPRODUCT((AA$107:AA$108)*TRANSPOSE(($D115:$E115))),0)</f>
        <v>-8675825.1836899202</v>
      </c>
      <c r="AB115" s="28" cm="1">
        <f t="array" ref="AB115">AB$106+IF($C115&lt;&gt;0,SUMPRODUCT((AB$107:AB$108)*TRANSPOSE(($D115:$E115))),0)</f>
        <v>-8675825.1836899202</v>
      </c>
      <c r="AC115" s="28" cm="1">
        <f t="array" ref="AC115">AC$106+IF($C115&lt;&gt;0,SUMPRODUCT((AC$107:AC$108)*TRANSPOSE(($D115:$E115))),0)</f>
        <v>-8675825.1836899202</v>
      </c>
      <c r="AD115" s="28" cm="1">
        <f t="array" ref="AD115">AD$106+IF($C115&lt;&gt;0,SUMPRODUCT((AD$107:AD$108)*TRANSPOSE(($D115:$E115))),0)</f>
        <v>-8675825.1836899202</v>
      </c>
      <c r="AE115" s="28" cm="1">
        <f t="array" ref="AE115">AE$106+IF($C115&lt;&gt;0,SUMPRODUCT((AE$107:AE$108)*TRANSPOSE(($D115:$E115))),0)</f>
        <v>-8675825.1836899202</v>
      </c>
      <c r="AF115" s="28" cm="1">
        <f t="array" ref="AF115">AF$106+IF($C115&lt;&gt;0,SUMPRODUCT((AF$107:AF$108)*TRANSPOSE(($D115:$E115))),0)</f>
        <v>-8675825.1836899202</v>
      </c>
      <c r="AG115" s="28" cm="1">
        <f t="array" ref="AG115">AG$106+IF($C115&lt;&gt;0,SUMPRODUCT((AG$107:AG$108)*TRANSPOSE(($D115:$E115))),0)</f>
        <v>-8675825.1836899202</v>
      </c>
    </row>
    <row r="116" spans="1:33" x14ac:dyDescent="0.2">
      <c r="A116" s="1" t="str">
        <f>"sens"&amp;Assumptions!B106</f>
        <v>sens</v>
      </c>
      <c r="C116" s="255">
        <f>Assumptions!C106</f>
        <v>0</v>
      </c>
      <c r="D116" s="256">
        <f>Assumptions!G106</f>
        <v>0</v>
      </c>
      <c r="E116" s="256">
        <f>Assumptions!H106</f>
        <v>0</v>
      </c>
      <c r="G116" s="34" t="str">
        <f t="shared" si="21"/>
        <v>Option 3sens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1376362.3922234122</v>
      </c>
      <c r="M116" s="28" cm="1">
        <f t="array" ref="M116">M$106+IF($C116&lt;&gt;0,SUMPRODUCT((M$107:M$108)*TRANSPOSE(($D116:$E116))),0)</f>
        <v>-3649731.395733254</v>
      </c>
      <c r="N116" s="28" cm="1">
        <f t="array" ref="N116">N$106+IF($C116&lt;&gt;0,SUMPRODUCT((N$107:N$108)*TRANSPOSE(($D116:$E116))),0)</f>
        <v>-8675825.1836899202</v>
      </c>
      <c r="O116" s="28" cm="1">
        <f t="array" ref="O116">O$106+IF($C116&lt;&gt;0,SUMPRODUCT((O$107:O$108)*TRANSPOSE(($D116:$E116))),0)</f>
        <v>-8675825.1836899202</v>
      </c>
      <c r="P116" s="28" cm="1">
        <f t="array" ref="P116">P$106+IF($C116&lt;&gt;0,SUMPRODUCT((P$107:P$108)*TRANSPOSE(($D116:$E116))),0)</f>
        <v>-8675825.1836899202</v>
      </c>
      <c r="Q116" s="28" cm="1">
        <f t="array" ref="Q116">Q$106+IF($C116&lt;&gt;0,SUMPRODUCT((Q$107:Q$108)*TRANSPOSE(($D116:$E116))),0)</f>
        <v>-8675825.1836899202</v>
      </c>
      <c r="R116" s="28" cm="1">
        <f t="array" ref="R116">R$106+IF($C116&lt;&gt;0,SUMPRODUCT((R$107:R$108)*TRANSPOSE(($D116:$E116))),0)</f>
        <v>-8675825.1836899202</v>
      </c>
      <c r="S116" s="28" cm="1">
        <f t="array" ref="S116">S$106+IF($C116&lt;&gt;0,SUMPRODUCT((S$107:S$108)*TRANSPOSE(($D116:$E116))),0)</f>
        <v>-8675825.1836899202</v>
      </c>
      <c r="T116" s="28" cm="1">
        <f t="array" ref="T116">T$106+IF($C116&lt;&gt;0,SUMPRODUCT((T$107:T$108)*TRANSPOSE(($D116:$E116))),0)</f>
        <v>-8675825.1836899202</v>
      </c>
      <c r="U116" s="28" cm="1">
        <f t="array" ref="U116">U$106+IF($C116&lt;&gt;0,SUMPRODUCT((U$107:U$108)*TRANSPOSE(($D116:$E116))),0)</f>
        <v>-8675825.1836899202</v>
      </c>
      <c r="V116" s="28" cm="1">
        <f t="array" ref="V116">V$106+IF($C116&lt;&gt;0,SUMPRODUCT((V$107:V$108)*TRANSPOSE(($D116:$E116))),0)</f>
        <v>-8675825.1836899202</v>
      </c>
      <c r="W116" s="28" cm="1">
        <f t="array" ref="W116">W$106+IF($C116&lt;&gt;0,SUMPRODUCT((W$107:W$108)*TRANSPOSE(($D116:$E116))),0)</f>
        <v>-8675825.1836899202</v>
      </c>
      <c r="X116" s="28" cm="1">
        <f t="array" ref="X116">X$106+IF($C116&lt;&gt;0,SUMPRODUCT((X$107:X$108)*TRANSPOSE(($D116:$E116))),0)</f>
        <v>-8675825.1836899202</v>
      </c>
      <c r="Y116" s="28" cm="1">
        <f t="array" ref="Y116">Y$106+IF($C116&lt;&gt;0,SUMPRODUCT((Y$107:Y$108)*TRANSPOSE(($D116:$E116))),0)</f>
        <v>-8675825.1836899202</v>
      </c>
      <c r="Z116" s="28" cm="1">
        <f t="array" ref="Z116">Z$106+IF($C116&lt;&gt;0,SUMPRODUCT((Z$107:Z$108)*TRANSPOSE(($D116:$E116))),0)</f>
        <v>-8675825.1836899202</v>
      </c>
      <c r="AA116" s="28" cm="1">
        <f t="array" ref="AA116">AA$106+IF($C116&lt;&gt;0,SUMPRODUCT((AA$107:AA$108)*TRANSPOSE(($D116:$E116))),0)</f>
        <v>-8675825.1836899202</v>
      </c>
      <c r="AB116" s="28" cm="1">
        <f t="array" ref="AB116">AB$106+IF($C116&lt;&gt;0,SUMPRODUCT((AB$107:AB$108)*TRANSPOSE(($D116:$E116))),0)</f>
        <v>-8675825.1836899202</v>
      </c>
      <c r="AC116" s="28" cm="1">
        <f t="array" ref="AC116">AC$106+IF($C116&lt;&gt;0,SUMPRODUCT((AC$107:AC$108)*TRANSPOSE(($D116:$E116))),0)</f>
        <v>-8675825.1836899202</v>
      </c>
      <c r="AD116" s="28" cm="1">
        <f t="array" ref="AD116">AD$106+IF($C116&lt;&gt;0,SUMPRODUCT((AD$107:AD$108)*TRANSPOSE(($D116:$E116))),0)</f>
        <v>-8675825.1836899202</v>
      </c>
      <c r="AE116" s="28" cm="1">
        <f t="array" ref="AE116">AE$106+IF($C116&lt;&gt;0,SUMPRODUCT((AE$107:AE$108)*TRANSPOSE(($D116:$E116))),0)</f>
        <v>-8675825.1836899202</v>
      </c>
      <c r="AF116" s="28" cm="1">
        <f t="array" ref="AF116">AF$106+IF($C116&lt;&gt;0,SUMPRODUCT((AF$107:AF$108)*TRANSPOSE(($D116:$E116))),0)</f>
        <v>-8675825.1836899202</v>
      </c>
      <c r="AG116" s="28" cm="1">
        <f t="array" ref="AG116">AG$106+IF($C116&lt;&gt;0,SUMPRODUCT((AG$107:AG$108)*TRANSPOSE(($D116:$E116))),0)</f>
        <v>-8675825.1836899202</v>
      </c>
    </row>
    <row r="117" spans="1:33" x14ac:dyDescent="0.2">
      <c r="A117" s="1" t="str">
        <f>"sens"&amp;Assumptions!B107</f>
        <v>sens</v>
      </c>
      <c r="C117" s="255">
        <f>Assumptions!C107</f>
        <v>0</v>
      </c>
      <c r="D117" s="256">
        <f>Assumptions!G107</f>
        <v>0</v>
      </c>
      <c r="E117" s="256">
        <f>Assumptions!H107</f>
        <v>0</v>
      </c>
      <c r="G117" s="34" t="str">
        <f t="shared" si="21"/>
        <v>Option 3sens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1376362.3922234122</v>
      </c>
      <c r="M117" s="28" cm="1">
        <f t="array" ref="M117">M$106+IF($C117&lt;&gt;0,SUMPRODUCT((M$107:M$108)*TRANSPOSE(($D117:$E117))),0)</f>
        <v>-3649731.395733254</v>
      </c>
      <c r="N117" s="28" cm="1">
        <f t="array" ref="N117">N$106+IF($C117&lt;&gt;0,SUMPRODUCT((N$107:N$108)*TRANSPOSE(($D117:$E117))),0)</f>
        <v>-8675825.1836899202</v>
      </c>
      <c r="O117" s="28" cm="1">
        <f t="array" ref="O117">O$106+IF($C117&lt;&gt;0,SUMPRODUCT((O$107:O$108)*TRANSPOSE(($D117:$E117))),0)</f>
        <v>-8675825.1836899202</v>
      </c>
      <c r="P117" s="28" cm="1">
        <f t="array" ref="P117">P$106+IF($C117&lt;&gt;0,SUMPRODUCT((P$107:P$108)*TRANSPOSE(($D117:$E117))),0)</f>
        <v>-8675825.1836899202</v>
      </c>
      <c r="Q117" s="28" cm="1">
        <f t="array" ref="Q117">Q$106+IF($C117&lt;&gt;0,SUMPRODUCT((Q$107:Q$108)*TRANSPOSE(($D117:$E117))),0)</f>
        <v>-8675825.1836899202</v>
      </c>
      <c r="R117" s="28" cm="1">
        <f t="array" ref="R117">R$106+IF($C117&lt;&gt;0,SUMPRODUCT((R$107:R$108)*TRANSPOSE(($D117:$E117))),0)</f>
        <v>-8675825.1836899202</v>
      </c>
      <c r="S117" s="28" cm="1">
        <f t="array" ref="S117">S$106+IF($C117&lt;&gt;0,SUMPRODUCT((S$107:S$108)*TRANSPOSE(($D117:$E117))),0)</f>
        <v>-8675825.1836899202</v>
      </c>
      <c r="T117" s="28" cm="1">
        <f t="array" ref="T117">T$106+IF($C117&lt;&gt;0,SUMPRODUCT((T$107:T$108)*TRANSPOSE(($D117:$E117))),0)</f>
        <v>-8675825.1836899202</v>
      </c>
      <c r="U117" s="28" cm="1">
        <f t="array" ref="U117">U$106+IF($C117&lt;&gt;0,SUMPRODUCT((U$107:U$108)*TRANSPOSE(($D117:$E117))),0)</f>
        <v>-8675825.1836899202</v>
      </c>
      <c r="V117" s="28" cm="1">
        <f t="array" ref="V117">V$106+IF($C117&lt;&gt;0,SUMPRODUCT((V$107:V$108)*TRANSPOSE(($D117:$E117))),0)</f>
        <v>-8675825.1836899202</v>
      </c>
      <c r="W117" s="28" cm="1">
        <f t="array" ref="W117">W$106+IF($C117&lt;&gt;0,SUMPRODUCT((W$107:W$108)*TRANSPOSE(($D117:$E117))),0)</f>
        <v>-8675825.1836899202</v>
      </c>
      <c r="X117" s="28" cm="1">
        <f t="array" ref="X117">X$106+IF($C117&lt;&gt;0,SUMPRODUCT((X$107:X$108)*TRANSPOSE(($D117:$E117))),0)</f>
        <v>-8675825.1836899202</v>
      </c>
      <c r="Y117" s="28" cm="1">
        <f t="array" ref="Y117">Y$106+IF($C117&lt;&gt;0,SUMPRODUCT((Y$107:Y$108)*TRANSPOSE(($D117:$E117))),0)</f>
        <v>-8675825.1836899202</v>
      </c>
      <c r="Z117" s="28" cm="1">
        <f t="array" ref="Z117">Z$106+IF($C117&lt;&gt;0,SUMPRODUCT((Z$107:Z$108)*TRANSPOSE(($D117:$E117))),0)</f>
        <v>-8675825.1836899202</v>
      </c>
      <c r="AA117" s="28" cm="1">
        <f t="array" ref="AA117">AA$106+IF($C117&lt;&gt;0,SUMPRODUCT((AA$107:AA$108)*TRANSPOSE(($D117:$E117))),0)</f>
        <v>-8675825.1836899202</v>
      </c>
      <c r="AB117" s="28" cm="1">
        <f t="array" ref="AB117">AB$106+IF($C117&lt;&gt;0,SUMPRODUCT((AB$107:AB$108)*TRANSPOSE(($D117:$E117))),0)</f>
        <v>-8675825.1836899202</v>
      </c>
      <c r="AC117" s="28" cm="1">
        <f t="array" ref="AC117">AC$106+IF($C117&lt;&gt;0,SUMPRODUCT((AC$107:AC$108)*TRANSPOSE(($D117:$E117))),0)</f>
        <v>-8675825.1836899202</v>
      </c>
      <c r="AD117" s="28" cm="1">
        <f t="array" ref="AD117">AD$106+IF($C117&lt;&gt;0,SUMPRODUCT((AD$107:AD$108)*TRANSPOSE(($D117:$E117))),0)</f>
        <v>-8675825.1836899202</v>
      </c>
      <c r="AE117" s="28" cm="1">
        <f t="array" ref="AE117">AE$106+IF($C117&lt;&gt;0,SUMPRODUCT((AE$107:AE$108)*TRANSPOSE(($D117:$E117))),0)</f>
        <v>-8675825.1836899202</v>
      </c>
      <c r="AF117" s="28" cm="1">
        <f t="array" ref="AF117">AF$106+IF($C117&lt;&gt;0,SUMPRODUCT((AF$107:AF$108)*TRANSPOSE(($D117:$E117))),0)</f>
        <v>-8675825.1836899202</v>
      </c>
      <c r="AG117" s="28" cm="1">
        <f t="array" ref="AG117">AG$106+IF($C117&lt;&gt;0,SUMPRODUCT((AG$107:AG$108)*TRANSPOSE(($D117:$E117))),0)</f>
        <v>-8675825.1836899202</v>
      </c>
    </row>
  </sheetData>
  <conditionalFormatting sqref="E14:E16">
    <cfRule type="expression" dxfId="7" priority="1">
      <formula>AND(SUM($I14:$AB14)&lt;&gt;0, E14=0)</formula>
    </cfRule>
  </conditionalFormatting>
  <conditionalFormatting sqref="E28">
    <cfRule type="expression" dxfId="6" priority="4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3" id="{1712F874-B643-4BE5-934F-196C6E7538A2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28DE2-E846-427B-B371-240E3FF764AB}">
  <sheetPr codeName="Sheet6">
    <tabColor rgb="FF0099FF"/>
  </sheetPr>
  <dimension ref="A1:XER117"/>
  <sheetViews>
    <sheetView showGridLines="0" zoomScale="90" zoomScaleNormal="90" workbookViewId="0">
      <pane xSplit="4" ySplit="11" topLeftCell="E12" activePane="bottomRight" state="frozen"/>
      <selection pane="topRight" activeCell="E1" sqref="E1"/>
      <selection pane="bottomLeft" activeCell="A12" sqref="A12"/>
      <selection pane="bottomRight" activeCell="E12" sqref="E12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Horsham REFCL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9" t="s">
        <v>138</v>
      </c>
      <c r="B3" s="5"/>
      <c r="C3" s="315" t="str">
        <f>INDEX(Assumptions!$E$14:$E$18, MATCH(A3,_xlfn.ANCHORARRAY( Assumptions!$C$14),0))</f>
        <v>Install three REFCLs (one per Tx) at HSM ZSS in 2029-30</v>
      </c>
    </row>
    <row r="4" spans="1:43" x14ac:dyDescent="0.2">
      <c r="A4" s="1" t="str">
        <f>(INDEX(Data!$D$9:$D$13, MATCH(A3, options,0)))</f>
        <v/>
      </c>
      <c r="B4" s="165"/>
      <c r="C4" s="213"/>
    </row>
    <row r="5" spans="1:43" hidden="1" outlineLevel="1" x14ac:dyDescent="0.2">
      <c r="C5" s="86"/>
      <c r="D5" s="85"/>
      <c r="E5" s="87"/>
      <c r="F5" s="87"/>
      <c r="G5" s="85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tr">
        <f>'Option1 (base case)'!A6</f>
        <v>Count</v>
      </c>
      <c r="B6" s="85"/>
      <c r="C6" s="86"/>
      <c r="D6" s="85"/>
      <c r="E6" s="87"/>
      <c r="F6" s="87"/>
      <c r="G6" s="85"/>
      <c r="H6" s="88"/>
      <c r="I6" s="88">
        <f>'Option1 (base case)'!I6</f>
        <v>1</v>
      </c>
      <c r="J6" s="88">
        <f>'Option1 (base case)'!J6</f>
        <v>2</v>
      </c>
      <c r="K6" s="88">
        <f>'Option1 (base case)'!K6</f>
        <v>3</v>
      </c>
      <c r="L6" s="88">
        <f>'Option1 (base case)'!L6</f>
        <v>4</v>
      </c>
      <c r="M6" s="88">
        <f>'Option1 (base case)'!M6</f>
        <v>5</v>
      </c>
      <c r="N6" s="88">
        <f>'Option1 (base case)'!N6</f>
        <v>6</v>
      </c>
      <c r="O6" s="88">
        <f>'Option1 (base case)'!O6</f>
        <v>7</v>
      </c>
      <c r="P6" s="88">
        <f>'Option1 (base case)'!P6</f>
        <v>8</v>
      </c>
      <c r="Q6" s="88">
        <f>'Option1 (base case)'!Q6</f>
        <v>9</v>
      </c>
      <c r="R6" s="88">
        <f>'Option1 (base case)'!R6</f>
        <v>10</v>
      </c>
      <c r="S6" s="88">
        <f>'Option1 (base case)'!S6</f>
        <v>11</v>
      </c>
      <c r="T6" s="88">
        <f>'Option1 (base case)'!T6</f>
        <v>12</v>
      </c>
      <c r="U6" s="88">
        <f>'Option1 (base case)'!U6</f>
        <v>13</v>
      </c>
      <c r="V6" s="88">
        <f>'Option1 (base case)'!V6</f>
        <v>14</v>
      </c>
      <c r="W6" s="88">
        <f>'Option1 (base case)'!W6</f>
        <v>15</v>
      </c>
      <c r="X6" s="88">
        <f>'Option1 (base case)'!X6</f>
        <v>16</v>
      </c>
      <c r="Y6" s="88">
        <f>'Option1 (base case)'!Y6</f>
        <v>17</v>
      </c>
      <c r="Z6" s="88">
        <f>'Option1 (base case)'!Z6</f>
        <v>18</v>
      </c>
      <c r="AA6" s="88">
        <f>'Option1 (base case)'!AA6</f>
        <v>19</v>
      </c>
      <c r="AB6" s="88">
        <f>'Option1 (base case)'!AB6</f>
        <v>20</v>
      </c>
      <c r="AC6" s="88">
        <f>'Option1 (base case)'!AC6</f>
        <v>21</v>
      </c>
      <c r="AD6" s="88">
        <f>'Option1 (base case)'!AD6</f>
        <v>22</v>
      </c>
      <c r="AE6" s="88">
        <f>'Option1 (base case)'!AE6</f>
        <v>23</v>
      </c>
      <c r="AF6" s="88">
        <f>'Option1 (base case)'!AF6</f>
        <v>24</v>
      </c>
      <c r="AG6" s="88">
        <f>'Option1 (base case)'!AG6</f>
        <v>25</v>
      </c>
    </row>
    <row r="7" spans="1:43" hidden="1" outlineLevel="1" x14ac:dyDescent="0.2">
      <c r="A7" s="85" t="str">
        <f>'Option1 (base case)'!A7</f>
        <v>Value of CO2 reductions</v>
      </c>
      <c r="B7" s="85"/>
      <c r="G7" s="139" t="s">
        <v>90</v>
      </c>
      <c r="I7" s="86">
        <f>'Option1 (base case)'!I7</f>
        <v>24.730486797759085</v>
      </c>
      <c r="J7" s="86">
        <f>'Option1 (base case)'!J7</f>
        <v>22.340740091772258</v>
      </c>
      <c r="K7" s="86">
        <f>'Option1 (base case)'!K7</f>
        <v>20.196329122153124</v>
      </c>
      <c r="L7" s="86">
        <f>'Option1 (base case)'!L7</f>
        <v>18.06294207659629</v>
      </c>
      <c r="M7" s="86">
        <f>'Option1 (base case)'!M7</f>
        <v>15.913397615084225</v>
      </c>
      <c r="N7" s="86">
        <f>'Option1 (base case)'!N7</f>
        <v>13.715069432539002</v>
      </c>
      <c r="O7" s="86">
        <f>'Option1 (base case)'!O7</f>
        <v>13.715069432539002</v>
      </c>
      <c r="P7" s="86">
        <f>'Option1 (base case)'!P7</f>
        <v>13.715069432539002</v>
      </c>
      <c r="Q7" s="86">
        <f>'Option1 (base case)'!Q7</f>
        <v>13.715069432539002</v>
      </c>
      <c r="R7" s="86">
        <f>'Option1 (base case)'!R7</f>
        <v>13.715069432539002</v>
      </c>
      <c r="S7" s="86">
        <f>'Option1 (base case)'!S7</f>
        <v>13.715069432539002</v>
      </c>
      <c r="T7" s="86">
        <f>'Option1 (base case)'!T7</f>
        <v>13.715069432539002</v>
      </c>
      <c r="U7" s="86">
        <f>'Option1 (base case)'!U7</f>
        <v>13.715069432539002</v>
      </c>
      <c r="V7" s="86">
        <f>'Option1 (base case)'!V7</f>
        <v>13.715069432539002</v>
      </c>
      <c r="W7" s="86">
        <f>'Option1 (base case)'!W7</f>
        <v>13.715069432539002</v>
      </c>
      <c r="X7" s="86">
        <f>'Option1 (base case)'!X7</f>
        <v>13.715069432539002</v>
      </c>
      <c r="Y7" s="86">
        <f>'Option1 (base case)'!Y7</f>
        <v>13.715069432539002</v>
      </c>
      <c r="Z7" s="86">
        <f>'Option1 (base case)'!Z7</f>
        <v>13.715069432539002</v>
      </c>
      <c r="AA7" s="86">
        <f>'Option1 (base case)'!AA7</f>
        <v>13.715069432539002</v>
      </c>
      <c r="AB7" s="86">
        <f>'Option1 (base case)'!AB7</f>
        <v>13.715069432539002</v>
      </c>
      <c r="AC7" s="86">
        <f>'Option1 (base case)'!AC7</f>
        <v>13.715069432539002</v>
      </c>
      <c r="AD7" s="86">
        <f>'Option1 (base case)'!AD7</f>
        <v>13.715069432539002</v>
      </c>
      <c r="AE7" s="86">
        <f>'Option1 (base case)'!AE7</f>
        <v>13.715069432539002</v>
      </c>
      <c r="AF7" s="86">
        <f>'Option1 (base case)'!AF7</f>
        <v>13.715069432539002</v>
      </c>
      <c r="AG7" s="86">
        <f>'Option1 (base case)'!AG7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6"/>
      <c r="B9" s="16"/>
      <c r="C9" s="16"/>
      <c r="D9" s="16"/>
      <c r="E9" s="16"/>
      <c r="F9" s="122"/>
      <c r="G9" s="16" t="s">
        <v>91</v>
      </c>
      <c r="H9" s="195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92</v>
      </c>
      <c r="B11" s="78"/>
      <c r="C11" s="79"/>
      <c r="D11" s="79"/>
      <c r="E11" s="79"/>
      <c r="F11" s="79"/>
      <c r="G11" s="18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/>
      <c r="AI11"/>
      <c r="AJ11"/>
      <c r="AK11"/>
      <c r="AL11"/>
      <c r="AM11"/>
    </row>
    <row r="12" spans="1:43" x14ac:dyDescent="0.2">
      <c r="A12" s="3"/>
      <c r="B12" s="3"/>
      <c r="C12" s="3"/>
      <c r="D12" s="3"/>
      <c r="G12" s="181"/>
      <c r="AH12"/>
      <c r="AI12"/>
      <c r="AJ12"/>
      <c r="AK12"/>
      <c r="AL12"/>
      <c r="AM12"/>
    </row>
    <row r="13" spans="1:43" x14ac:dyDescent="0.2">
      <c r="C13" s="3" t="s">
        <v>85</v>
      </c>
      <c r="D13"/>
      <c r="E13" s="105" t="s">
        <v>93</v>
      </c>
      <c r="G13" s="182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139</v>
      </c>
      <c r="D14"/>
      <c r="E14" s="128">
        <v>30</v>
      </c>
      <c r="G14" s="183">
        <f>input_dollars</f>
        <v>45291</v>
      </c>
      <c r="H14" s="129"/>
      <c r="I14" s="29">
        <f>Workings_costs!E47</f>
        <v>0</v>
      </c>
      <c r="J14" s="29">
        <f>Workings_costs!F47</f>
        <v>0</v>
      </c>
      <c r="K14" s="29">
        <f>Workings_costs!G47</f>
        <v>0</v>
      </c>
      <c r="L14" s="29">
        <f>Workings_costs!H47</f>
        <v>10044122.128046528</v>
      </c>
      <c r="M14" s="29">
        <f>Workings_costs!I47</f>
        <v>10044122.128046528</v>
      </c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/>
      <c r="D15"/>
      <c r="E15" s="128">
        <v>0</v>
      </c>
      <c r="G15" s="183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/>
      <c r="D16"/>
      <c r="E16" s="128">
        <v>0</v>
      </c>
      <c r="G16" s="183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17</v>
      </c>
      <c r="G17" s="183">
        <f>input_dollars</f>
        <v>45291</v>
      </c>
      <c r="H17" s="94"/>
      <c r="I17" s="93">
        <f t="shared" ref="I17:Q17" si="0">SUM(I14:I16)</f>
        <v>0</v>
      </c>
      <c r="J17" s="93">
        <f t="shared" si="0"/>
        <v>0</v>
      </c>
      <c r="K17" s="93">
        <f t="shared" si="0"/>
        <v>0</v>
      </c>
      <c r="L17" s="93">
        <f t="shared" si="0"/>
        <v>10044122.128046528</v>
      </c>
      <c r="M17" s="93">
        <f t="shared" si="0"/>
        <v>10044122.128046528</v>
      </c>
      <c r="N17" s="93">
        <f t="shared" si="0"/>
        <v>0</v>
      </c>
      <c r="O17" s="93">
        <f t="shared" si="0"/>
        <v>0</v>
      </c>
      <c r="P17" s="93">
        <f t="shared" si="0"/>
        <v>0</v>
      </c>
      <c r="Q17" s="93">
        <f t="shared" si="0"/>
        <v>0</v>
      </c>
      <c r="R17" s="93">
        <f t="shared" ref="R17:AG17" si="1">SUM(R14:R16)</f>
        <v>0</v>
      </c>
      <c r="S17" s="93">
        <f t="shared" si="1"/>
        <v>0</v>
      </c>
      <c r="T17" s="93">
        <f t="shared" si="1"/>
        <v>0</v>
      </c>
      <c r="U17" s="93">
        <f t="shared" si="1"/>
        <v>0</v>
      </c>
      <c r="V17" s="93">
        <f t="shared" si="1"/>
        <v>0</v>
      </c>
      <c r="W17" s="93">
        <f t="shared" si="1"/>
        <v>0</v>
      </c>
      <c r="X17" s="93">
        <f t="shared" si="1"/>
        <v>0</v>
      </c>
      <c r="Y17" s="93">
        <f t="shared" si="1"/>
        <v>0</v>
      </c>
      <c r="Z17" s="93">
        <f t="shared" si="1"/>
        <v>0</v>
      </c>
      <c r="AA17" s="93">
        <f t="shared" si="1"/>
        <v>0</v>
      </c>
      <c r="AB17" s="93">
        <f t="shared" si="1"/>
        <v>0</v>
      </c>
      <c r="AC17" s="93">
        <f t="shared" si="1"/>
        <v>0</v>
      </c>
      <c r="AD17" s="93">
        <f t="shared" si="1"/>
        <v>0</v>
      </c>
      <c r="AE17" s="93">
        <f t="shared" si="1"/>
        <v>0</v>
      </c>
      <c r="AF17" s="93">
        <f t="shared" si="1"/>
        <v>0</v>
      </c>
      <c r="AG17" s="93">
        <f t="shared" si="1"/>
        <v>0</v>
      </c>
      <c r="AH17"/>
      <c r="AI17"/>
      <c r="AJ17"/>
      <c r="AK17"/>
      <c r="AL17"/>
      <c r="AM17"/>
    </row>
    <row r="18" spans="1:43" x14ac:dyDescent="0.2">
      <c r="C18"/>
      <c r="D18"/>
      <c r="E18"/>
      <c r="G18" s="182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18</v>
      </c>
      <c r="D19"/>
      <c r="E19"/>
      <c r="F19" s="94"/>
      <c r="G19" s="183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117">
        <v>0</v>
      </c>
      <c r="T19" s="117">
        <v>0</v>
      </c>
      <c r="U19" s="117">
        <v>0</v>
      </c>
      <c r="V19" s="117">
        <v>0</v>
      </c>
      <c r="W19" s="117">
        <v>0</v>
      </c>
      <c r="X19" s="117">
        <v>0</v>
      </c>
      <c r="Y19" s="117">
        <v>0</v>
      </c>
      <c r="Z19" s="117">
        <v>0</v>
      </c>
      <c r="AA19" s="117">
        <v>0</v>
      </c>
      <c r="AB19" s="117">
        <v>0</v>
      </c>
      <c r="AC19" s="117">
        <v>0</v>
      </c>
      <c r="AD19" s="117">
        <v>0</v>
      </c>
      <c r="AE19" s="117">
        <v>0</v>
      </c>
      <c r="AF19" s="117">
        <v>0</v>
      </c>
      <c r="AG19" s="117">
        <v>0</v>
      </c>
      <c r="AH19"/>
      <c r="AI19"/>
      <c r="AJ19"/>
      <c r="AK19"/>
      <c r="AL19"/>
      <c r="AM19"/>
    </row>
    <row r="20" spans="1:43" x14ac:dyDescent="0.2">
      <c r="G20" s="181"/>
      <c r="AH20"/>
      <c r="AI20"/>
      <c r="AJ20"/>
      <c r="AK20"/>
      <c r="AL20"/>
      <c r="AM20"/>
    </row>
    <row r="21" spans="1:43" x14ac:dyDescent="0.2">
      <c r="C21"/>
      <c r="D21"/>
      <c r="E21"/>
      <c r="G21" s="182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95</v>
      </c>
      <c r="B22" s="78"/>
      <c r="C22" s="78"/>
      <c r="D22" s="78"/>
      <c r="E22" s="78"/>
      <c r="F22" s="78"/>
      <c r="G22" s="180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4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96</v>
      </c>
      <c r="D24" s="98"/>
      <c r="E24" s="98"/>
      <c r="F24" s="98"/>
      <c r="G24" s="184"/>
      <c r="H24" s="98"/>
      <c r="I24" s="147">
        <v>0</v>
      </c>
      <c r="J24" s="147">
        <v>0</v>
      </c>
      <c r="K24" s="147">
        <v>0</v>
      </c>
      <c r="L24" s="147">
        <v>0</v>
      </c>
      <c r="M24" s="147">
        <v>0</v>
      </c>
      <c r="N24" s="147">
        <v>0</v>
      </c>
      <c r="O24" s="147">
        <v>0</v>
      </c>
      <c r="P24" s="147">
        <v>0</v>
      </c>
      <c r="Q24" s="147">
        <v>0</v>
      </c>
      <c r="R24" s="147">
        <v>0</v>
      </c>
      <c r="S24" s="147">
        <v>0</v>
      </c>
      <c r="T24" s="147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  <c r="AG24" s="148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97</v>
      </c>
      <c r="D25" s="184"/>
      <c r="E25" s="98"/>
      <c r="F25" s="98"/>
      <c r="G25" s="184"/>
      <c r="H25" s="98"/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7">
        <v>0</v>
      </c>
      <c r="O25" s="147">
        <v>0</v>
      </c>
      <c r="P25" s="147">
        <v>0</v>
      </c>
      <c r="Q25" s="147">
        <v>0</v>
      </c>
      <c r="R25" s="147">
        <v>0</v>
      </c>
      <c r="S25" s="147">
        <v>0</v>
      </c>
      <c r="T25" s="147">
        <v>0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E25" s="148">
        <v>0</v>
      </c>
      <c r="AF25" s="148">
        <v>0</v>
      </c>
      <c r="AG25" s="148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4"/>
      <c r="E26" s="98"/>
      <c r="F26" s="98"/>
      <c r="G26" s="184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98</v>
      </c>
      <c r="D27" s="181"/>
      <c r="E27"/>
      <c r="G27" s="183" t="s">
        <v>99</v>
      </c>
      <c r="H27"/>
      <c r="I27" s="147">
        <v>0</v>
      </c>
      <c r="J27" s="147">
        <v>0</v>
      </c>
      <c r="K27" s="147">
        <v>0</v>
      </c>
      <c r="L27" s="147">
        <v>0</v>
      </c>
      <c r="M27" s="147">
        <v>0</v>
      </c>
      <c r="N27" s="147">
        <v>0</v>
      </c>
      <c r="O27" s="147">
        <v>0</v>
      </c>
      <c r="P27" s="147">
        <v>0</v>
      </c>
      <c r="Q27" s="147">
        <v>0</v>
      </c>
      <c r="R27" s="147">
        <v>0</v>
      </c>
      <c r="S27" s="147">
        <v>0</v>
      </c>
      <c r="T27" s="147">
        <v>0</v>
      </c>
      <c r="U27" s="147">
        <v>0</v>
      </c>
      <c r="V27" s="147">
        <v>0</v>
      </c>
      <c r="W27" s="147">
        <v>0</v>
      </c>
      <c r="X27" s="147">
        <v>0</v>
      </c>
      <c r="Y27" s="147">
        <v>0</v>
      </c>
      <c r="Z27" s="147">
        <v>0</v>
      </c>
      <c r="AA27" s="147">
        <v>0</v>
      </c>
      <c r="AB27" s="147">
        <v>0</v>
      </c>
      <c r="AC27" s="147">
        <v>0</v>
      </c>
      <c r="AD27" s="147">
        <v>0</v>
      </c>
      <c r="AE27" s="147">
        <v>0</v>
      </c>
      <c r="AF27" s="147">
        <v>0</v>
      </c>
      <c r="AG27" s="147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100</v>
      </c>
      <c r="D28" s="181" t="s">
        <v>90</v>
      </c>
      <c r="E28" s="100">
        <f>Assumptions!H41*vcr_esc</f>
        <v>34455.236243920997</v>
      </c>
      <c r="F28" s="213" t="str">
        <f>IF(AND(SUM(I27:AG27)&lt;&gt;0, E28=0), "!", "")</f>
        <v/>
      </c>
      <c r="G28" s="183">
        <f>input_dollars</f>
        <v>45291</v>
      </c>
      <c r="H28"/>
      <c r="I28" s="92">
        <f>I27*$E$28</f>
        <v>0</v>
      </c>
      <c r="J28" s="92">
        <f t="shared" ref="J28:AG28" si="2">J27*$E$28</f>
        <v>0</v>
      </c>
      <c r="K28" s="92">
        <f t="shared" si="2"/>
        <v>0</v>
      </c>
      <c r="L28" s="92">
        <f t="shared" si="2"/>
        <v>0</v>
      </c>
      <c r="M28" s="92">
        <f t="shared" si="2"/>
        <v>0</v>
      </c>
      <c r="N28" s="92">
        <f t="shared" si="2"/>
        <v>0</v>
      </c>
      <c r="O28" s="92">
        <f t="shared" si="2"/>
        <v>0</v>
      </c>
      <c r="P28" s="92">
        <f t="shared" si="2"/>
        <v>0</v>
      </c>
      <c r="Q28" s="92">
        <f t="shared" si="2"/>
        <v>0</v>
      </c>
      <c r="R28" s="92">
        <f t="shared" si="2"/>
        <v>0</v>
      </c>
      <c r="S28" s="92">
        <f t="shared" si="2"/>
        <v>0</v>
      </c>
      <c r="T28" s="92">
        <f t="shared" si="2"/>
        <v>0</v>
      </c>
      <c r="U28" s="92">
        <f t="shared" si="2"/>
        <v>0</v>
      </c>
      <c r="V28" s="92">
        <f t="shared" si="2"/>
        <v>0</v>
      </c>
      <c r="W28" s="92">
        <f t="shared" si="2"/>
        <v>0</v>
      </c>
      <c r="X28" s="92">
        <f t="shared" si="2"/>
        <v>0</v>
      </c>
      <c r="Y28" s="92">
        <f t="shared" si="2"/>
        <v>0</v>
      </c>
      <c r="Z28" s="92">
        <f t="shared" si="2"/>
        <v>0</v>
      </c>
      <c r="AA28" s="92">
        <f t="shared" si="2"/>
        <v>0</v>
      </c>
      <c r="AB28" s="92">
        <f t="shared" si="2"/>
        <v>0</v>
      </c>
      <c r="AC28" s="92">
        <f t="shared" si="2"/>
        <v>0</v>
      </c>
      <c r="AD28" s="92">
        <f t="shared" si="2"/>
        <v>0</v>
      </c>
      <c r="AE28" s="92">
        <f t="shared" si="2"/>
        <v>0</v>
      </c>
      <c r="AF28" s="92">
        <f t="shared" si="2"/>
        <v>0</v>
      </c>
      <c r="AG28" s="92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2"/>
      <c r="E29"/>
      <c r="G29" s="183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101</v>
      </c>
      <c r="D30" s="181" t="s">
        <v>102</v>
      </c>
      <c r="G30" s="183">
        <f>input_dollars</f>
        <v>45291</v>
      </c>
      <c r="H30" s="129"/>
      <c r="I30" s="29">
        <f>Workings_risks!F71</f>
        <v>805182.28622779658</v>
      </c>
      <c r="J30" s="29">
        <f>Workings_risks!G71</f>
        <v>805182.28622779658</v>
      </c>
      <c r="K30" s="29">
        <f>Workings_risks!H71</f>
        <v>805182.28622779658</v>
      </c>
      <c r="L30" s="29">
        <f>Workings_risks!I71</f>
        <v>805182.28622779658</v>
      </c>
      <c r="M30" s="29">
        <f>Workings_risks!J71</f>
        <v>805182.28622779658</v>
      </c>
      <c r="N30" s="29">
        <f>Workings_risks!K71</f>
        <v>552677.12126675958</v>
      </c>
      <c r="O30" s="29">
        <f>Workings_risks!L71</f>
        <v>552677.12126675958</v>
      </c>
      <c r="P30" s="29">
        <f>Workings_risks!M71</f>
        <v>552677.12126675958</v>
      </c>
      <c r="Q30" s="29">
        <f>Workings_risks!N71</f>
        <v>552677.12126675958</v>
      </c>
      <c r="R30" s="29">
        <f>Workings_risks!O71</f>
        <v>552677.12126675958</v>
      </c>
      <c r="S30" s="29">
        <f>Workings_risks!P71</f>
        <v>552677.12126675958</v>
      </c>
      <c r="T30" s="29">
        <f>Workings_risks!Q71</f>
        <v>552677.12126675958</v>
      </c>
      <c r="U30" s="29">
        <f>Workings_risks!R71</f>
        <v>552677.12126675958</v>
      </c>
      <c r="V30" s="29">
        <f>Workings_risks!S71</f>
        <v>552677.12126675958</v>
      </c>
      <c r="W30" s="29">
        <f>Workings_risks!T71</f>
        <v>552677.12126675958</v>
      </c>
      <c r="X30" s="29">
        <f>Workings_risks!U71</f>
        <v>552677.12126675958</v>
      </c>
      <c r="Y30" s="29">
        <f>Workings_risks!V71</f>
        <v>552677.12126675958</v>
      </c>
      <c r="Z30" s="29">
        <f>Workings_risks!W71</f>
        <v>552677.12126675958</v>
      </c>
      <c r="AA30" s="29">
        <f>Workings_risks!X71</f>
        <v>552677.12126675958</v>
      </c>
      <c r="AB30" s="29">
        <f>Workings_risks!Y71</f>
        <v>552677.12126675958</v>
      </c>
      <c r="AC30" s="29">
        <f>Workings_risks!Z71</f>
        <v>552677.12126675958</v>
      </c>
      <c r="AD30" s="29">
        <f>Workings_risks!AA71</f>
        <v>552677.12126675958</v>
      </c>
      <c r="AE30" s="29">
        <f>Workings_risks!AB71</f>
        <v>552677.12126675958</v>
      </c>
      <c r="AF30" s="29">
        <f>Workings_risks!AC71</f>
        <v>552677.12126675958</v>
      </c>
      <c r="AG30" s="29">
        <f>Workings_risks!AD71</f>
        <v>552677.12126675958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103</v>
      </c>
      <c r="D31" s="182"/>
      <c r="E31"/>
      <c r="G31" s="183">
        <f>input_dollars</f>
        <v>45291</v>
      </c>
      <c r="H31" s="129"/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  <c r="AE31" s="29">
        <v>0</v>
      </c>
      <c r="AF31" s="29">
        <v>0</v>
      </c>
      <c r="AG31" s="29"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104</v>
      </c>
      <c r="D32" s="181" t="s">
        <v>102</v>
      </c>
      <c r="E32"/>
      <c r="G32" s="183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  <c r="AE32" s="29">
        <v>0</v>
      </c>
      <c r="AF32" s="29">
        <v>0</v>
      </c>
      <c r="AG32" s="29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51" t="s">
        <v>105</v>
      </c>
      <c r="D33" s="194"/>
      <c r="E33"/>
      <c r="G33" s="183">
        <f>input_dollars</f>
        <v>45291</v>
      </c>
      <c r="H33"/>
      <c r="I33" s="29">
        <f>Workings_risks!F70</f>
        <v>2151611.1790454965</v>
      </c>
      <c r="J33" s="29">
        <f>Workings_risks!G70</f>
        <v>2151611.1790454965</v>
      </c>
      <c r="K33" s="29">
        <f>Workings_risks!H70</f>
        <v>2151611.1790454965</v>
      </c>
      <c r="L33" s="29">
        <f>Workings_risks!I70</f>
        <v>2151611.1790454965</v>
      </c>
      <c r="M33" s="29">
        <f>Workings_risks!J70</f>
        <v>2151611.1790454965</v>
      </c>
      <c r="N33" s="29">
        <f>Workings_risks!K70</f>
        <v>989741.14236092835</v>
      </c>
      <c r="O33" s="29">
        <f>Workings_risks!L70</f>
        <v>989741.14236092835</v>
      </c>
      <c r="P33" s="29">
        <f>Workings_risks!M70</f>
        <v>989741.14236092835</v>
      </c>
      <c r="Q33" s="29">
        <f>Workings_risks!N70</f>
        <v>989741.14236092835</v>
      </c>
      <c r="R33" s="29">
        <f>Workings_risks!O70</f>
        <v>989741.14236092835</v>
      </c>
      <c r="S33" s="29">
        <f>Workings_risks!P70</f>
        <v>989741.14236092835</v>
      </c>
      <c r="T33" s="29">
        <f>Workings_risks!Q70</f>
        <v>989741.14236092835</v>
      </c>
      <c r="U33" s="29">
        <f>Workings_risks!R70</f>
        <v>989741.14236092835</v>
      </c>
      <c r="V33" s="29">
        <f>Workings_risks!S70</f>
        <v>989741.14236092835</v>
      </c>
      <c r="W33" s="29">
        <f>Workings_risks!T70</f>
        <v>989741.14236092835</v>
      </c>
      <c r="X33" s="29">
        <f>Workings_risks!U70</f>
        <v>989741.14236092835</v>
      </c>
      <c r="Y33" s="29">
        <f>Workings_risks!V70</f>
        <v>989741.14236092835</v>
      </c>
      <c r="Z33" s="29">
        <f>Workings_risks!W70</f>
        <v>989741.14236092835</v>
      </c>
      <c r="AA33" s="29">
        <f>Workings_risks!X70</f>
        <v>989741.14236092835</v>
      </c>
      <c r="AB33" s="29">
        <f>Workings_risks!Y70</f>
        <v>989741.14236092835</v>
      </c>
      <c r="AC33" s="29">
        <f>Workings_risks!Z70</f>
        <v>989741.14236092835</v>
      </c>
      <c r="AD33" s="29">
        <f>Workings_risks!AA70</f>
        <v>989741.14236092835</v>
      </c>
      <c r="AE33" s="29">
        <f>Workings_risks!AB70</f>
        <v>989741.14236092835</v>
      </c>
      <c r="AF33" s="29">
        <f>Workings_risks!AC70</f>
        <v>989741.14236092835</v>
      </c>
      <c r="AG33" s="29">
        <f>Workings_risks!AD70</f>
        <v>989741.14236092835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242" t="s">
        <v>106</v>
      </c>
      <c r="D34" s="182"/>
      <c r="E34"/>
      <c r="G34" s="183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2"/>
      <c r="E35"/>
      <c r="G35" s="183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5</v>
      </c>
      <c r="D36" s="193"/>
      <c r="E36" s="94"/>
      <c r="F36" s="3"/>
      <c r="G36" s="185"/>
      <c r="H36" s="94"/>
      <c r="I36" s="95">
        <f>SUM(I28:I34)</f>
        <v>2956793.4652732932</v>
      </c>
      <c r="J36" s="95">
        <f t="shared" ref="J36:AG36" si="3">SUM(J28:J34)</f>
        <v>2956793.4652732932</v>
      </c>
      <c r="K36" s="95">
        <f t="shared" si="3"/>
        <v>2956793.4652732932</v>
      </c>
      <c r="L36" s="95">
        <f t="shared" si="3"/>
        <v>2956793.4652732932</v>
      </c>
      <c r="M36" s="95">
        <f t="shared" si="3"/>
        <v>2956793.4652732932</v>
      </c>
      <c r="N36" s="95">
        <f t="shared" si="3"/>
        <v>1542418.2636276879</v>
      </c>
      <c r="O36" s="95">
        <f t="shared" si="3"/>
        <v>1542418.2636276879</v>
      </c>
      <c r="P36" s="95">
        <f t="shared" si="3"/>
        <v>1542418.2636276879</v>
      </c>
      <c r="Q36" s="95">
        <f t="shared" si="3"/>
        <v>1542418.2636276879</v>
      </c>
      <c r="R36" s="95">
        <f t="shared" si="3"/>
        <v>1542418.2636276879</v>
      </c>
      <c r="S36" s="95">
        <f t="shared" si="3"/>
        <v>1542418.2636276879</v>
      </c>
      <c r="T36" s="95">
        <f t="shared" si="3"/>
        <v>1542418.2636276879</v>
      </c>
      <c r="U36" s="95">
        <f t="shared" si="3"/>
        <v>1542418.2636276879</v>
      </c>
      <c r="V36" s="95">
        <f t="shared" si="3"/>
        <v>1542418.2636276879</v>
      </c>
      <c r="W36" s="95">
        <f t="shared" si="3"/>
        <v>1542418.2636276879</v>
      </c>
      <c r="X36" s="95">
        <f t="shared" si="3"/>
        <v>1542418.2636276879</v>
      </c>
      <c r="Y36" s="95">
        <f t="shared" si="3"/>
        <v>1542418.2636276879</v>
      </c>
      <c r="Z36" s="95">
        <f t="shared" si="3"/>
        <v>1542418.2636276879</v>
      </c>
      <c r="AA36" s="95">
        <f t="shared" si="3"/>
        <v>1542418.2636276879</v>
      </c>
      <c r="AB36" s="95">
        <f t="shared" si="3"/>
        <v>1542418.2636276879</v>
      </c>
      <c r="AC36" s="95">
        <f t="shared" si="3"/>
        <v>1542418.2636276879</v>
      </c>
      <c r="AD36" s="95">
        <f t="shared" si="3"/>
        <v>1542418.2636276879</v>
      </c>
      <c r="AE36" s="95">
        <f t="shared" si="3"/>
        <v>1542418.2636276879</v>
      </c>
      <c r="AF36" s="95">
        <f t="shared" si="3"/>
        <v>1542418.2636276879</v>
      </c>
      <c r="AG36" s="95">
        <f t="shared" si="3"/>
        <v>1542418.2636276879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3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107</v>
      </c>
      <c r="B38" s="78"/>
      <c r="C38" s="78"/>
      <c r="D38" s="78"/>
      <c r="E38" s="78"/>
      <c r="F38" s="78"/>
      <c r="G38" s="180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3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3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108</v>
      </c>
      <c r="G41" s="181" t="s">
        <v>99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25">
      <c r="C42" s="1" t="s">
        <v>109</v>
      </c>
      <c r="G42" s="181" t="s">
        <v>110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</row>
    <row r="43" spans="1:16372" x14ac:dyDescent="0.2">
      <c r="D43"/>
      <c r="E43"/>
      <c r="G43" s="18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2"/>
      <c r="E44"/>
      <c r="G44" s="183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111</v>
      </c>
      <c r="D45" s="181" t="s">
        <v>90</v>
      </c>
      <c r="E45" s="100">
        <v>0</v>
      </c>
      <c r="G45" s="183" t="s">
        <v>99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112</v>
      </c>
      <c r="D46" s="181" t="s">
        <v>90</v>
      </c>
      <c r="E46" s="100">
        <v>0</v>
      </c>
      <c r="G46" s="183" t="s">
        <v>99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113</v>
      </c>
      <c r="D47" s="181" t="s">
        <v>90</v>
      </c>
      <c r="E47" s="99">
        <v>0</v>
      </c>
      <c r="G47" s="183" t="s">
        <v>99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114</v>
      </c>
      <c r="D48" s="181" t="s">
        <v>115</v>
      </c>
      <c r="E48" s="99">
        <v>0</v>
      </c>
      <c r="G48" s="183" t="s">
        <v>116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117</v>
      </c>
      <c r="D49" s="181" t="s">
        <v>118</v>
      </c>
      <c r="E49" s="99">
        <v>0</v>
      </c>
      <c r="G49" s="183" t="s">
        <v>119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120</v>
      </c>
      <c r="D50" s="181" t="s">
        <v>118</v>
      </c>
      <c r="E50" s="99">
        <v>0</v>
      </c>
      <c r="G50" s="183" t="s">
        <v>119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121</v>
      </c>
      <c r="D51" s="181" t="s">
        <v>115</v>
      </c>
      <c r="E51" s="99">
        <v>0</v>
      </c>
      <c r="G51" s="183" t="s">
        <v>116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122</v>
      </c>
      <c r="D52" s="181" t="s">
        <v>115</v>
      </c>
      <c r="E52" s="99">
        <v>0</v>
      </c>
      <c r="G52" s="183" t="s">
        <v>116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81"/>
      <c r="G53" s="183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123</v>
      </c>
      <c r="D54" s="181"/>
      <c r="G54" s="183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124</v>
      </c>
      <c r="D55" s="181"/>
      <c r="G55" s="183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81"/>
      <c r="G56" s="181"/>
    </row>
    <row r="57" spans="1:43" x14ac:dyDescent="0.2">
      <c r="C57" s="3" t="s">
        <v>125</v>
      </c>
      <c r="D57" s="193"/>
      <c r="E57" s="94"/>
      <c r="F57" s="3"/>
      <c r="G57" s="183">
        <f>input_dollars</f>
        <v>45291</v>
      </c>
      <c r="H57" s="94"/>
      <c r="I57" s="149" cm="1">
        <f t="array" ref="I57">SUMPRODUCT((I$45:I$52)*($E$45:$E$52))+SUM(I54:I55)+I42</f>
        <v>0</v>
      </c>
      <c r="J57" s="149" cm="1">
        <f t="array" ref="J57">SUMPRODUCT((J$45:J$52)*($E$45:$E$52))+SUM(J54:J55)+J42</f>
        <v>0</v>
      </c>
      <c r="K57" s="149" cm="1">
        <f t="array" ref="K57">SUMPRODUCT((K$45:K$52)*($E$45:$E$52))+SUM(K54:K55)+K42</f>
        <v>0</v>
      </c>
      <c r="L57" s="149" cm="1">
        <f t="array" ref="L57">SUMPRODUCT((L$45:L$52)*($E$45:$E$52))+SUM(L54:L55)+L42</f>
        <v>0</v>
      </c>
      <c r="M57" s="149" cm="1">
        <f t="array" ref="M57">SUMPRODUCT((M$45:M$52)*($E$45:$E$52))+SUM(M54:M55)+M42</f>
        <v>0</v>
      </c>
      <c r="N57" s="149" cm="1">
        <f t="array" ref="N57">SUMPRODUCT((N$45:N$52)*($E$45:$E$52))+SUM(N54:N55)+N42</f>
        <v>0</v>
      </c>
      <c r="O57" s="149" cm="1">
        <f t="array" ref="O57">SUMPRODUCT((O$45:O$52)*($E$45:$E$52))+SUM(O54:O55)+O42</f>
        <v>0</v>
      </c>
      <c r="P57" s="149" cm="1">
        <f t="array" ref="P57">SUMPRODUCT((P$45:P$52)*($E$45:$E$52))+SUM(P54:P55)+P42</f>
        <v>0</v>
      </c>
      <c r="Q57" s="149" cm="1">
        <f t="array" ref="Q57">SUMPRODUCT((Q$45:Q$52)*($E$45:$E$52))+SUM(Q54:Q55)+Q42</f>
        <v>0</v>
      </c>
      <c r="R57" s="149" cm="1">
        <f t="array" ref="R57">SUMPRODUCT((R$45:R$52)*($E$45:$E$52))+SUM(R54:R55)+R42</f>
        <v>0</v>
      </c>
      <c r="S57" s="149" cm="1">
        <f t="array" ref="S57">SUMPRODUCT((S$45:S$52)*($E$45:$E$52))+SUM(S54:S55)+S42</f>
        <v>0</v>
      </c>
      <c r="T57" s="149" cm="1">
        <f t="array" ref="T57">SUMPRODUCT((T$45:T$52)*($E$45:$E$52))+SUM(T54:T55)+T42</f>
        <v>0</v>
      </c>
      <c r="U57" s="149" cm="1">
        <f t="array" ref="U57">SUMPRODUCT((U$45:U$52)*($E$45:$E$52))+SUM(U54:U55)+U42</f>
        <v>0</v>
      </c>
      <c r="V57" s="149" cm="1">
        <f t="array" ref="V57">SUMPRODUCT((V$45:V$52)*($E$45:$E$52))+SUM(V54:V55)+V42</f>
        <v>0</v>
      </c>
      <c r="W57" s="149" cm="1">
        <f t="array" ref="W57">SUMPRODUCT((W$45:W$52)*($E$45:$E$52))+SUM(W54:W55)+W42</f>
        <v>0</v>
      </c>
      <c r="X57" s="149" cm="1">
        <f t="array" ref="X57">SUMPRODUCT((X$45:X$52)*($E$45:$E$52))+SUM(X54:X55)+X42</f>
        <v>0</v>
      </c>
      <c r="Y57" s="149" cm="1">
        <f t="array" ref="Y57">SUMPRODUCT((Y$45:Y$52)*($E$45:$E$52))+SUM(Y54:Y55)+Y42</f>
        <v>0</v>
      </c>
      <c r="Z57" s="149" cm="1">
        <f t="array" ref="Z57">SUMPRODUCT((Z$45:Z$52)*($E$45:$E$52))+SUM(Z54:Z55)+Z42</f>
        <v>0</v>
      </c>
      <c r="AA57" s="149" cm="1">
        <f t="array" ref="AA57">SUMPRODUCT((AA$45:AA$52)*($E$45:$E$52))+SUM(AA54:AA55)+AA42</f>
        <v>0</v>
      </c>
      <c r="AB57" s="149" cm="1">
        <f t="array" ref="AB57">SUMPRODUCT((AB$45:AB$52)*($E$45:$E$52))+SUM(AB54:AB55)+AB42</f>
        <v>0</v>
      </c>
      <c r="AC57" s="149" cm="1">
        <f t="array" ref="AC57">SUMPRODUCT((AC$45:AC$52)*($E$45:$E$52))+SUM(AC54:AC55)+AC42</f>
        <v>0</v>
      </c>
      <c r="AD57" s="149" cm="1">
        <f t="array" ref="AD57">SUMPRODUCT((AD$45:AD$52)*($E$45:$E$52))+SUM(AD54:AD55)+AD42</f>
        <v>0</v>
      </c>
      <c r="AE57" s="149" cm="1">
        <f t="array" ref="AE57">SUMPRODUCT((AE$45:AE$52)*($E$45:$E$52))+SUM(AE54:AE55)+AE42</f>
        <v>0</v>
      </c>
      <c r="AF57" s="149" cm="1">
        <f t="array" ref="AF57">SUMPRODUCT((AF$45:AF$52)*($E$45:$E$52))+SUM(AF54:AF55)+AF42</f>
        <v>0</v>
      </c>
      <c r="AG57" s="149" cm="1">
        <f t="array" ref="AG57">SUMPRODUCT((AG$45:AG$52)*($E$45:$E$52))+SUM(AG54:AG55)+AG42</f>
        <v>0</v>
      </c>
    </row>
    <row r="58" spans="1:43" x14ac:dyDescent="0.2">
      <c r="D58" s="181"/>
      <c r="G58" s="181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81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8</v>
      </c>
      <c r="B60" s="78"/>
      <c r="C60" s="78"/>
      <c r="D60" s="78"/>
      <c r="E60" s="78"/>
      <c r="F60" s="78"/>
      <c r="G60" s="180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8"/>
      <c r="B61" s="98"/>
      <c r="C61" s="98"/>
      <c r="D61" s="98"/>
      <c r="E61" s="98"/>
      <c r="F61" s="98"/>
      <c r="G61" s="184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8"/>
      <c r="B62" s="98"/>
      <c r="C62" s="98"/>
      <c r="D62" s="98"/>
      <c r="E62" s="98"/>
      <c r="F62"/>
      <c r="G62" s="187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F63" s="2"/>
      <c r="G63" s="188"/>
    </row>
    <row r="64" spans="1:43" x14ac:dyDescent="0.2">
      <c r="C64" s="4" t="str">
        <f>'Option1 (base case)'!C64</f>
        <v>Risks mitigated vs base case</v>
      </c>
      <c r="G64" s="186">
        <f>input_dollars</f>
        <v>45291</v>
      </c>
      <c r="I64" s="114">
        <f>(1-INDEX(Data!$C$9:$C$13, MATCH($A$3, options,0)))*('Option1 (base case)'!I36-I36)</f>
        <v>0</v>
      </c>
      <c r="J64" s="114">
        <f>(1-INDEX(Data!$C$9:$C$13, MATCH($A$3, options,0)))*('Option1 (base case)'!J36-J36)</f>
        <v>0</v>
      </c>
      <c r="K64" s="114">
        <f>(1-INDEX(Data!$C$9:$C$13, MATCH($A$3, options,0)))*('Option1 (base case)'!K36-K36)</f>
        <v>0</v>
      </c>
      <c r="L64" s="114">
        <f>(1-INDEX(Data!$C$9:$C$13, MATCH($A$3, options,0)))*('Option1 (base case)'!L36-L36)</f>
        <v>0</v>
      </c>
      <c r="M64" s="114">
        <f>(1-INDEX(Data!$C$9:$C$13, MATCH($A$3, options,0)))*('Option1 (base case)'!M36-M36)</f>
        <v>0</v>
      </c>
      <c r="N64" s="114">
        <f>(1-INDEX(Data!$C$9:$C$13, MATCH($A$3, options,0)))*('Option1 (base case)'!N36-N36)</f>
        <v>1414375.2016456053</v>
      </c>
      <c r="O64" s="114">
        <f>(1-INDEX(Data!$C$9:$C$13, MATCH($A$3, options,0)))*('Option1 (base case)'!O36-O36)</f>
        <v>1414375.2016456053</v>
      </c>
      <c r="P64" s="114">
        <f>(1-INDEX(Data!$C$9:$C$13, MATCH($A$3, options,0)))*('Option1 (base case)'!P36-P36)</f>
        <v>1414375.2016456053</v>
      </c>
      <c r="Q64" s="114">
        <f>(1-INDEX(Data!$C$9:$C$13, MATCH($A$3, options,0)))*('Option1 (base case)'!Q36-Q36)</f>
        <v>1414375.2016456053</v>
      </c>
      <c r="R64" s="114">
        <f>(1-INDEX(Data!$C$9:$C$13, MATCH($A$3, options,0)))*('Option1 (base case)'!R36-R36)</f>
        <v>1414375.2016456053</v>
      </c>
      <c r="S64" s="114">
        <f>(1-INDEX(Data!$C$9:$C$13, MATCH($A$3, options,0)))*('Option1 (base case)'!S36-S36)</f>
        <v>1414375.2016456053</v>
      </c>
      <c r="T64" s="114">
        <f>(1-INDEX(Data!$C$9:$C$13, MATCH($A$3, options,0)))*('Option1 (base case)'!T36-T36)</f>
        <v>1414375.2016456053</v>
      </c>
      <c r="U64" s="114">
        <f>(1-INDEX(Data!$C$9:$C$13, MATCH($A$3, options,0)))*('Option1 (base case)'!U36-U36)</f>
        <v>1414375.2016456053</v>
      </c>
      <c r="V64" s="114">
        <f>(1-INDEX(Data!$C$9:$C$13, MATCH($A$3, options,0)))*('Option1 (base case)'!V36-V36)</f>
        <v>1414375.2016456053</v>
      </c>
      <c r="W64" s="114">
        <f>(1-INDEX(Data!$C$9:$C$13, MATCH($A$3, options,0)))*('Option1 (base case)'!W36-W36)</f>
        <v>1414375.2016456053</v>
      </c>
      <c r="X64" s="114">
        <f>(1-INDEX(Data!$C$9:$C$13, MATCH($A$3, options,0)))*('Option1 (base case)'!X36-X36)</f>
        <v>1414375.2016456053</v>
      </c>
      <c r="Y64" s="114">
        <f>(1-INDEX(Data!$C$9:$C$13, MATCH($A$3, options,0)))*('Option1 (base case)'!Y36-Y36)</f>
        <v>1414375.2016456053</v>
      </c>
      <c r="Z64" s="114">
        <f>(1-INDEX(Data!$C$9:$C$13, MATCH($A$3, options,0)))*('Option1 (base case)'!Z36-Z36)</f>
        <v>1414375.2016456053</v>
      </c>
      <c r="AA64" s="114">
        <f>(1-INDEX(Data!$C$9:$C$13, MATCH($A$3, options,0)))*('Option1 (base case)'!AA36-AA36)</f>
        <v>1414375.2016456053</v>
      </c>
      <c r="AB64" s="114">
        <f>(1-INDEX(Data!$C$9:$C$13, MATCH($A$3, options,0)))*('Option1 (base case)'!AB36-AB36)</f>
        <v>1414375.2016456053</v>
      </c>
      <c r="AC64" s="114">
        <f>(1-INDEX(Data!$C$9:$C$13, MATCH($A$3, options,0)))*('Option1 (base case)'!AC36-AC36)</f>
        <v>1414375.2016456053</v>
      </c>
      <c r="AD64" s="114">
        <f>(1-INDEX(Data!$C$9:$C$13, MATCH($A$3, options,0)))*('Option1 (base case)'!AD36-AD36)</f>
        <v>1414375.2016456053</v>
      </c>
      <c r="AE64" s="114">
        <f>(1-INDEX(Data!$C$9:$C$13, MATCH($A$3, options,0)))*('Option1 (base case)'!AE36-AE36)</f>
        <v>1414375.2016456053</v>
      </c>
      <c r="AF64" s="114">
        <f>(1-INDEX(Data!$C$9:$C$13, MATCH($A$3, options,0)))*('Option1 (base case)'!AF36-AF36)</f>
        <v>1414375.2016456053</v>
      </c>
      <c r="AG64" s="114">
        <f>(1-INDEX(Data!$C$9:$C$13, MATCH($A$3, options,0)))*('Option1 (base case)'!AG36-AG36)</f>
        <v>1414375.2016456053</v>
      </c>
    </row>
    <row r="65" spans="1:33" x14ac:dyDescent="0.2">
      <c r="G65" s="188"/>
    </row>
    <row r="66" spans="1:33" x14ac:dyDescent="0.2">
      <c r="A66" s="6"/>
      <c r="B66" s="6"/>
      <c r="C66" s="127" t="s">
        <v>17</v>
      </c>
      <c r="D66" s="34"/>
      <c r="F66" s="84"/>
      <c r="G66" s="189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Three REFCLs</v>
      </c>
      <c r="D67" s="34"/>
      <c r="F67" s="84"/>
      <c r="G67" s="186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-10044122.128046528</v>
      </c>
      <c r="M67" s="28">
        <f t="shared" si="5"/>
        <v>-10044122.128046528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2">
      <c r="A68" s="6"/>
      <c r="B68" s="6"/>
      <c r="C68" s="4">
        <f>C15</f>
        <v>0</v>
      </c>
      <c r="D68" s="34"/>
      <c r="F68" s="84"/>
      <c r="G68" s="186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2">
      <c r="A69" s="6"/>
      <c r="B69" s="6"/>
      <c r="C69" s="4">
        <f>C16</f>
        <v>0</v>
      </c>
      <c r="D69" s="34"/>
      <c r="F69" s="84"/>
      <c r="G69" s="186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2">
      <c r="A70" s="6"/>
      <c r="B70" s="6"/>
      <c r="C70" s="4"/>
      <c r="D70" s="34"/>
      <c r="F70" s="84"/>
      <c r="G70" s="190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7" t="s">
        <v>127</v>
      </c>
      <c r="D71" s="34"/>
      <c r="F71" s="84"/>
      <c r="G71" s="189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Three REFCLs</v>
      </c>
      <c r="D72" s="34"/>
      <c r="F72" s="84"/>
      <c r="G72" s="186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-10044122.128046528</v>
      </c>
      <c r="M72" s="28" cm="1">
        <f t="array" ref="M72">SUMPRODUCT(($I67:M67))-SUMPRODUCT(($I67:M67)*($I$6:M$6&lt;=(M$6-$E14)))</f>
        <v>-20088244.256093055</v>
      </c>
      <c r="N72" s="28" cm="1">
        <f t="array" ref="N72">SUMPRODUCT(($I67:N67))-SUMPRODUCT(($I67:N67)*($I$6:N$6&lt;=(N$6-$E14)))</f>
        <v>-20088244.256093055</v>
      </c>
      <c r="O72" s="28" cm="1">
        <f t="array" ref="O72">SUMPRODUCT(($I67:O67))-SUMPRODUCT(($I67:O67)*($I$6:O$6&lt;=(O$6-$E14)))</f>
        <v>-20088244.256093055</v>
      </c>
      <c r="P72" s="28" cm="1">
        <f t="array" ref="P72">SUMPRODUCT(($I67:P67))-SUMPRODUCT(($I67:P67)*($I$6:P$6&lt;=(P$6-$E14)))</f>
        <v>-20088244.256093055</v>
      </c>
      <c r="Q72" s="28" cm="1">
        <f t="array" ref="Q72">SUMPRODUCT(($I67:Q67))-SUMPRODUCT(($I67:Q67)*($I$6:Q$6&lt;=(Q$6-$E14)))</f>
        <v>-20088244.256093055</v>
      </c>
      <c r="R72" s="28" cm="1">
        <f t="array" ref="R72">SUMPRODUCT(($I67:R67))-SUMPRODUCT(($I67:R67)*($I$6:R$6&lt;=(R$6-$E14)))</f>
        <v>-20088244.256093055</v>
      </c>
      <c r="S72" s="28" cm="1">
        <f t="array" ref="S72">SUMPRODUCT(($I67:S67))-SUMPRODUCT(($I67:S67)*($I$6:S$6&lt;=(S$6-$E14)))</f>
        <v>-20088244.256093055</v>
      </c>
      <c r="T72" s="28" cm="1">
        <f t="array" ref="T72">SUMPRODUCT(($I67:T67))-SUMPRODUCT(($I67:T67)*($I$6:T$6&lt;=(T$6-$E14)))</f>
        <v>-20088244.256093055</v>
      </c>
      <c r="U72" s="28" cm="1">
        <f t="array" ref="U72">SUMPRODUCT(($I67:U67))-SUMPRODUCT(($I67:U67)*($I$6:U$6&lt;=(U$6-$E14)))</f>
        <v>-20088244.256093055</v>
      </c>
      <c r="V72" s="28" cm="1">
        <f t="array" ref="V72">SUMPRODUCT(($I67:V67))-SUMPRODUCT(($I67:V67)*($I$6:V$6&lt;=(V$6-$E14)))</f>
        <v>-20088244.256093055</v>
      </c>
      <c r="W72" s="28" cm="1">
        <f t="array" ref="W72">SUMPRODUCT(($I67:W67))-SUMPRODUCT(($I67:W67)*($I$6:W$6&lt;=(W$6-$E14)))</f>
        <v>-20088244.256093055</v>
      </c>
      <c r="X72" s="28" cm="1">
        <f t="array" ref="X72">SUMPRODUCT(($I67:X67))-SUMPRODUCT(($I67:X67)*($I$6:X$6&lt;=(X$6-$E14)))</f>
        <v>-20088244.256093055</v>
      </c>
      <c r="Y72" s="28" cm="1">
        <f t="array" ref="Y72">SUMPRODUCT(($I67:Y67))-SUMPRODUCT(($I67:Y67)*($I$6:Y$6&lt;=(Y$6-$E14)))</f>
        <v>-20088244.256093055</v>
      </c>
      <c r="Z72" s="28" cm="1">
        <f t="array" ref="Z72">SUMPRODUCT(($I67:Z67))-SUMPRODUCT(($I67:Z67)*($I$6:Z$6&lt;=(Z$6-$E14)))</f>
        <v>-20088244.256093055</v>
      </c>
      <c r="AA72" s="28" cm="1">
        <f t="array" ref="AA72">SUMPRODUCT(($I67:AA67))-SUMPRODUCT(($I67:AA67)*($I$6:AA$6&lt;=(AA$6-$E14)))</f>
        <v>-20088244.256093055</v>
      </c>
      <c r="AB72" s="28" cm="1">
        <f t="array" ref="AB72">SUMPRODUCT(($I67:AB67))-SUMPRODUCT(($I67:AB67)*($I$6:AB$6&lt;=(AB$6-$E14)))</f>
        <v>-20088244.256093055</v>
      </c>
      <c r="AC72" s="28" cm="1">
        <f t="array" ref="AC72">SUMPRODUCT(($I67:AC67))-SUMPRODUCT(($I67:AC67)*($I$6:AC$6&lt;=(AC$6-$E14)))</f>
        <v>-20088244.256093055</v>
      </c>
      <c r="AD72" s="28" cm="1">
        <f t="array" ref="AD72">SUMPRODUCT(($I67:AD67))-SUMPRODUCT(($I67:AD67)*($I$6:AD$6&lt;=(AD$6-$E14)))</f>
        <v>-20088244.256093055</v>
      </c>
      <c r="AE72" s="28" cm="1">
        <f t="array" ref="AE72">SUMPRODUCT(($I67:AE67))-SUMPRODUCT(($I67:AE67)*($I$6:AE$6&lt;=(AE$6-$E14)))</f>
        <v>-20088244.256093055</v>
      </c>
      <c r="AF72" s="28" cm="1">
        <f t="array" ref="AF72">SUMPRODUCT(($I67:AF67))-SUMPRODUCT(($I67:AF67)*($I$6:AF$6&lt;=(AF$6-$E14)))</f>
        <v>-20088244.256093055</v>
      </c>
      <c r="AG72" s="28" cm="1">
        <f t="array" ref="AG72">SUMPRODUCT(($I67:AG67))-SUMPRODUCT(($I67:AG67)*($I$6:AG$6&lt;=(AG$6-$E14)))</f>
        <v>-20088244.256093055</v>
      </c>
    </row>
    <row r="73" spans="1:33" x14ac:dyDescent="0.2">
      <c r="A73" s="6"/>
      <c r="B73" s="6"/>
      <c r="C73" s="4">
        <f>C15</f>
        <v>0</v>
      </c>
      <c r="D73" s="34"/>
      <c r="F73" s="84"/>
      <c r="G73" s="186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>
        <f>C16</f>
        <v>0</v>
      </c>
      <c r="D74" s="34"/>
      <c r="F74" s="84"/>
      <c r="G74" s="186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4"/>
      <c r="G75" s="190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7" t="s">
        <v>128</v>
      </c>
      <c r="D76" s="34"/>
      <c r="F76" s="84"/>
      <c r="G76" s="189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Three REFCLs</v>
      </c>
      <c r="D77" s="34"/>
      <c r="F77" s="84"/>
      <c r="G77" s="186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-546112.29492947843</v>
      </c>
      <c r="N77" s="28">
        <f t="shared" si="8"/>
        <v>-1092224.5898589569</v>
      </c>
      <c r="O77" s="28">
        <f t="shared" si="8"/>
        <v>-1092224.5898589569</v>
      </c>
      <c r="P77" s="28">
        <f t="shared" si="8"/>
        <v>-1092224.5898589569</v>
      </c>
      <c r="Q77" s="28">
        <f t="shared" si="8"/>
        <v>-1092224.5898589569</v>
      </c>
      <c r="R77" s="28">
        <f t="shared" si="8"/>
        <v>-1092224.5898589569</v>
      </c>
      <c r="S77" s="28">
        <f t="shared" si="8"/>
        <v>-1092224.5898589569</v>
      </c>
      <c r="T77" s="28">
        <f t="shared" si="8"/>
        <v>-1092224.5898589569</v>
      </c>
      <c r="U77" s="28">
        <f t="shared" si="8"/>
        <v>-1092224.5898589569</v>
      </c>
      <c r="V77" s="28">
        <f t="shared" si="8"/>
        <v>-1092224.5898589569</v>
      </c>
      <c r="W77" s="28">
        <f t="shared" si="8"/>
        <v>-1092224.5898589569</v>
      </c>
      <c r="X77" s="28">
        <f t="shared" si="8"/>
        <v>-1092224.5898589569</v>
      </c>
      <c r="Y77" s="28">
        <f t="shared" si="8"/>
        <v>-1092224.5898589569</v>
      </c>
      <c r="Z77" s="28">
        <f t="shared" si="8"/>
        <v>-1092224.5898589569</v>
      </c>
      <c r="AA77" s="28">
        <f t="shared" si="8"/>
        <v>-1092224.5898589569</v>
      </c>
      <c r="AB77" s="28">
        <f t="shared" si="8"/>
        <v>-1092224.5898589569</v>
      </c>
      <c r="AC77" s="28">
        <f t="shared" si="8"/>
        <v>-1092224.5898589569</v>
      </c>
      <c r="AD77" s="28">
        <f t="shared" si="8"/>
        <v>-1092224.5898589569</v>
      </c>
      <c r="AE77" s="28">
        <f t="shared" si="8"/>
        <v>-1092224.5898589569</v>
      </c>
      <c r="AF77" s="28">
        <f t="shared" si="8"/>
        <v>-1092224.5898589569</v>
      </c>
      <c r="AG77" s="28">
        <f t="shared" si="8"/>
        <v>-1092224.5898589569</v>
      </c>
    </row>
    <row r="78" spans="1:33" x14ac:dyDescent="0.2">
      <c r="A78" s="6"/>
      <c r="B78" s="6"/>
      <c r="C78" s="4" t="str">
        <f>$C$76&amp;" - "&amp;C15</f>
        <v xml:space="preserve">Annualised capex - </v>
      </c>
      <c r="D78" s="34"/>
      <c r="F78" s="84"/>
      <c r="G78" s="186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2">
      <c r="A79" s="6"/>
      <c r="B79" s="6"/>
      <c r="C79" s="4" t="str">
        <f>$C$76&amp;" - "&amp;C16</f>
        <v xml:space="preserve">Annualised capex - </v>
      </c>
      <c r="D79" s="34"/>
      <c r="F79" s="84"/>
      <c r="G79" s="186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2">
      <c r="A80" s="6"/>
      <c r="B80" s="6"/>
      <c r="C80" s="151" t="s">
        <v>129</v>
      </c>
      <c r="D80" s="151"/>
      <c r="E80" s="152"/>
      <c r="F80" s="153"/>
      <c r="G80" s="191">
        <f>input_dollars</f>
        <v>45291</v>
      </c>
      <c r="H80" s="154"/>
      <c r="I80" s="154">
        <f>SUM(I77:I79)</f>
        <v>0</v>
      </c>
      <c r="J80" s="154">
        <f t="shared" ref="J80:AB80" si="11">SUM(J77:J79)</f>
        <v>0</v>
      </c>
      <c r="K80" s="154">
        <f t="shared" si="11"/>
        <v>0</v>
      </c>
      <c r="L80" s="154">
        <f t="shared" si="11"/>
        <v>0</v>
      </c>
      <c r="M80" s="154">
        <f t="shared" si="11"/>
        <v>-546112.29492947843</v>
      </c>
      <c r="N80" s="154">
        <f t="shared" si="11"/>
        <v>-1092224.5898589569</v>
      </c>
      <c r="O80" s="154">
        <f t="shared" si="11"/>
        <v>-1092224.5898589569</v>
      </c>
      <c r="P80" s="154">
        <f t="shared" si="11"/>
        <v>-1092224.5898589569</v>
      </c>
      <c r="Q80" s="154">
        <f t="shared" si="11"/>
        <v>-1092224.5898589569</v>
      </c>
      <c r="R80" s="154">
        <f t="shared" si="11"/>
        <v>-1092224.5898589569</v>
      </c>
      <c r="S80" s="154">
        <f t="shared" si="11"/>
        <v>-1092224.5898589569</v>
      </c>
      <c r="T80" s="154">
        <f t="shared" si="11"/>
        <v>-1092224.5898589569</v>
      </c>
      <c r="U80" s="154">
        <f t="shared" si="11"/>
        <v>-1092224.5898589569</v>
      </c>
      <c r="V80" s="154">
        <f t="shared" si="11"/>
        <v>-1092224.5898589569</v>
      </c>
      <c r="W80" s="154">
        <f t="shared" si="11"/>
        <v>-1092224.5898589569</v>
      </c>
      <c r="X80" s="154">
        <f t="shared" si="11"/>
        <v>-1092224.5898589569</v>
      </c>
      <c r="Y80" s="154">
        <f t="shared" si="11"/>
        <v>-1092224.5898589569</v>
      </c>
      <c r="Z80" s="154">
        <f t="shared" si="11"/>
        <v>-1092224.5898589569</v>
      </c>
      <c r="AA80" s="154">
        <f t="shared" si="11"/>
        <v>-1092224.5898589569</v>
      </c>
      <c r="AB80" s="154">
        <f t="shared" si="11"/>
        <v>-1092224.5898589569</v>
      </c>
      <c r="AC80" s="154">
        <f>SUM(AC77:AC79)</f>
        <v>-1092224.5898589569</v>
      </c>
      <c r="AD80" s="154">
        <f>SUM(AD77:AD79)</f>
        <v>-1092224.5898589569</v>
      </c>
      <c r="AE80" s="154">
        <f>SUM(AE77:AE79)</f>
        <v>-1092224.5898589569</v>
      </c>
      <c r="AF80" s="154">
        <f>SUM(AF77:AF79)</f>
        <v>-1092224.5898589569</v>
      </c>
      <c r="AG80" s="154">
        <f>SUM(AG77:AG79)</f>
        <v>-1092224.5898589569</v>
      </c>
    </row>
    <row r="81" spans="1:33" x14ac:dyDescent="0.2">
      <c r="A81" s="6"/>
      <c r="B81" s="6"/>
      <c r="C81" s="12"/>
      <c r="D81" s="34"/>
      <c r="F81"/>
      <c r="G81" s="192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128</v>
      </c>
      <c r="D82" s="34"/>
      <c r="F82" s="84"/>
      <c r="G82" s="186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-546112.29492947843</v>
      </c>
      <c r="N82" s="28">
        <f t="shared" si="13"/>
        <v>-1092224.5898589569</v>
      </c>
      <c r="O82" s="28">
        <f t="shared" si="13"/>
        <v>-1092224.5898589569</v>
      </c>
      <c r="P82" s="28">
        <f t="shared" si="13"/>
        <v>-1092224.5898589569</v>
      </c>
      <c r="Q82" s="28">
        <f t="shared" si="13"/>
        <v>-1092224.5898589569</v>
      </c>
      <c r="R82" s="28">
        <f t="shared" si="13"/>
        <v>-1092224.5898589569</v>
      </c>
      <c r="S82" s="28">
        <f t="shared" si="13"/>
        <v>-1092224.5898589569</v>
      </c>
      <c r="T82" s="28">
        <f t="shared" si="13"/>
        <v>-1092224.5898589569</v>
      </c>
      <c r="U82" s="28">
        <f t="shared" si="13"/>
        <v>-1092224.5898589569</v>
      </c>
      <c r="V82" s="28">
        <f t="shared" si="13"/>
        <v>-1092224.5898589569</v>
      </c>
      <c r="W82" s="28">
        <f t="shared" si="13"/>
        <v>-1092224.5898589569</v>
      </c>
      <c r="X82" s="28">
        <f t="shared" si="13"/>
        <v>-1092224.5898589569</v>
      </c>
      <c r="Y82" s="28">
        <f t="shared" si="13"/>
        <v>-1092224.5898589569</v>
      </c>
      <c r="Z82" s="28">
        <f t="shared" si="13"/>
        <v>-1092224.5898589569</v>
      </c>
      <c r="AA82" s="28">
        <f t="shared" si="13"/>
        <v>-1092224.5898589569</v>
      </c>
      <c r="AB82" s="28">
        <f t="shared" si="13"/>
        <v>-1092224.5898589569</v>
      </c>
      <c r="AC82" s="28">
        <f>AC80</f>
        <v>-1092224.5898589569</v>
      </c>
      <c r="AD82" s="28">
        <f>AD80</f>
        <v>-1092224.5898589569</v>
      </c>
      <c r="AE82" s="28">
        <f>AE80</f>
        <v>-1092224.5898589569</v>
      </c>
      <c r="AF82" s="28">
        <f>AF80</f>
        <v>-1092224.5898589569</v>
      </c>
      <c r="AG82" s="28">
        <f>AG80</f>
        <v>-1092224.5898589569</v>
      </c>
    </row>
    <row r="83" spans="1:33" x14ac:dyDescent="0.2">
      <c r="A83" s="6"/>
      <c r="B83" s="6"/>
      <c r="C83" s="4" t="s">
        <v>18</v>
      </c>
      <c r="D83" s="34"/>
      <c r="F83" s="84"/>
      <c r="G83" s="186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2">
      <c r="A84" s="6"/>
      <c r="B84" s="6"/>
      <c r="C84" s="4" t="s">
        <v>130</v>
      </c>
      <c r="D84" s="34"/>
      <c r="F84" s="84"/>
      <c r="G84" s="186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1414375.2016456053</v>
      </c>
      <c r="O84" s="28">
        <f t="shared" si="15"/>
        <v>1414375.2016456053</v>
      </c>
      <c r="P84" s="28">
        <f t="shared" si="15"/>
        <v>1414375.2016456053</v>
      </c>
      <c r="Q84" s="28">
        <f t="shared" si="15"/>
        <v>1414375.2016456053</v>
      </c>
      <c r="R84" s="28">
        <f t="shared" si="15"/>
        <v>1414375.2016456053</v>
      </c>
      <c r="S84" s="28">
        <f t="shared" si="15"/>
        <v>1414375.2016456053</v>
      </c>
      <c r="T84" s="28">
        <f t="shared" si="15"/>
        <v>1414375.2016456053</v>
      </c>
      <c r="U84" s="28">
        <f t="shared" si="15"/>
        <v>1414375.2016456053</v>
      </c>
      <c r="V84" s="28">
        <f t="shared" si="15"/>
        <v>1414375.2016456053</v>
      </c>
      <c r="W84" s="28">
        <f t="shared" si="15"/>
        <v>1414375.2016456053</v>
      </c>
      <c r="X84" s="28">
        <f t="shared" si="15"/>
        <v>1414375.2016456053</v>
      </c>
      <c r="Y84" s="28">
        <f t="shared" si="15"/>
        <v>1414375.2016456053</v>
      </c>
      <c r="Z84" s="28">
        <f t="shared" si="15"/>
        <v>1414375.2016456053</v>
      </c>
      <c r="AA84" s="28">
        <f t="shared" si="15"/>
        <v>1414375.2016456053</v>
      </c>
      <c r="AB84" s="28">
        <f t="shared" si="15"/>
        <v>1414375.2016456053</v>
      </c>
      <c r="AC84" s="28">
        <f>AC64</f>
        <v>1414375.2016456053</v>
      </c>
      <c r="AD84" s="28">
        <f>AD64</f>
        <v>1414375.2016456053</v>
      </c>
      <c r="AE84" s="28">
        <f>AE64</f>
        <v>1414375.2016456053</v>
      </c>
      <c r="AF84" s="28">
        <f>AF64</f>
        <v>1414375.2016456053</v>
      </c>
      <c r="AG84" s="28">
        <f>AG64</f>
        <v>1414375.2016456053</v>
      </c>
    </row>
    <row r="85" spans="1:33" x14ac:dyDescent="0.2">
      <c r="A85" s="6"/>
      <c r="B85" s="6"/>
      <c r="C85" s="4" t="s">
        <v>131</v>
      </c>
      <c r="D85" s="34"/>
      <c r="F85" s="84"/>
      <c r="G85" s="186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2">
      <c r="A86" s="6"/>
      <c r="B86" s="6"/>
      <c r="C86" s="4"/>
      <c r="D86" s="34"/>
      <c r="F86" s="28"/>
      <c r="G86" s="186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5" t="s">
        <v>132</v>
      </c>
      <c r="D87" s="156"/>
      <c r="E87" s="152"/>
      <c r="F87" s="157"/>
      <c r="G87" s="191">
        <f t="shared" si="12"/>
        <v>45291</v>
      </c>
      <c r="H87" s="157"/>
      <c r="I87" s="157">
        <f t="shared" ref="I87:AB87" si="17">SUM(I82:I86)</f>
        <v>0</v>
      </c>
      <c r="J87" s="157">
        <f t="shared" si="17"/>
        <v>0</v>
      </c>
      <c r="K87" s="157">
        <f t="shared" si="17"/>
        <v>0</v>
      </c>
      <c r="L87" s="157">
        <f t="shared" si="17"/>
        <v>0</v>
      </c>
      <c r="M87" s="157">
        <f t="shared" si="17"/>
        <v>-546112.29492947843</v>
      </c>
      <c r="N87" s="157">
        <f t="shared" si="17"/>
        <v>322150.6117866484</v>
      </c>
      <c r="O87" s="157">
        <f t="shared" si="17"/>
        <v>322150.6117866484</v>
      </c>
      <c r="P87" s="157">
        <f t="shared" si="17"/>
        <v>322150.6117866484</v>
      </c>
      <c r="Q87" s="157">
        <f t="shared" si="17"/>
        <v>322150.6117866484</v>
      </c>
      <c r="R87" s="157">
        <f t="shared" si="17"/>
        <v>322150.6117866484</v>
      </c>
      <c r="S87" s="157">
        <f t="shared" si="17"/>
        <v>322150.6117866484</v>
      </c>
      <c r="T87" s="157">
        <f t="shared" si="17"/>
        <v>322150.6117866484</v>
      </c>
      <c r="U87" s="157">
        <f t="shared" si="17"/>
        <v>322150.6117866484</v>
      </c>
      <c r="V87" s="157">
        <f t="shared" si="17"/>
        <v>322150.6117866484</v>
      </c>
      <c r="W87" s="157">
        <f t="shared" si="17"/>
        <v>322150.6117866484</v>
      </c>
      <c r="X87" s="157">
        <f t="shared" si="17"/>
        <v>322150.6117866484</v>
      </c>
      <c r="Y87" s="157">
        <f t="shared" si="17"/>
        <v>322150.6117866484</v>
      </c>
      <c r="Z87" s="157">
        <f t="shared" si="17"/>
        <v>322150.6117866484</v>
      </c>
      <c r="AA87" s="157">
        <f t="shared" si="17"/>
        <v>322150.6117866484</v>
      </c>
      <c r="AB87" s="157">
        <f t="shared" si="17"/>
        <v>322150.6117866484</v>
      </c>
      <c r="AC87" s="157">
        <f>SUM(AC82:AC86)</f>
        <v>322150.6117866484</v>
      </c>
      <c r="AD87" s="157">
        <f>SUM(AD82:AD86)</f>
        <v>322150.6117866484</v>
      </c>
      <c r="AE87" s="157">
        <f>SUM(AE82:AE86)</f>
        <v>322150.6117866484</v>
      </c>
      <c r="AF87" s="157">
        <f>SUM(AF82:AF86)</f>
        <v>322150.6117866484</v>
      </c>
      <c r="AG87" s="157">
        <f>SUM(AG82:AG86)</f>
        <v>322150.6117866484</v>
      </c>
    </row>
    <row r="88" spans="1:33" x14ac:dyDescent="0.2">
      <c r="A88" s="6"/>
      <c r="B88" s="6"/>
      <c r="C88" s="12"/>
      <c r="D88" s="34"/>
      <c r="F88" s="121"/>
      <c r="G88" s="186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</row>
    <row r="89" spans="1:33" x14ac:dyDescent="0.2">
      <c r="A89" s="6"/>
      <c r="B89" s="6"/>
      <c r="C89" s="12"/>
      <c r="D89" s="34"/>
      <c r="F89" s="121"/>
      <c r="G89" s="186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</row>
    <row r="90" spans="1:33" x14ac:dyDescent="0.2">
      <c r="A90" s="6"/>
      <c r="B90" s="6"/>
      <c r="C90" s="205" t="s">
        <v>134</v>
      </c>
      <c r="D90" s="72"/>
      <c r="E90" s="206"/>
      <c r="F90" s="207"/>
      <c r="G90" s="208" cm="1">
        <f t="array" ref="G90">IF(SUM($I17:$AG17)=0,0,(INDEX(I$6:AG$6,MATCH(TRUE,INDEX($I17:$AG17&lt;&gt;0,),0))))</f>
        <v>4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C91" s="72"/>
      <c r="D91" s="209"/>
      <c r="E91" s="206"/>
      <c r="F91" s="206"/>
      <c r="G91" s="208"/>
    </row>
    <row r="92" spans="1:33" x14ac:dyDescent="0.2">
      <c r="C92" s="210" t="s">
        <v>135</v>
      </c>
      <c r="D92" s="211"/>
      <c r="E92" s="211"/>
      <c r="F92" s="211"/>
      <c r="G92" s="212">
        <f>IF(_xlfn.MINIFS($G$90:$G$91, $G$90:$G$91, "&gt;"&amp;0)=0, $A$4, _xlfn.MINIFS($G$90:$G$91, $G$90:$G$91, "&gt;"&amp;0))</f>
        <v>4</v>
      </c>
    </row>
    <row r="94" spans="1:33" x14ac:dyDescent="0.2">
      <c r="G94" s="10"/>
    </row>
    <row r="102" spans="1:43" ht="15" x14ac:dyDescent="0.2">
      <c r="A102" s="78" t="s">
        <v>21</v>
      </c>
      <c r="B102" s="78"/>
      <c r="C102" s="78"/>
      <c r="D102" s="78"/>
      <c r="E102" s="78"/>
      <c r="F102" s="78"/>
      <c r="G102" s="180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</row>
    <row r="105" spans="1:43" x14ac:dyDescent="0.2"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</row>
    <row r="106" spans="1:43" x14ac:dyDescent="0.2">
      <c r="A106" s="1" t="s">
        <v>7</v>
      </c>
      <c r="C106" s="1" t="s">
        <v>132</v>
      </c>
      <c r="D106"/>
      <c r="E106"/>
      <c r="F106"/>
      <c r="G106" s="34" t="str">
        <f>PROPER($A$3)&amp;A106</f>
        <v>Option 4NPV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-546112.29492947843</v>
      </c>
      <c r="N106" s="28">
        <f t="shared" si="18"/>
        <v>322150.6117866484</v>
      </c>
      <c r="O106" s="28">
        <f t="shared" si="18"/>
        <v>322150.6117866484</v>
      </c>
      <c r="P106" s="28">
        <f t="shared" si="18"/>
        <v>322150.6117866484</v>
      </c>
      <c r="Q106" s="28">
        <f t="shared" si="18"/>
        <v>322150.6117866484</v>
      </c>
      <c r="R106" s="28">
        <f t="shared" si="18"/>
        <v>322150.6117866484</v>
      </c>
      <c r="S106" s="28">
        <f t="shared" si="18"/>
        <v>322150.6117866484</v>
      </c>
      <c r="T106" s="28">
        <f t="shared" si="18"/>
        <v>322150.6117866484</v>
      </c>
      <c r="U106" s="28">
        <f t="shared" si="18"/>
        <v>322150.6117866484</v>
      </c>
      <c r="V106" s="28">
        <f t="shared" si="18"/>
        <v>322150.6117866484</v>
      </c>
      <c r="W106" s="28">
        <f t="shared" si="18"/>
        <v>322150.6117866484</v>
      </c>
      <c r="X106" s="28">
        <f t="shared" si="18"/>
        <v>322150.6117866484</v>
      </c>
      <c r="Y106" s="28">
        <f t="shared" si="18"/>
        <v>322150.6117866484</v>
      </c>
      <c r="Z106" s="28">
        <f t="shared" si="18"/>
        <v>322150.6117866484</v>
      </c>
      <c r="AA106" s="28">
        <f t="shared" si="18"/>
        <v>322150.6117866484</v>
      </c>
      <c r="AB106" s="28">
        <f t="shared" si="18"/>
        <v>322150.6117866484</v>
      </c>
      <c r="AC106" s="28">
        <f t="shared" si="18"/>
        <v>322150.6117866484</v>
      </c>
      <c r="AD106" s="28">
        <f t="shared" si="18"/>
        <v>322150.6117866484</v>
      </c>
      <c r="AE106" s="28">
        <f t="shared" si="18"/>
        <v>322150.6117866484</v>
      </c>
      <c r="AF106" s="28">
        <f t="shared" si="18"/>
        <v>322150.6117866484</v>
      </c>
      <c r="AG106" s="28">
        <f t="shared" si="18"/>
        <v>322150.6117866484</v>
      </c>
    </row>
    <row r="107" spans="1:43" x14ac:dyDescent="0.2">
      <c r="C107" s="1" t="s">
        <v>129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-546112.29492947843</v>
      </c>
      <c r="N107" s="28">
        <f t="shared" si="19"/>
        <v>-1092224.5898589569</v>
      </c>
      <c r="O107" s="28">
        <f t="shared" si="19"/>
        <v>-1092224.5898589569</v>
      </c>
      <c r="P107" s="28">
        <f t="shared" si="19"/>
        <v>-1092224.5898589569</v>
      </c>
      <c r="Q107" s="28">
        <f t="shared" si="19"/>
        <v>-1092224.5898589569</v>
      </c>
      <c r="R107" s="28">
        <f t="shared" si="19"/>
        <v>-1092224.5898589569</v>
      </c>
      <c r="S107" s="28">
        <f t="shared" si="19"/>
        <v>-1092224.5898589569</v>
      </c>
      <c r="T107" s="28">
        <f t="shared" si="19"/>
        <v>-1092224.5898589569</v>
      </c>
      <c r="U107" s="28">
        <f t="shared" si="19"/>
        <v>-1092224.5898589569</v>
      </c>
      <c r="V107" s="28">
        <f t="shared" si="19"/>
        <v>-1092224.5898589569</v>
      </c>
      <c r="W107" s="28">
        <f t="shared" si="19"/>
        <v>-1092224.5898589569</v>
      </c>
      <c r="X107" s="28">
        <f t="shared" si="19"/>
        <v>-1092224.5898589569</v>
      </c>
      <c r="Y107" s="28">
        <f t="shared" si="19"/>
        <v>-1092224.5898589569</v>
      </c>
      <c r="Z107" s="28">
        <f t="shared" si="19"/>
        <v>-1092224.5898589569</v>
      </c>
      <c r="AA107" s="28">
        <f t="shared" si="19"/>
        <v>-1092224.5898589569</v>
      </c>
      <c r="AB107" s="28">
        <f t="shared" si="19"/>
        <v>-1092224.5898589569</v>
      </c>
      <c r="AC107" s="28">
        <f t="shared" si="19"/>
        <v>-1092224.5898589569</v>
      </c>
      <c r="AD107" s="28">
        <f t="shared" si="19"/>
        <v>-1092224.5898589569</v>
      </c>
      <c r="AE107" s="28">
        <f t="shared" si="19"/>
        <v>-1092224.5898589569</v>
      </c>
      <c r="AF107" s="28">
        <f t="shared" si="19"/>
        <v>-1092224.5898589569</v>
      </c>
      <c r="AG107" s="28">
        <f t="shared" si="19"/>
        <v>-1092224.5898589569</v>
      </c>
    </row>
    <row r="108" spans="1:43" x14ac:dyDescent="0.2">
      <c r="C108" s="1" t="s">
        <v>86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1414375.2016456053</v>
      </c>
      <c r="O108" s="28">
        <f t="shared" si="20"/>
        <v>1414375.2016456053</v>
      </c>
      <c r="P108" s="28">
        <f t="shared" si="20"/>
        <v>1414375.2016456053</v>
      </c>
      <c r="Q108" s="28">
        <f t="shared" si="20"/>
        <v>1414375.2016456053</v>
      </c>
      <c r="R108" s="28">
        <f t="shared" si="20"/>
        <v>1414375.2016456053</v>
      </c>
      <c r="S108" s="28">
        <f t="shared" si="20"/>
        <v>1414375.2016456053</v>
      </c>
      <c r="T108" s="28">
        <f t="shared" si="20"/>
        <v>1414375.2016456053</v>
      </c>
      <c r="U108" s="28">
        <f t="shared" si="20"/>
        <v>1414375.2016456053</v>
      </c>
      <c r="V108" s="28">
        <f t="shared" si="20"/>
        <v>1414375.2016456053</v>
      </c>
      <c r="W108" s="28">
        <f t="shared" si="20"/>
        <v>1414375.2016456053</v>
      </c>
      <c r="X108" s="28">
        <f t="shared" si="20"/>
        <v>1414375.2016456053</v>
      </c>
      <c r="Y108" s="28">
        <f t="shared" si="20"/>
        <v>1414375.2016456053</v>
      </c>
      <c r="Z108" s="28">
        <f t="shared" si="20"/>
        <v>1414375.2016456053</v>
      </c>
      <c r="AA108" s="28">
        <f t="shared" si="20"/>
        <v>1414375.2016456053</v>
      </c>
      <c r="AB108" s="28">
        <f t="shared" si="20"/>
        <v>1414375.2016456053</v>
      </c>
      <c r="AC108" s="28">
        <f t="shared" si="20"/>
        <v>1414375.2016456053</v>
      </c>
      <c r="AD108" s="28">
        <f t="shared" si="20"/>
        <v>1414375.2016456053</v>
      </c>
      <c r="AE108" s="28">
        <f t="shared" si="20"/>
        <v>1414375.2016456053</v>
      </c>
      <c r="AF108" s="28">
        <f t="shared" si="20"/>
        <v>1414375.2016456053</v>
      </c>
      <c r="AG108" s="28">
        <f t="shared" si="20"/>
        <v>1414375.2016456053</v>
      </c>
    </row>
    <row r="109" spans="1:43" x14ac:dyDescent="0.2">
      <c r="D109" s="256" t="str">
        <f>Assumptions!G99</f>
        <v>Capex</v>
      </c>
      <c r="E109" s="256" t="str">
        <f>Assumptions!H99</f>
        <v>Total benefits</v>
      </c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</row>
    <row r="110" spans="1:43" x14ac:dyDescent="0.2">
      <c r="A110" s="1" t="str">
        <f>"sens"&amp;Assumptions!B100</f>
        <v>sens1</v>
      </c>
      <c r="C110" s="255" t="str">
        <f>Assumptions!C100</f>
        <v>Capex 10% higher</v>
      </c>
      <c r="D110" s="256">
        <f>Assumptions!G100</f>
        <v>0.1</v>
      </c>
      <c r="E110" s="256">
        <f>Assumptions!H100</f>
        <v>0</v>
      </c>
      <c r="G110" s="34" t="str">
        <f>PROPER($A$3)&amp;A110</f>
        <v>Option 4sens1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-600723.52442242624</v>
      </c>
      <c r="N110" s="28" cm="1">
        <f t="array" ref="N110">N$106+IF($C110&lt;&gt;0,SUMPRODUCT((N$107:N$108)*TRANSPOSE(($D110:$E110))),0)</f>
        <v>212928.15280075272</v>
      </c>
      <c r="O110" s="28" cm="1">
        <f t="array" ref="O110">O$106+IF($C110&lt;&gt;0,SUMPRODUCT((O$107:O$108)*TRANSPOSE(($D110:$E110))),0)</f>
        <v>212928.15280075272</v>
      </c>
      <c r="P110" s="28" cm="1">
        <f t="array" ref="P110">P$106+IF($C110&lt;&gt;0,SUMPRODUCT((P$107:P$108)*TRANSPOSE(($D110:$E110))),0)</f>
        <v>212928.15280075272</v>
      </c>
      <c r="Q110" s="28" cm="1">
        <f t="array" ref="Q110">Q$106+IF($C110&lt;&gt;0,SUMPRODUCT((Q$107:Q$108)*TRANSPOSE(($D110:$E110))),0)</f>
        <v>212928.15280075272</v>
      </c>
      <c r="R110" s="28" cm="1">
        <f t="array" ref="R110">R$106+IF($C110&lt;&gt;0,SUMPRODUCT((R$107:R$108)*TRANSPOSE(($D110:$E110))),0)</f>
        <v>212928.15280075272</v>
      </c>
      <c r="S110" s="28" cm="1">
        <f t="array" ref="S110">S$106+IF($C110&lt;&gt;0,SUMPRODUCT((S$107:S$108)*TRANSPOSE(($D110:$E110))),0)</f>
        <v>212928.15280075272</v>
      </c>
      <c r="T110" s="28" cm="1">
        <f t="array" ref="T110">T$106+IF($C110&lt;&gt;0,SUMPRODUCT((T$107:T$108)*TRANSPOSE(($D110:$E110))),0)</f>
        <v>212928.15280075272</v>
      </c>
      <c r="U110" s="28" cm="1">
        <f t="array" ref="U110">U$106+IF($C110&lt;&gt;0,SUMPRODUCT((U$107:U$108)*TRANSPOSE(($D110:$E110))),0)</f>
        <v>212928.15280075272</v>
      </c>
      <c r="V110" s="28" cm="1">
        <f t="array" ref="V110">V$106+IF($C110&lt;&gt;0,SUMPRODUCT((V$107:V$108)*TRANSPOSE(($D110:$E110))),0)</f>
        <v>212928.15280075272</v>
      </c>
      <c r="W110" s="28" cm="1">
        <f t="array" ref="W110">W$106+IF($C110&lt;&gt;0,SUMPRODUCT((W$107:W$108)*TRANSPOSE(($D110:$E110))),0)</f>
        <v>212928.15280075272</v>
      </c>
      <c r="X110" s="28" cm="1">
        <f t="array" ref="X110">X$106+IF($C110&lt;&gt;0,SUMPRODUCT((X$107:X$108)*TRANSPOSE(($D110:$E110))),0)</f>
        <v>212928.15280075272</v>
      </c>
      <c r="Y110" s="28" cm="1">
        <f t="array" ref="Y110">Y$106+IF($C110&lt;&gt;0,SUMPRODUCT((Y$107:Y$108)*TRANSPOSE(($D110:$E110))),0)</f>
        <v>212928.15280075272</v>
      </c>
      <c r="Z110" s="28" cm="1">
        <f t="array" ref="Z110">Z$106+IF($C110&lt;&gt;0,SUMPRODUCT((Z$107:Z$108)*TRANSPOSE(($D110:$E110))),0)</f>
        <v>212928.15280075272</v>
      </c>
      <c r="AA110" s="28" cm="1">
        <f t="array" ref="AA110">AA$106+IF($C110&lt;&gt;0,SUMPRODUCT((AA$107:AA$108)*TRANSPOSE(($D110:$E110))),0)</f>
        <v>212928.15280075272</v>
      </c>
      <c r="AB110" s="28" cm="1">
        <f t="array" ref="AB110">AB$106+IF($C110&lt;&gt;0,SUMPRODUCT((AB$107:AB$108)*TRANSPOSE(($D110:$E110))),0)</f>
        <v>212928.15280075272</v>
      </c>
      <c r="AC110" s="28" cm="1">
        <f t="array" ref="AC110">AC$106+IF($C110&lt;&gt;0,SUMPRODUCT((AC$107:AC$108)*TRANSPOSE(($D110:$E110))),0)</f>
        <v>212928.15280075272</v>
      </c>
      <c r="AD110" s="28" cm="1">
        <f t="array" ref="AD110">AD$106+IF($C110&lt;&gt;0,SUMPRODUCT((AD$107:AD$108)*TRANSPOSE(($D110:$E110))),0)</f>
        <v>212928.15280075272</v>
      </c>
      <c r="AE110" s="28" cm="1">
        <f t="array" ref="AE110">AE$106+IF($C110&lt;&gt;0,SUMPRODUCT((AE$107:AE$108)*TRANSPOSE(($D110:$E110))),0)</f>
        <v>212928.15280075272</v>
      </c>
      <c r="AF110" s="28" cm="1">
        <f t="array" ref="AF110">AF$106+IF($C110&lt;&gt;0,SUMPRODUCT((AF$107:AF$108)*TRANSPOSE(($D110:$E110))),0)</f>
        <v>212928.15280075272</v>
      </c>
      <c r="AG110" s="28" cm="1">
        <f t="array" ref="AG110">AG$106+IF($C110&lt;&gt;0,SUMPRODUCT((AG$107:AG$108)*TRANSPOSE(($D110:$E110))),0)</f>
        <v>212928.15280075272</v>
      </c>
    </row>
    <row r="111" spans="1:43" x14ac:dyDescent="0.2">
      <c r="A111" s="1" t="str">
        <f>"sens"&amp;Assumptions!B101</f>
        <v>sens2</v>
      </c>
      <c r="C111" s="255" t="str">
        <f>Assumptions!C101</f>
        <v>Capex 10% lower</v>
      </c>
      <c r="D111" s="256">
        <f>Assumptions!G101</f>
        <v>-0.1</v>
      </c>
      <c r="E111" s="256">
        <f>Assumptions!H101</f>
        <v>0</v>
      </c>
      <c r="G111" s="34" t="str">
        <f t="shared" ref="G111:G117" si="21">PROPER($A$3)&amp;A111</f>
        <v>Option 4sens2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-491501.06543653057</v>
      </c>
      <c r="N111" s="28" cm="1">
        <f t="array" ref="N111">N$106+IF($C111&lt;&gt;0,SUMPRODUCT((N$107:N$108)*TRANSPOSE(($D111:$E111))),0)</f>
        <v>431373.07077254407</v>
      </c>
      <c r="O111" s="28" cm="1">
        <f t="array" ref="O111">O$106+IF($C111&lt;&gt;0,SUMPRODUCT((O$107:O$108)*TRANSPOSE(($D111:$E111))),0)</f>
        <v>431373.07077254407</v>
      </c>
      <c r="P111" s="28" cm="1">
        <f t="array" ref="P111">P$106+IF($C111&lt;&gt;0,SUMPRODUCT((P$107:P$108)*TRANSPOSE(($D111:$E111))),0)</f>
        <v>431373.07077254407</v>
      </c>
      <c r="Q111" s="28" cm="1">
        <f t="array" ref="Q111">Q$106+IF($C111&lt;&gt;0,SUMPRODUCT((Q$107:Q$108)*TRANSPOSE(($D111:$E111))),0)</f>
        <v>431373.07077254407</v>
      </c>
      <c r="R111" s="28" cm="1">
        <f t="array" ref="R111">R$106+IF($C111&lt;&gt;0,SUMPRODUCT((R$107:R$108)*TRANSPOSE(($D111:$E111))),0)</f>
        <v>431373.07077254407</v>
      </c>
      <c r="S111" s="28" cm="1">
        <f t="array" ref="S111">S$106+IF($C111&lt;&gt;0,SUMPRODUCT((S$107:S$108)*TRANSPOSE(($D111:$E111))),0)</f>
        <v>431373.07077254407</v>
      </c>
      <c r="T111" s="28" cm="1">
        <f t="array" ref="T111">T$106+IF($C111&lt;&gt;0,SUMPRODUCT((T$107:T$108)*TRANSPOSE(($D111:$E111))),0)</f>
        <v>431373.07077254407</v>
      </c>
      <c r="U111" s="28" cm="1">
        <f t="array" ref="U111">U$106+IF($C111&lt;&gt;0,SUMPRODUCT((U$107:U$108)*TRANSPOSE(($D111:$E111))),0)</f>
        <v>431373.07077254407</v>
      </c>
      <c r="V111" s="28" cm="1">
        <f t="array" ref="V111">V$106+IF($C111&lt;&gt;0,SUMPRODUCT((V$107:V$108)*TRANSPOSE(($D111:$E111))),0)</f>
        <v>431373.07077254407</v>
      </c>
      <c r="W111" s="28" cm="1">
        <f t="array" ref="W111">W$106+IF($C111&lt;&gt;0,SUMPRODUCT((W$107:W$108)*TRANSPOSE(($D111:$E111))),0)</f>
        <v>431373.07077254407</v>
      </c>
      <c r="X111" s="28" cm="1">
        <f t="array" ref="X111">X$106+IF($C111&lt;&gt;0,SUMPRODUCT((X$107:X$108)*TRANSPOSE(($D111:$E111))),0)</f>
        <v>431373.07077254407</v>
      </c>
      <c r="Y111" s="28" cm="1">
        <f t="array" ref="Y111">Y$106+IF($C111&lt;&gt;0,SUMPRODUCT((Y$107:Y$108)*TRANSPOSE(($D111:$E111))),0)</f>
        <v>431373.07077254407</v>
      </c>
      <c r="Z111" s="28" cm="1">
        <f t="array" ref="Z111">Z$106+IF($C111&lt;&gt;0,SUMPRODUCT((Z$107:Z$108)*TRANSPOSE(($D111:$E111))),0)</f>
        <v>431373.07077254407</v>
      </c>
      <c r="AA111" s="28" cm="1">
        <f t="array" ref="AA111">AA$106+IF($C111&lt;&gt;0,SUMPRODUCT((AA$107:AA$108)*TRANSPOSE(($D111:$E111))),0)</f>
        <v>431373.07077254407</v>
      </c>
      <c r="AB111" s="28" cm="1">
        <f t="array" ref="AB111">AB$106+IF($C111&lt;&gt;0,SUMPRODUCT((AB$107:AB$108)*TRANSPOSE(($D111:$E111))),0)</f>
        <v>431373.07077254407</v>
      </c>
      <c r="AC111" s="28" cm="1">
        <f t="array" ref="AC111">AC$106+IF($C111&lt;&gt;0,SUMPRODUCT((AC$107:AC$108)*TRANSPOSE(($D111:$E111))),0)</f>
        <v>431373.07077254407</v>
      </c>
      <c r="AD111" s="28" cm="1">
        <f t="array" ref="AD111">AD$106+IF($C111&lt;&gt;0,SUMPRODUCT((AD$107:AD$108)*TRANSPOSE(($D111:$E111))),0)</f>
        <v>431373.07077254407</v>
      </c>
      <c r="AE111" s="28" cm="1">
        <f t="array" ref="AE111">AE$106+IF($C111&lt;&gt;0,SUMPRODUCT((AE$107:AE$108)*TRANSPOSE(($D111:$E111))),0)</f>
        <v>431373.07077254407</v>
      </c>
      <c r="AF111" s="28" cm="1">
        <f t="array" ref="AF111">AF$106+IF($C111&lt;&gt;0,SUMPRODUCT((AF$107:AF$108)*TRANSPOSE(($D111:$E111))),0)</f>
        <v>431373.07077254407</v>
      </c>
      <c r="AG111" s="28" cm="1">
        <f t="array" ref="AG111">AG$106+IF($C111&lt;&gt;0,SUMPRODUCT((AG$107:AG$108)*TRANSPOSE(($D111:$E111))),0)</f>
        <v>431373.07077254407</v>
      </c>
    </row>
    <row r="112" spans="1:43" x14ac:dyDescent="0.2">
      <c r="A112" s="1" t="str">
        <f>"sens"&amp;Assumptions!B102</f>
        <v>sens3</v>
      </c>
      <c r="C112" s="255" t="str">
        <f>Assumptions!C102</f>
        <v>Total benefits 10% higher</v>
      </c>
      <c r="D112" s="256">
        <f>Assumptions!G102</f>
        <v>0</v>
      </c>
      <c r="E112" s="256">
        <f>Assumptions!H102</f>
        <v>0.1</v>
      </c>
      <c r="G112" s="34" t="str">
        <f t="shared" si="21"/>
        <v>Option 4sens3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-546112.29492947843</v>
      </c>
      <c r="N112" s="28" cm="1">
        <f t="array" ref="N112">N$106+IF($C112&lt;&gt;0,SUMPRODUCT((N$107:N$108)*TRANSPOSE(($D112:$E112))),0)</f>
        <v>463588.13195120892</v>
      </c>
      <c r="O112" s="28" cm="1">
        <f t="array" ref="O112">O$106+IF($C112&lt;&gt;0,SUMPRODUCT((O$107:O$108)*TRANSPOSE(($D112:$E112))),0)</f>
        <v>463588.13195120892</v>
      </c>
      <c r="P112" s="28" cm="1">
        <f t="array" ref="P112">P$106+IF($C112&lt;&gt;0,SUMPRODUCT((P$107:P$108)*TRANSPOSE(($D112:$E112))),0)</f>
        <v>463588.13195120892</v>
      </c>
      <c r="Q112" s="28" cm="1">
        <f t="array" ref="Q112">Q$106+IF($C112&lt;&gt;0,SUMPRODUCT((Q$107:Q$108)*TRANSPOSE(($D112:$E112))),0)</f>
        <v>463588.13195120892</v>
      </c>
      <c r="R112" s="28" cm="1">
        <f t="array" ref="R112">R$106+IF($C112&lt;&gt;0,SUMPRODUCT((R$107:R$108)*TRANSPOSE(($D112:$E112))),0)</f>
        <v>463588.13195120892</v>
      </c>
      <c r="S112" s="28" cm="1">
        <f t="array" ref="S112">S$106+IF($C112&lt;&gt;0,SUMPRODUCT((S$107:S$108)*TRANSPOSE(($D112:$E112))),0)</f>
        <v>463588.13195120892</v>
      </c>
      <c r="T112" s="28" cm="1">
        <f t="array" ref="T112">T$106+IF($C112&lt;&gt;0,SUMPRODUCT((T$107:T$108)*TRANSPOSE(($D112:$E112))),0)</f>
        <v>463588.13195120892</v>
      </c>
      <c r="U112" s="28" cm="1">
        <f t="array" ref="U112">U$106+IF($C112&lt;&gt;0,SUMPRODUCT((U$107:U$108)*TRANSPOSE(($D112:$E112))),0)</f>
        <v>463588.13195120892</v>
      </c>
      <c r="V112" s="28" cm="1">
        <f t="array" ref="V112">V$106+IF($C112&lt;&gt;0,SUMPRODUCT((V$107:V$108)*TRANSPOSE(($D112:$E112))),0)</f>
        <v>463588.13195120892</v>
      </c>
      <c r="W112" s="28" cm="1">
        <f t="array" ref="W112">W$106+IF($C112&lt;&gt;0,SUMPRODUCT((W$107:W$108)*TRANSPOSE(($D112:$E112))),0)</f>
        <v>463588.13195120892</v>
      </c>
      <c r="X112" s="28" cm="1">
        <f t="array" ref="X112">X$106+IF($C112&lt;&gt;0,SUMPRODUCT((X$107:X$108)*TRANSPOSE(($D112:$E112))),0)</f>
        <v>463588.13195120892</v>
      </c>
      <c r="Y112" s="28" cm="1">
        <f t="array" ref="Y112">Y$106+IF($C112&lt;&gt;0,SUMPRODUCT((Y$107:Y$108)*TRANSPOSE(($D112:$E112))),0)</f>
        <v>463588.13195120892</v>
      </c>
      <c r="Z112" s="28" cm="1">
        <f t="array" ref="Z112">Z$106+IF($C112&lt;&gt;0,SUMPRODUCT((Z$107:Z$108)*TRANSPOSE(($D112:$E112))),0)</f>
        <v>463588.13195120892</v>
      </c>
      <c r="AA112" s="28" cm="1">
        <f t="array" ref="AA112">AA$106+IF($C112&lt;&gt;0,SUMPRODUCT((AA$107:AA$108)*TRANSPOSE(($D112:$E112))),0)</f>
        <v>463588.13195120892</v>
      </c>
      <c r="AB112" s="28" cm="1">
        <f t="array" ref="AB112">AB$106+IF($C112&lt;&gt;0,SUMPRODUCT((AB$107:AB$108)*TRANSPOSE(($D112:$E112))),0)</f>
        <v>463588.13195120892</v>
      </c>
      <c r="AC112" s="28" cm="1">
        <f t="array" ref="AC112">AC$106+IF($C112&lt;&gt;0,SUMPRODUCT((AC$107:AC$108)*TRANSPOSE(($D112:$E112))),0)</f>
        <v>463588.13195120892</v>
      </c>
      <c r="AD112" s="28" cm="1">
        <f t="array" ref="AD112">AD$106+IF($C112&lt;&gt;0,SUMPRODUCT((AD$107:AD$108)*TRANSPOSE(($D112:$E112))),0)</f>
        <v>463588.13195120892</v>
      </c>
      <c r="AE112" s="28" cm="1">
        <f t="array" ref="AE112">AE$106+IF($C112&lt;&gt;0,SUMPRODUCT((AE$107:AE$108)*TRANSPOSE(($D112:$E112))),0)</f>
        <v>463588.13195120892</v>
      </c>
      <c r="AF112" s="28" cm="1">
        <f t="array" ref="AF112">AF$106+IF($C112&lt;&gt;0,SUMPRODUCT((AF$107:AF$108)*TRANSPOSE(($D112:$E112))),0)</f>
        <v>463588.13195120892</v>
      </c>
      <c r="AG112" s="28" cm="1">
        <f t="array" ref="AG112">AG$106+IF($C112&lt;&gt;0,SUMPRODUCT((AG$107:AG$108)*TRANSPOSE(($D112:$E112))),0)</f>
        <v>463588.13195120892</v>
      </c>
    </row>
    <row r="113" spans="1:33" x14ac:dyDescent="0.2">
      <c r="A113" s="1" t="str">
        <f>"sens"&amp;Assumptions!B103</f>
        <v>sens4</v>
      </c>
      <c r="C113" s="255" t="str">
        <f>Assumptions!C103</f>
        <v>Total benefits 10% lower</v>
      </c>
      <c r="D113" s="256">
        <f>Assumptions!G103</f>
        <v>0</v>
      </c>
      <c r="E113" s="256">
        <f>Assumptions!H103</f>
        <v>-0.1</v>
      </c>
      <c r="G113" s="34" t="str">
        <f t="shared" si="21"/>
        <v>Option 4sens4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-546112.29492947843</v>
      </c>
      <c r="N113" s="28" cm="1">
        <f t="array" ref="N113">N$106+IF($C113&lt;&gt;0,SUMPRODUCT((N$107:N$108)*TRANSPOSE(($D113:$E113))),0)</f>
        <v>180713.09162208787</v>
      </c>
      <c r="O113" s="28" cm="1">
        <f t="array" ref="O113">O$106+IF($C113&lt;&gt;0,SUMPRODUCT((O$107:O$108)*TRANSPOSE(($D113:$E113))),0)</f>
        <v>180713.09162208787</v>
      </c>
      <c r="P113" s="28" cm="1">
        <f t="array" ref="P113">P$106+IF($C113&lt;&gt;0,SUMPRODUCT((P$107:P$108)*TRANSPOSE(($D113:$E113))),0)</f>
        <v>180713.09162208787</v>
      </c>
      <c r="Q113" s="28" cm="1">
        <f t="array" ref="Q113">Q$106+IF($C113&lt;&gt;0,SUMPRODUCT((Q$107:Q$108)*TRANSPOSE(($D113:$E113))),0)</f>
        <v>180713.09162208787</v>
      </c>
      <c r="R113" s="28" cm="1">
        <f t="array" ref="R113">R$106+IF($C113&lt;&gt;0,SUMPRODUCT((R$107:R$108)*TRANSPOSE(($D113:$E113))),0)</f>
        <v>180713.09162208787</v>
      </c>
      <c r="S113" s="28" cm="1">
        <f t="array" ref="S113">S$106+IF($C113&lt;&gt;0,SUMPRODUCT((S$107:S$108)*TRANSPOSE(($D113:$E113))),0)</f>
        <v>180713.09162208787</v>
      </c>
      <c r="T113" s="28" cm="1">
        <f t="array" ref="T113">T$106+IF($C113&lt;&gt;0,SUMPRODUCT((T$107:T$108)*TRANSPOSE(($D113:$E113))),0)</f>
        <v>180713.09162208787</v>
      </c>
      <c r="U113" s="28" cm="1">
        <f t="array" ref="U113">U$106+IF($C113&lt;&gt;0,SUMPRODUCT((U$107:U$108)*TRANSPOSE(($D113:$E113))),0)</f>
        <v>180713.09162208787</v>
      </c>
      <c r="V113" s="28" cm="1">
        <f t="array" ref="V113">V$106+IF($C113&lt;&gt;0,SUMPRODUCT((V$107:V$108)*TRANSPOSE(($D113:$E113))),0)</f>
        <v>180713.09162208787</v>
      </c>
      <c r="W113" s="28" cm="1">
        <f t="array" ref="W113">W$106+IF($C113&lt;&gt;0,SUMPRODUCT((W$107:W$108)*TRANSPOSE(($D113:$E113))),0)</f>
        <v>180713.09162208787</v>
      </c>
      <c r="X113" s="28" cm="1">
        <f t="array" ref="X113">X$106+IF($C113&lt;&gt;0,SUMPRODUCT((X$107:X$108)*TRANSPOSE(($D113:$E113))),0)</f>
        <v>180713.09162208787</v>
      </c>
      <c r="Y113" s="28" cm="1">
        <f t="array" ref="Y113">Y$106+IF($C113&lt;&gt;0,SUMPRODUCT((Y$107:Y$108)*TRANSPOSE(($D113:$E113))),0)</f>
        <v>180713.09162208787</v>
      </c>
      <c r="Z113" s="28" cm="1">
        <f t="array" ref="Z113">Z$106+IF($C113&lt;&gt;0,SUMPRODUCT((Z$107:Z$108)*TRANSPOSE(($D113:$E113))),0)</f>
        <v>180713.09162208787</v>
      </c>
      <c r="AA113" s="28" cm="1">
        <f t="array" ref="AA113">AA$106+IF($C113&lt;&gt;0,SUMPRODUCT((AA$107:AA$108)*TRANSPOSE(($D113:$E113))),0)</f>
        <v>180713.09162208787</v>
      </c>
      <c r="AB113" s="28" cm="1">
        <f t="array" ref="AB113">AB$106+IF($C113&lt;&gt;0,SUMPRODUCT((AB$107:AB$108)*TRANSPOSE(($D113:$E113))),0)</f>
        <v>180713.09162208787</v>
      </c>
      <c r="AC113" s="28" cm="1">
        <f t="array" ref="AC113">AC$106+IF($C113&lt;&gt;0,SUMPRODUCT((AC$107:AC$108)*TRANSPOSE(($D113:$E113))),0)</f>
        <v>180713.09162208787</v>
      </c>
      <c r="AD113" s="28" cm="1">
        <f t="array" ref="AD113">AD$106+IF($C113&lt;&gt;0,SUMPRODUCT((AD$107:AD$108)*TRANSPOSE(($D113:$E113))),0)</f>
        <v>180713.09162208787</v>
      </c>
      <c r="AE113" s="28" cm="1">
        <f t="array" ref="AE113">AE$106+IF($C113&lt;&gt;0,SUMPRODUCT((AE$107:AE$108)*TRANSPOSE(($D113:$E113))),0)</f>
        <v>180713.09162208787</v>
      </c>
      <c r="AF113" s="28" cm="1">
        <f t="array" ref="AF113">AF$106+IF($C113&lt;&gt;0,SUMPRODUCT((AF$107:AF$108)*TRANSPOSE(($D113:$E113))),0)</f>
        <v>180713.09162208787</v>
      </c>
      <c r="AG113" s="28" cm="1">
        <f t="array" ref="AG113">AG$106+IF($C113&lt;&gt;0,SUMPRODUCT((AG$107:AG$108)*TRANSPOSE(($D113:$E113))),0)</f>
        <v>180713.09162208787</v>
      </c>
    </row>
    <row r="114" spans="1:33" x14ac:dyDescent="0.2">
      <c r="A114" s="1" t="str">
        <f>"sens"&amp;Assumptions!B104</f>
        <v>sens5</v>
      </c>
      <c r="C114" s="255" t="str">
        <f>Assumptions!C104</f>
        <v>Capex 10% higher &amp; Total benefits 10% lower</v>
      </c>
      <c r="D114" s="256">
        <f>Assumptions!G104</f>
        <v>0.1</v>
      </c>
      <c r="E114" s="256">
        <f>Assumptions!H104</f>
        <v>-0.1</v>
      </c>
      <c r="G114" s="34" t="str">
        <f t="shared" si="21"/>
        <v>Option 4sens5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-600723.52442242624</v>
      </c>
      <c r="N114" s="28" cm="1">
        <f t="array" ref="N114">N$106+IF($C114&lt;&gt;0,SUMPRODUCT((N$107:N$108)*TRANSPOSE(($D114:$E114))),0)</f>
        <v>71490.632636192197</v>
      </c>
      <c r="O114" s="28" cm="1">
        <f t="array" ref="O114">O$106+IF($C114&lt;&gt;0,SUMPRODUCT((O$107:O$108)*TRANSPOSE(($D114:$E114))),0)</f>
        <v>71490.632636192197</v>
      </c>
      <c r="P114" s="28" cm="1">
        <f t="array" ref="P114">P$106+IF($C114&lt;&gt;0,SUMPRODUCT((P$107:P$108)*TRANSPOSE(($D114:$E114))),0)</f>
        <v>71490.632636192197</v>
      </c>
      <c r="Q114" s="28" cm="1">
        <f t="array" ref="Q114">Q$106+IF($C114&lt;&gt;0,SUMPRODUCT((Q$107:Q$108)*TRANSPOSE(($D114:$E114))),0)</f>
        <v>71490.632636192197</v>
      </c>
      <c r="R114" s="28" cm="1">
        <f t="array" ref="R114">R$106+IF($C114&lt;&gt;0,SUMPRODUCT((R$107:R$108)*TRANSPOSE(($D114:$E114))),0)</f>
        <v>71490.632636192197</v>
      </c>
      <c r="S114" s="28" cm="1">
        <f t="array" ref="S114">S$106+IF($C114&lt;&gt;0,SUMPRODUCT((S$107:S$108)*TRANSPOSE(($D114:$E114))),0)</f>
        <v>71490.632636192197</v>
      </c>
      <c r="T114" s="28" cm="1">
        <f t="array" ref="T114">T$106+IF($C114&lt;&gt;0,SUMPRODUCT((T$107:T$108)*TRANSPOSE(($D114:$E114))),0)</f>
        <v>71490.632636192197</v>
      </c>
      <c r="U114" s="28" cm="1">
        <f t="array" ref="U114">U$106+IF($C114&lt;&gt;0,SUMPRODUCT((U$107:U$108)*TRANSPOSE(($D114:$E114))),0)</f>
        <v>71490.632636192197</v>
      </c>
      <c r="V114" s="28" cm="1">
        <f t="array" ref="V114">V$106+IF($C114&lt;&gt;0,SUMPRODUCT((V$107:V$108)*TRANSPOSE(($D114:$E114))),0)</f>
        <v>71490.632636192197</v>
      </c>
      <c r="W114" s="28" cm="1">
        <f t="array" ref="W114">W$106+IF($C114&lt;&gt;0,SUMPRODUCT((W$107:W$108)*TRANSPOSE(($D114:$E114))),0)</f>
        <v>71490.632636192197</v>
      </c>
      <c r="X114" s="28" cm="1">
        <f t="array" ref="X114">X$106+IF($C114&lt;&gt;0,SUMPRODUCT((X$107:X$108)*TRANSPOSE(($D114:$E114))),0)</f>
        <v>71490.632636192197</v>
      </c>
      <c r="Y114" s="28" cm="1">
        <f t="array" ref="Y114">Y$106+IF($C114&lt;&gt;0,SUMPRODUCT((Y$107:Y$108)*TRANSPOSE(($D114:$E114))),0)</f>
        <v>71490.632636192197</v>
      </c>
      <c r="Z114" s="28" cm="1">
        <f t="array" ref="Z114">Z$106+IF($C114&lt;&gt;0,SUMPRODUCT((Z$107:Z$108)*TRANSPOSE(($D114:$E114))),0)</f>
        <v>71490.632636192197</v>
      </c>
      <c r="AA114" s="28" cm="1">
        <f t="array" ref="AA114">AA$106+IF($C114&lt;&gt;0,SUMPRODUCT((AA$107:AA$108)*TRANSPOSE(($D114:$E114))),0)</f>
        <v>71490.632636192197</v>
      </c>
      <c r="AB114" s="28" cm="1">
        <f t="array" ref="AB114">AB$106+IF($C114&lt;&gt;0,SUMPRODUCT((AB$107:AB$108)*TRANSPOSE(($D114:$E114))),0)</f>
        <v>71490.632636192197</v>
      </c>
      <c r="AC114" s="28" cm="1">
        <f t="array" ref="AC114">AC$106+IF($C114&lt;&gt;0,SUMPRODUCT((AC$107:AC$108)*TRANSPOSE(($D114:$E114))),0)</f>
        <v>71490.632636192197</v>
      </c>
      <c r="AD114" s="28" cm="1">
        <f t="array" ref="AD114">AD$106+IF($C114&lt;&gt;0,SUMPRODUCT((AD$107:AD$108)*TRANSPOSE(($D114:$E114))),0)</f>
        <v>71490.632636192197</v>
      </c>
      <c r="AE114" s="28" cm="1">
        <f t="array" ref="AE114">AE$106+IF($C114&lt;&gt;0,SUMPRODUCT((AE$107:AE$108)*TRANSPOSE(($D114:$E114))),0)</f>
        <v>71490.632636192197</v>
      </c>
      <c r="AF114" s="28" cm="1">
        <f t="array" ref="AF114">AF$106+IF($C114&lt;&gt;0,SUMPRODUCT((AF$107:AF$108)*TRANSPOSE(($D114:$E114))),0)</f>
        <v>71490.632636192197</v>
      </c>
      <c r="AG114" s="28" cm="1">
        <f t="array" ref="AG114">AG$106+IF($C114&lt;&gt;0,SUMPRODUCT((AG$107:AG$108)*TRANSPOSE(($D114:$E114))),0)</f>
        <v>71490.632636192197</v>
      </c>
    </row>
    <row r="115" spans="1:33" x14ac:dyDescent="0.2">
      <c r="A115" s="1" t="str">
        <f>"sens"&amp;Assumptions!B105</f>
        <v>sens</v>
      </c>
      <c r="C115" s="255">
        <f>Assumptions!C105</f>
        <v>0</v>
      </c>
      <c r="D115" s="256">
        <f>Assumptions!G105</f>
        <v>0</v>
      </c>
      <c r="E115" s="256">
        <f>Assumptions!H105</f>
        <v>0</v>
      </c>
      <c r="G115" s="34" t="str">
        <f t="shared" si="21"/>
        <v>Option 4sens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-546112.29492947843</v>
      </c>
      <c r="N115" s="28" cm="1">
        <f t="array" ref="N115">N$106+IF($C115&lt;&gt;0,SUMPRODUCT((N$107:N$108)*TRANSPOSE(($D115:$E115))),0)</f>
        <v>322150.6117866484</v>
      </c>
      <c r="O115" s="28" cm="1">
        <f t="array" ref="O115">O$106+IF($C115&lt;&gt;0,SUMPRODUCT((O$107:O$108)*TRANSPOSE(($D115:$E115))),0)</f>
        <v>322150.6117866484</v>
      </c>
      <c r="P115" s="28" cm="1">
        <f t="array" ref="P115">P$106+IF($C115&lt;&gt;0,SUMPRODUCT((P$107:P$108)*TRANSPOSE(($D115:$E115))),0)</f>
        <v>322150.6117866484</v>
      </c>
      <c r="Q115" s="28" cm="1">
        <f t="array" ref="Q115">Q$106+IF($C115&lt;&gt;0,SUMPRODUCT((Q$107:Q$108)*TRANSPOSE(($D115:$E115))),0)</f>
        <v>322150.6117866484</v>
      </c>
      <c r="R115" s="28" cm="1">
        <f t="array" ref="R115">R$106+IF($C115&lt;&gt;0,SUMPRODUCT((R$107:R$108)*TRANSPOSE(($D115:$E115))),0)</f>
        <v>322150.6117866484</v>
      </c>
      <c r="S115" s="28" cm="1">
        <f t="array" ref="S115">S$106+IF($C115&lt;&gt;0,SUMPRODUCT((S$107:S$108)*TRANSPOSE(($D115:$E115))),0)</f>
        <v>322150.6117866484</v>
      </c>
      <c r="T115" s="28" cm="1">
        <f t="array" ref="T115">T$106+IF($C115&lt;&gt;0,SUMPRODUCT((T$107:T$108)*TRANSPOSE(($D115:$E115))),0)</f>
        <v>322150.6117866484</v>
      </c>
      <c r="U115" s="28" cm="1">
        <f t="array" ref="U115">U$106+IF($C115&lt;&gt;0,SUMPRODUCT((U$107:U$108)*TRANSPOSE(($D115:$E115))),0)</f>
        <v>322150.6117866484</v>
      </c>
      <c r="V115" s="28" cm="1">
        <f t="array" ref="V115">V$106+IF($C115&lt;&gt;0,SUMPRODUCT((V$107:V$108)*TRANSPOSE(($D115:$E115))),0)</f>
        <v>322150.6117866484</v>
      </c>
      <c r="W115" s="28" cm="1">
        <f t="array" ref="W115">W$106+IF($C115&lt;&gt;0,SUMPRODUCT((W$107:W$108)*TRANSPOSE(($D115:$E115))),0)</f>
        <v>322150.6117866484</v>
      </c>
      <c r="X115" s="28" cm="1">
        <f t="array" ref="X115">X$106+IF($C115&lt;&gt;0,SUMPRODUCT((X$107:X$108)*TRANSPOSE(($D115:$E115))),0)</f>
        <v>322150.6117866484</v>
      </c>
      <c r="Y115" s="28" cm="1">
        <f t="array" ref="Y115">Y$106+IF($C115&lt;&gt;0,SUMPRODUCT((Y$107:Y$108)*TRANSPOSE(($D115:$E115))),0)</f>
        <v>322150.6117866484</v>
      </c>
      <c r="Z115" s="28" cm="1">
        <f t="array" ref="Z115">Z$106+IF($C115&lt;&gt;0,SUMPRODUCT((Z$107:Z$108)*TRANSPOSE(($D115:$E115))),0)</f>
        <v>322150.6117866484</v>
      </c>
      <c r="AA115" s="28" cm="1">
        <f t="array" ref="AA115">AA$106+IF($C115&lt;&gt;0,SUMPRODUCT((AA$107:AA$108)*TRANSPOSE(($D115:$E115))),0)</f>
        <v>322150.6117866484</v>
      </c>
      <c r="AB115" s="28" cm="1">
        <f t="array" ref="AB115">AB$106+IF($C115&lt;&gt;0,SUMPRODUCT((AB$107:AB$108)*TRANSPOSE(($D115:$E115))),0)</f>
        <v>322150.6117866484</v>
      </c>
      <c r="AC115" s="28" cm="1">
        <f t="array" ref="AC115">AC$106+IF($C115&lt;&gt;0,SUMPRODUCT((AC$107:AC$108)*TRANSPOSE(($D115:$E115))),0)</f>
        <v>322150.6117866484</v>
      </c>
      <c r="AD115" s="28" cm="1">
        <f t="array" ref="AD115">AD$106+IF($C115&lt;&gt;0,SUMPRODUCT((AD$107:AD$108)*TRANSPOSE(($D115:$E115))),0)</f>
        <v>322150.6117866484</v>
      </c>
      <c r="AE115" s="28" cm="1">
        <f t="array" ref="AE115">AE$106+IF($C115&lt;&gt;0,SUMPRODUCT((AE$107:AE$108)*TRANSPOSE(($D115:$E115))),0)</f>
        <v>322150.6117866484</v>
      </c>
      <c r="AF115" s="28" cm="1">
        <f t="array" ref="AF115">AF$106+IF($C115&lt;&gt;0,SUMPRODUCT((AF$107:AF$108)*TRANSPOSE(($D115:$E115))),0)</f>
        <v>322150.6117866484</v>
      </c>
      <c r="AG115" s="28" cm="1">
        <f t="array" ref="AG115">AG$106+IF($C115&lt;&gt;0,SUMPRODUCT((AG$107:AG$108)*TRANSPOSE(($D115:$E115))),0)</f>
        <v>322150.6117866484</v>
      </c>
    </row>
    <row r="116" spans="1:33" x14ac:dyDescent="0.2">
      <c r="A116" s="1" t="str">
        <f>"sens"&amp;Assumptions!B106</f>
        <v>sens</v>
      </c>
      <c r="C116" s="255">
        <f>Assumptions!C106</f>
        <v>0</v>
      </c>
      <c r="D116" s="256">
        <f>Assumptions!G106</f>
        <v>0</v>
      </c>
      <c r="E116" s="256">
        <f>Assumptions!H106</f>
        <v>0</v>
      </c>
      <c r="G116" s="34" t="str">
        <f t="shared" si="21"/>
        <v>Option 4sens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-546112.29492947843</v>
      </c>
      <c r="N116" s="28" cm="1">
        <f t="array" ref="N116">N$106+IF($C116&lt;&gt;0,SUMPRODUCT((N$107:N$108)*TRANSPOSE(($D116:$E116))),0)</f>
        <v>322150.6117866484</v>
      </c>
      <c r="O116" s="28" cm="1">
        <f t="array" ref="O116">O$106+IF($C116&lt;&gt;0,SUMPRODUCT((O$107:O$108)*TRANSPOSE(($D116:$E116))),0)</f>
        <v>322150.6117866484</v>
      </c>
      <c r="P116" s="28" cm="1">
        <f t="array" ref="P116">P$106+IF($C116&lt;&gt;0,SUMPRODUCT((P$107:P$108)*TRANSPOSE(($D116:$E116))),0)</f>
        <v>322150.6117866484</v>
      </c>
      <c r="Q116" s="28" cm="1">
        <f t="array" ref="Q116">Q$106+IF($C116&lt;&gt;0,SUMPRODUCT((Q$107:Q$108)*TRANSPOSE(($D116:$E116))),0)</f>
        <v>322150.6117866484</v>
      </c>
      <c r="R116" s="28" cm="1">
        <f t="array" ref="R116">R$106+IF($C116&lt;&gt;0,SUMPRODUCT((R$107:R$108)*TRANSPOSE(($D116:$E116))),0)</f>
        <v>322150.6117866484</v>
      </c>
      <c r="S116" s="28" cm="1">
        <f t="array" ref="S116">S$106+IF($C116&lt;&gt;0,SUMPRODUCT((S$107:S$108)*TRANSPOSE(($D116:$E116))),0)</f>
        <v>322150.6117866484</v>
      </c>
      <c r="T116" s="28" cm="1">
        <f t="array" ref="T116">T$106+IF($C116&lt;&gt;0,SUMPRODUCT((T$107:T$108)*TRANSPOSE(($D116:$E116))),0)</f>
        <v>322150.6117866484</v>
      </c>
      <c r="U116" s="28" cm="1">
        <f t="array" ref="U116">U$106+IF($C116&lt;&gt;0,SUMPRODUCT((U$107:U$108)*TRANSPOSE(($D116:$E116))),0)</f>
        <v>322150.6117866484</v>
      </c>
      <c r="V116" s="28" cm="1">
        <f t="array" ref="V116">V$106+IF($C116&lt;&gt;0,SUMPRODUCT((V$107:V$108)*TRANSPOSE(($D116:$E116))),0)</f>
        <v>322150.6117866484</v>
      </c>
      <c r="W116" s="28" cm="1">
        <f t="array" ref="W116">W$106+IF($C116&lt;&gt;0,SUMPRODUCT((W$107:W$108)*TRANSPOSE(($D116:$E116))),0)</f>
        <v>322150.6117866484</v>
      </c>
      <c r="X116" s="28" cm="1">
        <f t="array" ref="X116">X$106+IF($C116&lt;&gt;0,SUMPRODUCT((X$107:X$108)*TRANSPOSE(($D116:$E116))),0)</f>
        <v>322150.6117866484</v>
      </c>
      <c r="Y116" s="28" cm="1">
        <f t="array" ref="Y116">Y$106+IF($C116&lt;&gt;0,SUMPRODUCT((Y$107:Y$108)*TRANSPOSE(($D116:$E116))),0)</f>
        <v>322150.6117866484</v>
      </c>
      <c r="Z116" s="28" cm="1">
        <f t="array" ref="Z116">Z$106+IF($C116&lt;&gt;0,SUMPRODUCT((Z$107:Z$108)*TRANSPOSE(($D116:$E116))),0)</f>
        <v>322150.6117866484</v>
      </c>
      <c r="AA116" s="28" cm="1">
        <f t="array" ref="AA116">AA$106+IF($C116&lt;&gt;0,SUMPRODUCT((AA$107:AA$108)*TRANSPOSE(($D116:$E116))),0)</f>
        <v>322150.6117866484</v>
      </c>
      <c r="AB116" s="28" cm="1">
        <f t="array" ref="AB116">AB$106+IF($C116&lt;&gt;0,SUMPRODUCT((AB$107:AB$108)*TRANSPOSE(($D116:$E116))),0)</f>
        <v>322150.6117866484</v>
      </c>
      <c r="AC116" s="28" cm="1">
        <f t="array" ref="AC116">AC$106+IF($C116&lt;&gt;0,SUMPRODUCT((AC$107:AC$108)*TRANSPOSE(($D116:$E116))),0)</f>
        <v>322150.6117866484</v>
      </c>
      <c r="AD116" s="28" cm="1">
        <f t="array" ref="AD116">AD$106+IF($C116&lt;&gt;0,SUMPRODUCT((AD$107:AD$108)*TRANSPOSE(($D116:$E116))),0)</f>
        <v>322150.6117866484</v>
      </c>
      <c r="AE116" s="28" cm="1">
        <f t="array" ref="AE116">AE$106+IF($C116&lt;&gt;0,SUMPRODUCT((AE$107:AE$108)*TRANSPOSE(($D116:$E116))),0)</f>
        <v>322150.6117866484</v>
      </c>
      <c r="AF116" s="28" cm="1">
        <f t="array" ref="AF116">AF$106+IF($C116&lt;&gt;0,SUMPRODUCT((AF$107:AF$108)*TRANSPOSE(($D116:$E116))),0)</f>
        <v>322150.6117866484</v>
      </c>
      <c r="AG116" s="28" cm="1">
        <f t="array" ref="AG116">AG$106+IF($C116&lt;&gt;0,SUMPRODUCT((AG$107:AG$108)*TRANSPOSE(($D116:$E116))),0)</f>
        <v>322150.6117866484</v>
      </c>
    </row>
    <row r="117" spans="1:33" x14ac:dyDescent="0.2">
      <c r="A117" s="1" t="str">
        <f>"sens"&amp;Assumptions!B107</f>
        <v>sens</v>
      </c>
      <c r="C117" s="255">
        <f>Assumptions!C107</f>
        <v>0</v>
      </c>
      <c r="D117" s="256">
        <f>Assumptions!G107</f>
        <v>0</v>
      </c>
      <c r="E117" s="256">
        <f>Assumptions!H107</f>
        <v>0</v>
      </c>
      <c r="G117" s="34" t="str">
        <f t="shared" si="21"/>
        <v>Option 4sens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-546112.29492947843</v>
      </c>
      <c r="N117" s="28" cm="1">
        <f t="array" ref="N117">N$106+IF($C117&lt;&gt;0,SUMPRODUCT((N$107:N$108)*TRANSPOSE(($D117:$E117))),0)</f>
        <v>322150.6117866484</v>
      </c>
      <c r="O117" s="28" cm="1">
        <f t="array" ref="O117">O$106+IF($C117&lt;&gt;0,SUMPRODUCT((O$107:O$108)*TRANSPOSE(($D117:$E117))),0)</f>
        <v>322150.6117866484</v>
      </c>
      <c r="P117" s="28" cm="1">
        <f t="array" ref="P117">P$106+IF($C117&lt;&gt;0,SUMPRODUCT((P$107:P$108)*TRANSPOSE(($D117:$E117))),0)</f>
        <v>322150.6117866484</v>
      </c>
      <c r="Q117" s="28" cm="1">
        <f t="array" ref="Q117">Q$106+IF($C117&lt;&gt;0,SUMPRODUCT((Q$107:Q$108)*TRANSPOSE(($D117:$E117))),0)</f>
        <v>322150.6117866484</v>
      </c>
      <c r="R117" s="28" cm="1">
        <f t="array" ref="R117">R$106+IF($C117&lt;&gt;0,SUMPRODUCT((R$107:R$108)*TRANSPOSE(($D117:$E117))),0)</f>
        <v>322150.6117866484</v>
      </c>
      <c r="S117" s="28" cm="1">
        <f t="array" ref="S117">S$106+IF($C117&lt;&gt;0,SUMPRODUCT((S$107:S$108)*TRANSPOSE(($D117:$E117))),0)</f>
        <v>322150.6117866484</v>
      </c>
      <c r="T117" s="28" cm="1">
        <f t="array" ref="T117">T$106+IF($C117&lt;&gt;0,SUMPRODUCT((T$107:T$108)*TRANSPOSE(($D117:$E117))),0)</f>
        <v>322150.6117866484</v>
      </c>
      <c r="U117" s="28" cm="1">
        <f t="array" ref="U117">U$106+IF($C117&lt;&gt;0,SUMPRODUCT((U$107:U$108)*TRANSPOSE(($D117:$E117))),0)</f>
        <v>322150.6117866484</v>
      </c>
      <c r="V117" s="28" cm="1">
        <f t="array" ref="V117">V$106+IF($C117&lt;&gt;0,SUMPRODUCT((V$107:V$108)*TRANSPOSE(($D117:$E117))),0)</f>
        <v>322150.6117866484</v>
      </c>
      <c r="W117" s="28" cm="1">
        <f t="array" ref="W117">W$106+IF($C117&lt;&gt;0,SUMPRODUCT((W$107:W$108)*TRANSPOSE(($D117:$E117))),0)</f>
        <v>322150.6117866484</v>
      </c>
      <c r="X117" s="28" cm="1">
        <f t="array" ref="X117">X$106+IF($C117&lt;&gt;0,SUMPRODUCT((X$107:X$108)*TRANSPOSE(($D117:$E117))),0)</f>
        <v>322150.6117866484</v>
      </c>
      <c r="Y117" s="28" cm="1">
        <f t="array" ref="Y117">Y$106+IF($C117&lt;&gt;0,SUMPRODUCT((Y$107:Y$108)*TRANSPOSE(($D117:$E117))),0)</f>
        <v>322150.6117866484</v>
      </c>
      <c r="Z117" s="28" cm="1">
        <f t="array" ref="Z117">Z$106+IF($C117&lt;&gt;0,SUMPRODUCT((Z$107:Z$108)*TRANSPOSE(($D117:$E117))),0)</f>
        <v>322150.6117866484</v>
      </c>
      <c r="AA117" s="28" cm="1">
        <f t="array" ref="AA117">AA$106+IF($C117&lt;&gt;0,SUMPRODUCT((AA$107:AA$108)*TRANSPOSE(($D117:$E117))),0)</f>
        <v>322150.6117866484</v>
      </c>
      <c r="AB117" s="28" cm="1">
        <f t="array" ref="AB117">AB$106+IF($C117&lt;&gt;0,SUMPRODUCT((AB$107:AB$108)*TRANSPOSE(($D117:$E117))),0)</f>
        <v>322150.6117866484</v>
      </c>
      <c r="AC117" s="28" cm="1">
        <f t="array" ref="AC117">AC$106+IF($C117&lt;&gt;0,SUMPRODUCT((AC$107:AC$108)*TRANSPOSE(($D117:$E117))),0)</f>
        <v>322150.6117866484</v>
      </c>
      <c r="AD117" s="28" cm="1">
        <f t="array" ref="AD117">AD$106+IF($C117&lt;&gt;0,SUMPRODUCT((AD$107:AD$108)*TRANSPOSE(($D117:$E117))),0)</f>
        <v>322150.6117866484</v>
      </c>
      <c r="AE117" s="28" cm="1">
        <f t="array" ref="AE117">AE$106+IF($C117&lt;&gt;0,SUMPRODUCT((AE$107:AE$108)*TRANSPOSE(($D117:$E117))),0)</f>
        <v>322150.6117866484</v>
      </c>
      <c r="AF117" s="28" cm="1">
        <f t="array" ref="AF117">AF$106+IF($C117&lt;&gt;0,SUMPRODUCT((AF$107:AF$108)*TRANSPOSE(($D117:$E117))),0)</f>
        <v>322150.6117866484</v>
      </c>
      <c r="AG117" s="28" cm="1">
        <f t="array" ref="AG117">AG$106+IF($C117&lt;&gt;0,SUMPRODUCT((AG$107:AG$108)*TRANSPOSE(($D117:$E117))),0)</f>
        <v>322150.6117866484</v>
      </c>
    </row>
  </sheetData>
  <conditionalFormatting sqref="E14:E16">
    <cfRule type="expression" dxfId="4" priority="53">
      <formula>AND(SUM($I14:$AB14)&lt;&gt;0, E14=0)</formula>
    </cfRule>
  </conditionalFormatting>
  <conditionalFormatting sqref="E28">
    <cfRule type="expression" dxfId="3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8" id="{17B125C1-0588-4495-B8F7-9B52E25BED85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C94D8-0AAB-45B3-9A29-8CF3F90554FB}">
  <sheetPr codeName="Sheet14">
    <tabColor rgb="FF0099FF"/>
  </sheetPr>
  <dimension ref="A1:XER117"/>
  <sheetViews>
    <sheetView showGridLines="0" zoomScale="90" zoomScaleNormal="90" workbookViewId="0">
      <pane xSplit="4" ySplit="11" topLeftCell="E12" activePane="bottomRight" state="frozen"/>
      <selection pane="topRight" activeCell="E1" sqref="E1"/>
      <selection pane="bottomLeft" activeCell="A12" sqref="A12"/>
      <selection pane="bottomRight" activeCell="E12" sqref="E12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Horsham REFCL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9" t="s">
        <v>140</v>
      </c>
      <c r="B3" s="5"/>
      <c r="C3" s="315">
        <f>INDEX(Assumptions!$E$14:$E$18, MATCH(A3,_xlfn.ANCHORARRAY( Assumptions!$C$14),0))</f>
        <v>0</v>
      </c>
    </row>
    <row r="4" spans="1:43" x14ac:dyDescent="0.2">
      <c r="A4" s="1" t="str">
        <f>(INDEX(Data!$D$9:$D$13, MATCH(A3, options,0)))</f>
        <v>Not used</v>
      </c>
      <c r="B4" s="165"/>
      <c r="C4" s="213"/>
    </row>
    <row r="5" spans="1:43" hidden="1" outlineLevel="1" x14ac:dyDescent="0.2">
      <c r="C5" s="86"/>
      <c r="D5" s="85"/>
      <c r="E5" s="87"/>
      <c r="F5" s="87"/>
      <c r="G5" s="85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tr">
        <f>'Option1 (base case)'!A6</f>
        <v>Count</v>
      </c>
      <c r="B6" s="85"/>
      <c r="C6" s="86"/>
      <c r="D6" s="85"/>
      <c r="E6" s="87"/>
      <c r="F6" s="87"/>
      <c r="G6" s="85"/>
      <c r="H6" s="88"/>
      <c r="I6" s="88">
        <f>'Option1 (base case)'!I6</f>
        <v>1</v>
      </c>
      <c r="J6" s="88">
        <f>'Option1 (base case)'!J6</f>
        <v>2</v>
      </c>
      <c r="K6" s="88">
        <f>'Option1 (base case)'!K6</f>
        <v>3</v>
      </c>
      <c r="L6" s="88">
        <f>'Option1 (base case)'!L6</f>
        <v>4</v>
      </c>
      <c r="M6" s="88">
        <f>'Option1 (base case)'!M6</f>
        <v>5</v>
      </c>
      <c r="N6" s="88">
        <f>'Option1 (base case)'!N6</f>
        <v>6</v>
      </c>
      <c r="O6" s="88">
        <f>'Option1 (base case)'!O6</f>
        <v>7</v>
      </c>
      <c r="P6" s="88">
        <f>'Option1 (base case)'!P6</f>
        <v>8</v>
      </c>
      <c r="Q6" s="88">
        <f>'Option1 (base case)'!Q6</f>
        <v>9</v>
      </c>
      <c r="R6" s="88">
        <f>'Option1 (base case)'!R6</f>
        <v>10</v>
      </c>
      <c r="S6" s="88">
        <f>'Option1 (base case)'!S6</f>
        <v>11</v>
      </c>
      <c r="T6" s="88">
        <f>'Option1 (base case)'!T6</f>
        <v>12</v>
      </c>
      <c r="U6" s="88">
        <f>'Option1 (base case)'!U6</f>
        <v>13</v>
      </c>
      <c r="V6" s="88">
        <f>'Option1 (base case)'!V6</f>
        <v>14</v>
      </c>
      <c r="W6" s="88">
        <f>'Option1 (base case)'!W6</f>
        <v>15</v>
      </c>
      <c r="X6" s="88">
        <f>'Option1 (base case)'!X6</f>
        <v>16</v>
      </c>
      <c r="Y6" s="88">
        <f>'Option1 (base case)'!Y6</f>
        <v>17</v>
      </c>
      <c r="Z6" s="88">
        <f>'Option1 (base case)'!Z6</f>
        <v>18</v>
      </c>
      <c r="AA6" s="88">
        <f>'Option1 (base case)'!AA6</f>
        <v>19</v>
      </c>
      <c r="AB6" s="88">
        <f>'Option1 (base case)'!AB6</f>
        <v>20</v>
      </c>
      <c r="AC6" s="88">
        <f>'Option1 (base case)'!AC6</f>
        <v>21</v>
      </c>
      <c r="AD6" s="88">
        <f>'Option1 (base case)'!AD6</f>
        <v>22</v>
      </c>
      <c r="AE6" s="88">
        <f>'Option1 (base case)'!AE6</f>
        <v>23</v>
      </c>
      <c r="AF6" s="88">
        <f>'Option1 (base case)'!AF6</f>
        <v>24</v>
      </c>
      <c r="AG6" s="88">
        <f>'Option1 (base case)'!AG6</f>
        <v>25</v>
      </c>
    </row>
    <row r="7" spans="1:43" hidden="1" outlineLevel="1" x14ac:dyDescent="0.2">
      <c r="A7" s="85" t="str">
        <f>'Option1 (base case)'!A7</f>
        <v>Value of CO2 reductions</v>
      </c>
      <c r="B7" s="85"/>
      <c r="G7" s="139" t="s">
        <v>90</v>
      </c>
      <c r="I7" s="86">
        <f>'Option1 (base case)'!I7</f>
        <v>24.730486797759085</v>
      </c>
      <c r="J7" s="86">
        <f>'Option1 (base case)'!J7</f>
        <v>22.340740091772258</v>
      </c>
      <c r="K7" s="86">
        <f>'Option1 (base case)'!K7</f>
        <v>20.196329122153124</v>
      </c>
      <c r="L7" s="86">
        <f>'Option1 (base case)'!L7</f>
        <v>18.06294207659629</v>
      </c>
      <c r="M7" s="86">
        <f>'Option1 (base case)'!M7</f>
        <v>15.913397615084225</v>
      </c>
      <c r="N7" s="86">
        <f>'Option1 (base case)'!N7</f>
        <v>13.715069432539002</v>
      </c>
      <c r="O7" s="86">
        <f>'Option1 (base case)'!O7</f>
        <v>13.715069432539002</v>
      </c>
      <c r="P7" s="86">
        <f>'Option1 (base case)'!P7</f>
        <v>13.715069432539002</v>
      </c>
      <c r="Q7" s="86">
        <f>'Option1 (base case)'!Q7</f>
        <v>13.715069432539002</v>
      </c>
      <c r="R7" s="86">
        <f>'Option1 (base case)'!R7</f>
        <v>13.715069432539002</v>
      </c>
      <c r="S7" s="86">
        <f>'Option1 (base case)'!S7</f>
        <v>13.715069432539002</v>
      </c>
      <c r="T7" s="86">
        <f>'Option1 (base case)'!T7</f>
        <v>13.715069432539002</v>
      </c>
      <c r="U7" s="86">
        <f>'Option1 (base case)'!U7</f>
        <v>13.715069432539002</v>
      </c>
      <c r="V7" s="86">
        <f>'Option1 (base case)'!V7</f>
        <v>13.715069432539002</v>
      </c>
      <c r="W7" s="86">
        <f>'Option1 (base case)'!W7</f>
        <v>13.715069432539002</v>
      </c>
      <c r="X7" s="86">
        <f>'Option1 (base case)'!X7</f>
        <v>13.715069432539002</v>
      </c>
      <c r="Y7" s="86">
        <f>'Option1 (base case)'!Y7</f>
        <v>13.715069432539002</v>
      </c>
      <c r="Z7" s="86">
        <f>'Option1 (base case)'!Z7</f>
        <v>13.715069432539002</v>
      </c>
      <c r="AA7" s="86">
        <f>'Option1 (base case)'!AA7</f>
        <v>13.715069432539002</v>
      </c>
      <c r="AB7" s="86">
        <f>'Option1 (base case)'!AB7</f>
        <v>13.715069432539002</v>
      </c>
      <c r="AC7" s="86">
        <f>'Option1 (base case)'!AC7</f>
        <v>13.715069432539002</v>
      </c>
      <c r="AD7" s="86">
        <f>'Option1 (base case)'!AD7</f>
        <v>13.715069432539002</v>
      </c>
      <c r="AE7" s="86">
        <f>'Option1 (base case)'!AE7</f>
        <v>13.715069432539002</v>
      </c>
      <c r="AF7" s="86">
        <f>'Option1 (base case)'!AF7</f>
        <v>13.715069432539002</v>
      </c>
      <c r="AG7" s="86">
        <f>'Option1 (base case)'!AG7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6"/>
      <c r="B9" s="16"/>
      <c r="C9" s="16"/>
      <c r="D9" s="16"/>
      <c r="E9" s="16"/>
      <c r="F9" s="122"/>
      <c r="G9" s="16" t="s">
        <v>91</v>
      </c>
      <c r="H9" s="195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92</v>
      </c>
      <c r="B11" s="78"/>
      <c r="C11" s="79"/>
      <c r="D11" s="79"/>
      <c r="E11" s="79"/>
      <c r="F11" s="79"/>
      <c r="G11" s="18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</row>
    <row r="12" spans="1:43" x14ac:dyDescent="0.2">
      <c r="A12" s="3"/>
      <c r="B12" s="3"/>
      <c r="C12" s="3"/>
      <c r="D12" s="3"/>
      <c r="G12" s="181"/>
      <c r="AH12"/>
      <c r="AI12"/>
      <c r="AJ12"/>
      <c r="AK12"/>
    </row>
    <row r="13" spans="1:43" x14ac:dyDescent="0.2">
      <c r="C13" s="3" t="s">
        <v>85</v>
      </c>
      <c r="D13"/>
      <c r="E13" s="105" t="s">
        <v>93</v>
      </c>
      <c r="G13" s="182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94</v>
      </c>
      <c r="D14"/>
      <c r="E14" s="128">
        <v>0</v>
      </c>
      <c r="G14" s="183">
        <f>input_dollars</f>
        <v>45291</v>
      </c>
      <c r="H14" s="129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 t="s">
        <v>94</v>
      </c>
      <c r="D15"/>
      <c r="E15" s="128">
        <v>0</v>
      </c>
      <c r="G15" s="183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 t="s">
        <v>94</v>
      </c>
      <c r="D16"/>
      <c r="E16" s="128">
        <v>0</v>
      </c>
      <c r="G16" s="183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17</v>
      </c>
      <c r="G17" s="183">
        <f>input_dollars</f>
        <v>45291</v>
      </c>
      <c r="H17" s="94"/>
      <c r="I17" s="93">
        <f t="shared" ref="I17:Q17" si="0">SUM(I14:I16)</f>
        <v>0</v>
      </c>
      <c r="J17" s="93">
        <f t="shared" si="0"/>
        <v>0</v>
      </c>
      <c r="K17" s="93">
        <f>SUM(K14:K16)</f>
        <v>0</v>
      </c>
      <c r="L17" s="93">
        <f t="shared" si="0"/>
        <v>0</v>
      </c>
      <c r="M17" s="93">
        <f t="shared" si="0"/>
        <v>0</v>
      </c>
      <c r="N17" s="93">
        <f t="shared" si="0"/>
        <v>0</v>
      </c>
      <c r="O17" s="93">
        <f t="shared" si="0"/>
        <v>0</v>
      </c>
      <c r="P17" s="93">
        <f t="shared" si="0"/>
        <v>0</v>
      </c>
      <c r="Q17" s="93">
        <f t="shared" si="0"/>
        <v>0</v>
      </c>
      <c r="R17" s="93">
        <f t="shared" ref="R17:AG17" si="1">SUM(R14:R16)</f>
        <v>0</v>
      </c>
      <c r="S17" s="93">
        <f t="shared" si="1"/>
        <v>0</v>
      </c>
      <c r="T17" s="93">
        <f t="shared" si="1"/>
        <v>0</v>
      </c>
      <c r="U17" s="93">
        <f t="shared" si="1"/>
        <v>0</v>
      </c>
      <c r="V17" s="93">
        <f t="shared" si="1"/>
        <v>0</v>
      </c>
      <c r="W17" s="93">
        <f t="shared" si="1"/>
        <v>0</v>
      </c>
      <c r="X17" s="93">
        <f t="shared" si="1"/>
        <v>0</v>
      </c>
      <c r="Y17" s="93">
        <f t="shared" si="1"/>
        <v>0</v>
      </c>
      <c r="Z17" s="93">
        <f t="shared" si="1"/>
        <v>0</v>
      </c>
      <c r="AA17" s="93">
        <f t="shared" si="1"/>
        <v>0</v>
      </c>
      <c r="AB17" s="93">
        <f t="shared" si="1"/>
        <v>0</v>
      </c>
      <c r="AC17" s="93">
        <f t="shared" si="1"/>
        <v>0</v>
      </c>
      <c r="AD17" s="93">
        <f t="shared" si="1"/>
        <v>0</v>
      </c>
      <c r="AE17" s="93">
        <f t="shared" si="1"/>
        <v>0</v>
      </c>
      <c r="AF17" s="93">
        <f t="shared" si="1"/>
        <v>0</v>
      </c>
      <c r="AG17" s="93">
        <f t="shared" si="1"/>
        <v>0</v>
      </c>
      <c r="AH17"/>
      <c r="AI17"/>
      <c r="AJ17"/>
      <c r="AK17"/>
    </row>
    <row r="18" spans="1:43" x14ac:dyDescent="0.2">
      <c r="C18"/>
      <c r="D18"/>
      <c r="E18"/>
      <c r="G18" s="182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18</v>
      </c>
      <c r="D19"/>
      <c r="E19"/>
      <c r="F19" s="94"/>
      <c r="G19" s="183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117">
        <v>0</v>
      </c>
      <c r="S19" s="117">
        <v>0</v>
      </c>
      <c r="T19" s="117">
        <v>0</v>
      </c>
      <c r="U19" s="117">
        <v>0</v>
      </c>
      <c r="V19" s="117">
        <v>0</v>
      </c>
      <c r="W19" s="117">
        <v>0</v>
      </c>
      <c r="X19" s="117">
        <v>0</v>
      </c>
      <c r="Y19" s="117">
        <v>0</v>
      </c>
      <c r="Z19" s="117">
        <v>0</v>
      </c>
      <c r="AA19" s="117">
        <v>0</v>
      </c>
      <c r="AB19" s="117">
        <v>0</v>
      </c>
      <c r="AC19" s="117">
        <v>0</v>
      </c>
      <c r="AD19" s="117">
        <v>0</v>
      </c>
      <c r="AE19" s="117">
        <v>0</v>
      </c>
      <c r="AF19" s="117">
        <v>0</v>
      </c>
      <c r="AG19" s="117">
        <v>0</v>
      </c>
      <c r="AH19"/>
      <c r="AI19"/>
      <c r="AJ19"/>
      <c r="AK19"/>
    </row>
    <row r="20" spans="1:43" x14ac:dyDescent="0.2">
      <c r="G20" s="181"/>
      <c r="AH20"/>
      <c r="AI20"/>
      <c r="AJ20"/>
      <c r="AK20"/>
    </row>
    <row r="21" spans="1:43" x14ac:dyDescent="0.2">
      <c r="C21"/>
      <c r="D21"/>
      <c r="E21"/>
      <c r="G21" s="182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95</v>
      </c>
      <c r="B22" s="78"/>
      <c r="C22" s="78"/>
      <c r="D22" s="78"/>
      <c r="E22" s="78"/>
      <c r="F22" s="78"/>
      <c r="G22" s="180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4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96</v>
      </c>
      <c r="D24" s="98"/>
      <c r="E24" s="98"/>
      <c r="F24" s="98"/>
      <c r="G24" s="184"/>
      <c r="H24" s="98"/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48">
        <v>0</v>
      </c>
      <c r="P24" s="148">
        <v>0</v>
      </c>
      <c r="Q24" s="148">
        <v>0</v>
      </c>
      <c r="R24" s="148">
        <v>0</v>
      </c>
      <c r="S24" s="148">
        <v>0</v>
      </c>
      <c r="T24" s="148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  <c r="AG24" s="148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97</v>
      </c>
      <c r="D25" s="184"/>
      <c r="E25" s="98"/>
      <c r="F25" s="98"/>
      <c r="G25" s="184"/>
      <c r="H25" s="98"/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48">
        <v>0</v>
      </c>
      <c r="P25" s="148">
        <v>0</v>
      </c>
      <c r="Q25" s="148">
        <v>0</v>
      </c>
      <c r="R25" s="148">
        <v>0</v>
      </c>
      <c r="S25" s="148">
        <v>0</v>
      </c>
      <c r="T25" s="148">
        <v>0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E25" s="148">
        <v>0</v>
      </c>
      <c r="AF25" s="148">
        <v>0</v>
      </c>
      <c r="AG25" s="148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4"/>
      <c r="E26" s="98"/>
      <c r="F26" s="98"/>
      <c r="G26" s="184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98</v>
      </c>
      <c r="D27" s="181"/>
      <c r="E27"/>
      <c r="G27" s="183" t="s">
        <v>99</v>
      </c>
      <c r="H27"/>
      <c r="I27" s="147">
        <v>0</v>
      </c>
      <c r="J27" s="147">
        <v>0</v>
      </c>
      <c r="K27" s="147">
        <v>0</v>
      </c>
      <c r="L27" s="147">
        <v>0</v>
      </c>
      <c r="M27" s="147">
        <v>0</v>
      </c>
      <c r="N27" s="147">
        <v>0</v>
      </c>
      <c r="O27" s="147">
        <v>0</v>
      </c>
      <c r="P27" s="147">
        <v>0</v>
      </c>
      <c r="Q27" s="147">
        <v>0</v>
      </c>
      <c r="R27" s="147">
        <v>0</v>
      </c>
      <c r="S27" s="147">
        <v>0</v>
      </c>
      <c r="T27" s="147">
        <v>0</v>
      </c>
      <c r="U27" s="147">
        <v>0</v>
      </c>
      <c r="V27" s="147">
        <v>0</v>
      </c>
      <c r="W27" s="147">
        <v>0</v>
      </c>
      <c r="X27" s="147">
        <v>0</v>
      </c>
      <c r="Y27" s="147">
        <v>0</v>
      </c>
      <c r="Z27" s="147">
        <v>0</v>
      </c>
      <c r="AA27" s="147">
        <v>0</v>
      </c>
      <c r="AB27" s="147">
        <v>0</v>
      </c>
      <c r="AC27" s="147">
        <v>0</v>
      </c>
      <c r="AD27" s="147">
        <v>0</v>
      </c>
      <c r="AE27" s="147">
        <v>0</v>
      </c>
      <c r="AF27" s="147">
        <v>0</v>
      </c>
      <c r="AG27" s="147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100</v>
      </c>
      <c r="D28" s="181" t="s">
        <v>90</v>
      </c>
      <c r="E28" s="100">
        <f>Assumptions!H41*vcr_esc</f>
        <v>34455.236243920997</v>
      </c>
      <c r="F28" s="213" t="str">
        <f>IF(AND(SUM(I27:AG27)&lt;&gt;0, E28=0), "!", "")</f>
        <v/>
      </c>
      <c r="G28" s="183">
        <f>input_dollars</f>
        <v>45291</v>
      </c>
      <c r="H28"/>
      <c r="I28" s="92">
        <f>I27*$E$28</f>
        <v>0</v>
      </c>
      <c r="J28" s="92">
        <f t="shared" ref="J28:AG28" si="2">J27*$E$28</f>
        <v>0</v>
      </c>
      <c r="K28" s="92">
        <f t="shared" si="2"/>
        <v>0</v>
      </c>
      <c r="L28" s="92">
        <f t="shared" si="2"/>
        <v>0</v>
      </c>
      <c r="M28" s="92">
        <f t="shared" si="2"/>
        <v>0</v>
      </c>
      <c r="N28" s="92">
        <f t="shared" si="2"/>
        <v>0</v>
      </c>
      <c r="O28" s="92">
        <f t="shared" si="2"/>
        <v>0</v>
      </c>
      <c r="P28" s="92">
        <f t="shared" si="2"/>
        <v>0</v>
      </c>
      <c r="Q28" s="92">
        <f t="shared" si="2"/>
        <v>0</v>
      </c>
      <c r="R28" s="92">
        <f t="shared" si="2"/>
        <v>0</v>
      </c>
      <c r="S28" s="92">
        <f t="shared" si="2"/>
        <v>0</v>
      </c>
      <c r="T28" s="92">
        <f t="shared" si="2"/>
        <v>0</v>
      </c>
      <c r="U28" s="92">
        <f t="shared" si="2"/>
        <v>0</v>
      </c>
      <c r="V28" s="92">
        <f t="shared" si="2"/>
        <v>0</v>
      </c>
      <c r="W28" s="92">
        <f t="shared" si="2"/>
        <v>0</v>
      </c>
      <c r="X28" s="92">
        <f t="shared" si="2"/>
        <v>0</v>
      </c>
      <c r="Y28" s="92">
        <f t="shared" si="2"/>
        <v>0</v>
      </c>
      <c r="Z28" s="92">
        <f t="shared" si="2"/>
        <v>0</v>
      </c>
      <c r="AA28" s="92">
        <f t="shared" si="2"/>
        <v>0</v>
      </c>
      <c r="AB28" s="92">
        <f t="shared" si="2"/>
        <v>0</v>
      </c>
      <c r="AC28" s="92">
        <f t="shared" si="2"/>
        <v>0</v>
      </c>
      <c r="AD28" s="92">
        <f t="shared" si="2"/>
        <v>0</v>
      </c>
      <c r="AE28" s="92">
        <f t="shared" si="2"/>
        <v>0</v>
      </c>
      <c r="AF28" s="92">
        <f t="shared" si="2"/>
        <v>0</v>
      </c>
      <c r="AG28" s="92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2"/>
      <c r="E29"/>
      <c r="G29" s="183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101</v>
      </c>
      <c r="D30" s="181" t="s">
        <v>102</v>
      </c>
      <c r="G30" s="183">
        <f>input_dollars</f>
        <v>45291</v>
      </c>
      <c r="H30" s="129"/>
      <c r="I30" s="149" cm="1">
        <f t="array" ref="I30">SUMPRODUCT((Assumptions!$H$70:$H$71)*(Assumptions!$G$70:$G$71)*(Assumptions!$I$70:$I$71)*(I$24:I$25))</f>
        <v>0</v>
      </c>
      <c r="J30" s="149" cm="1">
        <f t="array" ref="J30">SUMPRODUCT((Assumptions!$H$70:$H$71)*(Assumptions!$G$70:$G$71)*(Assumptions!$I$70:$I$71)*(J$24:J$25))</f>
        <v>0</v>
      </c>
      <c r="K30" s="149" cm="1">
        <f t="array" ref="K30">SUMPRODUCT((Assumptions!$H$70:$H$71)*(Assumptions!$G$70:$G$71)*(Assumptions!$I$70:$I$71)*(K$24:K$25))</f>
        <v>0</v>
      </c>
      <c r="L30" s="149" cm="1">
        <f t="array" ref="L30">SUMPRODUCT((Assumptions!$H$70:$H$71)*(Assumptions!$G$70:$G$71)*(Assumptions!$I$70:$I$71)*(L$24:L$25))</f>
        <v>0</v>
      </c>
      <c r="M30" s="149" cm="1">
        <f t="array" ref="M30">SUMPRODUCT((Assumptions!$H$70:$H$71)*(Assumptions!$G$70:$G$71)*(Assumptions!$I$70:$I$71)*(M$24:M$25))</f>
        <v>0</v>
      </c>
      <c r="N30" s="149" cm="1">
        <f t="array" ref="N30">SUMPRODUCT((Assumptions!$H$70:$H$71)*(Assumptions!$G$70:$G$71)*(Assumptions!$I$70:$I$71)*(N$24:N$25))</f>
        <v>0</v>
      </c>
      <c r="O30" s="149" cm="1">
        <f t="array" ref="O30">SUMPRODUCT((Assumptions!$H$70:$H$71)*(Assumptions!$G$70:$G$71)*(Assumptions!$I$70:$I$71)*(O$24:O$25))</f>
        <v>0</v>
      </c>
      <c r="P30" s="149" cm="1">
        <f t="array" ref="P30">SUMPRODUCT((Assumptions!$H$70:$H$71)*(Assumptions!$G$70:$G$71)*(Assumptions!$I$70:$I$71)*(P$24:P$25))</f>
        <v>0</v>
      </c>
      <c r="Q30" s="149" cm="1">
        <f t="array" ref="Q30">SUMPRODUCT((Assumptions!$H$70:$H$71)*(Assumptions!$G$70:$G$71)*(Assumptions!$I$70:$I$71)*(Q$24:Q$25))</f>
        <v>0</v>
      </c>
      <c r="R30" s="149" cm="1">
        <f t="array" ref="R30">SUMPRODUCT((Assumptions!$H$70:$H$71)*(Assumptions!$G$70:$G$71)*(Assumptions!$I$70:$I$71)*(R$24:R$25))</f>
        <v>0</v>
      </c>
      <c r="S30" s="149" cm="1">
        <f t="array" ref="S30">SUMPRODUCT((Assumptions!$H$70:$H$71)*(Assumptions!$G$70:$G$71)*(Assumptions!$I$70:$I$71)*(S$24:S$25))</f>
        <v>0</v>
      </c>
      <c r="T30" s="149" cm="1">
        <f t="array" ref="T30">SUMPRODUCT((Assumptions!$H$70:$H$71)*(Assumptions!$G$70:$G$71)*(Assumptions!$I$70:$I$71)*(T$24:T$25))</f>
        <v>0</v>
      </c>
      <c r="U30" s="149" cm="1">
        <f t="array" ref="U30">SUMPRODUCT((Assumptions!$H$70:$H$71)*(Assumptions!$G$70:$G$71)*(Assumptions!$I$70:$I$71)*(U$24:U$25))</f>
        <v>0</v>
      </c>
      <c r="V30" s="149" cm="1">
        <f t="array" ref="V30">SUMPRODUCT((Assumptions!$H$70:$H$71)*(Assumptions!$G$70:$G$71)*(Assumptions!$I$70:$I$71)*(V$24:V$25))</f>
        <v>0</v>
      </c>
      <c r="W30" s="149" cm="1">
        <f t="array" ref="W30">SUMPRODUCT((Assumptions!$H$70:$H$71)*(Assumptions!$G$70:$G$71)*(Assumptions!$I$70:$I$71)*(W$24:W$25))</f>
        <v>0</v>
      </c>
      <c r="X30" s="149" cm="1">
        <f t="array" ref="X30">SUMPRODUCT((Assumptions!$H$70:$H$71)*(Assumptions!$G$70:$G$71)*(Assumptions!$I$70:$I$71)*(X$24:X$25))</f>
        <v>0</v>
      </c>
      <c r="Y30" s="149" cm="1">
        <f t="array" ref="Y30">SUMPRODUCT((Assumptions!$H$70:$H$71)*(Assumptions!$G$70:$G$71)*(Assumptions!$I$70:$I$71)*(Y$24:Y$25))</f>
        <v>0</v>
      </c>
      <c r="Z30" s="149" cm="1">
        <f t="array" ref="Z30">SUMPRODUCT((Assumptions!$H$70:$H$71)*(Assumptions!$G$70:$G$71)*(Assumptions!$I$70:$I$71)*(Z$24:Z$25))</f>
        <v>0</v>
      </c>
      <c r="AA30" s="149" cm="1">
        <f t="array" ref="AA30">SUMPRODUCT((Assumptions!$H$70:$H$71)*(Assumptions!$G$70:$G$71)*(Assumptions!$I$70:$I$71)*(AA$24:AA$25))</f>
        <v>0</v>
      </c>
      <c r="AB30" s="149" cm="1">
        <f t="array" ref="AB30">SUMPRODUCT((Assumptions!$H$70:$H$71)*(Assumptions!$G$70:$G$71)*(Assumptions!$I$70:$I$71)*(AB$24:AB$25))</f>
        <v>0</v>
      </c>
      <c r="AC30" s="149" cm="1">
        <f t="array" ref="AC30">SUMPRODUCT((Assumptions!$H$70:$H$71)*(Assumptions!$G$70:$G$71)*(Assumptions!$I$70:$I$71)*(AC$24:AC$25))</f>
        <v>0</v>
      </c>
      <c r="AD30" s="149" cm="1">
        <f t="array" ref="AD30">SUMPRODUCT((Assumptions!$H$70:$H$71)*(Assumptions!$G$70:$G$71)*(Assumptions!$I$70:$I$71)*(AD$24:AD$25))</f>
        <v>0</v>
      </c>
      <c r="AE30" s="149" cm="1">
        <f t="array" ref="AE30">SUMPRODUCT((Assumptions!$H$70:$H$71)*(Assumptions!$G$70:$G$71)*(Assumptions!$I$70:$I$71)*(AE$24:AE$25))</f>
        <v>0</v>
      </c>
      <c r="AF30" s="149" cm="1">
        <f t="array" ref="AF30">SUMPRODUCT((Assumptions!$H$70:$H$71)*(Assumptions!$G$70:$G$71)*(Assumptions!$I$70:$I$71)*(AF$24:AF$25))</f>
        <v>0</v>
      </c>
      <c r="AG30" s="149" cm="1">
        <f t="array" ref="AG30">SUMPRODUCT((Assumptions!$H$70:$H$71)*(Assumptions!$G$70:$G$71)*(Assumptions!$I$70:$I$71)*(AG$24:AG$25))</f>
        <v>0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103</v>
      </c>
      <c r="D31" s="182"/>
      <c r="E31"/>
      <c r="G31" s="183">
        <f>input_dollars</f>
        <v>45291</v>
      </c>
      <c r="H31" s="129"/>
      <c r="I31" s="149" cm="1">
        <f t="array" ref="I31">(1+Assumptions!$G$81)*SUMPRODUCT((Assumptions!$G$78:$G$79)*(I$24:I$25))</f>
        <v>0</v>
      </c>
      <c r="J31" s="149" cm="1">
        <f t="array" ref="J31">(1+Assumptions!$G$81)*SUMPRODUCT((Assumptions!$G$78:$G$79)*(J$24:J$25))</f>
        <v>0</v>
      </c>
      <c r="K31" s="149" cm="1">
        <f t="array" ref="K31">(1+Assumptions!$G$81)*SUMPRODUCT((Assumptions!$G$78:$G$79)*(K$24:K$25))</f>
        <v>0</v>
      </c>
      <c r="L31" s="149" cm="1">
        <f t="array" ref="L31">(1+Assumptions!$G$81)*SUMPRODUCT((Assumptions!$G$78:$G$79)*(L$24:L$25))</f>
        <v>0</v>
      </c>
      <c r="M31" s="149" cm="1">
        <f t="array" ref="M31">(1+Assumptions!$G$81)*SUMPRODUCT((Assumptions!$G$78:$G$79)*(M$24:M$25))</f>
        <v>0</v>
      </c>
      <c r="N31" s="149" cm="1">
        <f t="array" ref="N31">(1+Assumptions!$G$81)*SUMPRODUCT((Assumptions!$G$78:$G$79)*(N$24:N$25))</f>
        <v>0</v>
      </c>
      <c r="O31" s="149" cm="1">
        <f t="array" ref="O31">(1+Assumptions!$G$81)*SUMPRODUCT((Assumptions!$G$78:$G$79)*(O$24:O$25))</f>
        <v>0</v>
      </c>
      <c r="P31" s="149" cm="1">
        <f t="array" ref="P31">(1+Assumptions!$G$81)*SUMPRODUCT((Assumptions!$G$78:$G$79)*(P$24:P$25))</f>
        <v>0</v>
      </c>
      <c r="Q31" s="149" cm="1">
        <f t="array" ref="Q31">(1+Assumptions!$G$81)*SUMPRODUCT((Assumptions!$G$78:$G$79)*(Q$24:Q$25))</f>
        <v>0</v>
      </c>
      <c r="R31" s="149" cm="1">
        <f t="array" ref="R31">(1+Assumptions!$G$81)*SUMPRODUCT((Assumptions!$G$78:$G$79)*(R$24:R$25))</f>
        <v>0</v>
      </c>
      <c r="S31" s="149" cm="1">
        <f t="array" ref="S31">(1+Assumptions!$G$81)*SUMPRODUCT((Assumptions!$G$78:$G$79)*(S$24:S$25))</f>
        <v>0</v>
      </c>
      <c r="T31" s="149" cm="1">
        <f t="array" ref="T31">(1+Assumptions!$G$81)*SUMPRODUCT((Assumptions!$G$78:$G$79)*(T$24:T$25))</f>
        <v>0</v>
      </c>
      <c r="U31" s="149" cm="1">
        <f t="array" ref="U31">(1+Assumptions!$G$81)*SUMPRODUCT((Assumptions!$G$78:$G$79)*(U$24:U$25))</f>
        <v>0</v>
      </c>
      <c r="V31" s="149" cm="1">
        <f t="array" ref="V31">(1+Assumptions!$G$81)*SUMPRODUCT((Assumptions!$G$78:$G$79)*(V$24:V$25))</f>
        <v>0</v>
      </c>
      <c r="W31" s="149" cm="1">
        <f t="array" ref="W31">(1+Assumptions!$G$81)*SUMPRODUCT((Assumptions!$G$78:$G$79)*(W$24:W$25))</f>
        <v>0</v>
      </c>
      <c r="X31" s="149" cm="1">
        <f t="array" ref="X31">(1+Assumptions!$G$81)*SUMPRODUCT((Assumptions!$G$78:$G$79)*(X$24:X$25))</f>
        <v>0</v>
      </c>
      <c r="Y31" s="149" cm="1">
        <f t="array" ref="Y31">(1+Assumptions!$G$81)*SUMPRODUCT((Assumptions!$G$78:$G$79)*(Y$24:Y$25))</f>
        <v>0</v>
      </c>
      <c r="Z31" s="149" cm="1">
        <f t="array" ref="Z31">(1+Assumptions!$G$81)*SUMPRODUCT((Assumptions!$G$78:$G$79)*(Z$24:Z$25))</f>
        <v>0</v>
      </c>
      <c r="AA31" s="149" cm="1">
        <f t="array" ref="AA31">(1+Assumptions!$G$81)*SUMPRODUCT((Assumptions!$G$78:$G$79)*(AA$24:AA$25))</f>
        <v>0</v>
      </c>
      <c r="AB31" s="149" cm="1">
        <f t="array" ref="AB31">(1+Assumptions!$G$81)*SUMPRODUCT((Assumptions!$G$78:$G$79)*(AB$24:AB$25))</f>
        <v>0</v>
      </c>
      <c r="AC31" s="149" cm="1">
        <f t="array" ref="AC31">(1+Assumptions!$G$81)*SUMPRODUCT((Assumptions!$G$78:$G$79)*(AC$24:AC$25))</f>
        <v>0</v>
      </c>
      <c r="AD31" s="149" cm="1">
        <f t="array" ref="AD31">(1+Assumptions!$G$81)*SUMPRODUCT((Assumptions!$G$78:$G$79)*(AD$24:AD$25))</f>
        <v>0</v>
      </c>
      <c r="AE31" s="149" cm="1">
        <f t="array" ref="AE31">(1+Assumptions!$G$81)*SUMPRODUCT((Assumptions!$G$78:$G$79)*(AE$24:AE$25))</f>
        <v>0</v>
      </c>
      <c r="AF31" s="149" cm="1">
        <f t="array" ref="AF31">(1+Assumptions!$G$81)*SUMPRODUCT((Assumptions!$G$78:$G$79)*(AF$24:AF$25))</f>
        <v>0</v>
      </c>
      <c r="AG31" s="149" cm="1">
        <f t="array" ref="AG31">(1+Assumptions!$G$81)*SUMPRODUCT((Assumptions!$G$78:$G$79)*(AG$24:AG$25))</f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104</v>
      </c>
      <c r="D32" s="181" t="s">
        <v>102</v>
      </c>
      <c r="E32"/>
      <c r="G32" s="183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117">
        <v>0</v>
      </c>
      <c r="S32" s="117">
        <v>0</v>
      </c>
      <c r="T32" s="117">
        <v>0</v>
      </c>
      <c r="U32" s="117">
        <v>0</v>
      </c>
      <c r="V32" s="117">
        <v>0</v>
      </c>
      <c r="W32" s="117">
        <v>0</v>
      </c>
      <c r="X32" s="117">
        <v>0</v>
      </c>
      <c r="Y32" s="117">
        <v>0</v>
      </c>
      <c r="Z32" s="117">
        <v>0</v>
      </c>
      <c r="AA32" s="117">
        <v>0</v>
      </c>
      <c r="AB32" s="117">
        <v>0</v>
      </c>
      <c r="AC32" s="117">
        <v>0</v>
      </c>
      <c r="AD32" s="117">
        <v>0</v>
      </c>
      <c r="AE32" s="117">
        <v>0</v>
      </c>
      <c r="AF32" s="117">
        <v>0</v>
      </c>
      <c r="AG32" s="117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51" t="s">
        <v>105</v>
      </c>
      <c r="D33" s="194"/>
      <c r="E33"/>
      <c r="G33" s="183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117">
        <v>0</v>
      </c>
      <c r="S33" s="117">
        <v>0</v>
      </c>
      <c r="T33" s="117">
        <v>0</v>
      </c>
      <c r="U33" s="117">
        <v>0</v>
      </c>
      <c r="V33" s="117">
        <v>0</v>
      </c>
      <c r="W33" s="117">
        <v>0</v>
      </c>
      <c r="X33" s="117">
        <v>0</v>
      </c>
      <c r="Y33" s="117">
        <v>0</v>
      </c>
      <c r="Z33" s="117">
        <v>0</v>
      </c>
      <c r="AA33" s="117">
        <v>0</v>
      </c>
      <c r="AB33" s="117">
        <v>0</v>
      </c>
      <c r="AC33" s="117">
        <v>0</v>
      </c>
      <c r="AD33" s="117">
        <v>0</v>
      </c>
      <c r="AE33" s="117">
        <v>0</v>
      </c>
      <c r="AF33" s="117">
        <v>0</v>
      </c>
      <c r="AG33" s="117">
        <v>0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242" t="s">
        <v>106</v>
      </c>
      <c r="D34" s="182"/>
      <c r="E34"/>
      <c r="G34" s="183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2"/>
      <c r="E35"/>
      <c r="G35" s="183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5</v>
      </c>
      <c r="D36" s="193"/>
      <c r="E36" s="94"/>
      <c r="F36" s="3"/>
      <c r="G36" s="185"/>
      <c r="H36" s="94"/>
      <c r="I36" s="95">
        <f>SUM(I28:I34)</f>
        <v>0</v>
      </c>
      <c r="J36" s="95">
        <f t="shared" ref="J36:AG36" si="3">SUM(J28:J34)</f>
        <v>0</v>
      </c>
      <c r="K36" s="95">
        <f t="shared" si="3"/>
        <v>0</v>
      </c>
      <c r="L36" s="95">
        <f t="shared" si="3"/>
        <v>0</v>
      </c>
      <c r="M36" s="95">
        <f t="shared" si="3"/>
        <v>0</v>
      </c>
      <c r="N36" s="95">
        <f t="shared" si="3"/>
        <v>0</v>
      </c>
      <c r="O36" s="95">
        <f t="shared" si="3"/>
        <v>0</v>
      </c>
      <c r="P36" s="95">
        <f t="shared" si="3"/>
        <v>0</v>
      </c>
      <c r="Q36" s="95">
        <f t="shared" si="3"/>
        <v>0</v>
      </c>
      <c r="R36" s="95">
        <f t="shared" si="3"/>
        <v>0</v>
      </c>
      <c r="S36" s="95">
        <f t="shared" si="3"/>
        <v>0</v>
      </c>
      <c r="T36" s="95">
        <f t="shared" si="3"/>
        <v>0</v>
      </c>
      <c r="U36" s="95">
        <f t="shared" si="3"/>
        <v>0</v>
      </c>
      <c r="V36" s="95">
        <f t="shared" si="3"/>
        <v>0</v>
      </c>
      <c r="W36" s="95">
        <f t="shared" si="3"/>
        <v>0</v>
      </c>
      <c r="X36" s="95">
        <f t="shared" si="3"/>
        <v>0</v>
      </c>
      <c r="Y36" s="95">
        <f t="shared" si="3"/>
        <v>0</v>
      </c>
      <c r="Z36" s="95">
        <f t="shared" si="3"/>
        <v>0</v>
      </c>
      <c r="AA36" s="95">
        <f t="shared" si="3"/>
        <v>0</v>
      </c>
      <c r="AB36" s="95">
        <f t="shared" si="3"/>
        <v>0</v>
      </c>
      <c r="AC36" s="95">
        <f t="shared" si="3"/>
        <v>0</v>
      </c>
      <c r="AD36" s="95">
        <f t="shared" si="3"/>
        <v>0</v>
      </c>
      <c r="AE36" s="95">
        <f t="shared" si="3"/>
        <v>0</v>
      </c>
      <c r="AF36" s="95">
        <f t="shared" si="3"/>
        <v>0</v>
      </c>
      <c r="AG36" s="95">
        <f t="shared" si="3"/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3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107</v>
      </c>
      <c r="B38" s="78"/>
      <c r="C38" s="78"/>
      <c r="D38" s="78"/>
      <c r="E38" s="78"/>
      <c r="F38" s="78"/>
      <c r="G38" s="180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3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3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108</v>
      </c>
      <c r="G41" s="181" t="s">
        <v>99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  <c r="AI41"/>
      <c r="AJ41"/>
      <c r="AK41"/>
    </row>
    <row r="42" spans="1:16372" ht="13.5" x14ac:dyDescent="0.25">
      <c r="C42" s="1" t="s">
        <v>109</v>
      </c>
      <c r="G42" s="181" t="s">
        <v>110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  <c r="AH42"/>
      <c r="AI42"/>
      <c r="AJ42"/>
      <c r="AK42"/>
    </row>
    <row r="43" spans="1:16372" x14ac:dyDescent="0.2">
      <c r="D43"/>
      <c r="E43"/>
      <c r="G43" s="18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2"/>
      <c r="E44"/>
      <c r="G44" s="183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111</v>
      </c>
      <c r="D45" s="181" t="s">
        <v>90</v>
      </c>
      <c r="E45" s="100">
        <v>0</v>
      </c>
      <c r="G45" s="183" t="s">
        <v>99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112</v>
      </c>
      <c r="D46" s="181" t="s">
        <v>90</v>
      </c>
      <c r="E46" s="100">
        <v>0</v>
      </c>
      <c r="G46" s="183" t="s">
        <v>99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113</v>
      </c>
      <c r="D47" s="181" t="s">
        <v>90</v>
      </c>
      <c r="E47" s="99">
        <v>0</v>
      </c>
      <c r="G47" s="183" t="s">
        <v>99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114</v>
      </c>
      <c r="D48" s="181" t="s">
        <v>115</v>
      </c>
      <c r="E48" s="99">
        <v>0</v>
      </c>
      <c r="G48" s="183" t="s">
        <v>116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117</v>
      </c>
      <c r="D49" s="181" t="s">
        <v>118</v>
      </c>
      <c r="E49" s="99">
        <v>0</v>
      </c>
      <c r="G49" s="183" t="s">
        <v>119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120</v>
      </c>
      <c r="D50" s="181" t="s">
        <v>118</v>
      </c>
      <c r="E50" s="99">
        <v>0</v>
      </c>
      <c r="G50" s="183" t="s">
        <v>119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121</v>
      </c>
      <c r="D51" s="181" t="s">
        <v>115</v>
      </c>
      <c r="E51" s="99">
        <v>0</v>
      </c>
      <c r="G51" s="183" t="s">
        <v>116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122</v>
      </c>
      <c r="D52" s="181" t="s">
        <v>115</v>
      </c>
      <c r="E52" s="99">
        <v>0</v>
      </c>
      <c r="G52" s="183" t="s">
        <v>116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81"/>
      <c r="G53" s="183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123</v>
      </c>
      <c r="D54" s="181"/>
      <c r="G54" s="183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124</v>
      </c>
      <c r="D55" s="181"/>
      <c r="G55" s="183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81"/>
      <c r="G56" s="181"/>
    </row>
    <row r="57" spans="1:43" x14ac:dyDescent="0.2">
      <c r="C57" s="3" t="s">
        <v>125</v>
      </c>
      <c r="D57" s="193"/>
      <c r="E57" s="94"/>
      <c r="F57" s="3"/>
      <c r="G57" s="186">
        <f>input_dollars</f>
        <v>45291</v>
      </c>
      <c r="H57" s="94"/>
      <c r="I57" s="149" cm="1">
        <f t="array" ref="I57">SUMPRODUCT((I$45:I$52)*($E$45:$E$52))+SUM(I54:I55)+I42</f>
        <v>0</v>
      </c>
      <c r="J57" s="149" cm="1">
        <f t="array" ref="J57">SUMPRODUCT((J$45:J$52)*($E$45:$E$52))+SUM(J54:J55)+J42</f>
        <v>0</v>
      </c>
      <c r="K57" s="149" cm="1">
        <f t="array" ref="K57">SUMPRODUCT((K$45:K$52)*($E$45:$E$52))+SUM(K54:K55)+K42</f>
        <v>0</v>
      </c>
      <c r="L57" s="149" cm="1">
        <f t="array" ref="L57">SUMPRODUCT((L$45:L$52)*($E$45:$E$52))+SUM(L54:L55)+L42</f>
        <v>0</v>
      </c>
      <c r="M57" s="149" cm="1">
        <f t="array" ref="M57">SUMPRODUCT((M$45:M$52)*($E$45:$E$52))+SUM(M54:M55)+M42</f>
        <v>0</v>
      </c>
      <c r="N57" s="149" cm="1">
        <f t="array" ref="N57">SUMPRODUCT((N$45:N$52)*($E$45:$E$52))+SUM(N54:N55)+N42</f>
        <v>0</v>
      </c>
      <c r="O57" s="149" cm="1">
        <f t="array" ref="O57">SUMPRODUCT((O$45:O$52)*($E$45:$E$52))+SUM(O54:O55)+O42</f>
        <v>0</v>
      </c>
      <c r="P57" s="149" cm="1">
        <f t="array" ref="P57">SUMPRODUCT((P$45:P$52)*($E$45:$E$52))+SUM(P54:P55)+P42</f>
        <v>0</v>
      </c>
      <c r="Q57" s="149" cm="1">
        <f t="array" ref="Q57">SUMPRODUCT((Q$45:Q$52)*($E$45:$E$52))+SUM(Q54:Q55)+Q42</f>
        <v>0</v>
      </c>
      <c r="R57" s="149" cm="1">
        <f t="array" ref="R57">SUMPRODUCT((R$45:R$52)*($E$45:$E$52))+SUM(R54:R55)+R42</f>
        <v>0</v>
      </c>
      <c r="S57" s="149" cm="1">
        <f t="array" ref="S57">SUMPRODUCT((S$45:S$52)*($E$45:$E$52))+SUM(S54:S55)+S42</f>
        <v>0</v>
      </c>
      <c r="T57" s="149" cm="1">
        <f t="array" ref="T57">SUMPRODUCT((T$45:T$52)*($E$45:$E$52))+SUM(T54:T55)+T42</f>
        <v>0</v>
      </c>
      <c r="U57" s="149" cm="1">
        <f t="array" ref="U57">SUMPRODUCT((U$45:U$52)*($E$45:$E$52))+SUM(U54:U55)+U42</f>
        <v>0</v>
      </c>
      <c r="V57" s="149" cm="1">
        <f t="array" ref="V57">SUMPRODUCT((V$45:V$52)*($E$45:$E$52))+SUM(V54:V55)+V42</f>
        <v>0</v>
      </c>
      <c r="W57" s="149" cm="1">
        <f t="array" ref="W57">SUMPRODUCT((W$45:W$52)*($E$45:$E$52))+SUM(W54:W55)+W42</f>
        <v>0</v>
      </c>
      <c r="X57" s="149" cm="1">
        <f t="array" ref="X57">SUMPRODUCT((X$45:X$52)*($E$45:$E$52))+SUM(X54:X55)+X42</f>
        <v>0</v>
      </c>
      <c r="Y57" s="149" cm="1">
        <f t="array" ref="Y57">SUMPRODUCT((Y$45:Y$52)*($E$45:$E$52))+SUM(Y54:Y55)+Y42</f>
        <v>0</v>
      </c>
      <c r="Z57" s="149" cm="1">
        <f t="array" ref="Z57">SUMPRODUCT((Z$45:Z$52)*($E$45:$E$52))+SUM(Z54:Z55)+Z42</f>
        <v>0</v>
      </c>
      <c r="AA57" s="149" cm="1">
        <f t="array" ref="AA57">SUMPRODUCT((AA$45:AA$52)*($E$45:$E$52))+SUM(AA54:AA55)+AA42</f>
        <v>0</v>
      </c>
      <c r="AB57" s="149" cm="1">
        <f t="array" ref="AB57">SUMPRODUCT((AB$45:AB$52)*($E$45:$E$52))+SUM(AB54:AB55)+AB42</f>
        <v>0</v>
      </c>
      <c r="AC57" s="149" cm="1">
        <f t="array" ref="AC57">SUMPRODUCT((AC$45:AC$52)*($E$45:$E$52))+SUM(AC54:AC55)+AC42</f>
        <v>0</v>
      </c>
      <c r="AD57" s="149" cm="1">
        <f t="array" ref="AD57">SUMPRODUCT((AD$45:AD$52)*($E$45:$E$52))+SUM(AD54:AD55)+AD42</f>
        <v>0</v>
      </c>
      <c r="AE57" s="149" cm="1">
        <f t="array" ref="AE57">SUMPRODUCT((AE$45:AE$52)*($E$45:$E$52))+SUM(AE54:AE55)+AE42</f>
        <v>0</v>
      </c>
      <c r="AF57" s="149" cm="1">
        <f t="array" ref="AF57">SUMPRODUCT((AF$45:AF$52)*($E$45:$E$52))+SUM(AF54:AF55)+AF42</f>
        <v>0</v>
      </c>
      <c r="AG57" s="149" cm="1">
        <f t="array" ref="AG57">SUMPRODUCT((AG$45:AG$52)*($E$45:$E$52))+SUM(AG54:AG55)+AG42</f>
        <v>0</v>
      </c>
    </row>
    <row r="58" spans="1:43" x14ac:dyDescent="0.2">
      <c r="D58" s="181"/>
      <c r="G58" s="181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81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8</v>
      </c>
      <c r="B60" s="78"/>
      <c r="C60" s="78"/>
      <c r="D60" s="78"/>
      <c r="E60" s="78"/>
      <c r="F60" s="78"/>
      <c r="G60" s="180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8"/>
      <c r="B61" s="98"/>
      <c r="C61" s="98"/>
      <c r="D61" s="98"/>
      <c r="E61" s="98"/>
      <c r="F61" s="98"/>
      <c r="G61" s="184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8"/>
      <c r="B62" s="98"/>
      <c r="C62" s="98"/>
      <c r="D62" s="98"/>
      <c r="E62" s="98"/>
      <c r="F62"/>
      <c r="G62" s="187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F63" s="2"/>
      <c r="G63" s="188"/>
    </row>
    <row r="64" spans="1:43" x14ac:dyDescent="0.2">
      <c r="C64" s="4" t="str">
        <f>'Option1 (base case)'!C64</f>
        <v>Risks mitigated vs base case</v>
      </c>
      <c r="G64" s="186">
        <f>input_dollars</f>
        <v>45291</v>
      </c>
      <c r="I64" s="114">
        <f>(1-INDEX(Data!$C$9:$C$13, MATCH($A$3, options,0)))*('Option1 (base case)'!I36-I36)</f>
        <v>0</v>
      </c>
      <c r="J64" s="114">
        <f>(1-INDEX(Data!$C$9:$C$13, MATCH($A$3, options,0)))*('Option1 (base case)'!J36-J36)</f>
        <v>0</v>
      </c>
      <c r="K64" s="114">
        <f>(1-INDEX(Data!$C$9:$C$13, MATCH($A$3, options,0)))*('Option1 (base case)'!K36-K36)</f>
        <v>0</v>
      </c>
      <c r="L64" s="114">
        <f>(1-INDEX(Data!$C$9:$C$13, MATCH($A$3, options,0)))*('Option1 (base case)'!L36-L36)</f>
        <v>0</v>
      </c>
      <c r="M64" s="114">
        <f>(1-INDEX(Data!$C$9:$C$13, MATCH($A$3, options,0)))*('Option1 (base case)'!M36-M36)</f>
        <v>0</v>
      </c>
      <c r="N64" s="114">
        <f>(1-INDEX(Data!$C$9:$C$13, MATCH($A$3, options,0)))*('Option1 (base case)'!N36-N36)</f>
        <v>0</v>
      </c>
      <c r="O64" s="114">
        <f>(1-INDEX(Data!$C$9:$C$13, MATCH($A$3, options,0)))*('Option1 (base case)'!O36-O36)</f>
        <v>0</v>
      </c>
      <c r="P64" s="114">
        <f>(1-INDEX(Data!$C$9:$C$13, MATCH($A$3, options,0)))*('Option1 (base case)'!P36-P36)</f>
        <v>0</v>
      </c>
      <c r="Q64" s="114">
        <f>(1-INDEX(Data!$C$9:$C$13, MATCH($A$3, options,0)))*('Option1 (base case)'!Q36-Q36)</f>
        <v>0</v>
      </c>
      <c r="R64" s="114">
        <f>(1-INDEX(Data!$C$9:$C$13, MATCH($A$3, options,0)))*('Option1 (base case)'!R36-R36)</f>
        <v>0</v>
      </c>
      <c r="S64" s="114">
        <f>(1-INDEX(Data!$C$9:$C$13, MATCH($A$3, options,0)))*('Option1 (base case)'!S36-S36)</f>
        <v>0</v>
      </c>
      <c r="T64" s="114">
        <f>(1-INDEX(Data!$C$9:$C$13, MATCH($A$3, options,0)))*('Option1 (base case)'!T36-T36)</f>
        <v>0</v>
      </c>
      <c r="U64" s="114">
        <f>(1-INDEX(Data!$C$9:$C$13, MATCH($A$3, options,0)))*('Option1 (base case)'!U36-U36)</f>
        <v>0</v>
      </c>
      <c r="V64" s="114">
        <f>(1-INDEX(Data!$C$9:$C$13, MATCH($A$3, options,0)))*('Option1 (base case)'!V36-V36)</f>
        <v>0</v>
      </c>
      <c r="W64" s="114">
        <f>(1-INDEX(Data!$C$9:$C$13, MATCH($A$3, options,0)))*('Option1 (base case)'!W36-W36)</f>
        <v>0</v>
      </c>
      <c r="X64" s="114">
        <f>(1-INDEX(Data!$C$9:$C$13, MATCH($A$3, options,0)))*('Option1 (base case)'!X36-X36)</f>
        <v>0</v>
      </c>
      <c r="Y64" s="114">
        <f>(1-INDEX(Data!$C$9:$C$13, MATCH($A$3, options,0)))*('Option1 (base case)'!Y36-Y36)</f>
        <v>0</v>
      </c>
      <c r="Z64" s="114">
        <f>(1-INDEX(Data!$C$9:$C$13, MATCH($A$3, options,0)))*('Option1 (base case)'!Z36-Z36)</f>
        <v>0</v>
      </c>
      <c r="AA64" s="114">
        <f>(1-INDEX(Data!$C$9:$C$13, MATCH($A$3, options,0)))*('Option1 (base case)'!AA36-AA36)</f>
        <v>0</v>
      </c>
      <c r="AB64" s="114">
        <f>(1-INDEX(Data!$C$9:$C$13, MATCH($A$3, options,0)))*('Option1 (base case)'!AB36-AB36)</f>
        <v>0</v>
      </c>
      <c r="AC64" s="114">
        <f>(1-INDEX(Data!$C$9:$C$13, MATCH($A$3, options,0)))*('Option1 (base case)'!AC36-AC36)</f>
        <v>0</v>
      </c>
      <c r="AD64" s="114">
        <f>(1-INDEX(Data!$C$9:$C$13, MATCH($A$3, options,0)))*('Option1 (base case)'!AD36-AD36)</f>
        <v>0</v>
      </c>
      <c r="AE64" s="114">
        <f>(1-INDEX(Data!$C$9:$C$13, MATCH($A$3, options,0)))*('Option1 (base case)'!AE36-AE36)</f>
        <v>0</v>
      </c>
      <c r="AF64" s="114">
        <f>(1-INDEX(Data!$C$9:$C$13, MATCH($A$3, options,0)))*('Option1 (base case)'!AF36-AF36)</f>
        <v>0</v>
      </c>
      <c r="AG64" s="114">
        <f>(1-INDEX(Data!$C$9:$C$13, MATCH($A$3, options,0)))*('Option1 (base case)'!AG36-AG36)</f>
        <v>0</v>
      </c>
    </row>
    <row r="65" spans="1:33" x14ac:dyDescent="0.2">
      <c r="G65" s="188"/>
    </row>
    <row r="66" spans="1:33" x14ac:dyDescent="0.2">
      <c r="A66" s="6"/>
      <c r="B66" s="6"/>
      <c r="C66" s="127" t="s">
        <v>17</v>
      </c>
      <c r="D66" s="34"/>
      <c r="F66" s="84"/>
      <c r="G66" s="189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&lt; Enter description &gt;</v>
      </c>
      <c r="D67" s="34"/>
      <c r="F67" s="84"/>
      <c r="G67" s="186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2">
      <c r="A68" s="6"/>
      <c r="B68" s="6"/>
      <c r="C68" s="4" t="str">
        <f>C15</f>
        <v>&lt; Enter description &gt;</v>
      </c>
      <c r="D68" s="34"/>
      <c r="F68" s="84"/>
      <c r="G68" s="186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2">
      <c r="A69" s="6"/>
      <c r="B69" s="6"/>
      <c r="C69" s="4" t="str">
        <f>C16</f>
        <v>&lt; Enter description &gt;</v>
      </c>
      <c r="D69" s="34"/>
      <c r="F69" s="84"/>
      <c r="G69" s="186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2">
      <c r="A70" s="6"/>
      <c r="B70" s="6"/>
      <c r="C70" s="4"/>
      <c r="D70" s="34"/>
      <c r="F70" s="84"/>
      <c r="G70" s="190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7" t="s">
        <v>127</v>
      </c>
      <c r="D71" s="34"/>
      <c r="F71" s="84"/>
      <c r="G71" s="189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&lt; Enter description &gt;</v>
      </c>
      <c r="D72" s="34"/>
      <c r="F72" s="84"/>
      <c r="G72" s="186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2">
      <c r="A73" s="6"/>
      <c r="B73" s="6"/>
      <c r="C73" s="4" t="str">
        <f>C15</f>
        <v>&lt; Enter description &gt;</v>
      </c>
      <c r="D73" s="34"/>
      <c r="F73" s="84"/>
      <c r="G73" s="186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 t="str">
        <f>C16</f>
        <v>&lt; Enter description &gt;</v>
      </c>
      <c r="D74" s="34"/>
      <c r="F74" s="84"/>
      <c r="G74" s="186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4"/>
      <c r="G75" s="190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7" t="s">
        <v>128</v>
      </c>
      <c r="D76" s="34"/>
      <c r="F76" s="84"/>
      <c r="G76" s="189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&lt; Enter description &gt;</v>
      </c>
      <c r="D77" s="34"/>
      <c r="F77" s="84"/>
      <c r="G77" s="186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2">
      <c r="A78" s="6"/>
      <c r="B78" s="6"/>
      <c r="C78" s="4" t="str">
        <f>$C$76&amp;" - "&amp;C15</f>
        <v>Annualised capex - &lt; Enter description &gt;</v>
      </c>
      <c r="D78" s="34"/>
      <c r="F78" s="84"/>
      <c r="G78" s="186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2">
      <c r="A79" s="6"/>
      <c r="B79" s="6"/>
      <c r="C79" s="4" t="str">
        <f>$C$76&amp;" - "&amp;C16</f>
        <v>Annualised capex - &lt; Enter description &gt;</v>
      </c>
      <c r="D79" s="34"/>
      <c r="F79" s="84"/>
      <c r="G79" s="186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2">
      <c r="A80" s="6"/>
      <c r="B80" s="6"/>
      <c r="C80" s="151" t="s">
        <v>129</v>
      </c>
      <c r="D80" s="151"/>
      <c r="E80" s="152"/>
      <c r="F80" s="153"/>
      <c r="G80" s="191">
        <f>input_dollars</f>
        <v>45291</v>
      </c>
      <c r="H80" s="154"/>
      <c r="I80" s="154">
        <f>SUM(I77:I79)</f>
        <v>0</v>
      </c>
      <c r="J80" s="154">
        <f t="shared" ref="J80:AB80" si="11">SUM(J77:J79)</f>
        <v>0</v>
      </c>
      <c r="K80" s="154">
        <f t="shared" si="11"/>
        <v>0</v>
      </c>
      <c r="L80" s="154">
        <f t="shared" si="11"/>
        <v>0</v>
      </c>
      <c r="M80" s="154">
        <f t="shared" si="11"/>
        <v>0</v>
      </c>
      <c r="N80" s="154">
        <f t="shared" si="11"/>
        <v>0</v>
      </c>
      <c r="O80" s="154">
        <f t="shared" si="11"/>
        <v>0</v>
      </c>
      <c r="P80" s="154">
        <f t="shared" si="11"/>
        <v>0</v>
      </c>
      <c r="Q80" s="154">
        <f t="shared" si="11"/>
        <v>0</v>
      </c>
      <c r="R80" s="154">
        <f t="shared" si="11"/>
        <v>0</v>
      </c>
      <c r="S80" s="154">
        <f t="shared" si="11"/>
        <v>0</v>
      </c>
      <c r="T80" s="154">
        <f t="shared" si="11"/>
        <v>0</v>
      </c>
      <c r="U80" s="154">
        <f t="shared" si="11"/>
        <v>0</v>
      </c>
      <c r="V80" s="154">
        <f t="shared" si="11"/>
        <v>0</v>
      </c>
      <c r="W80" s="154">
        <f t="shared" si="11"/>
        <v>0</v>
      </c>
      <c r="X80" s="154">
        <f t="shared" si="11"/>
        <v>0</v>
      </c>
      <c r="Y80" s="154">
        <f t="shared" si="11"/>
        <v>0</v>
      </c>
      <c r="Z80" s="154">
        <f t="shared" si="11"/>
        <v>0</v>
      </c>
      <c r="AA80" s="154">
        <f t="shared" si="11"/>
        <v>0</v>
      </c>
      <c r="AB80" s="154">
        <f t="shared" si="11"/>
        <v>0</v>
      </c>
      <c r="AC80" s="154">
        <f>SUM(AC77:AC79)</f>
        <v>0</v>
      </c>
      <c r="AD80" s="154">
        <f>SUM(AD77:AD79)</f>
        <v>0</v>
      </c>
      <c r="AE80" s="154">
        <f>SUM(AE77:AE79)</f>
        <v>0</v>
      </c>
      <c r="AF80" s="154">
        <f>SUM(AF77:AF79)</f>
        <v>0</v>
      </c>
      <c r="AG80" s="154">
        <f>SUM(AG77:AG79)</f>
        <v>0</v>
      </c>
    </row>
    <row r="81" spans="1:33" x14ac:dyDescent="0.2">
      <c r="A81" s="6"/>
      <c r="B81" s="6"/>
      <c r="C81" s="12"/>
      <c r="D81" s="34"/>
      <c r="F81"/>
      <c r="G81" s="192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128</v>
      </c>
      <c r="D82" s="34"/>
      <c r="F82" s="84"/>
      <c r="G82" s="186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2">
      <c r="A83" s="6"/>
      <c r="B83" s="6"/>
      <c r="C83" s="4" t="s">
        <v>18</v>
      </c>
      <c r="D83" s="34"/>
      <c r="F83" s="84"/>
      <c r="G83" s="186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2">
      <c r="A84" s="6"/>
      <c r="B84" s="6"/>
      <c r="C84" s="4" t="s">
        <v>130</v>
      </c>
      <c r="D84" s="34"/>
      <c r="F84" s="84"/>
      <c r="G84" s="186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2">
      <c r="A85" s="6"/>
      <c r="B85" s="6"/>
      <c r="C85" s="4" t="s">
        <v>131</v>
      </c>
      <c r="D85" s="34"/>
      <c r="F85" s="84"/>
      <c r="G85" s="186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2">
      <c r="A86" s="6"/>
      <c r="B86" s="6"/>
      <c r="C86" s="4"/>
      <c r="D86" s="34"/>
      <c r="F86" s="28"/>
      <c r="G86" s="186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5" t="s">
        <v>132</v>
      </c>
      <c r="D87" s="156"/>
      <c r="E87" s="152"/>
      <c r="F87" s="157"/>
      <c r="G87" s="191">
        <f t="shared" si="12"/>
        <v>45291</v>
      </c>
      <c r="H87" s="157"/>
      <c r="I87" s="157">
        <f t="shared" ref="I87:AB87" si="17">SUM(I82:I86)</f>
        <v>0</v>
      </c>
      <c r="J87" s="157">
        <f t="shared" si="17"/>
        <v>0</v>
      </c>
      <c r="K87" s="157">
        <f t="shared" si="17"/>
        <v>0</v>
      </c>
      <c r="L87" s="157">
        <f t="shared" si="17"/>
        <v>0</v>
      </c>
      <c r="M87" s="157">
        <f t="shared" si="17"/>
        <v>0</v>
      </c>
      <c r="N87" s="157">
        <f t="shared" si="17"/>
        <v>0</v>
      </c>
      <c r="O87" s="157">
        <f t="shared" si="17"/>
        <v>0</v>
      </c>
      <c r="P87" s="157">
        <f t="shared" si="17"/>
        <v>0</v>
      </c>
      <c r="Q87" s="157">
        <f t="shared" si="17"/>
        <v>0</v>
      </c>
      <c r="R87" s="157">
        <f t="shared" si="17"/>
        <v>0</v>
      </c>
      <c r="S87" s="157">
        <f t="shared" si="17"/>
        <v>0</v>
      </c>
      <c r="T87" s="157">
        <f t="shared" si="17"/>
        <v>0</v>
      </c>
      <c r="U87" s="157">
        <f t="shared" si="17"/>
        <v>0</v>
      </c>
      <c r="V87" s="157">
        <f t="shared" si="17"/>
        <v>0</v>
      </c>
      <c r="W87" s="157">
        <f t="shared" si="17"/>
        <v>0</v>
      </c>
      <c r="X87" s="157">
        <f t="shared" si="17"/>
        <v>0</v>
      </c>
      <c r="Y87" s="157">
        <f t="shared" si="17"/>
        <v>0</v>
      </c>
      <c r="Z87" s="157">
        <f t="shared" si="17"/>
        <v>0</v>
      </c>
      <c r="AA87" s="157">
        <f t="shared" si="17"/>
        <v>0</v>
      </c>
      <c r="AB87" s="157">
        <f t="shared" si="17"/>
        <v>0</v>
      </c>
      <c r="AC87" s="157">
        <f>SUM(AC82:AC86)</f>
        <v>0</v>
      </c>
      <c r="AD87" s="157">
        <f>SUM(AD82:AD86)</f>
        <v>0</v>
      </c>
      <c r="AE87" s="157">
        <f>SUM(AE82:AE86)</f>
        <v>0</v>
      </c>
      <c r="AF87" s="157">
        <f>SUM(AF82:AF86)</f>
        <v>0</v>
      </c>
      <c r="AG87" s="157">
        <f>SUM(AG82:AG86)</f>
        <v>0</v>
      </c>
    </row>
    <row r="88" spans="1:33" x14ac:dyDescent="0.2">
      <c r="A88" s="6"/>
      <c r="B88" s="6"/>
      <c r="C88" s="12"/>
      <c r="D88" s="34"/>
      <c r="F88" s="121"/>
      <c r="G88" s="186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</row>
    <row r="89" spans="1:33" x14ac:dyDescent="0.2">
      <c r="A89" s="6"/>
      <c r="B89" s="6"/>
      <c r="C89" s="12"/>
      <c r="D89" s="34"/>
      <c r="F89" s="121"/>
      <c r="G89" s="186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</row>
    <row r="90" spans="1:33" x14ac:dyDescent="0.2">
      <c r="A90" s="6"/>
      <c r="B90" s="6"/>
      <c r="C90" s="205" t="s">
        <v>134</v>
      </c>
      <c r="D90" s="72"/>
      <c r="E90" s="206"/>
      <c r="F90" s="207"/>
      <c r="G90" s="208" cm="1">
        <f t="array" ref="G90">IF(SUM($I17:$AG17)=0,0,(INDEX(I$6:AG$6,MATCH(TRUE,INDEX($I17:$AG17&lt;&gt;0,),0))))</f>
        <v>0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C91" s="72"/>
      <c r="D91" s="209"/>
      <c r="E91" s="206"/>
      <c r="F91" s="206"/>
      <c r="G91" s="208"/>
    </row>
    <row r="92" spans="1:33" x14ac:dyDescent="0.2">
      <c r="C92" s="210" t="s">
        <v>135</v>
      </c>
      <c r="D92" s="211"/>
      <c r="E92" s="211"/>
      <c r="F92" s="211"/>
      <c r="G92" s="212" t="str">
        <f>IF(_xlfn.MINIFS($G$90:$G$91, $G$90:$G$91, "&gt;"&amp;0)=0, $A$4, _xlfn.MINIFS($G$90:$G$91, $G$90:$G$91, "&gt;"&amp;0))</f>
        <v>Not used</v>
      </c>
    </row>
    <row r="94" spans="1:33" x14ac:dyDescent="0.2">
      <c r="G94" s="10"/>
    </row>
    <row r="102" spans="1:43" ht="15" x14ac:dyDescent="0.2">
      <c r="A102" s="78" t="s">
        <v>21</v>
      </c>
      <c r="B102" s="78"/>
      <c r="C102" s="78"/>
      <c r="D102" s="78"/>
      <c r="E102" s="78"/>
      <c r="F102" s="78"/>
      <c r="G102" s="180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</row>
    <row r="105" spans="1:43" x14ac:dyDescent="0.2"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</row>
    <row r="106" spans="1:43" x14ac:dyDescent="0.2">
      <c r="A106" s="1" t="s">
        <v>7</v>
      </c>
      <c r="C106" s="1" t="s">
        <v>132</v>
      </c>
      <c r="D106"/>
      <c r="E106"/>
      <c r="F106"/>
      <c r="G106" s="34" t="str">
        <f>PROPER($A$3)&amp;A106</f>
        <v>Option 5NPV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x14ac:dyDescent="0.2">
      <c r="C107" s="1" t="s">
        <v>129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x14ac:dyDescent="0.2">
      <c r="C108" s="1" t="s">
        <v>86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2">
      <c r="D109" s="256" t="str">
        <f>Assumptions!G99</f>
        <v>Capex</v>
      </c>
      <c r="E109" s="256" t="str">
        <f>Assumptions!H99</f>
        <v>Total benefits</v>
      </c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</row>
    <row r="110" spans="1:43" x14ac:dyDescent="0.2">
      <c r="A110" s="1" t="str">
        <f>"sens"&amp;Assumptions!B100</f>
        <v>sens1</v>
      </c>
      <c r="C110" s="255" t="str">
        <f>Assumptions!C100</f>
        <v>Capex 10% higher</v>
      </c>
      <c r="D110" s="256">
        <f>Assumptions!G100</f>
        <v>0.1</v>
      </c>
      <c r="E110" s="256">
        <f>Assumptions!H100</f>
        <v>0</v>
      </c>
      <c r="G110" s="34" t="str">
        <f>PROPER($A$3)&amp;A110</f>
        <v>Option 5sens1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2">
      <c r="A111" s="1" t="str">
        <f>"sens"&amp;Assumptions!B101</f>
        <v>sens2</v>
      </c>
      <c r="C111" s="255" t="str">
        <f>Assumptions!C101</f>
        <v>Capex 10% lower</v>
      </c>
      <c r="D111" s="256">
        <f>Assumptions!G101</f>
        <v>-0.1</v>
      </c>
      <c r="E111" s="256">
        <f>Assumptions!H101</f>
        <v>0</v>
      </c>
      <c r="G111" s="34" t="str">
        <f t="shared" ref="G111:G117" si="21">PROPER($A$3)&amp;A111</f>
        <v>Option 5sens2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2">
      <c r="A112" s="1" t="str">
        <f>"sens"&amp;Assumptions!B102</f>
        <v>sens3</v>
      </c>
      <c r="C112" s="255" t="str">
        <f>Assumptions!C102</f>
        <v>Total benefits 10% higher</v>
      </c>
      <c r="D112" s="256">
        <f>Assumptions!G102</f>
        <v>0</v>
      </c>
      <c r="E112" s="256">
        <f>Assumptions!H102</f>
        <v>0.1</v>
      </c>
      <c r="G112" s="34" t="str">
        <f t="shared" si="21"/>
        <v>Option 5sens3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2">
      <c r="A113" s="1" t="str">
        <f>"sens"&amp;Assumptions!B103</f>
        <v>sens4</v>
      </c>
      <c r="C113" s="255" t="str">
        <f>Assumptions!C103</f>
        <v>Total benefits 10% lower</v>
      </c>
      <c r="D113" s="256">
        <f>Assumptions!G103</f>
        <v>0</v>
      </c>
      <c r="E113" s="256">
        <f>Assumptions!H103</f>
        <v>-0.1</v>
      </c>
      <c r="G113" s="34" t="str">
        <f t="shared" si="21"/>
        <v>Option 5sens4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2">
      <c r="A114" s="1" t="str">
        <f>"sens"&amp;Assumptions!B104</f>
        <v>sens5</v>
      </c>
      <c r="C114" s="255" t="str">
        <f>Assumptions!C104</f>
        <v>Capex 10% higher &amp; Total benefits 10% lower</v>
      </c>
      <c r="D114" s="256">
        <f>Assumptions!G104</f>
        <v>0.1</v>
      </c>
      <c r="E114" s="256">
        <f>Assumptions!H104</f>
        <v>-0.1</v>
      </c>
      <c r="G114" s="34" t="str">
        <f t="shared" si="21"/>
        <v>Option 5sens5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2">
      <c r="A115" s="1" t="str">
        <f>"sens"&amp;Assumptions!B105</f>
        <v>sens</v>
      </c>
      <c r="C115" s="255">
        <f>Assumptions!C105</f>
        <v>0</v>
      </c>
      <c r="D115" s="256">
        <f>Assumptions!G105</f>
        <v>0</v>
      </c>
      <c r="E115" s="256">
        <f>Assumptions!H105</f>
        <v>0</v>
      </c>
      <c r="G115" s="34" t="str">
        <f t="shared" si="21"/>
        <v>Option 5sens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2">
      <c r="A116" s="1" t="str">
        <f>"sens"&amp;Assumptions!B106</f>
        <v>sens</v>
      </c>
      <c r="C116" s="255">
        <f>Assumptions!C106</f>
        <v>0</v>
      </c>
      <c r="D116" s="256">
        <f>Assumptions!G106</f>
        <v>0</v>
      </c>
      <c r="E116" s="256">
        <f>Assumptions!H106</f>
        <v>0</v>
      </c>
      <c r="G116" s="34" t="str">
        <f t="shared" si="21"/>
        <v>Option 5sens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2">
      <c r="A117" s="1" t="str">
        <f>"sens"&amp;Assumptions!B107</f>
        <v>sens</v>
      </c>
      <c r="C117" s="255">
        <f>Assumptions!C107</f>
        <v>0</v>
      </c>
      <c r="D117" s="256">
        <f>Assumptions!G107</f>
        <v>0</v>
      </c>
      <c r="E117" s="256">
        <f>Assumptions!H107</f>
        <v>0</v>
      </c>
      <c r="G117" s="34" t="str">
        <f t="shared" si="21"/>
        <v>Option 5sens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" priority="38">
      <formula>AND(SUM($I14:$AB14)&lt;&gt;0, E14=0)</formula>
    </cfRule>
  </conditionalFormatting>
  <conditionalFormatting sqref="E28">
    <cfRule type="expression" dxfId="0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4" id="{E7BF7EA6-A453-4A58-B216-30C5D81DCA5D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E214B-6F38-4BC3-ACB0-5DADD7973A52}">
  <sheetPr codeName="Sheet13">
    <tabColor rgb="FF002060"/>
    <pageSetUpPr fitToPage="1"/>
  </sheetPr>
  <dimension ref="A1:AJ810"/>
  <sheetViews>
    <sheetView showGridLines="0" zoomScale="90" zoomScaleNormal="9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D10" sqref="D10"/>
    </sheetView>
  </sheetViews>
  <sheetFormatPr defaultColWidth="0" defaultRowHeight="12.75" zeroHeight="1" outlineLevelRow="1" x14ac:dyDescent="0.2"/>
  <cols>
    <col min="1" max="1" width="8.125" style="8" customWidth="1"/>
    <col min="2" max="2" width="5.5" style="8" customWidth="1"/>
    <col min="3" max="3" width="16.875" style="8" bestFit="1" customWidth="1"/>
    <col min="4" max="4" width="12.375" style="8" customWidth="1"/>
    <col min="5" max="5" width="14.25" customWidth="1"/>
    <col min="6" max="6" width="12.375" style="8" customWidth="1"/>
    <col min="7" max="7" width="11.625" style="8" customWidth="1"/>
    <col min="8" max="8" width="8.625" style="8" customWidth="1"/>
    <col min="9" max="33" width="11" style="8" customWidth="1"/>
    <col min="34" max="35" width="9" style="8" customWidth="1"/>
    <col min="36" max="36" width="0" style="8" hidden="1" customWidth="1"/>
    <col min="37" max="16384" width="9" style="8" hidden="1"/>
  </cols>
  <sheetData>
    <row r="1" spans="1:34" s="6" customFormat="1" ht="18.75" x14ac:dyDescent="0.3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4" s="6" customFormat="1" ht="18.75" x14ac:dyDescent="0.3">
      <c r="A2" s="50" t="str">
        <f>proj</f>
        <v>Horsham REFCL</v>
      </c>
      <c r="B2" s="50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4" s="2" customFormat="1" ht="18.75" x14ac:dyDescent="0.3">
      <c r="A3" s="179" t="s">
        <v>141</v>
      </c>
      <c r="B3" s="5"/>
      <c r="C3" s="31"/>
      <c r="D3" s="31"/>
      <c r="E3" s="31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4" s="2" customFormat="1" ht="10.5" customHeight="1" x14ac:dyDescent="0.2">
      <c r="A4" s="101"/>
      <c r="B4" s="101"/>
      <c r="C4" s="85"/>
      <c r="D4" s="85"/>
      <c r="E4" s="85"/>
      <c r="F4" s="85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</row>
    <row r="5" spans="1:34" s="2" customFormat="1" hidden="1" outlineLevel="1" x14ac:dyDescent="0.2">
      <c r="A5" s="85" t="s">
        <v>142</v>
      </c>
      <c r="B5" s="85"/>
      <c r="C5" s="86"/>
      <c r="D5" s="85"/>
      <c r="E5" s="85"/>
      <c r="F5" s="85"/>
      <c r="G5" s="88"/>
      <c r="H5" s="166">
        <f t="shared" ref="H5:AG5" si="0">IF(H9=start,1/((1+real_disc)^(1/2)),G5/(1+real_disc))</f>
        <v>0</v>
      </c>
      <c r="I5" s="166">
        <f t="shared" si="0"/>
        <v>0.98294637436598087</v>
      </c>
      <c r="J5" s="166">
        <f t="shared" si="0"/>
        <v>0.94970664189949849</v>
      </c>
      <c r="K5" s="166">
        <f t="shared" si="0"/>
        <v>0.91759095835700344</v>
      </c>
      <c r="L5" s="166">
        <f t="shared" si="0"/>
        <v>0.88656131242222558</v>
      </c>
      <c r="M5" s="166">
        <f t="shared" si="0"/>
        <v>0.85658097818572532</v>
      </c>
      <c r="N5" s="166">
        <f t="shared" si="0"/>
        <v>0.8276144716770294</v>
      </c>
      <c r="O5" s="166">
        <f t="shared" si="0"/>
        <v>0.79962750886669509</v>
      </c>
      <c r="P5" s="166">
        <f t="shared" si="0"/>
        <v>0.77258696508859437</v>
      </c>
      <c r="Q5" s="166">
        <f t="shared" si="0"/>
        <v>0.74646083583439071</v>
      </c>
      <c r="R5" s="166">
        <f t="shared" si="0"/>
        <v>0.72121819887380756</v>
      </c>
      <c r="S5" s="166">
        <f t="shared" si="0"/>
        <v>0.69682917765585273</v>
      </c>
      <c r="T5" s="166">
        <f t="shared" si="0"/>
        <v>0.67326490594768384</v>
      </c>
      <c r="U5" s="166">
        <f t="shared" si="0"/>
        <v>0.6504974936692598</v>
      </c>
      <c r="V5" s="166">
        <f t="shared" si="0"/>
        <v>0.62849999388334288</v>
      </c>
      <c r="W5" s="166">
        <f t="shared" si="0"/>
        <v>0.60724637090178057</v>
      </c>
      <c r="X5" s="166">
        <f t="shared" si="0"/>
        <v>0.58671146947031949</v>
      </c>
      <c r="Y5" s="166">
        <f t="shared" si="0"/>
        <v>0.56687098499547783</v>
      </c>
      <c r="Z5" s="166">
        <f t="shared" si="0"/>
        <v>0.54770143477823952</v>
      </c>
      <c r="AA5" s="166">
        <f t="shared" si="0"/>
        <v>0.52918013022052135</v>
      </c>
      <c r="AB5" s="166">
        <f t="shared" si="0"/>
        <v>0.5112851499715183</v>
      </c>
      <c r="AC5" s="166">
        <f t="shared" si="0"/>
        <v>0.4939953139821433</v>
      </c>
      <c r="AD5" s="166">
        <f t="shared" si="0"/>
        <v>0.47729015843685346</v>
      </c>
      <c r="AE5" s="166">
        <f t="shared" si="0"/>
        <v>0.46114991153319179</v>
      </c>
      <c r="AF5" s="166">
        <f t="shared" si="0"/>
        <v>0.4455554700803786</v>
      </c>
      <c r="AG5" s="166">
        <f t="shared" si="0"/>
        <v>0.43048837688925473</v>
      </c>
    </row>
    <row r="6" spans="1:34" s="2" customFormat="1" hidden="1" outlineLevel="1" x14ac:dyDescent="0.2">
      <c r="A6" s="167" t="str">
        <f>'Option1 (base case)'!A6</f>
        <v>Count</v>
      </c>
      <c r="B6" s="85"/>
      <c r="C6" s="86"/>
      <c r="D6" s="85"/>
      <c r="E6" s="85"/>
      <c r="F6" s="85"/>
      <c r="G6" s="88"/>
      <c r="H6" s="167">
        <f>'Option1 (base case)'!H6</f>
        <v>0</v>
      </c>
      <c r="I6" s="167">
        <f>'Option1 (base case)'!I6</f>
        <v>1</v>
      </c>
      <c r="J6" s="167">
        <f>'Option1 (base case)'!J6</f>
        <v>2</v>
      </c>
      <c r="K6" s="167">
        <f>'Option1 (base case)'!K6</f>
        <v>3</v>
      </c>
      <c r="L6" s="167">
        <f>'Option1 (base case)'!L6</f>
        <v>4</v>
      </c>
      <c r="M6" s="167">
        <f>'Option1 (base case)'!M6</f>
        <v>5</v>
      </c>
      <c r="N6" s="167">
        <f>'Option1 (base case)'!N6</f>
        <v>6</v>
      </c>
      <c r="O6" s="167">
        <f>'Option1 (base case)'!O6</f>
        <v>7</v>
      </c>
      <c r="P6" s="167">
        <f>'Option1 (base case)'!P6</f>
        <v>8</v>
      </c>
      <c r="Q6" s="167">
        <f>'Option1 (base case)'!Q6</f>
        <v>9</v>
      </c>
      <c r="R6" s="167">
        <f>'Option1 (base case)'!R6</f>
        <v>10</v>
      </c>
      <c r="S6" s="167">
        <f>'Option1 (base case)'!S6</f>
        <v>11</v>
      </c>
      <c r="T6" s="167">
        <f>'Option1 (base case)'!T6</f>
        <v>12</v>
      </c>
      <c r="U6" s="167">
        <f>'Option1 (base case)'!U6</f>
        <v>13</v>
      </c>
      <c r="V6" s="167">
        <f>'Option1 (base case)'!V6</f>
        <v>14</v>
      </c>
      <c r="W6" s="167">
        <f>'Option1 (base case)'!W6</f>
        <v>15</v>
      </c>
      <c r="X6" s="167">
        <f>'Option1 (base case)'!X6</f>
        <v>16</v>
      </c>
      <c r="Y6" s="167">
        <f>'Option1 (base case)'!Y6</f>
        <v>17</v>
      </c>
      <c r="Z6" s="167">
        <f>'Option1 (base case)'!Z6</f>
        <v>18</v>
      </c>
      <c r="AA6" s="167">
        <f>'Option1 (base case)'!AA6</f>
        <v>19</v>
      </c>
      <c r="AB6" s="167">
        <f>'Option1 (base case)'!AB6</f>
        <v>20</v>
      </c>
      <c r="AC6" s="167">
        <f>'Option1 (base case)'!AC6</f>
        <v>21</v>
      </c>
      <c r="AD6" s="167">
        <f>'Option1 (base case)'!AD6</f>
        <v>22</v>
      </c>
      <c r="AE6" s="167">
        <f>'Option1 (base case)'!AE6</f>
        <v>23</v>
      </c>
      <c r="AF6" s="167">
        <f>'Option1 (base case)'!AF6</f>
        <v>24</v>
      </c>
      <c r="AG6" s="167">
        <f>'Option1 (base case)'!AG6</f>
        <v>25</v>
      </c>
    </row>
    <row r="7" spans="1:34" s="2" customFormat="1" hidden="1" outlineLevel="1" x14ac:dyDescent="0.2">
      <c r="A7" s="85" t="s">
        <v>143</v>
      </c>
      <c r="B7" s="85"/>
      <c r="C7" s="86"/>
      <c r="D7" s="85"/>
      <c r="E7" s="85"/>
      <c r="F7" s="85"/>
      <c r="G7" s="88"/>
      <c r="H7" s="88" t="b">
        <f t="shared" ref="H7:AG7" si="1">H$6&lt;(first_year+years)</f>
        <v>1</v>
      </c>
      <c r="I7" s="88" t="b">
        <f t="shared" si="1"/>
        <v>1</v>
      </c>
      <c r="J7" s="88" t="b">
        <f t="shared" si="1"/>
        <v>1</v>
      </c>
      <c r="K7" s="88" t="b">
        <f t="shared" si="1"/>
        <v>1</v>
      </c>
      <c r="L7" s="88" t="b">
        <f t="shared" si="1"/>
        <v>1</v>
      </c>
      <c r="M7" s="88" t="b">
        <f t="shared" si="1"/>
        <v>1</v>
      </c>
      <c r="N7" s="88" t="b">
        <f t="shared" si="1"/>
        <v>1</v>
      </c>
      <c r="O7" s="88" t="b">
        <f t="shared" si="1"/>
        <v>1</v>
      </c>
      <c r="P7" s="88" t="b">
        <f t="shared" si="1"/>
        <v>1</v>
      </c>
      <c r="Q7" s="88" t="b">
        <f t="shared" si="1"/>
        <v>1</v>
      </c>
      <c r="R7" s="88" t="b">
        <f t="shared" si="1"/>
        <v>1</v>
      </c>
      <c r="S7" s="88" t="b">
        <f t="shared" si="1"/>
        <v>1</v>
      </c>
      <c r="T7" s="88" t="b">
        <f t="shared" si="1"/>
        <v>1</v>
      </c>
      <c r="U7" s="88" t="b">
        <f t="shared" si="1"/>
        <v>1</v>
      </c>
      <c r="V7" s="88" t="b">
        <f t="shared" si="1"/>
        <v>1</v>
      </c>
      <c r="W7" s="88" t="b">
        <f t="shared" si="1"/>
        <v>1</v>
      </c>
      <c r="X7" s="88" t="b">
        <f t="shared" si="1"/>
        <v>1</v>
      </c>
      <c r="Y7" s="88" t="b">
        <f t="shared" si="1"/>
        <v>1</v>
      </c>
      <c r="Z7" s="88" t="b">
        <f t="shared" si="1"/>
        <v>1</v>
      </c>
      <c r="AA7" s="88" t="b">
        <f t="shared" si="1"/>
        <v>1</v>
      </c>
      <c r="AB7" s="88" t="b">
        <f t="shared" si="1"/>
        <v>1</v>
      </c>
      <c r="AC7" s="88" t="b">
        <f t="shared" si="1"/>
        <v>1</v>
      </c>
      <c r="AD7" s="88" t="b">
        <f t="shared" si="1"/>
        <v>1</v>
      </c>
      <c r="AE7" s="88" t="b">
        <f t="shared" si="1"/>
        <v>1</v>
      </c>
      <c r="AF7" s="88" t="b">
        <f t="shared" si="1"/>
        <v>0</v>
      </c>
      <c r="AG7" s="88" t="b">
        <f t="shared" si="1"/>
        <v>0</v>
      </c>
    </row>
    <row r="8" spans="1:34" s="2" customFormat="1" ht="11.25" customHeight="1" collapsed="1" x14ac:dyDescent="0.2"/>
    <row r="9" spans="1:34" s="2" customFormat="1" ht="15" x14ac:dyDescent="0.25">
      <c r="A9" s="17"/>
      <c r="B9" s="17"/>
      <c r="C9" s="17"/>
      <c r="D9" s="17"/>
      <c r="E9" s="73"/>
      <c r="F9" s="17"/>
      <c r="G9" s="18"/>
      <c r="H9" s="274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4" s="2" customFormat="1" x14ac:dyDescent="0.2">
      <c r="C10" s="7"/>
      <c r="D10" s="7"/>
      <c r="F10" s="7"/>
      <c r="G10" s="196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4" s="2" customFormat="1" ht="15" x14ac:dyDescent="0.2">
      <c r="A11" s="78" t="s">
        <v>144</v>
      </c>
      <c r="B11" s="78"/>
      <c r="C11" s="79"/>
      <c r="D11" s="79"/>
      <c r="E11" s="79"/>
      <c r="F11" s="63" t="s">
        <v>3</v>
      </c>
      <c r="G11" s="197"/>
      <c r="H11" s="102" t="str" cm="1">
        <f t="array" ref="H11">IF(H6=$C$4,UPPER($A$4),IF(H6=end, "END", ""))</f>
        <v/>
      </c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</row>
    <row r="12" spans="1:34" s="2" customFormat="1" x14ac:dyDescent="0.2">
      <c r="A12" s="7"/>
      <c r="B12" s="7"/>
      <c r="C12" s="7"/>
      <c r="D12" s="7"/>
      <c r="F12" s="7"/>
      <c r="G12" s="199"/>
      <c r="H12" s="7"/>
      <c r="I12" s="168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  <c r="AA12" s="168"/>
      <c r="AB12" s="168"/>
      <c r="AC12" s="168"/>
      <c r="AD12" s="168"/>
      <c r="AE12" s="168"/>
      <c r="AF12" s="168"/>
      <c r="AG12" s="168"/>
      <c r="AH12" s="168"/>
    </row>
    <row r="13" spans="1:34" s="2" customFormat="1" x14ac:dyDescent="0.2">
      <c r="A13" s="52"/>
      <c r="B13" s="52"/>
      <c r="C13" s="52"/>
      <c r="D13" s="7"/>
      <c r="F13" s="7"/>
      <c r="G13" s="196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</row>
    <row r="14" spans="1:34" s="2" customFormat="1" x14ac:dyDescent="0.2">
      <c r="A14" s="52" t="str">
        <f>A15</f>
        <v>Option 1 (base case)</v>
      </c>
      <c r="B14" s="52"/>
      <c r="C14" s="52" t="s">
        <v>100</v>
      </c>
      <c r="D14" s="34" t="str">
        <f t="shared" ref="D14:D25" si="2">A14&amp;C14</f>
        <v>Option 1 (base case)Energy at risk value</v>
      </c>
      <c r="F14" s="84">
        <f>SUMPRODUCT($H14:$AG14, $H$5:$AG$5)</f>
        <v>0</v>
      </c>
      <c r="G14" s="200">
        <f>output_dollars</f>
        <v>46203</v>
      </c>
      <c r="H14" s="28"/>
      <c r="I14" s="28">
        <f>'Option1 (base case)'!I$28*conv_2026</f>
        <v>0</v>
      </c>
      <c r="J14" s="28">
        <f>'Option1 (base case)'!J$28*conv_2026</f>
        <v>0</v>
      </c>
      <c r="K14" s="28">
        <f>'Option1 (base case)'!K$28*conv_2026</f>
        <v>0</v>
      </c>
      <c r="L14" s="28">
        <f>'Option1 (base case)'!L$28*conv_2026</f>
        <v>0</v>
      </c>
      <c r="M14" s="28">
        <f>'Option1 (base case)'!M$28*conv_2026</f>
        <v>0</v>
      </c>
      <c r="N14" s="28">
        <f>'Option1 (base case)'!N$28*conv_2026</f>
        <v>0</v>
      </c>
      <c r="O14" s="28">
        <f>'Option1 (base case)'!O$28*conv_2026</f>
        <v>0</v>
      </c>
      <c r="P14" s="28">
        <f>'Option1 (base case)'!P$28*conv_2026</f>
        <v>0</v>
      </c>
      <c r="Q14" s="28">
        <f>'Option1 (base case)'!Q$28*conv_2026</f>
        <v>0</v>
      </c>
      <c r="R14" s="28">
        <f>'Option1 (base case)'!R$28*conv_2026</f>
        <v>0</v>
      </c>
      <c r="S14" s="28">
        <f>'Option1 (base case)'!S$28*conv_2026</f>
        <v>0</v>
      </c>
      <c r="T14" s="28">
        <f>'Option1 (base case)'!T$28*conv_2026</f>
        <v>0</v>
      </c>
      <c r="U14" s="28">
        <f>'Option1 (base case)'!U$28*conv_2026</f>
        <v>0</v>
      </c>
      <c r="V14" s="28">
        <f>'Option1 (base case)'!V$28*conv_2026</f>
        <v>0</v>
      </c>
      <c r="W14" s="28">
        <f>'Option1 (base case)'!W$28*conv_2026</f>
        <v>0</v>
      </c>
      <c r="X14" s="28">
        <f>'Option1 (base case)'!X$28*conv_2026</f>
        <v>0</v>
      </c>
      <c r="Y14" s="28">
        <f>'Option1 (base case)'!Y$28*conv_2026</f>
        <v>0</v>
      </c>
      <c r="Z14" s="28">
        <f>'Option1 (base case)'!Z$28*conv_2026</f>
        <v>0</v>
      </c>
      <c r="AA14" s="28">
        <f>'Option1 (base case)'!AA$28*conv_2026</f>
        <v>0</v>
      </c>
      <c r="AB14" s="28">
        <f>'Option1 (base case)'!AB$28*conv_2026</f>
        <v>0</v>
      </c>
      <c r="AC14" s="28">
        <f>'Option1 (base case)'!AC$28*conv_2026</f>
        <v>0</v>
      </c>
      <c r="AD14" s="28">
        <f>'Option1 (base case)'!AD$28*conv_2026</f>
        <v>0</v>
      </c>
      <c r="AE14" s="28">
        <f>'Option1 (base case)'!AE$28*conv_2026</f>
        <v>0</v>
      </c>
      <c r="AF14" s="28">
        <f>'Option1 (base case)'!AF$28*conv_2026</f>
        <v>0</v>
      </c>
      <c r="AG14" s="28">
        <f>'Option1 (base case)'!AG$28*conv_2026</f>
        <v>0</v>
      </c>
    </row>
    <row r="15" spans="1:34" s="1" customFormat="1" x14ac:dyDescent="0.2">
      <c r="A15" s="116" t="str">
        <f>Data!B9</f>
        <v>Option 1 (base case)</v>
      </c>
      <c r="B15" s="116"/>
      <c r="C15" s="52" t="str">
        <f>'Option1 (base case)'!C$66</f>
        <v>Capital expenditure</v>
      </c>
      <c r="D15" s="34" t="str">
        <f t="shared" si="2"/>
        <v>Option 1 (base case)Capital expenditure</v>
      </c>
      <c r="F15" s="84">
        <f>SUMPRODUCT($H15:$AG15, $H$5:$AG$5)</f>
        <v>0</v>
      </c>
      <c r="G15" s="200">
        <f>output_dollars</f>
        <v>46203</v>
      </c>
      <c r="H15" s="28"/>
      <c r="I15" s="28">
        <f>SUM('Option1 (base case)'!I$67:I$69)*conv_2026</f>
        <v>0</v>
      </c>
      <c r="J15" s="28">
        <f>SUM('Option1 (base case)'!J$67:J$69)</f>
        <v>0</v>
      </c>
      <c r="K15" s="28">
        <f>SUM('Option1 (base case)'!K$67:K$69)</f>
        <v>0</v>
      </c>
      <c r="L15" s="28">
        <f>SUM('Option1 (base case)'!L$67:L$69)</f>
        <v>0</v>
      </c>
      <c r="M15" s="28">
        <f>SUM('Option1 (base case)'!M$67:M$69)</f>
        <v>0</v>
      </c>
      <c r="N15" s="28">
        <f>SUM('Option1 (base case)'!N$67:N$69)</f>
        <v>0</v>
      </c>
      <c r="O15" s="28">
        <f>SUM('Option1 (base case)'!O$67:O$69)</f>
        <v>0</v>
      </c>
      <c r="P15" s="28">
        <f>SUM('Option1 (base case)'!P$67:P$69)</f>
        <v>0</v>
      </c>
      <c r="Q15" s="28">
        <f>SUM('Option1 (base case)'!Q$67:Q$69)</f>
        <v>0</v>
      </c>
      <c r="R15" s="28">
        <f>SUM('Option1 (base case)'!R$67:R$69)</f>
        <v>0</v>
      </c>
      <c r="S15" s="28">
        <f>SUM('Option1 (base case)'!S$67:S$69)</f>
        <v>0</v>
      </c>
      <c r="T15" s="28">
        <f>SUM('Option1 (base case)'!T$67:T$69)</f>
        <v>0</v>
      </c>
      <c r="U15" s="28">
        <f>SUM('Option1 (base case)'!U$67:U$69)</f>
        <v>0</v>
      </c>
      <c r="V15" s="28">
        <f>SUM('Option1 (base case)'!V$67:V$69)</f>
        <v>0</v>
      </c>
      <c r="W15" s="28">
        <f>SUM('Option1 (base case)'!W$67:W$69)</f>
        <v>0</v>
      </c>
      <c r="X15" s="28">
        <f>SUM('Option1 (base case)'!X$67:X$69)</f>
        <v>0</v>
      </c>
      <c r="Y15" s="28">
        <f>SUM('Option1 (base case)'!Y$67:Y$69)</f>
        <v>0</v>
      </c>
      <c r="Z15" s="28">
        <f>SUM('Option1 (base case)'!Z$67:Z$69)</f>
        <v>0</v>
      </c>
      <c r="AA15" s="28">
        <f>SUM('Option1 (base case)'!AA$67:AA$69)</f>
        <v>0</v>
      </c>
      <c r="AB15" s="28">
        <f>SUM('Option1 (base case)'!AB$67:AB$69)</f>
        <v>0</v>
      </c>
      <c r="AC15" s="28">
        <f>SUM('Option1 (base case)'!AC$67:AC$69)</f>
        <v>0</v>
      </c>
      <c r="AD15" s="28">
        <f>SUM('Option1 (base case)'!AD$67:AD$69)</f>
        <v>0</v>
      </c>
      <c r="AE15" s="28">
        <f>SUM('Option1 (base case)'!AE$67:AE$69)</f>
        <v>0</v>
      </c>
      <c r="AF15" s="28">
        <f>SUM('Option1 (base case)'!AF$67:AF$69)</f>
        <v>0</v>
      </c>
      <c r="AG15" s="28">
        <f>SUM('Option1 (base case)'!AG$67:AG$69)</f>
        <v>0</v>
      </c>
    </row>
    <row r="16" spans="1:34" s="1" customFormat="1" x14ac:dyDescent="0.2">
      <c r="A16" s="116" t="str">
        <f t="shared" ref="A16:A25" si="3">A15</f>
        <v>Option 1 (base case)</v>
      </c>
      <c r="B16" s="116"/>
      <c r="C16" s="52" t="str">
        <f>'Option1 (base case)'!C$36</f>
        <v>Total risk cost</v>
      </c>
      <c r="D16" s="34" t="str">
        <f t="shared" si="2"/>
        <v>Option 1 (base case)Total risk cost</v>
      </c>
      <c r="F16" s="95" cm="1">
        <f t="array" ref="F16">SUMPRODUCT(($H16:$AG16)*($H$5:$AG$5)*($H$7:$AG$7))</f>
        <v>52001049.397204608</v>
      </c>
      <c r="G16" s="200">
        <f>output_dollars</f>
        <v>46203</v>
      </c>
      <c r="H16" s="28"/>
      <c r="I16" s="28">
        <f>'Option1 (base case)'!I$36*conv_2026</f>
        <v>3272272.7145519597</v>
      </c>
      <c r="J16" s="28">
        <f>'Option1 (base case)'!J$36*conv_2026</f>
        <v>3272272.7145519597</v>
      </c>
      <c r="K16" s="28">
        <f>'Option1 (base case)'!K$36*conv_2026</f>
        <v>3272272.7145519597</v>
      </c>
      <c r="L16" s="28">
        <f>'Option1 (base case)'!L$36*conv_2026</f>
        <v>3272272.7145519597</v>
      </c>
      <c r="M16" s="28">
        <f>'Option1 (base case)'!M$36*conv_2026</f>
        <v>3272272.7145519597</v>
      </c>
      <c r="N16" s="28">
        <f>'Option1 (base case)'!N$36*conv_2026</f>
        <v>3272272.7145519597</v>
      </c>
      <c r="O16" s="28">
        <f>'Option1 (base case)'!O$36*conv_2026</f>
        <v>3272272.7145519597</v>
      </c>
      <c r="P16" s="28">
        <f>'Option1 (base case)'!P$36*conv_2026</f>
        <v>3272272.7145519597</v>
      </c>
      <c r="Q16" s="28">
        <f>'Option1 (base case)'!Q$36*conv_2026</f>
        <v>3272272.7145519597</v>
      </c>
      <c r="R16" s="28">
        <f>'Option1 (base case)'!R$36*conv_2026</f>
        <v>3272272.7145519597</v>
      </c>
      <c r="S16" s="28">
        <f>'Option1 (base case)'!S$36*conv_2026</f>
        <v>3272272.7145519597</v>
      </c>
      <c r="T16" s="28">
        <f>'Option1 (base case)'!T$36*conv_2026</f>
        <v>3272272.7145519597</v>
      </c>
      <c r="U16" s="28">
        <f>'Option1 (base case)'!U$36*conv_2026</f>
        <v>3272272.7145519597</v>
      </c>
      <c r="V16" s="28">
        <f>'Option1 (base case)'!V$36*conv_2026</f>
        <v>3272272.7145519597</v>
      </c>
      <c r="W16" s="28">
        <f>'Option1 (base case)'!W$36*conv_2026</f>
        <v>3272272.7145519597</v>
      </c>
      <c r="X16" s="28">
        <f>'Option1 (base case)'!X$36*conv_2026</f>
        <v>3272272.7145519597</v>
      </c>
      <c r="Y16" s="28">
        <f>'Option1 (base case)'!Y$36*conv_2026</f>
        <v>3272272.7145519597</v>
      </c>
      <c r="Z16" s="28">
        <f>'Option1 (base case)'!Z$36*conv_2026</f>
        <v>3272272.7145519597</v>
      </c>
      <c r="AA16" s="28">
        <f>'Option1 (base case)'!AA$36*conv_2026</f>
        <v>3272272.7145519597</v>
      </c>
      <c r="AB16" s="28">
        <f>'Option1 (base case)'!AB$36*conv_2026</f>
        <v>3272272.7145519597</v>
      </c>
      <c r="AC16" s="28">
        <f>'Option1 (base case)'!AC$36*conv_2026</f>
        <v>3272272.7145519597</v>
      </c>
      <c r="AD16" s="28">
        <f>'Option1 (base case)'!AD$36*conv_2026</f>
        <v>3272272.7145519597</v>
      </c>
      <c r="AE16" s="28">
        <f>'Option1 (base case)'!AE$36*conv_2026</f>
        <v>3272272.7145519597</v>
      </c>
      <c r="AF16" s="28">
        <f>'Option1 (base case)'!AF$36*conv_2026</f>
        <v>3272272.7145519597</v>
      </c>
      <c r="AG16" s="28">
        <f>'Option1 (base case)'!AG$36*conv_2026</f>
        <v>3272272.7145519597</v>
      </c>
    </row>
    <row r="17" spans="1:33" s="1" customFormat="1" x14ac:dyDescent="0.2">
      <c r="A17" s="116" t="str">
        <f t="shared" si="3"/>
        <v>Option 1 (base case)</v>
      </c>
      <c r="B17" s="116"/>
      <c r="C17" s="12"/>
      <c r="D17" s="34" t="str">
        <f t="shared" si="2"/>
        <v>Option 1 (base case)</v>
      </c>
      <c r="F17"/>
      <c r="G17" s="201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s="1" customFormat="1" x14ac:dyDescent="0.2">
      <c r="A18" s="116" t="str">
        <f t="shared" si="3"/>
        <v>Option 1 (base case)</v>
      </c>
      <c r="B18" s="116"/>
      <c r="C18" s="52" t="str">
        <f>'Option1 (base case)'!C$82</f>
        <v>Annualised capex</v>
      </c>
      <c r="D18" s="34" t="str">
        <f t="shared" si="2"/>
        <v>Option 1 (base case)Annualised capex</v>
      </c>
      <c r="F18" s="84">
        <f>SUMPRODUCT($H18:$AG18, $H$5:$AG$5)</f>
        <v>0</v>
      </c>
      <c r="G18" s="200">
        <f t="shared" ref="G18:G25" si="4">output_dollars</f>
        <v>46203</v>
      </c>
      <c r="H18" s="28"/>
      <c r="I18" s="28">
        <f>'Option1 (base case)'!I$82*conv_2026</f>
        <v>0</v>
      </c>
      <c r="J18" s="28">
        <f>'Option1 (base case)'!J$82*conv_2026</f>
        <v>0</v>
      </c>
      <c r="K18" s="28">
        <f>'Option1 (base case)'!K$82*conv_2026</f>
        <v>0</v>
      </c>
      <c r="L18" s="28">
        <f>'Option1 (base case)'!L$82*conv_2026</f>
        <v>0</v>
      </c>
      <c r="M18" s="28">
        <f>'Option1 (base case)'!M$82*conv_2026</f>
        <v>0</v>
      </c>
      <c r="N18" s="28">
        <f>'Option1 (base case)'!N$82*conv_2026</f>
        <v>0</v>
      </c>
      <c r="O18" s="28">
        <f>'Option1 (base case)'!O$82*conv_2026</f>
        <v>0</v>
      </c>
      <c r="P18" s="28">
        <f>'Option1 (base case)'!P$82*conv_2026</f>
        <v>0</v>
      </c>
      <c r="Q18" s="28">
        <f>'Option1 (base case)'!Q$82*conv_2026</f>
        <v>0</v>
      </c>
      <c r="R18" s="28">
        <f>'Option1 (base case)'!R$82*conv_2026</f>
        <v>0</v>
      </c>
      <c r="S18" s="28">
        <f>'Option1 (base case)'!S$82*conv_2026</f>
        <v>0</v>
      </c>
      <c r="T18" s="28">
        <f>'Option1 (base case)'!T$82*conv_2026</f>
        <v>0</v>
      </c>
      <c r="U18" s="28">
        <f>'Option1 (base case)'!U$82*conv_2026</f>
        <v>0</v>
      </c>
      <c r="V18" s="28">
        <f>'Option1 (base case)'!V$82*conv_2026</f>
        <v>0</v>
      </c>
      <c r="W18" s="28">
        <f>'Option1 (base case)'!W$82*conv_2026</f>
        <v>0</v>
      </c>
      <c r="X18" s="28">
        <f>'Option1 (base case)'!X$82*conv_2026</f>
        <v>0</v>
      </c>
      <c r="Y18" s="28">
        <f>'Option1 (base case)'!Y$82*conv_2026</f>
        <v>0</v>
      </c>
      <c r="Z18" s="28">
        <f>'Option1 (base case)'!Z$82*conv_2026</f>
        <v>0</v>
      </c>
      <c r="AA18" s="28">
        <f>'Option1 (base case)'!AA$82*conv_2026</f>
        <v>0</v>
      </c>
      <c r="AB18" s="28">
        <f>'Option1 (base case)'!AB$82*conv_2026</f>
        <v>0</v>
      </c>
      <c r="AC18" s="28">
        <f>'Option1 (base case)'!AC$82*conv_2026</f>
        <v>0</v>
      </c>
      <c r="AD18" s="28">
        <f>'Option1 (base case)'!AD$82*conv_2026</f>
        <v>0</v>
      </c>
      <c r="AE18" s="28">
        <f>'Option1 (base case)'!AE$82*conv_2026</f>
        <v>0</v>
      </c>
      <c r="AF18" s="28">
        <f>'Option1 (base case)'!AF$82*conv_2026</f>
        <v>0</v>
      </c>
      <c r="AG18" s="28">
        <f>'Option1 (base case)'!AG$82*conv_2026</f>
        <v>0</v>
      </c>
    </row>
    <row r="19" spans="1:33" s="1" customFormat="1" x14ac:dyDescent="0.2">
      <c r="A19" s="116" t="str">
        <f t="shared" si="3"/>
        <v>Option 1 (base case)</v>
      </c>
      <c r="B19" s="116"/>
      <c r="C19" s="52" t="str">
        <f>'Option1 (base case)'!C$83</f>
        <v>Operating expenditure</v>
      </c>
      <c r="D19" s="34" t="str">
        <f t="shared" si="2"/>
        <v>Option 1 (base case)Operating expenditure</v>
      </c>
      <c r="F19" s="84">
        <f>SUMPRODUCT($H19:$AG19, $H$5:$AG$5)</f>
        <v>0</v>
      </c>
      <c r="G19" s="200">
        <f t="shared" si="4"/>
        <v>46203</v>
      </c>
      <c r="H19" s="28"/>
      <c r="I19" s="28">
        <f>'Option1 (base case)'!I$83*conv_2026</f>
        <v>0</v>
      </c>
      <c r="J19" s="28">
        <f>'Option1 (base case)'!J$83*conv_2026</f>
        <v>0</v>
      </c>
      <c r="K19" s="28">
        <f>'Option1 (base case)'!K$83*conv_2026</f>
        <v>0</v>
      </c>
      <c r="L19" s="28">
        <f>'Option1 (base case)'!L$83*conv_2026</f>
        <v>0</v>
      </c>
      <c r="M19" s="28">
        <f>'Option1 (base case)'!M$83*conv_2026</f>
        <v>0</v>
      </c>
      <c r="N19" s="28">
        <f>'Option1 (base case)'!N$83*conv_2026</f>
        <v>0</v>
      </c>
      <c r="O19" s="28">
        <f>'Option1 (base case)'!O$83*conv_2026</f>
        <v>0</v>
      </c>
      <c r="P19" s="28">
        <f>'Option1 (base case)'!P$83*conv_2026</f>
        <v>0</v>
      </c>
      <c r="Q19" s="28">
        <f>'Option1 (base case)'!Q$83*conv_2026</f>
        <v>0</v>
      </c>
      <c r="R19" s="28">
        <f>'Option1 (base case)'!R$83*conv_2026</f>
        <v>0</v>
      </c>
      <c r="S19" s="28">
        <f>'Option1 (base case)'!S$83*conv_2026</f>
        <v>0</v>
      </c>
      <c r="T19" s="28">
        <f>'Option1 (base case)'!T$83*conv_2026</f>
        <v>0</v>
      </c>
      <c r="U19" s="28">
        <f>'Option1 (base case)'!U$83*conv_2026</f>
        <v>0</v>
      </c>
      <c r="V19" s="28">
        <f>'Option1 (base case)'!V$83*conv_2026</f>
        <v>0</v>
      </c>
      <c r="W19" s="28">
        <f>'Option1 (base case)'!W$83*conv_2026</f>
        <v>0</v>
      </c>
      <c r="X19" s="28">
        <f>'Option1 (base case)'!X$83*conv_2026</f>
        <v>0</v>
      </c>
      <c r="Y19" s="28">
        <f>'Option1 (base case)'!Y$83*conv_2026</f>
        <v>0</v>
      </c>
      <c r="Z19" s="28">
        <f>'Option1 (base case)'!Z$83*conv_2026</f>
        <v>0</v>
      </c>
      <c r="AA19" s="28">
        <f>'Option1 (base case)'!AA$83*conv_2026</f>
        <v>0</v>
      </c>
      <c r="AB19" s="28">
        <f>'Option1 (base case)'!AB$83*conv_2026</f>
        <v>0</v>
      </c>
      <c r="AC19" s="28">
        <f>'Option1 (base case)'!AC$83*conv_2026</f>
        <v>0</v>
      </c>
      <c r="AD19" s="28">
        <f>'Option1 (base case)'!AD$83*conv_2026</f>
        <v>0</v>
      </c>
      <c r="AE19" s="28">
        <f>'Option1 (base case)'!AE$83*conv_2026</f>
        <v>0</v>
      </c>
      <c r="AF19" s="28">
        <f>'Option1 (base case)'!AF$83*conv_2026</f>
        <v>0</v>
      </c>
      <c r="AG19" s="28">
        <f>'Option1 (base case)'!AG$83*conv_2026</f>
        <v>0</v>
      </c>
    </row>
    <row r="20" spans="1:33" s="1" customFormat="1" x14ac:dyDescent="0.2">
      <c r="A20" s="116" t="str">
        <f t="shared" si="3"/>
        <v>Option 1 (base case)</v>
      </c>
      <c r="B20" s="116"/>
      <c r="C20" s="52" t="str">
        <f>'Option1 (base case)'!C$84</f>
        <v>Risk mitigated</v>
      </c>
      <c r="D20" s="34" t="str">
        <f t="shared" si="2"/>
        <v>Option 1 (base case)Risk mitigated</v>
      </c>
      <c r="F20" s="84">
        <f>SUMPRODUCT($H20:$AG20, $H$5:$AG$5)</f>
        <v>0</v>
      </c>
      <c r="G20" s="200">
        <f t="shared" si="4"/>
        <v>46203</v>
      </c>
      <c r="H20" s="28"/>
      <c r="I20" s="28">
        <f>'Option1 (base case)'!I$84*conv_2026</f>
        <v>0</v>
      </c>
      <c r="J20" s="28">
        <f>'Option1 (base case)'!J$84*conv_2026</f>
        <v>0</v>
      </c>
      <c r="K20" s="28">
        <f>'Option1 (base case)'!K$84*conv_2026</f>
        <v>0</v>
      </c>
      <c r="L20" s="28">
        <f>'Option1 (base case)'!L$84*conv_2026</f>
        <v>0</v>
      </c>
      <c r="M20" s="28">
        <f>'Option1 (base case)'!M$84*conv_2026</f>
        <v>0</v>
      </c>
      <c r="N20" s="28">
        <f>'Option1 (base case)'!N$84*conv_2026</f>
        <v>0</v>
      </c>
      <c r="O20" s="28">
        <f>'Option1 (base case)'!O$84*conv_2026</f>
        <v>0</v>
      </c>
      <c r="P20" s="28">
        <f>'Option1 (base case)'!P$84*conv_2026</f>
        <v>0</v>
      </c>
      <c r="Q20" s="28">
        <f>'Option1 (base case)'!Q$84*conv_2026</f>
        <v>0</v>
      </c>
      <c r="R20" s="28">
        <f>'Option1 (base case)'!R$84*conv_2026</f>
        <v>0</v>
      </c>
      <c r="S20" s="28">
        <f>'Option1 (base case)'!S$84*conv_2026</f>
        <v>0</v>
      </c>
      <c r="T20" s="28">
        <f>'Option1 (base case)'!T$84*conv_2026</f>
        <v>0</v>
      </c>
      <c r="U20" s="28">
        <f>'Option1 (base case)'!U$84*conv_2026</f>
        <v>0</v>
      </c>
      <c r="V20" s="28">
        <f>'Option1 (base case)'!V$84*conv_2026</f>
        <v>0</v>
      </c>
      <c r="W20" s="28">
        <f>'Option1 (base case)'!W$84*conv_2026</f>
        <v>0</v>
      </c>
      <c r="X20" s="28">
        <f>'Option1 (base case)'!X$84*conv_2026</f>
        <v>0</v>
      </c>
      <c r="Y20" s="28">
        <f>'Option1 (base case)'!Y$84*conv_2026</f>
        <v>0</v>
      </c>
      <c r="Z20" s="28">
        <f>'Option1 (base case)'!Z$84*conv_2026</f>
        <v>0</v>
      </c>
      <c r="AA20" s="28">
        <f>'Option1 (base case)'!AA$84*conv_2026</f>
        <v>0</v>
      </c>
      <c r="AB20" s="28">
        <f>'Option1 (base case)'!AB$84*conv_2026</f>
        <v>0</v>
      </c>
      <c r="AC20" s="28">
        <f>'Option1 (base case)'!AC$84*conv_2026</f>
        <v>0</v>
      </c>
      <c r="AD20" s="28">
        <f>'Option1 (base case)'!AD$84*conv_2026</f>
        <v>0</v>
      </c>
      <c r="AE20" s="28">
        <f>'Option1 (base case)'!AE$84*conv_2026</f>
        <v>0</v>
      </c>
      <c r="AF20" s="28">
        <f>'Option1 (base case)'!AF$84*conv_2026</f>
        <v>0</v>
      </c>
      <c r="AG20" s="28">
        <f>'Option1 (base case)'!AG$84*conv_2026</f>
        <v>0</v>
      </c>
    </row>
    <row r="21" spans="1:33" s="1" customFormat="1" x14ac:dyDescent="0.2">
      <c r="A21" s="116" t="str">
        <f t="shared" si="3"/>
        <v>Option 1 (base case)</v>
      </c>
      <c r="B21" s="116"/>
      <c r="C21" s="52" t="str">
        <f>'Option1 (base case)'!C$85</f>
        <v>Other benefits value</v>
      </c>
      <c r="D21" s="34" t="str">
        <f t="shared" si="2"/>
        <v>Option 1 (base case)Other benefits value</v>
      </c>
      <c r="F21" s="84">
        <f>SUMPRODUCT($H21:$AG21, $H$5:$AG$5)</f>
        <v>0</v>
      </c>
      <c r="G21" s="200">
        <f t="shared" si="4"/>
        <v>46203</v>
      </c>
      <c r="H21" s="28"/>
      <c r="I21" s="28">
        <f>'Option1 (base case)'!I$85*conv_2026</f>
        <v>0</v>
      </c>
      <c r="J21" s="28">
        <f>'Option1 (base case)'!J$85*conv_2026</f>
        <v>0</v>
      </c>
      <c r="K21" s="28">
        <f>'Option1 (base case)'!K$85*conv_2026</f>
        <v>0</v>
      </c>
      <c r="L21" s="28">
        <f>'Option1 (base case)'!L$85*conv_2026</f>
        <v>0</v>
      </c>
      <c r="M21" s="28">
        <f>'Option1 (base case)'!M$85*conv_2026</f>
        <v>0</v>
      </c>
      <c r="N21" s="28">
        <f>'Option1 (base case)'!N$85*conv_2026</f>
        <v>0</v>
      </c>
      <c r="O21" s="28">
        <f>'Option1 (base case)'!O$85*conv_2026</f>
        <v>0</v>
      </c>
      <c r="P21" s="28">
        <f>'Option1 (base case)'!P$85*conv_2026</f>
        <v>0</v>
      </c>
      <c r="Q21" s="28">
        <f>'Option1 (base case)'!Q$85*conv_2026</f>
        <v>0</v>
      </c>
      <c r="R21" s="28">
        <f>'Option1 (base case)'!R$85*conv_2026</f>
        <v>0</v>
      </c>
      <c r="S21" s="28">
        <f>'Option1 (base case)'!S$85*conv_2026</f>
        <v>0</v>
      </c>
      <c r="T21" s="28">
        <f>'Option1 (base case)'!T$85*conv_2026</f>
        <v>0</v>
      </c>
      <c r="U21" s="28">
        <f>'Option1 (base case)'!U$85*conv_2026</f>
        <v>0</v>
      </c>
      <c r="V21" s="28">
        <f>'Option1 (base case)'!V$85*conv_2026</f>
        <v>0</v>
      </c>
      <c r="W21" s="28">
        <f>'Option1 (base case)'!W$85*conv_2026</f>
        <v>0</v>
      </c>
      <c r="X21" s="28">
        <f>'Option1 (base case)'!X$85*conv_2026</f>
        <v>0</v>
      </c>
      <c r="Y21" s="28">
        <f>'Option1 (base case)'!Y$85*conv_2026</f>
        <v>0</v>
      </c>
      <c r="Z21" s="28">
        <f>'Option1 (base case)'!Z$85*conv_2026</f>
        <v>0</v>
      </c>
      <c r="AA21" s="28">
        <f>'Option1 (base case)'!AA$85*conv_2026</f>
        <v>0</v>
      </c>
      <c r="AB21" s="28">
        <f>'Option1 (base case)'!AB$85*conv_2026</f>
        <v>0</v>
      </c>
      <c r="AC21" s="28">
        <f>'Option1 (base case)'!AC$85*conv_2026</f>
        <v>0</v>
      </c>
      <c r="AD21" s="28">
        <f>'Option1 (base case)'!AD$85*conv_2026</f>
        <v>0</v>
      </c>
      <c r="AE21" s="28">
        <f>'Option1 (base case)'!AE$85*conv_2026</f>
        <v>0</v>
      </c>
      <c r="AF21" s="28">
        <f>'Option1 (base case)'!AF$85*conv_2026</f>
        <v>0</v>
      </c>
      <c r="AG21" s="28">
        <f>'Option1 (base case)'!AG$85*conv_2026</f>
        <v>0</v>
      </c>
    </row>
    <row r="22" spans="1:33" s="1" customFormat="1" x14ac:dyDescent="0.2">
      <c r="A22" s="116" t="str">
        <f t="shared" si="3"/>
        <v>Option 1 (base case)</v>
      </c>
      <c r="B22" s="116"/>
      <c r="C22" s="124" t="str">
        <f>'Option1 (base case)'!C$87</f>
        <v>Net benefits</v>
      </c>
      <c r="D22" s="96" t="str">
        <f t="shared" si="2"/>
        <v>Option 1 (base case)Net benefits</v>
      </c>
      <c r="E22" s="97"/>
      <c r="F22" s="123"/>
      <c r="G22" s="202">
        <f t="shared" si="4"/>
        <v>46203</v>
      </c>
      <c r="H22" s="46"/>
      <c r="I22" s="46">
        <f t="shared" ref="I22:AG22" si="5">SUM(I18:I21)</f>
        <v>0</v>
      </c>
      <c r="J22" s="46">
        <f t="shared" si="5"/>
        <v>0</v>
      </c>
      <c r="K22" s="46">
        <f t="shared" si="5"/>
        <v>0</v>
      </c>
      <c r="L22" s="46">
        <f t="shared" si="5"/>
        <v>0</v>
      </c>
      <c r="M22" s="46">
        <f t="shared" si="5"/>
        <v>0</v>
      </c>
      <c r="N22" s="46">
        <f t="shared" si="5"/>
        <v>0</v>
      </c>
      <c r="O22" s="46">
        <f t="shared" si="5"/>
        <v>0</v>
      </c>
      <c r="P22" s="46">
        <f t="shared" si="5"/>
        <v>0</v>
      </c>
      <c r="Q22" s="46">
        <f t="shared" si="5"/>
        <v>0</v>
      </c>
      <c r="R22" s="46">
        <f t="shared" si="5"/>
        <v>0</v>
      </c>
      <c r="S22" s="46">
        <f t="shared" si="5"/>
        <v>0</v>
      </c>
      <c r="T22" s="46">
        <f t="shared" si="5"/>
        <v>0</v>
      </c>
      <c r="U22" s="46">
        <f t="shared" si="5"/>
        <v>0</v>
      </c>
      <c r="V22" s="46">
        <f t="shared" si="5"/>
        <v>0</v>
      </c>
      <c r="W22" s="46">
        <f t="shared" si="5"/>
        <v>0</v>
      </c>
      <c r="X22" s="46">
        <f t="shared" si="5"/>
        <v>0</v>
      </c>
      <c r="Y22" s="46">
        <f t="shared" si="5"/>
        <v>0</v>
      </c>
      <c r="Z22" s="46">
        <f t="shared" si="5"/>
        <v>0</v>
      </c>
      <c r="AA22" s="46">
        <f t="shared" si="5"/>
        <v>0</v>
      </c>
      <c r="AB22" s="46">
        <f t="shared" si="5"/>
        <v>0</v>
      </c>
      <c r="AC22" s="46">
        <f t="shared" si="5"/>
        <v>0</v>
      </c>
      <c r="AD22" s="46">
        <f t="shared" si="5"/>
        <v>0</v>
      </c>
      <c r="AE22" s="46">
        <f t="shared" si="5"/>
        <v>0</v>
      </c>
      <c r="AF22" s="46">
        <f t="shared" si="5"/>
        <v>0</v>
      </c>
      <c r="AG22" s="46">
        <f t="shared" si="5"/>
        <v>0</v>
      </c>
    </row>
    <row r="23" spans="1:33" s="1" customFormat="1" x14ac:dyDescent="0.2">
      <c r="A23" s="116" t="str">
        <f t="shared" si="3"/>
        <v>Option 1 (base case)</v>
      </c>
      <c r="B23" s="116"/>
      <c r="C23" s="6" t="s">
        <v>7</v>
      </c>
      <c r="D23" s="34" t="str">
        <f t="shared" si="2"/>
        <v>Option 1 (base case)NPV</v>
      </c>
      <c r="F23" s="95" cm="1">
        <f t="array" ref="F23">SUMPRODUCT(($H22:$AG22)*($H$5:$AG$5)*($H$7:$AG$7))</f>
        <v>0</v>
      </c>
      <c r="G23" s="200">
        <f t="shared" si="4"/>
        <v>46203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1:33" s="1" customFormat="1" x14ac:dyDescent="0.2">
      <c r="A24" s="116" t="str">
        <f t="shared" si="3"/>
        <v>Option 1 (base case)</v>
      </c>
      <c r="B24" s="116"/>
      <c r="C24" s="6" t="s">
        <v>10</v>
      </c>
      <c r="D24" s="34" t="str">
        <f t="shared" si="2"/>
        <v>Option 1 (base case)PV of costs</v>
      </c>
      <c r="F24" s="95">
        <f>SUM(F18:F19)</f>
        <v>0</v>
      </c>
      <c r="G24" s="200">
        <f t="shared" si="4"/>
        <v>46203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spans="1:33" s="1" customFormat="1" x14ac:dyDescent="0.2">
      <c r="A25" s="116" t="str">
        <f t="shared" si="3"/>
        <v>Option 1 (base case)</v>
      </c>
      <c r="B25" s="116"/>
      <c r="C25" s="6" t="s">
        <v>11</v>
      </c>
      <c r="D25" s="34" t="str">
        <f t="shared" si="2"/>
        <v>Option 1 (base case)PV of benefits</v>
      </c>
      <c r="F25" s="95">
        <f>SUM(F20:F21)</f>
        <v>0</v>
      </c>
      <c r="G25" s="200">
        <f t="shared" si="4"/>
        <v>46203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s="1" customFormat="1" x14ac:dyDescent="0.2">
      <c r="D26" s="34" t="str">
        <f t="shared" ref="D26:D39" si="6">A26&amp;C26</f>
        <v/>
      </c>
      <c r="G26" s="203"/>
    </row>
    <row r="27" spans="1:33" s="2" customFormat="1" x14ac:dyDescent="0.2">
      <c r="A27" s="52"/>
      <c r="B27" s="52"/>
      <c r="C27" s="52"/>
      <c r="D27" s="34" t="str">
        <f t="shared" si="6"/>
        <v/>
      </c>
      <c r="F27" s="7"/>
      <c r="G27" s="196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3" s="2" customFormat="1" x14ac:dyDescent="0.2">
      <c r="A28" s="52" t="str">
        <f>A29</f>
        <v>Option 2</v>
      </c>
      <c r="B28" s="52"/>
      <c r="C28" s="52" t="s">
        <v>100</v>
      </c>
      <c r="D28" s="34" t="str">
        <f t="shared" si="6"/>
        <v>Option 2Energy at risk value</v>
      </c>
      <c r="F28" s="84">
        <f>SUMPRODUCT($H28:$AG28, $H$5:$AG$5)</f>
        <v>0</v>
      </c>
      <c r="G28" s="200">
        <f>output_dollars</f>
        <v>46203</v>
      </c>
      <c r="H28" s="28"/>
      <c r="I28" s="28">
        <f>Option2!I$28*conv_2026</f>
        <v>0</v>
      </c>
      <c r="J28" s="28">
        <f>Option2!J$28*conv_2026</f>
        <v>0</v>
      </c>
      <c r="K28" s="28">
        <f>Option2!K$28*conv_2026</f>
        <v>0</v>
      </c>
      <c r="L28" s="28">
        <f>Option2!L$28*conv_2026</f>
        <v>0</v>
      </c>
      <c r="M28" s="28">
        <f>Option2!M$28*conv_2026</f>
        <v>0</v>
      </c>
      <c r="N28" s="28">
        <f>Option2!N$28*conv_2026</f>
        <v>0</v>
      </c>
      <c r="O28" s="28">
        <f>Option2!O$28*conv_2026</f>
        <v>0</v>
      </c>
      <c r="P28" s="28">
        <f>Option2!P$28*conv_2026</f>
        <v>0</v>
      </c>
      <c r="Q28" s="28">
        <f>Option2!Q$28*conv_2026</f>
        <v>0</v>
      </c>
      <c r="R28" s="28">
        <f>Option2!R$28*conv_2026</f>
        <v>0</v>
      </c>
      <c r="S28" s="28">
        <f>Option2!S$28*conv_2026</f>
        <v>0</v>
      </c>
      <c r="T28" s="28">
        <f>Option2!T$28*conv_2026</f>
        <v>0</v>
      </c>
      <c r="U28" s="28">
        <f>Option2!U$28*conv_2026</f>
        <v>0</v>
      </c>
      <c r="V28" s="28">
        <f>Option2!V$28*conv_2026</f>
        <v>0</v>
      </c>
      <c r="W28" s="28">
        <f>Option2!W$28*conv_2026</f>
        <v>0</v>
      </c>
      <c r="X28" s="28">
        <f>Option2!X$28*conv_2026</f>
        <v>0</v>
      </c>
      <c r="Y28" s="28">
        <f>Option2!Y$28*conv_2026</f>
        <v>0</v>
      </c>
      <c r="Z28" s="28">
        <f>Option2!Z$28*conv_2026</f>
        <v>0</v>
      </c>
      <c r="AA28" s="28">
        <f>Option2!AA$28*conv_2026</f>
        <v>0</v>
      </c>
      <c r="AB28" s="28">
        <f>Option2!AB$28*conv_2026</f>
        <v>0</v>
      </c>
      <c r="AC28" s="28">
        <f>Option2!AC$28*conv_2026</f>
        <v>0</v>
      </c>
      <c r="AD28" s="28">
        <f>Option2!AD$28*conv_2026</f>
        <v>0</v>
      </c>
      <c r="AE28" s="28">
        <f>Option2!AE$28*conv_2026</f>
        <v>0</v>
      </c>
      <c r="AF28" s="28">
        <f>Option2!AF$28*conv_2026</f>
        <v>0</v>
      </c>
      <c r="AG28" s="28">
        <f>Option2!AG$28*conv_2026</f>
        <v>0</v>
      </c>
    </row>
    <row r="29" spans="1:33" s="2" customFormat="1" x14ac:dyDescent="0.2">
      <c r="A29" s="116" t="str">
        <f>Data!B10</f>
        <v>Option 2</v>
      </c>
      <c r="B29" s="116"/>
      <c r="C29" s="52" t="str">
        <f>Option2!C$66</f>
        <v>Capital expenditure</v>
      </c>
      <c r="D29" s="34" t="str">
        <f t="shared" si="6"/>
        <v>Option 2Capital expenditure</v>
      </c>
      <c r="E29" s="1"/>
      <c r="F29" s="84" cm="1">
        <f t="array" ref="F29">SUMPRODUCT(($H29:$AG29)*($H$5:$AG$5)*($H$7:$AG$7))</f>
        <v>-15888488.702403605</v>
      </c>
      <c r="G29" s="200">
        <f>output_dollars</f>
        <v>46203</v>
      </c>
      <c r="H29" s="28"/>
      <c r="I29" s="28">
        <f>SUM(Option2!I$67:I$69)*conv_2026*I$7</f>
        <v>0</v>
      </c>
      <c r="J29" s="28">
        <f>SUM(Option2!J$67:J$69)*conv_2026*J$7</f>
        <v>0</v>
      </c>
      <c r="K29" s="28">
        <f>SUM(Option2!K$67:K$69)*conv_2026*K$7</f>
        <v>0</v>
      </c>
      <c r="L29" s="28">
        <f>SUM(Option2!L$67:L$69)*conv_2026*L$7</f>
        <v>-9114854.7011972386</v>
      </c>
      <c r="M29" s="28">
        <f>SUM(Option2!M$67:M$69)*conv_2026*M$7</f>
        <v>-9114854.7011972386</v>
      </c>
      <c r="N29" s="28">
        <f>SUM(Option2!N$67:N$69)*conv_2026*N$7</f>
        <v>0</v>
      </c>
      <c r="O29" s="28">
        <f>SUM(Option2!O$67:O$69)*conv_2026*O$7</f>
        <v>0</v>
      </c>
      <c r="P29" s="28">
        <f>SUM(Option2!P$67:P$69)*conv_2026*P$7</f>
        <v>0</v>
      </c>
      <c r="Q29" s="28">
        <f>SUM(Option2!Q$67:Q$69)*conv_2026*Q$7</f>
        <v>0</v>
      </c>
      <c r="R29" s="28">
        <f>SUM(Option2!R$67:R$69)*conv_2026*R$7</f>
        <v>0</v>
      </c>
      <c r="S29" s="28">
        <f>SUM(Option2!S$67:S$69)*conv_2026*S$7</f>
        <v>0</v>
      </c>
      <c r="T29" s="28">
        <f>SUM(Option2!T$67:T$69)*conv_2026*T$7</f>
        <v>0</v>
      </c>
      <c r="U29" s="28">
        <f>SUM(Option2!U$67:U$69)*conv_2026*U$7</f>
        <v>0</v>
      </c>
      <c r="V29" s="28">
        <f>SUM(Option2!V$67:V$69)*conv_2026*V$7</f>
        <v>0</v>
      </c>
      <c r="W29" s="28">
        <f>SUM(Option2!W$67:W$69)*conv_2026*W$7</f>
        <v>0</v>
      </c>
      <c r="X29" s="28">
        <f>SUM(Option2!X$67:X$69)*conv_2026*X$7</f>
        <v>0</v>
      </c>
      <c r="Y29" s="28">
        <f>SUM(Option2!Y$67:Y$69)*conv_2026*Y$7</f>
        <v>0</v>
      </c>
      <c r="Z29" s="28">
        <f>SUM(Option2!Z$67:Z$69)*conv_2026*Z$7</f>
        <v>0</v>
      </c>
      <c r="AA29" s="28">
        <f>SUM(Option2!AA$67:AA$69)*conv_2026*AA$7</f>
        <v>0</v>
      </c>
      <c r="AB29" s="28">
        <f>SUM(Option2!AB$67:AB$69)*conv_2026*AB$7</f>
        <v>0</v>
      </c>
      <c r="AC29" s="28">
        <f>SUM(Option2!AC$67:AC$69)*conv_2026*AC$7</f>
        <v>0</v>
      </c>
      <c r="AD29" s="28">
        <f>SUM(Option2!AD$67:AD$69)*conv_2026*AD$7</f>
        <v>0</v>
      </c>
      <c r="AE29" s="28">
        <f>SUM(Option2!AE$67:AE$69)*conv_2026*AE$7</f>
        <v>0</v>
      </c>
      <c r="AF29" s="28">
        <f>SUM(Option2!AF$67:AF$69)*conv_2026*AF$7</f>
        <v>0</v>
      </c>
      <c r="AG29" s="28">
        <f>SUM(Option2!AG$67:AG$69)*conv_2026*AG$7</f>
        <v>0</v>
      </c>
    </row>
    <row r="30" spans="1:33" s="2" customFormat="1" x14ac:dyDescent="0.2">
      <c r="A30" s="116" t="str">
        <f t="shared" ref="A30:A39" si="7">A29</f>
        <v>Option 2</v>
      </c>
      <c r="B30" s="116"/>
      <c r="C30" s="52" t="str">
        <f>'Option1 (base case)'!C$36</f>
        <v>Total risk cost</v>
      </c>
      <c r="D30" s="34" t="str">
        <f t="shared" si="6"/>
        <v>Option 2Total risk cost</v>
      </c>
      <c r="E30" s="1"/>
      <c r="F30" s="84" cm="1">
        <f t="array" ref="F30">SUMPRODUCT(($H30:$AG30)*($H$5:$AG$5)*($H$7:$AG$7))</f>
        <v>35392529.463071853</v>
      </c>
      <c r="G30" s="200">
        <f>output_dollars</f>
        <v>46203</v>
      </c>
      <c r="H30" s="28"/>
      <c r="I30" s="28">
        <f>Option2!I$36*conv_2026*I$7</f>
        <v>3272272.7145519597</v>
      </c>
      <c r="J30" s="28">
        <f>Option2!J$36*conv_2026*J$7</f>
        <v>3272272.7145519597</v>
      </c>
      <c r="K30" s="28">
        <f>Option2!K$36*conv_2026*K$7</f>
        <v>3272272.7145519597</v>
      </c>
      <c r="L30" s="28">
        <f>Option2!L$36*conv_2026*L$7</f>
        <v>3272272.7145519597</v>
      </c>
      <c r="M30" s="28">
        <f>Option2!M$36*conv_2026*M$7</f>
        <v>3272272.7145519597</v>
      </c>
      <c r="N30" s="28">
        <f>Option2!N$36*conv_2026*N$7</f>
        <v>1802235.9705612978</v>
      </c>
      <c r="O30" s="28">
        <f>Option2!O$36*conv_2026*O$7</f>
        <v>1802235.9705612978</v>
      </c>
      <c r="P30" s="28">
        <f>Option2!P$36*conv_2026*P$7</f>
        <v>1802235.9705612978</v>
      </c>
      <c r="Q30" s="28">
        <f>Option2!Q$36*conv_2026*Q$7</f>
        <v>1802235.9705612978</v>
      </c>
      <c r="R30" s="28">
        <f>Option2!R$36*conv_2026*R$7</f>
        <v>1802235.9705612978</v>
      </c>
      <c r="S30" s="28">
        <f>Option2!S$36*conv_2026*S$7</f>
        <v>1802235.9705612978</v>
      </c>
      <c r="T30" s="28">
        <f>Option2!T$36*conv_2026*T$7</f>
        <v>1802235.9705612978</v>
      </c>
      <c r="U30" s="28">
        <f>Option2!U$36*conv_2026*U$7</f>
        <v>1802235.9705612978</v>
      </c>
      <c r="V30" s="28">
        <f>Option2!V$36*conv_2026*V$7</f>
        <v>1802235.9705612978</v>
      </c>
      <c r="W30" s="28">
        <f>Option2!W$36*conv_2026*W$7</f>
        <v>1802235.9705612978</v>
      </c>
      <c r="X30" s="28">
        <f>Option2!X$36*conv_2026*X$7</f>
        <v>1802235.9705612978</v>
      </c>
      <c r="Y30" s="28">
        <f>Option2!Y$36*conv_2026*Y$7</f>
        <v>1802235.9705612978</v>
      </c>
      <c r="Z30" s="28">
        <f>Option2!Z$36*conv_2026*Z$7</f>
        <v>1802235.9705612978</v>
      </c>
      <c r="AA30" s="28">
        <f>Option2!AA$36*conv_2026*AA$7</f>
        <v>1802235.9705612978</v>
      </c>
      <c r="AB30" s="28">
        <f>Option2!AB$36*conv_2026*AB$7</f>
        <v>1802235.9705612978</v>
      </c>
      <c r="AC30" s="28">
        <f>Option2!AC$36*conv_2026*AC$7</f>
        <v>1802235.9705612978</v>
      </c>
      <c r="AD30" s="28">
        <f>Option2!AD$36*conv_2026*AD$7</f>
        <v>1802235.9705612978</v>
      </c>
      <c r="AE30" s="28">
        <f>Option2!AE$36*conv_2026*AE$7</f>
        <v>1802235.9705612978</v>
      </c>
      <c r="AF30" s="28">
        <f>Option2!AF$36*conv_2026*AF$7</f>
        <v>0</v>
      </c>
      <c r="AG30" s="28">
        <f>Option2!AG$36*conv_2026*AG$7</f>
        <v>0</v>
      </c>
    </row>
    <row r="31" spans="1:33" s="2" customFormat="1" x14ac:dyDescent="0.2">
      <c r="A31" s="116" t="str">
        <f t="shared" si="7"/>
        <v>Option 2</v>
      </c>
      <c r="B31" s="116"/>
      <c r="C31" s="12"/>
      <c r="D31" s="34" t="str">
        <f t="shared" si="6"/>
        <v>Option 2</v>
      </c>
      <c r="E31" s="1"/>
      <c r="F31" s="84"/>
      <c r="G31" s="20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s="2" customFormat="1" x14ac:dyDescent="0.2">
      <c r="A32" s="116" t="str">
        <f t="shared" si="7"/>
        <v>Option 2</v>
      </c>
      <c r="B32" s="116"/>
      <c r="C32" s="52" t="str">
        <f>Option2!C$82</f>
        <v>Annualised capex</v>
      </c>
      <c r="D32" s="34" t="str">
        <f t="shared" si="6"/>
        <v>Option 2Annualised capex</v>
      </c>
      <c r="E32" s="1"/>
      <c r="F32" s="84" cm="1">
        <f t="array" ref="F32">SUMPRODUCT(($H32:$AG32)*($H$5:$AG$5)*($H$7:$AG$7))</f>
        <v>-11622819.472645093</v>
      </c>
      <c r="G32" s="200">
        <f t="shared" ref="G32:G39" si="8">output_dollars</f>
        <v>46203</v>
      </c>
      <c r="H32" s="28"/>
      <c r="I32" s="28">
        <f>Option2!I$82*conv_2026*I$7</f>
        <v>0</v>
      </c>
      <c r="J32" s="28">
        <f>Option2!J$82*conv_2026*J$7</f>
        <v>0</v>
      </c>
      <c r="K32" s="28">
        <f>Option2!K$82*conv_2026*K$7</f>
        <v>0</v>
      </c>
      <c r="L32" s="28">
        <f>Option2!L$82*conv_2026*L$7</f>
        <v>0</v>
      </c>
      <c r="M32" s="28">
        <f>Option2!M$82*conv_2026*M$7</f>
        <v>-495586.78751227859</v>
      </c>
      <c r="N32" s="28">
        <f>Option2!N$82*conv_2026*N$7</f>
        <v>-991173.57502455718</v>
      </c>
      <c r="O32" s="28">
        <f>Option2!O$82*conv_2026*O$7</f>
        <v>-991173.57502455718</v>
      </c>
      <c r="P32" s="28">
        <f>Option2!P$82*conv_2026*P$7</f>
        <v>-991173.57502455718</v>
      </c>
      <c r="Q32" s="28">
        <f>Option2!Q$82*conv_2026*Q$7</f>
        <v>-991173.57502455718</v>
      </c>
      <c r="R32" s="28">
        <f>Option2!R$82*conv_2026*R$7</f>
        <v>-991173.57502455718</v>
      </c>
      <c r="S32" s="28">
        <f>Option2!S$82*conv_2026*S$7</f>
        <v>-991173.57502455718</v>
      </c>
      <c r="T32" s="28">
        <f>Option2!T$82*conv_2026*T$7</f>
        <v>-991173.57502455718</v>
      </c>
      <c r="U32" s="28">
        <f>Option2!U$82*conv_2026*U$7</f>
        <v>-991173.57502455718</v>
      </c>
      <c r="V32" s="28">
        <f>Option2!V$82*conv_2026*V$7</f>
        <v>-991173.57502455718</v>
      </c>
      <c r="W32" s="28">
        <f>Option2!W$82*conv_2026*W$7</f>
        <v>-991173.57502455718</v>
      </c>
      <c r="X32" s="28">
        <f>Option2!X$82*conv_2026*X$7</f>
        <v>-991173.57502455718</v>
      </c>
      <c r="Y32" s="28">
        <f>Option2!Y$82*conv_2026*Y$7</f>
        <v>-991173.57502455718</v>
      </c>
      <c r="Z32" s="28">
        <f>Option2!Z$82*conv_2026*Z$7</f>
        <v>-991173.57502455718</v>
      </c>
      <c r="AA32" s="28">
        <f>Option2!AA$82*conv_2026*AA$7</f>
        <v>-991173.57502455718</v>
      </c>
      <c r="AB32" s="28">
        <f>Option2!AB$82*conv_2026*AB$7</f>
        <v>-991173.57502455718</v>
      </c>
      <c r="AC32" s="28">
        <f>Option2!AC$82*conv_2026*AC$7</f>
        <v>-991173.57502455718</v>
      </c>
      <c r="AD32" s="28">
        <f>Option2!AD$82*conv_2026*AD$7</f>
        <v>-991173.57502455718</v>
      </c>
      <c r="AE32" s="28">
        <f>Option2!AE$82*conv_2026*AE$7</f>
        <v>-991173.57502455718</v>
      </c>
      <c r="AF32" s="28">
        <f>Option2!AF$82*conv_2026*AF$7</f>
        <v>0</v>
      </c>
      <c r="AG32" s="28">
        <f>Option2!AG$82*conv_2026*AG$7</f>
        <v>0</v>
      </c>
    </row>
    <row r="33" spans="1:33" s="2" customFormat="1" x14ac:dyDescent="0.2">
      <c r="A33" s="116" t="str">
        <f t="shared" si="7"/>
        <v>Option 2</v>
      </c>
      <c r="B33" s="116"/>
      <c r="C33" s="52" t="str">
        <f>Option2!C$83</f>
        <v>Operating expenditure</v>
      </c>
      <c r="D33" s="34" t="str">
        <f t="shared" si="6"/>
        <v>Option 2Operating expenditure</v>
      </c>
      <c r="E33" s="1"/>
      <c r="F33" s="84" cm="1">
        <f t="array" ref="F33">SUMPRODUCT(($H33:$AG33)*($H$5:$AG$5)*($H$7:$AG$7))</f>
        <v>0</v>
      </c>
      <c r="G33" s="200">
        <f t="shared" si="8"/>
        <v>46203</v>
      </c>
      <c r="H33" s="28"/>
      <c r="I33" s="28">
        <f>Option2!I$83*conv_2026*I$7</f>
        <v>0</v>
      </c>
      <c r="J33" s="28">
        <f>Option2!J$83*conv_2026*J$7</f>
        <v>0</v>
      </c>
      <c r="K33" s="28">
        <f>Option2!K$83*conv_2026*K$7</f>
        <v>0</v>
      </c>
      <c r="L33" s="28">
        <f>Option2!L$83*conv_2026*L$7</f>
        <v>0</v>
      </c>
      <c r="M33" s="28">
        <f>Option2!M$83*conv_2026*M$7</f>
        <v>0</v>
      </c>
      <c r="N33" s="28">
        <f>Option2!N$83*conv_2026*N$7</f>
        <v>0</v>
      </c>
      <c r="O33" s="28">
        <f>Option2!O$83*conv_2026*O$7</f>
        <v>0</v>
      </c>
      <c r="P33" s="28">
        <f>Option2!P$83*conv_2026*P$7</f>
        <v>0</v>
      </c>
      <c r="Q33" s="28">
        <f>Option2!Q$83*conv_2026*Q$7</f>
        <v>0</v>
      </c>
      <c r="R33" s="28">
        <f>Option2!R$83*conv_2026*R$7</f>
        <v>0</v>
      </c>
      <c r="S33" s="28">
        <f>Option2!S$83*conv_2026*S$7</f>
        <v>0</v>
      </c>
      <c r="T33" s="28">
        <f>Option2!T$83*conv_2026*T$7</f>
        <v>0</v>
      </c>
      <c r="U33" s="28">
        <f>Option2!U$83*conv_2026*U$7</f>
        <v>0</v>
      </c>
      <c r="V33" s="28">
        <f>Option2!V$83*conv_2026*V$7</f>
        <v>0</v>
      </c>
      <c r="W33" s="28">
        <f>Option2!W$83*conv_2026*W$7</f>
        <v>0</v>
      </c>
      <c r="X33" s="28">
        <f>Option2!X$83*conv_2026*X$7</f>
        <v>0</v>
      </c>
      <c r="Y33" s="28">
        <f>Option2!Y$83*conv_2026*Y$7</f>
        <v>0</v>
      </c>
      <c r="Z33" s="28">
        <f>Option2!Z$83*conv_2026*Z$7</f>
        <v>0</v>
      </c>
      <c r="AA33" s="28">
        <f>Option2!AA$83*conv_2026*AA$7</f>
        <v>0</v>
      </c>
      <c r="AB33" s="28">
        <f>Option2!AB$83*conv_2026*AB$7</f>
        <v>0</v>
      </c>
      <c r="AC33" s="28">
        <f>Option2!AC$83*conv_2026*AC$7</f>
        <v>0</v>
      </c>
      <c r="AD33" s="28">
        <f>Option2!AD$83*conv_2026*AD$7</f>
        <v>0</v>
      </c>
      <c r="AE33" s="28">
        <f>Option2!AE$83*conv_2026*AE$7</f>
        <v>0</v>
      </c>
      <c r="AF33" s="28">
        <f>Option2!AF$83*conv_2026*AF$7</f>
        <v>0</v>
      </c>
      <c r="AG33" s="28">
        <f>Option2!AG$83*conv_2026*AG$7</f>
        <v>0</v>
      </c>
    </row>
    <row r="34" spans="1:33" s="2" customFormat="1" x14ac:dyDescent="0.2">
      <c r="A34" s="116" t="str">
        <f t="shared" si="7"/>
        <v>Option 2</v>
      </c>
      <c r="B34" s="116"/>
      <c r="C34" s="52" t="str">
        <f>Option2!C$84</f>
        <v>Risk mitigated</v>
      </c>
      <c r="D34" s="34" t="str">
        <f t="shared" si="6"/>
        <v>Option 2Risk mitigated</v>
      </c>
      <c r="E34" s="1"/>
      <c r="F34" s="84" cm="1">
        <f t="array" ref="F34">SUMPRODUCT(($H34:$AG34)*($H$5:$AG$5)*($H$7:$AG$7))</f>
        <v>16608519.934132753</v>
      </c>
      <c r="G34" s="200">
        <f t="shared" si="8"/>
        <v>46203</v>
      </c>
      <c r="H34" s="28"/>
      <c r="I34" s="28">
        <f>Option2!I$84*conv_2026*I$7</f>
        <v>0</v>
      </c>
      <c r="J34" s="28">
        <f>Option2!J$84*conv_2026*J$7</f>
        <v>0</v>
      </c>
      <c r="K34" s="28">
        <f>Option2!K$84*conv_2026*K$7</f>
        <v>0</v>
      </c>
      <c r="L34" s="28">
        <f>Option2!L$84*conv_2026*L$7</f>
        <v>0</v>
      </c>
      <c r="M34" s="28">
        <f>Option2!M$84*conv_2026*M$7</f>
        <v>0</v>
      </c>
      <c r="N34" s="28">
        <f>Option2!N$84*conv_2026*N$7</f>
        <v>1470036.743990662</v>
      </c>
      <c r="O34" s="28">
        <f>Option2!O$84*conv_2026*O$7</f>
        <v>1470036.743990662</v>
      </c>
      <c r="P34" s="28">
        <f>Option2!P$84*conv_2026*P$7</f>
        <v>1470036.743990662</v>
      </c>
      <c r="Q34" s="28">
        <f>Option2!Q$84*conv_2026*Q$7</f>
        <v>1470036.743990662</v>
      </c>
      <c r="R34" s="28">
        <f>Option2!R$84*conv_2026*R$7</f>
        <v>1470036.743990662</v>
      </c>
      <c r="S34" s="28">
        <f>Option2!S$84*conv_2026*S$7</f>
        <v>1470036.743990662</v>
      </c>
      <c r="T34" s="28">
        <f>Option2!T$84*conv_2026*T$7</f>
        <v>1470036.743990662</v>
      </c>
      <c r="U34" s="28">
        <f>Option2!U$84*conv_2026*U$7</f>
        <v>1470036.743990662</v>
      </c>
      <c r="V34" s="28">
        <f>Option2!V$84*conv_2026*V$7</f>
        <v>1470036.743990662</v>
      </c>
      <c r="W34" s="28">
        <f>Option2!W$84*conv_2026*W$7</f>
        <v>1470036.743990662</v>
      </c>
      <c r="X34" s="28">
        <f>Option2!X$84*conv_2026*X$7</f>
        <v>1470036.743990662</v>
      </c>
      <c r="Y34" s="28">
        <f>Option2!Y$84*conv_2026*Y$7</f>
        <v>1470036.743990662</v>
      </c>
      <c r="Z34" s="28">
        <f>Option2!Z$84*conv_2026*Z$7</f>
        <v>1470036.743990662</v>
      </c>
      <c r="AA34" s="28">
        <f>Option2!AA$84*conv_2026*AA$7</f>
        <v>1470036.743990662</v>
      </c>
      <c r="AB34" s="28">
        <f>Option2!AB$84*conv_2026*AB$7</f>
        <v>1470036.743990662</v>
      </c>
      <c r="AC34" s="28">
        <f>Option2!AC$84*conv_2026*AC$7</f>
        <v>1470036.743990662</v>
      </c>
      <c r="AD34" s="28">
        <f>Option2!AD$84*conv_2026*AD$7</f>
        <v>1470036.743990662</v>
      </c>
      <c r="AE34" s="28">
        <f>Option2!AE$84*conv_2026*AE$7</f>
        <v>1470036.743990662</v>
      </c>
      <c r="AF34" s="28">
        <f>Option2!AF$84*conv_2026*AF$7</f>
        <v>0</v>
      </c>
      <c r="AG34" s="28">
        <f>Option2!AG$84*conv_2026*AG$7</f>
        <v>0</v>
      </c>
    </row>
    <row r="35" spans="1:33" s="2" customFormat="1" x14ac:dyDescent="0.2">
      <c r="A35" s="116" t="str">
        <f t="shared" si="7"/>
        <v>Option 2</v>
      </c>
      <c r="B35" s="116"/>
      <c r="C35" s="52" t="str">
        <f>Option2!C$85</f>
        <v>Other benefits value</v>
      </c>
      <c r="D35" s="34" t="str">
        <f t="shared" si="6"/>
        <v>Option 2Other benefits value</v>
      </c>
      <c r="E35" s="1"/>
      <c r="F35" s="84" cm="1">
        <f t="array" ref="F35">SUMPRODUCT(($H35:$AG35)*($H$5:$AG$5)*($H$7:$AG$7))</f>
        <v>0</v>
      </c>
      <c r="G35" s="200">
        <f t="shared" si="8"/>
        <v>46203</v>
      </c>
      <c r="H35" s="28"/>
      <c r="I35" s="28">
        <f>Option2!I$85*conv_2026*I$7</f>
        <v>0</v>
      </c>
      <c r="J35" s="28">
        <f>Option2!J$85*conv_2026*J$7</f>
        <v>0</v>
      </c>
      <c r="K35" s="28">
        <f>Option2!K$85*conv_2026*K$7</f>
        <v>0</v>
      </c>
      <c r="L35" s="28">
        <f>Option2!L$85*conv_2026*L$7</f>
        <v>0</v>
      </c>
      <c r="M35" s="28">
        <f>Option2!M$85*conv_2026*M$7</f>
        <v>0</v>
      </c>
      <c r="N35" s="28">
        <f>Option2!N$85*conv_2026*N$7</f>
        <v>0</v>
      </c>
      <c r="O35" s="28">
        <f>Option2!O$85*conv_2026*O$7</f>
        <v>0</v>
      </c>
      <c r="P35" s="28">
        <f>Option2!P$85*conv_2026*P$7</f>
        <v>0</v>
      </c>
      <c r="Q35" s="28">
        <f>Option2!Q$85*conv_2026*Q$7</f>
        <v>0</v>
      </c>
      <c r="R35" s="28">
        <f>Option2!R$85*conv_2026*R$7</f>
        <v>0</v>
      </c>
      <c r="S35" s="28">
        <f>Option2!S$85*conv_2026*S$7</f>
        <v>0</v>
      </c>
      <c r="T35" s="28">
        <f>Option2!T$85*conv_2026*T$7</f>
        <v>0</v>
      </c>
      <c r="U35" s="28">
        <f>Option2!U$85*conv_2026*U$7</f>
        <v>0</v>
      </c>
      <c r="V35" s="28">
        <f>Option2!V$85*conv_2026*V$7</f>
        <v>0</v>
      </c>
      <c r="W35" s="28">
        <f>Option2!W$85*conv_2026*W$7</f>
        <v>0</v>
      </c>
      <c r="X35" s="28">
        <f>Option2!X$85*conv_2026*X$7</f>
        <v>0</v>
      </c>
      <c r="Y35" s="28">
        <f>Option2!Y$85*conv_2026*Y$7</f>
        <v>0</v>
      </c>
      <c r="Z35" s="28">
        <f>Option2!Z$85*conv_2026*Z$7</f>
        <v>0</v>
      </c>
      <c r="AA35" s="28">
        <f>Option2!AA$85*conv_2026*AA$7</f>
        <v>0</v>
      </c>
      <c r="AB35" s="28">
        <f>Option2!AB$85*conv_2026*AB$7</f>
        <v>0</v>
      </c>
      <c r="AC35" s="28">
        <f>Option2!AC$85*conv_2026*AC$7</f>
        <v>0</v>
      </c>
      <c r="AD35" s="28">
        <f>Option2!AD$85*conv_2026*AD$7</f>
        <v>0</v>
      </c>
      <c r="AE35" s="28">
        <f>Option2!AE$85*conv_2026*AE$7</f>
        <v>0</v>
      </c>
      <c r="AF35" s="28">
        <f>Option2!AF$85*conv_2026*AF$7</f>
        <v>0</v>
      </c>
      <c r="AG35" s="28">
        <f>Option2!AG$85*conv_2026*AG$7</f>
        <v>0</v>
      </c>
    </row>
    <row r="36" spans="1:33" s="2" customFormat="1" x14ac:dyDescent="0.2">
      <c r="A36" s="116" t="str">
        <f t="shared" si="7"/>
        <v>Option 2</v>
      </c>
      <c r="B36" s="116"/>
      <c r="C36" s="104" t="str">
        <f>Option2!C87</f>
        <v>Net benefits</v>
      </c>
      <c r="D36" s="96" t="str">
        <f t="shared" si="6"/>
        <v>Option 2Net benefits</v>
      </c>
      <c r="E36" s="97"/>
      <c r="F36" s="123"/>
      <c r="G36" s="202">
        <f t="shared" si="8"/>
        <v>46203</v>
      </c>
      <c r="H36" s="46"/>
      <c r="I36" s="46">
        <f>SUM(I32:I35)</f>
        <v>0</v>
      </c>
      <c r="J36" s="46">
        <f t="shared" ref="J36:AG36" si="9">SUM(J32:J35)</f>
        <v>0</v>
      </c>
      <c r="K36" s="46">
        <f t="shared" si="9"/>
        <v>0</v>
      </c>
      <c r="L36" s="46">
        <f t="shared" si="9"/>
        <v>0</v>
      </c>
      <c r="M36" s="46">
        <f t="shared" si="9"/>
        <v>-495586.78751227859</v>
      </c>
      <c r="N36" s="46">
        <f t="shared" si="9"/>
        <v>478863.16896610486</v>
      </c>
      <c r="O36" s="46">
        <f t="shared" si="9"/>
        <v>478863.16896610486</v>
      </c>
      <c r="P36" s="46">
        <f t="shared" si="9"/>
        <v>478863.16896610486</v>
      </c>
      <c r="Q36" s="46">
        <f t="shared" si="9"/>
        <v>478863.16896610486</v>
      </c>
      <c r="R36" s="46">
        <f t="shared" si="9"/>
        <v>478863.16896610486</v>
      </c>
      <c r="S36" s="46">
        <f t="shared" si="9"/>
        <v>478863.16896610486</v>
      </c>
      <c r="T36" s="46">
        <f t="shared" si="9"/>
        <v>478863.16896610486</v>
      </c>
      <c r="U36" s="46">
        <f t="shared" si="9"/>
        <v>478863.16896610486</v>
      </c>
      <c r="V36" s="46">
        <f t="shared" si="9"/>
        <v>478863.16896610486</v>
      </c>
      <c r="W36" s="46">
        <f t="shared" si="9"/>
        <v>478863.16896610486</v>
      </c>
      <c r="X36" s="46">
        <f t="shared" si="9"/>
        <v>478863.16896610486</v>
      </c>
      <c r="Y36" s="46">
        <f t="shared" si="9"/>
        <v>478863.16896610486</v>
      </c>
      <c r="Z36" s="46">
        <f t="shared" si="9"/>
        <v>478863.16896610486</v>
      </c>
      <c r="AA36" s="46">
        <f t="shared" si="9"/>
        <v>478863.16896610486</v>
      </c>
      <c r="AB36" s="46">
        <f t="shared" si="9"/>
        <v>478863.16896610486</v>
      </c>
      <c r="AC36" s="46">
        <f t="shared" si="9"/>
        <v>478863.16896610486</v>
      </c>
      <c r="AD36" s="46">
        <f t="shared" si="9"/>
        <v>478863.16896610486</v>
      </c>
      <c r="AE36" s="46">
        <f t="shared" si="9"/>
        <v>478863.16896610486</v>
      </c>
      <c r="AF36" s="46">
        <f t="shared" si="9"/>
        <v>0</v>
      </c>
      <c r="AG36" s="46">
        <f t="shared" si="9"/>
        <v>0</v>
      </c>
    </row>
    <row r="37" spans="1:33" s="2" customFormat="1" x14ac:dyDescent="0.2">
      <c r="A37" s="116" t="str">
        <f t="shared" si="7"/>
        <v>Option 2</v>
      </c>
      <c r="B37" s="116"/>
      <c r="C37" s="6" t="s">
        <v>7</v>
      </c>
      <c r="D37" s="34" t="str">
        <f t="shared" si="6"/>
        <v>Option 2NPV</v>
      </c>
      <c r="E37" s="1"/>
      <c r="F37" s="95" cm="1">
        <f t="array" ref="F37">SUMPRODUCT(($H36:$AG36)*($H$5:$AG$5)*($H$7:$AG$7))</f>
        <v>4985700.4614876602</v>
      </c>
      <c r="G37" s="200">
        <f t="shared" si="8"/>
        <v>46203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spans="1:33" s="2" customFormat="1" x14ac:dyDescent="0.2">
      <c r="A38" s="116" t="str">
        <f t="shared" si="7"/>
        <v>Option 2</v>
      </c>
      <c r="B38" s="116"/>
      <c r="C38" s="6" t="s">
        <v>10</v>
      </c>
      <c r="D38" s="34" t="str">
        <f t="shared" si="6"/>
        <v>Option 2PV of costs</v>
      </c>
      <c r="E38" s="1"/>
      <c r="F38" s="95">
        <f>SUM(F32:F33)</f>
        <v>-11622819.472645093</v>
      </c>
      <c r="G38" s="200">
        <f t="shared" si="8"/>
        <v>46203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spans="1:33" s="2" customFormat="1" x14ac:dyDescent="0.2">
      <c r="A39" s="116" t="str">
        <f t="shared" si="7"/>
        <v>Option 2</v>
      </c>
      <c r="B39" s="116"/>
      <c r="C39" s="6" t="s">
        <v>11</v>
      </c>
      <c r="D39" s="34" t="str">
        <f t="shared" si="6"/>
        <v>Option 2PV of benefits</v>
      </c>
      <c r="E39" s="1"/>
      <c r="F39" s="95">
        <f>SUM(F34:F35)</f>
        <v>16608519.934132753</v>
      </c>
      <c r="G39" s="200">
        <f t="shared" si="8"/>
        <v>46203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spans="1:33" s="2" customFormat="1" x14ac:dyDescent="0.2">
      <c r="A40" s="116"/>
      <c r="B40" s="116"/>
      <c r="C40" s="1"/>
      <c r="D40" s="34"/>
      <c r="E40" s="1"/>
      <c r="F40" s="95"/>
      <c r="G40" s="203"/>
      <c r="H40" s="1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</row>
    <row r="41" spans="1:33" s="2" customFormat="1" x14ac:dyDescent="0.2">
      <c r="A41" s="52"/>
      <c r="B41" s="52"/>
      <c r="C41" s="52"/>
      <c r="D41" s="34" t="str">
        <f>A41&amp;C41</f>
        <v/>
      </c>
      <c r="F41" s="7"/>
      <c r="G41" s="196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</row>
    <row r="42" spans="1:33" s="2" customFormat="1" x14ac:dyDescent="0.2">
      <c r="A42" s="52" t="str">
        <f>A43</f>
        <v>Option 3</v>
      </c>
      <c r="B42" s="52"/>
      <c r="C42" s="52" t="s">
        <v>100</v>
      </c>
      <c r="D42" s="34" t="str">
        <f>A42&amp;C42</f>
        <v>Option 3Energy at risk value</v>
      </c>
      <c r="F42" s="84">
        <f>SUMPRODUCT($H42:$AG42, $H$5:$AG$5)</f>
        <v>0</v>
      </c>
      <c r="G42" s="200">
        <f>output_dollars</f>
        <v>46203</v>
      </c>
      <c r="H42" s="28"/>
      <c r="I42" s="28">
        <f>Option3!I$28*conv_2026</f>
        <v>0</v>
      </c>
      <c r="J42" s="28">
        <f>Option3!J$28*conv_2026</f>
        <v>0</v>
      </c>
      <c r="K42" s="28">
        <f>Option3!K$28*conv_2026</f>
        <v>0</v>
      </c>
      <c r="L42" s="28">
        <f>Option3!L$28*conv_2026</f>
        <v>0</v>
      </c>
      <c r="M42" s="28">
        <f>Option3!M$28*conv_2026</f>
        <v>0</v>
      </c>
      <c r="N42" s="28">
        <f>Option3!N$28*conv_2026</f>
        <v>0</v>
      </c>
      <c r="O42" s="28">
        <f>Option3!O$28*conv_2026</f>
        <v>0</v>
      </c>
      <c r="P42" s="28">
        <f>Option3!P$28*conv_2026</f>
        <v>0</v>
      </c>
      <c r="Q42" s="28">
        <f>Option3!Q$28*conv_2026</f>
        <v>0</v>
      </c>
      <c r="R42" s="28">
        <f>Option3!R$28*conv_2026</f>
        <v>0</v>
      </c>
      <c r="S42" s="28">
        <f>Option3!S$28*conv_2026</f>
        <v>0</v>
      </c>
      <c r="T42" s="28">
        <f>Option3!T$28*conv_2026</f>
        <v>0</v>
      </c>
      <c r="U42" s="28">
        <f>Option3!U$28*conv_2026</f>
        <v>0</v>
      </c>
      <c r="V42" s="28">
        <f>Option3!V$28*conv_2026</f>
        <v>0</v>
      </c>
      <c r="W42" s="28">
        <f>Option3!W$28*conv_2026</f>
        <v>0</v>
      </c>
      <c r="X42" s="28">
        <f>Option3!X$28*conv_2026</f>
        <v>0</v>
      </c>
      <c r="Y42" s="28">
        <f>Option3!Y$28*conv_2026</f>
        <v>0</v>
      </c>
      <c r="Z42" s="28">
        <f>Option3!Z$28*conv_2026</f>
        <v>0</v>
      </c>
      <c r="AA42" s="28">
        <f>Option3!AA$28*conv_2026</f>
        <v>0</v>
      </c>
      <c r="AB42" s="28">
        <f>Option3!AB$28*conv_2026</f>
        <v>0</v>
      </c>
      <c r="AC42" s="28">
        <f>Option3!AC$28*conv_2026</f>
        <v>0</v>
      </c>
      <c r="AD42" s="28">
        <f>Option3!AD$28*conv_2026</f>
        <v>0</v>
      </c>
      <c r="AE42" s="28">
        <f>Option3!AE$28*conv_2026</f>
        <v>0</v>
      </c>
      <c r="AF42" s="28">
        <f>Option3!AF$28*conv_2026</f>
        <v>0</v>
      </c>
      <c r="AG42" s="28">
        <f>Option3!AG$28*conv_2026</f>
        <v>0</v>
      </c>
    </row>
    <row r="43" spans="1:33" s="2" customFormat="1" x14ac:dyDescent="0.2">
      <c r="A43" s="116" t="str">
        <f>Data!B11</f>
        <v>Option 3</v>
      </c>
      <c r="B43" s="116"/>
      <c r="C43" s="52" t="str">
        <f>Option3!C$66</f>
        <v>Capital expenditure</v>
      </c>
      <c r="D43" s="34" t="str">
        <f>A43&amp;C43</f>
        <v>Option 3Capital expenditure</v>
      </c>
      <c r="E43" s="1"/>
      <c r="F43" s="84">
        <f>SUMPRODUCT($H43:$AG43, $H$5:$AG$5)</f>
        <v>-202746099.19239154</v>
      </c>
      <c r="G43" s="200">
        <f>output_dollars</f>
        <v>46203</v>
      </c>
      <c r="H43" s="28"/>
      <c r="I43" s="28">
        <f>SUM(Option3!I$67:I$69)*conv_2026*I$7</f>
        <v>0</v>
      </c>
      <c r="J43" s="28">
        <f>SUM(Option3!J$67:J$69)*conv_2026*J$7</f>
        <v>0</v>
      </c>
      <c r="K43" s="28">
        <f>SUM(Option3!K$67:K$69)*conv_2026*K$7</f>
        <v>0</v>
      </c>
      <c r="L43" s="28">
        <f>SUM(Option3!L$67:L$69)*conv_2026*L$7</f>
        <v>-116310699.52509749</v>
      </c>
      <c r="M43" s="28">
        <f>SUM(Option3!M$67:M$69)*conv_2026*M$7</f>
        <v>-116310699.52509749</v>
      </c>
      <c r="N43" s="28">
        <f>SUM(Option3!N$67:N$69)*conv_2026*N$7</f>
        <v>0</v>
      </c>
      <c r="O43" s="28">
        <f>SUM(Option3!O$67:O$69)*conv_2026*O$7</f>
        <v>0</v>
      </c>
      <c r="P43" s="28">
        <f>SUM(Option3!P$67:P$69)*conv_2026*P$7</f>
        <v>0</v>
      </c>
      <c r="Q43" s="28">
        <f>SUM(Option3!Q$67:Q$69)*conv_2026*Q$7</f>
        <v>0</v>
      </c>
      <c r="R43" s="28">
        <f>SUM(Option3!R$67:R$69)*conv_2026*R$7</f>
        <v>0</v>
      </c>
      <c r="S43" s="28">
        <f>SUM(Option3!S$67:S$69)*conv_2026*S$7</f>
        <v>0</v>
      </c>
      <c r="T43" s="28">
        <f>SUM(Option3!T$67:T$69)*conv_2026*T$7</f>
        <v>0</v>
      </c>
      <c r="U43" s="28">
        <f>SUM(Option3!U$67:U$69)*conv_2026*U$7</f>
        <v>0</v>
      </c>
      <c r="V43" s="28">
        <f>SUM(Option3!V$67:V$69)*conv_2026*V$7</f>
        <v>0</v>
      </c>
      <c r="W43" s="28">
        <f>SUM(Option3!W$67:W$69)*conv_2026*W$7</f>
        <v>0</v>
      </c>
      <c r="X43" s="28">
        <f>SUM(Option3!X$67:X$69)*conv_2026*X$7</f>
        <v>0</v>
      </c>
      <c r="Y43" s="28">
        <f>SUM(Option3!Y$67:Y$69)*conv_2026*Y$7</f>
        <v>0</v>
      </c>
      <c r="Z43" s="28">
        <f>SUM(Option3!Z$67:Z$69)*conv_2026*Z$7</f>
        <v>0</v>
      </c>
      <c r="AA43" s="28">
        <f>SUM(Option3!AA$67:AA$69)*conv_2026*AA$7</f>
        <v>0</v>
      </c>
      <c r="AB43" s="28">
        <f>SUM(Option3!AB$67:AB$69)*conv_2026*AB$7</f>
        <v>0</v>
      </c>
      <c r="AC43" s="28">
        <f>SUM(Option3!AC$67:AC$69)*conv_2026*AC$7</f>
        <v>0</v>
      </c>
      <c r="AD43" s="28">
        <f>SUM(Option3!AD$67:AD$69)*conv_2026*AD$7</f>
        <v>0</v>
      </c>
      <c r="AE43" s="28">
        <f>SUM(Option3!AE$67:AE$69)*conv_2026*AE$7</f>
        <v>0</v>
      </c>
      <c r="AF43" s="28">
        <f>SUM(Option3!AF$67:AF$69)*conv_2026*AF$7</f>
        <v>0</v>
      </c>
      <c r="AG43" s="28">
        <f>SUM(Option3!AG$67:AG$69)*conv_2026*AG$7</f>
        <v>0</v>
      </c>
    </row>
    <row r="44" spans="1:33" s="2" customFormat="1" x14ac:dyDescent="0.2">
      <c r="A44" s="116" t="str">
        <f t="shared" ref="A44:A53" si="10">A43</f>
        <v>Option 3</v>
      </c>
      <c r="B44" s="116"/>
      <c r="C44" s="52" t="str">
        <f>'Option1 (base case)'!C$36</f>
        <v>Total risk cost</v>
      </c>
      <c r="D44" s="34" t="str">
        <f>A44&amp;C44</f>
        <v>Option 3Total risk cost</v>
      </c>
      <c r="E44" s="1"/>
      <c r="F44" s="84">
        <f>SUMPRODUCT($H44:$AG44, $H$5:$AG$5)</f>
        <v>14274823.532618912</v>
      </c>
      <c r="G44" s="200">
        <f>output_dollars</f>
        <v>46203</v>
      </c>
      <c r="H44" s="28"/>
      <c r="I44" s="28">
        <f>Option3!I$36*conv_2026*I$7</f>
        <v>3272272.7145519597</v>
      </c>
      <c r="J44" s="28">
        <f>Option3!J$36*conv_2026*J$7</f>
        <v>3272272.7145519597</v>
      </c>
      <c r="K44" s="28">
        <f>Option3!K$36*conv_2026*K$7</f>
        <v>3272272.7145519597</v>
      </c>
      <c r="L44" s="28">
        <f>Option3!L$36*conv_2026*L$7</f>
        <v>1749057.3955571142</v>
      </c>
      <c r="M44" s="28">
        <f>Option3!M$36*conv_2026*M$7</f>
        <v>987449.73605969164</v>
      </c>
      <c r="N44" s="28">
        <f>Option3!N$36*conv_2026*N$7</f>
        <v>225842.0765622691</v>
      </c>
      <c r="O44" s="28">
        <f>Option3!O$36*conv_2026*O$7</f>
        <v>225842.0765622691</v>
      </c>
      <c r="P44" s="28">
        <f>Option3!P$36*conv_2026*P$7</f>
        <v>225842.0765622691</v>
      </c>
      <c r="Q44" s="28">
        <f>Option3!Q$36*conv_2026*Q$7</f>
        <v>225842.0765622691</v>
      </c>
      <c r="R44" s="28">
        <f>Option3!R$36*conv_2026*R$7</f>
        <v>225842.0765622691</v>
      </c>
      <c r="S44" s="28">
        <f>Option3!S$36*conv_2026*S$7</f>
        <v>225842.0765622691</v>
      </c>
      <c r="T44" s="28">
        <f>Option3!T$36*conv_2026*T$7</f>
        <v>225842.0765622691</v>
      </c>
      <c r="U44" s="28">
        <f>Option3!U$36*conv_2026*U$7</f>
        <v>225842.0765622691</v>
      </c>
      <c r="V44" s="28">
        <f>Option3!V$36*conv_2026*V$7</f>
        <v>225842.0765622691</v>
      </c>
      <c r="W44" s="28">
        <f>Option3!W$36*conv_2026*W$7</f>
        <v>225842.0765622691</v>
      </c>
      <c r="X44" s="28">
        <f>Option3!X$36*conv_2026*X$7</f>
        <v>225842.0765622691</v>
      </c>
      <c r="Y44" s="28">
        <f>Option3!Y$36*conv_2026*Y$7</f>
        <v>225842.0765622691</v>
      </c>
      <c r="Z44" s="28">
        <f>Option3!Z$36*conv_2026*Z$7</f>
        <v>225842.0765622691</v>
      </c>
      <c r="AA44" s="28">
        <f>Option3!AA$36*conv_2026*AA$7</f>
        <v>225842.0765622691</v>
      </c>
      <c r="AB44" s="28">
        <f>Option3!AB$36*conv_2026*AB$7</f>
        <v>225842.0765622691</v>
      </c>
      <c r="AC44" s="28">
        <f>Option3!AC$36*conv_2026*AC$7</f>
        <v>225842.0765622691</v>
      </c>
      <c r="AD44" s="28">
        <f>Option3!AD$36*conv_2026*AD$7</f>
        <v>225842.0765622691</v>
      </c>
      <c r="AE44" s="28">
        <f>Option3!AE$36*conv_2026*AE$7</f>
        <v>225842.0765622691</v>
      </c>
      <c r="AF44" s="28">
        <f>Option3!AF$36*conv_2026*AF$7</f>
        <v>0</v>
      </c>
      <c r="AG44" s="28">
        <f>Option3!AG$36*conv_2026*AG$7</f>
        <v>0</v>
      </c>
    </row>
    <row r="45" spans="1:33" s="2" customFormat="1" x14ac:dyDescent="0.2">
      <c r="A45" s="116" t="str">
        <f t="shared" si="10"/>
        <v>Option 3</v>
      </c>
      <c r="B45" s="116"/>
      <c r="C45" s="52"/>
      <c r="D45" s="34"/>
      <c r="E45" s="1"/>
      <c r="F45" s="84"/>
      <c r="G45" s="200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</row>
    <row r="46" spans="1:33" s="2" customFormat="1" x14ac:dyDescent="0.2">
      <c r="A46" s="116" t="str">
        <f t="shared" si="10"/>
        <v>Option 3</v>
      </c>
      <c r="B46" s="116"/>
      <c r="C46" s="52" t="str">
        <f>Option3!C$82</f>
        <v>Annualised capex</v>
      </c>
      <c r="D46" s="34" t="str">
        <f t="shared" ref="D46:D53" si="11">A46&amp;C46</f>
        <v>Option 3Annualised capex</v>
      </c>
      <c r="E46" s="1"/>
      <c r="F46" s="84">
        <f>SUMPRODUCT($H46:$AG46, $H$5:$AG$5)</f>
        <v>-148313748.01177123</v>
      </c>
      <c r="G46" s="200">
        <f t="shared" ref="G46:G53" si="12">output_dollars</f>
        <v>46203</v>
      </c>
      <c r="H46" s="28"/>
      <c r="I46" s="28">
        <f>Option3!I$82*conv_2026*I$7</f>
        <v>0</v>
      </c>
      <c r="J46" s="28">
        <f>Option3!J$82*conv_2026*J$7</f>
        <v>0</v>
      </c>
      <c r="K46" s="28">
        <f>Option3!K$82*conv_2026*K$7</f>
        <v>0</v>
      </c>
      <c r="L46" s="28">
        <f>Option3!L$82*conv_2026*L$7</f>
        <v>0</v>
      </c>
      <c r="M46" s="28">
        <f>Option3!M$82*conv_2026*M$7</f>
        <v>-6323967.6133704763</v>
      </c>
      <c r="N46" s="28">
        <f>Option3!N$82*conv_2026*N$7</f>
        <v>-12647935.226740953</v>
      </c>
      <c r="O46" s="28">
        <f>Option3!O$82*conv_2026*O$7</f>
        <v>-12647935.226740953</v>
      </c>
      <c r="P46" s="28">
        <f>Option3!P$82*conv_2026*P$7</f>
        <v>-12647935.226740953</v>
      </c>
      <c r="Q46" s="28">
        <f>Option3!Q$82*conv_2026*Q$7</f>
        <v>-12647935.226740953</v>
      </c>
      <c r="R46" s="28">
        <f>Option3!R$82*conv_2026*R$7</f>
        <v>-12647935.226740953</v>
      </c>
      <c r="S46" s="28">
        <f>Option3!S$82*conv_2026*S$7</f>
        <v>-12647935.226740953</v>
      </c>
      <c r="T46" s="28">
        <f>Option3!T$82*conv_2026*T$7</f>
        <v>-12647935.226740953</v>
      </c>
      <c r="U46" s="28">
        <f>Option3!U$82*conv_2026*U$7</f>
        <v>-12647935.226740953</v>
      </c>
      <c r="V46" s="28">
        <f>Option3!V$82*conv_2026*V$7</f>
        <v>-12647935.226740953</v>
      </c>
      <c r="W46" s="28">
        <f>Option3!W$82*conv_2026*W$7</f>
        <v>-12647935.226740953</v>
      </c>
      <c r="X46" s="28">
        <f>Option3!X$82*conv_2026*X$7</f>
        <v>-12647935.226740953</v>
      </c>
      <c r="Y46" s="28">
        <f>Option3!Y$82*conv_2026*Y$7</f>
        <v>-12647935.226740953</v>
      </c>
      <c r="Z46" s="28">
        <f>Option3!Z$82*conv_2026*Z$7</f>
        <v>-12647935.226740953</v>
      </c>
      <c r="AA46" s="28">
        <f>Option3!AA$82*conv_2026*AA$7</f>
        <v>-12647935.226740953</v>
      </c>
      <c r="AB46" s="28">
        <f>Option3!AB$82*conv_2026*AB$7</f>
        <v>-12647935.226740953</v>
      </c>
      <c r="AC46" s="28">
        <f>Option3!AC$82*conv_2026*AC$7</f>
        <v>-12647935.226740953</v>
      </c>
      <c r="AD46" s="28">
        <f>Option3!AD$82*conv_2026*AD$7</f>
        <v>-12647935.226740953</v>
      </c>
      <c r="AE46" s="28">
        <f>Option3!AE$82*conv_2026*AE$7</f>
        <v>-12647935.226740953</v>
      </c>
      <c r="AF46" s="28">
        <f>Option3!AF$82*conv_2026*AF$7</f>
        <v>0</v>
      </c>
      <c r="AG46" s="28">
        <f>Option3!AG$82*conv_2026*AG$7</f>
        <v>0</v>
      </c>
    </row>
    <row r="47" spans="1:33" s="2" customFormat="1" x14ac:dyDescent="0.2">
      <c r="A47" s="116" t="str">
        <f t="shared" si="10"/>
        <v>Option 3</v>
      </c>
      <c r="B47" s="116"/>
      <c r="C47" s="52" t="str">
        <f>Option3!C$83</f>
        <v>Operating expenditure</v>
      </c>
      <c r="D47" s="34" t="str">
        <f t="shared" si="11"/>
        <v>Option 3Operating expenditure</v>
      </c>
      <c r="E47" s="1"/>
      <c r="F47" s="84">
        <f>SUMPRODUCT($H47:$AG47, $H$5:$AG$5)</f>
        <v>0</v>
      </c>
      <c r="G47" s="200">
        <f t="shared" si="12"/>
        <v>46203</v>
      </c>
      <c r="H47" s="28"/>
      <c r="I47" s="28">
        <f>Option3!I$83*conv_2026*I$7</f>
        <v>0</v>
      </c>
      <c r="J47" s="28">
        <f>Option3!J$83*conv_2026*J$7</f>
        <v>0</v>
      </c>
      <c r="K47" s="28">
        <f>Option3!K$83*conv_2026*K$7</f>
        <v>0</v>
      </c>
      <c r="L47" s="28">
        <f>Option3!L$83*conv_2026*L$7</f>
        <v>0</v>
      </c>
      <c r="M47" s="28">
        <f>Option3!M$83*conv_2026*M$7</f>
        <v>0</v>
      </c>
      <c r="N47" s="28">
        <f>Option3!N$83*conv_2026*N$7</f>
        <v>0</v>
      </c>
      <c r="O47" s="28">
        <f>Option3!O$83*conv_2026*O$7</f>
        <v>0</v>
      </c>
      <c r="P47" s="28">
        <f>Option3!P$83*conv_2026*P$7</f>
        <v>0</v>
      </c>
      <c r="Q47" s="28">
        <f>Option3!Q$83*conv_2026*Q$7</f>
        <v>0</v>
      </c>
      <c r="R47" s="28">
        <f>Option3!R$83*conv_2026*R$7</f>
        <v>0</v>
      </c>
      <c r="S47" s="28">
        <f>Option3!S$83*conv_2026*S$7</f>
        <v>0</v>
      </c>
      <c r="T47" s="28">
        <f>Option3!T$83*conv_2026*T$7</f>
        <v>0</v>
      </c>
      <c r="U47" s="28">
        <f>Option3!U$83*conv_2026*U$7</f>
        <v>0</v>
      </c>
      <c r="V47" s="28">
        <f>Option3!V$83*conv_2026*V$7</f>
        <v>0</v>
      </c>
      <c r="W47" s="28">
        <f>Option3!W$83*conv_2026*W$7</f>
        <v>0</v>
      </c>
      <c r="X47" s="28">
        <f>Option3!X$83*conv_2026*X$7</f>
        <v>0</v>
      </c>
      <c r="Y47" s="28">
        <f>Option3!Y$83*conv_2026*Y$7</f>
        <v>0</v>
      </c>
      <c r="Z47" s="28">
        <f>Option3!Z$83*conv_2026*Z$7</f>
        <v>0</v>
      </c>
      <c r="AA47" s="28">
        <f>Option3!AA$83*conv_2026*AA$7</f>
        <v>0</v>
      </c>
      <c r="AB47" s="28">
        <f>Option3!AB$83*conv_2026*AB$7</f>
        <v>0</v>
      </c>
      <c r="AC47" s="28">
        <f>Option3!AC$83*conv_2026*AC$7</f>
        <v>0</v>
      </c>
      <c r="AD47" s="28">
        <f>Option3!AD$83*conv_2026*AD$7</f>
        <v>0</v>
      </c>
      <c r="AE47" s="28">
        <f>Option3!AE$83*conv_2026*AE$7</f>
        <v>0</v>
      </c>
      <c r="AF47" s="28">
        <f>Option3!AF$83*conv_2026*AF$7</f>
        <v>0</v>
      </c>
      <c r="AG47" s="28">
        <f>Option3!AG$83*conv_2026*AG$7</f>
        <v>0</v>
      </c>
    </row>
    <row r="48" spans="1:33" s="2" customFormat="1" x14ac:dyDescent="0.2">
      <c r="A48" s="116" t="str">
        <f t="shared" si="10"/>
        <v>Option 3</v>
      </c>
      <c r="B48" s="116"/>
      <c r="C48" s="52" t="str">
        <f>Option3!C$84</f>
        <v>Risk mitigated</v>
      </c>
      <c r="D48" s="34" t="str">
        <f t="shared" si="11"/>
        <v>Option 3Risk mitigated</v>
      </c>
      <c r="E48" s="1"/>
      <c r="F48" s="84">
        <f>SUMPRODUCT($H48:$AG48, $H$5:$AG$5)</f>
        <v>37726225.864585698</v>
      </c>
      <c r="G48" s="200">
        <f t="shared" si="12"/>
        <v>46203</v>
      </c>
      <c r="H48" s="28"/>
      <c r="I48" s="28">
        <f>Option3!I$84*conv_2026*I$7</f>
        <v>0</v>
      </c>
      <c r="J48" s="28">
        <f>Option3!J$84*conv_2026*J$7</f>
        <v>0</v>
      </c>
      <c r="K48" s="28">
        <f>Option3!K$84*conv_2026*K$7</f>
        <v>0</v>
      </c>
      <c r="L48" s="28">
        <f>Option3!L$84*conv_2026*L$7</f>
        <v>1523215.3189948455</v>
      </c>
      <c r="M48" s="28">
        <f>Option3!M$84*conv_2026*M$7</f>
        <v>2284822.9784922679</v>
      </c>
      <c r="N48" s="28">
        <f>Option3!N$84*conv_2026*N$7</f>
        <v>3046430.6379896905</v>
      </c>
      <c r="O48" s="28">
        <f>Option3!O$84*conv_2026*O$7</f>
        <v>3046430.6379896905</v>
      </c>
      <c r="P48" s="28">
        <f>Option3!P$84*conv_2026*P$7</f>
        <v>3046430.6379896905</v>
      </c>
      <c r="Q48" s="28">
        <f>Option3!Q$84*conv_2026*Q$7</f>
        <v>3046430.6379896905</v>
      </c>
      <c r="R48" s="28">
        <f>Option3!R$84*conv_2026*R$7</f>
        <v>3046430.6379896905</v>
      </c>
      <c r="S48" s="28">
        <f>Option3!S$84*conv_2026*S$7</f>
        <v>3046430.6379896905</v>
      </c>
      <c r="T48" s="28">
        <f>Option3!T$84*conv_2026*T$7</f>
        <v>3046430.6379896905</v>
      </c>
      <c r="U48" s="28">
        <f>Option3!U$84*conv_2026*U$7</f>
        <v>3046430.6379896905</v>
      </c>
      <c r="V48" s="28">
        <f>Option3!V$84*conv_2026*V$7</f>
        <v>3046430.6379896905</v>
      </c>
      <c r="W48" s="28">
        <f>Option3!W$84*conv_2026*W$7</f>
        <v>3046430.6379896905</v>
      </c>
      <c r="X48" s="28">
        <f>Option3!X$84*conv_2026*X$7</f>
        <v>3046430.6379896905</v>
      </c>
      <c r="Y48" s="28">
        <f>Option3!Y$84*conv_2026*Y$7</f>
        <v>3046430.6379896905</v>
      </c>
      <c r="Z48" s="28">
        <f>Option3!Z$84*conv_2026*Z$7</f>
        <v>3046430.6379896905</v>
      </c>
      <c r="AA48" s="28">
        <f>Option3!AA$84*conv_2026*AA$7</f>
        <v>3046430.6379896905</v>
      </c>
      <c r="AB48" s="28">
        <f>Option3!AB$84*conv_2026*AB$7</f>
        <v>3046430.6379896905</v>
      </c>
      <c r="AC48" s="28">
        <f>Option3!AC$84*conv_2026*AC$7</f>
        <v>3046430.6379896905</v>
      </c>
      <c r="AD48" s="28">
        <f>Option3!AD$84*conv_2026*AD$7</f>
        <v>3046430.6379896905</v>
      </c>
      <c r="AE48" s="28">
        <f>Option3!AE$84*conv_2026*AE$7</f>
        <v>3046430.6379896905</v>
      </c>
      <c r="AF48" s="28">
        <f>Option3!AF$84*conv_2026*AF$7</f>
        <v>0</v>
      </c>
      <c r="AG48" s="28">
        <f>Option3!AG$84*conv_2026*AG$7</f>
        <v>0</v>
      </c>
    </row>
    <row r="49" spans="1:33" s="2" customFormat="1" x14ac:dyDescent="0.2">
      <c r="A49" s="116" t="str">
        <f t="shared" si="10"/>
        <v>Option 3</v>
      </c>
      <c r="B49" s="116"/>
      <c r="C49" s="52" t="str">
        <f>Option3!C$85</f>
        <v>Other benefits value</v>
      </c>
      <c r="D49" s="34" t="str">
        <f t="shared" si="11"/>
        <v>Option 3Other benefits value</v>
      </c>
      <c r="E49" s="1"/>
      <c r="F49" s="84">
        <f>SUMPRODUCT($H49:$AG49, $H$5:$AG$5)</f>
        <v>0</v>
      </c>
      <c r="G49" s="200">
        <f t="shared" si="12"/>
        <v>46203</v>
      </c>
      <c r="H49" s="28"/>
      <c r="I49" s="28">
        <f>Option3!I$85*conv_2026*I$7</f>
        <v>0</v>
      </c>
      <c r="J49" s="28">
        <f>Option3!J$85*conv_2026*J$7</f>
        <v>0</v>
      </c>
      <c r="K49" s="28">
        <f>Option3!K$85*conv_2026*K$7</f>
        <v>0</v>
      </c>
      <c r="L49" s="28">
        <f>Option3!L$85*conv_2026*L$7</f>
        <v>0</v>
      </c>
      <c r="M49" s="28">
        <f>Option3!M$85*conv_2026*M$7</f>
        <v>0</v>
      </c>
      <c r="N49" s="28">
        <f>Option3!N$85*conv_2026*N$7</f>
        <v>0</v>
      </c>
      <c r="O49" s="28">
        <f>Option3!O$85*conv_2026*O$7</f>
        <v>0</v>
      </c>
      <c r="P49" s="28">
        <f>Option3!P$85*conv_2026*P$7</f>
        <v>0</v>
      </c>
      <c r="Q49" s="28">
        <f>Option3!Q$85*conv_2026*Q$7</f>
        <v>0</v>
      </c>
      <c r="R49" s="28">
        <f>Option3!R$85*conv_2026*R$7</f>
        <v>0</v>
      </c>
      <c r="S49" s="28">
        <f>Option3!S$85*conv_2026*S$7</f>
        <v>0</v>
      </c>
      <c r="T49" s="28">
        <f>Option3!T$85*conv_2026*T$7</f>
        <v>0</v>
      </c>
      <c r="U49" s="28">
        <f>Option3!U$85*conv_2026*U$7</f>
        <v>0</v>
      </c>
      <c r="V49" s="28">
        <f>Option3!V$85*conv_2026*V$7</f>
        <v>0</v>
      </c>
      <c r="W49" s="28">
        <f>Option3!W$85*conv_2026*W$7</f>
        <v>0</v>
      </c>
      <c r="X49" s="28">
        <f>Option3!X$85*conv_2026*X$7</f>
        <v>0</v>
      </c>
      <c r="Y49" s="28">
        <f>Option3!Y$85*conv_2026*Y$7</f>
        <v>0</v>
      </c>
      <c r="Z49" s="28">
        <f>Option3!Z$85*conv_2026*Z$7</f>
        <v>0</v>
      </c>
      <c r="AA49" s="28">
        <f>Option3!AA$85*conv_2026*AA$7</f>
        <v>0</v>
      </c>
      <c r="AB49" s="28">
        <f>Option3!AB$85*conv_2026*AB$7</f>
        <v>0</v>
      </c>
      <c r="AC49" s="28">
        <f>Option3!AC$85*conv_2026*AC$7</f>
        <v>0</v>
      </c>
      <c r="AD49" s="28">
        <f>Option3!AD$85*conv_2026*AD$7</f>
        <v>0</v>
      </c>
      <c r="AE49" s="28">
        <f>Option3!AE$85*conv_2026*AE$7</f>
        <v>0</v>
      </c>
      <c r="AF49" s="28">
        <f>Option3!AF$85*conv_2026*AF$7</f>
        <v>0</v>
      </c>
      <c r="AG49" s="28">
        <f>Option3!AG$85*conv_2026*AG$7</f>
        <v>0</v>
      </c>
    </row>
    <row r="50" spans="1:33" s="2" customFormat="1" x14ac:dyDescent="0.2">
      <c r="A50" s="116" t="str">
        <f t="shared" si="10"/>
        <v>Option 3</v>
      </c>
      <c r="B50" s="116"/>
      <c r="C50" s="104" t="str">
        <f>Option3!C87</f>
        <v>Net benefits</v>
      </c>
      <c r="D50" s="96" t="str">
        <f t="shared" si="11"/>
        <v>Option 3Net benefits</v>
      </c>
      <c r="E50" s="97"/>
      <c r="F50" s="123"/>
      <c r="G50" s="202">
        <f t="shared" si="12"/>
        <v>46203</v>
      </c>
      <c r="H50" s="46"/>
      <c r="I50" s="46">
        <f t="shared" ref="I50:AB50" si="13">SUM(I46:I49)</f>
        <v>0</v>
      </c>
      <c r="J50" s="46">
        <f t="shared" si="13"/>
        <v>0</v>
      </c>
      <c r="K50" s="46">
        <f t="shared" si="13"/>
        <v>0</v>
      </c>
      <c r="L50" s="46">
        <f t="shared" si="13"/>
        <v>1523215.3189948455</v>
      </c>
      <c r="M50" s="46">
        <f t="shared" si="13"/>
        <v>-4039144.6348782084</v>
      </c>
      <c r="N50" s="46">
        <f t="shared" si="13"/>
        <v>-9601504.5887512621</v>
      </c>
      <c r="O50" s="46">
        <f t="shared" si="13"/>
        <v>-9601504.5887512621</v>
      </c>
      <c r="P50" s="46">
        <f t="shared" si="13"/>
        <v>-9601504.5887512621</v>
      </c>
      <c r="Q50" s="46">
        <f t="shared" si="13"/>
        <v>-9601504.5887512621</v>
      </c>
      <c r="R50" s="46">
        <f t="shared" si="13"/>
        <v>-9601504.5887512621</v>
      </c>
      <c r="S50" s="46">
        <f t="shared" si="13"/>
        <v>-9601504.5887512621</v>
      </c>
      <c r="T50" s="46">
        <f t="shared" si="13"/>
        <v>-9601504.5887512621</v>
      </c>
      <c r="U50" s="46">
        <f t="shared" si="13"/>
        <v>-9601504.5887512621</v>
      </c>
      <c r="V50" s="46">
        <f t="shared" si="13"/>
        <v>-9601504.5887512621</v>
      </c>
      <c r="W50" s="46">
        <f t="shared" si="13"/>
        <v>-9601504.5887512621</v>
      </c>
      <c r="X50" s="46">
        <f t="shared" si="13"/>
        <v>-9601504.5887512621</v>
      </c>
      <c r="Y50" s="46">
        <f t="shared" si="13"/>
        <v>-9601504.5887512621</v>
      </c>
      <c r="Z50" s="46">
        <f t="shared" si="13"/>
        <v>-9601504.5887512621</v>
      </c>
      <c r="AA50" s="46">
        <f t="shared" si="13"/>
        <v>-9601504.5887512621</v>
      </c>
      <c r="AB50" s="46">
        <f t="shared" si="13"/>
        <v>-9601504.5887512621</v>
      </c>
      <c r="AC50" s="46">
        <f>SUM(AC46:AC49)</f>
        <v>-9601504.5887512621</v>
      </c>
      <c r="AD50" s="46">
        <f>SUM(AD46:AD49)</f>
        <v>-9601504.5887512621</v>
      </c>
      <c r="AE50" s="46">
        <f>SUM(AE46:AE49)</f>
        <v>-9601504.5887512621</v>
      </c>
      <c r="AF50" s="46">
        <f>SUM(AF46:AF49)</f>
        <v>0</v>
      </c>
      <c r="AG50" s="46">
        <f>SUM(AG46:AG49)</f>
        <v>0</v>
      </c>
    </row>
    <row r="51" spans="1:33" s="2" customFormat="1" x14ac:dyDescent="0.2">
      <c r="A51" s="116" t="str">
        <f t="shared" si="10"/>
        <v>Option 3</v>
      </c>
      <c r="B51" s="116"/>
      <c r="C51" s="6" t="s">
        <v>7</v>
      </c>
      <c r="D51" s="34" t="str">
        <f t="shared" si="11"/>
        <v>Option 3NPV</v>
      </c>
      <c r="E51" s="1"/>
      <c r="F51" s="95" cm="1">
        <f t="array" ref="F51">SUMPRODUCT(($H50:$AG50)*($H$5:$AG$5)*($H$7:$AG$7))</f>
        <v>-110587522.14718552</v>
      </c>
      <c r="G51" s="200">
        <f t="shared" si="12"/>
        <v>46203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1:33" s="2" customFormat="1" x14ac:dyDescent="0.2">
      <c r="A52" s="116" t="str">
        <f t="shared" si="10"/>
        <v>Option 3</v>
      </c>
      <c r="B52" s="116"/>
      <c r="C52" s="6" t="s">
        <v>10</v>
      </c>
      <c r="D52" s="34" t="str">
        <f t="shared" si="11"/>
        <v>Option 3PV of costs</v>
      </c>
      <c r="E52" s="1"/>
      <c r="F52" s="95">
        <f>SUM(F46:F47)</f>
        <v>-148313748.01177123</v>
      </c>
      <c r="G52" s="200">
        <f t="shared" si="12"/>
        <v>46203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 s="2" customFormat="1" x14ac:dyDescent="0.2">
      <c r="A53" s="116" t="str">
        <f t="shared" si="10"/>
        <v>Option 3</v>
      </c>
      <c r="B53" s="116"/>
      <c r="C53" s="6" t="s">
        <v>11</v>
      </c>
      <c r="D53" s="34" t="str">
        <f t="shared" si="11"/>
        <v>Option 3PV of benefits</v>
      </c>
      <c r="E53" s="1"/>
      <c r="F53" s="95">
        <f>SUM(F48:F49)</f>
        <v>37726225.864585698</v>
      </c>
      <c r="G53" s="200">
        <f t="shared" si="12"/>
        <v>46203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 s="2" customFormat="1" x14ac:dyDescent="0.2">
      <c r="A54" s="116"/>
      <c r="B54" s="116"/>
      <c r="C54" s="1"/>
      <c r="D54" s="34"/>
      <c r="E54" s="1"/>
      <c r="F54" s="95"/>
      <c r="G54" s="203"/>
      <c r="H54" s="1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</row>
    <row r="55" spans="1:33" s="2" customFormat="1" x14ac:dyDescent="0.2">
      <c r="A55" s="52"/>
      <c r="B55" s="52"/>
      <c r="C55" s="52"/>
      <c r="D55" s="34"/>
      <c r="F55" s="7"/>
      <c r="G55" s="196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</row>
    <row r="56" spans="1:33" s="2" customFormat="1" x14ac:dyDescent="0.2">
      <c r="A56" s="52" t="str">
        <f>A57</f>
        <v>Option 4</v>
      </c>
      <c r="B56" s="52"/>
      <c r="C56" s="52" t="s">
        <v>100</v>
      </c>
      <c r="D56" s="34" t="str">
        <f>A56&amp;C56</f>
        <v>Option 4Energy at risk value</v>
      </c>
      <c r="F56" s="84">
        <f>SUMPRODUCT($H56:$AG56, $H$5:$AG$5)</f>
        <v>0</v>
      </c>
      <c r="G56" s="200">
        <f>output_dollars</f>
        <v>46203</v>
      </c>
      <c r="H56" s="28"/>
      <c r="I56" s="28">
        <f>Option4!I$28*conv_2026</f>
        <v>0</v>
      </c>
      <c r="J56" s="28">
        <f>Option4!J$28*conv_2026</f>
        <v>0</v>
      </c>
      <c r="K56" s="28">
        <f>Option4!K$28*conv_2026</f>
        <v>0</v>
      </c>
      <c r="L56" s="28">
        <f>Option4!L$28*conv_2026</f>
        <v>0</v>
      </c>
      <c r="M56" s="28">
        <f>Option4!M$28*conv_2026</f>
        <v>0</v>
      </c>
      <c r="N56" s="28">
        <f>Option4!N$28*conv_2026</f>
        <v>0</v>
      </c>
      <c r="O56" s="28">
        <f>Option4!O$28*conv_2026</f>
        <v>0</v>
      </c>
      <c r="P56" s="28">
        <f>Option4!P$28*conv_2026</f>
        <v>0</v>
      </c>
      <c r="Q56" s="28">
        <f>Option4!Q$28*conv_2026</f>
        <v>0</v>
      </c>
      <c r="R56" s="28">
        <f>Option4!R$28*conv_2026</f>
        <v>0</v>
      </c>
      <c r="S56" s="28">
        <f>Option4!S$28*conv_2026</f>
        <v>0</v>
      </c>
      <c r="T56" s="28">
        <f>Option4!T$28*conv_2026</f>
        <v>0</v>
      </c>
      <c r="U56" s="28">
        <f>Option4!U$28*conv_2026</f>
        <v>0</v>
      </c>
      <c r="V56" s="28">
        <f>Option4!V$28*conv_2026</f>
        <v>0</v>
      </c>
      <c r="W56" s="28">
        <f>Option4!W$28*conv_2026</f>
        <v>0</v>
      </c>
      <c r="X56" s="28">
        <f>Option4!X$28*conv_2026</f>
        <v>0</v>
      </c>
      <c r="Y56" s="28">
        <f>Option4!Y$28*conv_2026</f>
        <v>0</v>
      </c>
      <c r="Z56" s="28">
        <f>Option4!Z$28*conv_2026</f>
        <v>0</v>
      </c>
      <c r="AA56" s="28">
        <f>Option4!AA$28*conv_2026</f>
        <v>0</v>
      </c>
      <c r="AB56" s="28">
        <f>Option4!AB$28*conv_2026</f>
        <v>0</v>
      </c>
      <c r="AC56" s="28">
        <f>Option4!AC$28*conv_2026</f>
        <v>0</v>
      </c>
      <c r="AD56" s="28">
        <f>Option4!AD$28*conv_2026</f>
        <v>0</v>
      </c>
      <c r="AE56" s="28">
        <f>Option4!AE$28*conv_2026</f>
        <v>0</v>
      </c>
      <c r="AF56" s="28">
        <f>Option4!AF$28*conv_2026</f>
        <v>0</v>
      </c>
      <c r="AG56" s="28">
        <f>Option4!AG$28*conv_2026</f>
        <v>0</v>
      </c>
    </row>
    <row r="57" spans="1:33" s="2" customFormat="1" x14ac:dyDescent="0.2">
      <c r="A57" s="116" t="str">
        <f>Data!B12</f>
        <v>Option 4</v>
      </c>
      <c r="B57" s="116"/>
      <c r="C57" s="52" t="str">
        <f>Option4!C$66</f>
        <v>Capital expenditure</v>
      </c>
      <c r="D57" s="34" t="str">
        <f t="shared" ref="D57:D67" si="14">A57&amp;C57</f>
        <v>Option 4Capital expenditure</v>
      </c>
      <c r="E57" s="1"/>
      <c r="F57" s="84">
        <f>SUMPRODUCT($H57:$AG57, $H$5:$AG$5)</f>
        <v>-19376410.450434111</v>
      </c>
      <c r="G57" s="200">
        <f>output_dollars</f>
        <v>46203</v>
      </c>
      <c r="H57" s="28"/>
      <c r="I57" s="28">
        <f>SUM(Option4!I$67:I$69)*conv_2026*I$7</f>
        <v>0</v>
      </c>
      <c r="J57" s="28">
        <f>SUM(Option4!J$67:J$69)*conv_2026*J$7</f>
        <v>0</v>
      </c>
      <c r="K57" s="28">
        <f>SUM(Option4!K$67:K$69)*conv_2026*K$7</f>
        <v>0</v>
      </c>
      <c r="L57" s="28">
        <f>SUM(Option4!L$67:L$69)*conv_2026*L$7</f>
        <v>-11115793.905542992</v>
      </c>
      <c r="M57" s="28">
        <f>SUM(Option4!M$67:M$69)*conv_2026*M$7</f>
        <v>-11115793.905542992</v>
      </c>
      <c r="N57" s="28">
        <f>SUM(Option4!N$67:N$69)*conv_2026*N$7</f>
        <v>0</v>
      </c>
      <c r="O57" s="28">
        <f>SUM(Option4!O$67:O$69)*conv_2026*O$7</f>
        <v>0</v>
      </c>
      <c r="P57" s="28">
        <f>SUM(Option4!P$67:P$69)*conv_2026*P$7</f>
        <v>0</v>
      </c>
      <c r="Q57" s="28">
        <f>SUM(Option4!Q$67:Q$69)*conv_2026*Q$7</f>
        <v>0</v>
      </c>
      <c r="R57" s="28">
        <f>SUM(Option4!R$67:R$69)*conv_2026*R$7</f>
        <v>0</v>
      </c>
      <c r="S57" s="28">
        <f>SUM(Option4!S$67:S$69)*conv_2026*S$7</f>
        <v>0</v>
      </c>
      <c r="T57" s="28">
        <f>SUM(Option4!T$67:T$69)*conv_2026*T$7</f>
        <v>0</v>
      </c>
      <c r="U57" s="28">
        <f>SUM(Option4!U$67:U$69)*conv_2026*U$7</f>
        <v>0</v>
      </c>
      <c r="V57" s="28">
        <f>SUM(Option4!V$67:V$69)*conv_2026*V$7</f>
        <v>0</v>
      </c>
      <c r="W57" s="28">
        <f>SUM(Option4!W$67:W$69)*conv_2026*W$7</f>
        <v>0</v>
      </c>
      <c r="X57" s="28">
        <f>SUM(Option4!X$67:X$69)*conv_2026*X$7</f>
        <v>0</v>
      </c>
      <c r="Y57" s="28">
        <f>SUM(Option4!Y$67:Y$69)*conv_2026*Y$7</f>
        <v>0</v>
      </c>
      <c r="Z57" s="28">
        <f>SUM(Option4!Z$67:Z$69)*conv_2026*Z$7</f>
        <v>0</v>
      </c>
      <c r="AA57" s="28">
        <f>SUM(Option4!AA$67:AA$69)*conv_2026*AA$7</f>
        <v>0</v>
      </c>
      <c r="AB57" s="28">
        <f>SUM(Option4!AB$67:AB$69)*conv_2026*AB$7</f>
        <v>0</v>
      </c>
      <c r="AC57" s="28">
        <f>SUM(Option4!AC$67:AC$69)*conv_2026*AC$7</f>
        <v>0</v>
      </c>
      <c r="AD57" s="28">
        <f>SUM(Option4!AD$67:AD$69)*conv_2026*AD$7</f>
        <v>0</v>
      </c>
      <c r="AE57" s="28">
        <f>SUM(Option4!AE$67:AE$69)*conv_2026*AE$7</f>
        <v>0</v>
      </c>
      <c r="AF57" s="28">
        <f>SUM(Option4!AF$67:AF$69)*conv_2026*AF$7</f>
        <v>0</v>
      </c>
      <c r="AG57" s="28">
        <f>SUM(Option4!AG$67:AG$69)*conv_2026*AG$7</f>
        <v>0</v>
      </c>
    </row>
    <row r="58" spans="1:33" s="2" customFormat="1" x14ac:dyDescent="0.2">
      <c r="A58" s="116" t="str">
        <f t="shared" ref="A58:A67" si="15">A57</f>
        <v>Option 4</v>
      </c>
      <c r="B58" s="116"/>
      <c r="C58" s="52" t="str">
        <f>'Option1 (base case)'!C$36</f>
        <v>Total risk cost</v>
      </c>
      <c r="D58" s="34" t="str">
        <f t="shared" si="14"/>
        <v>Option 4Total risk cost</v>
      </c>
      <c r="E58" s="1"/>
      <c r="F58" s="84">
        <f>SUMPRODUCT($H58:$AG58, $H$5:$AG$5)</f>
        <v>34316423.528160036</v>
      </c>
      <c r="G58" s="200">
        <f>output_dollars</f>
        <v>46203</v>
      </c>
      <c r="H58" s="28"/>
      <c r="I58" s="28">
        <f>Option4!I$36*conv_2026*I$7</f>
        <v>3272272.7145519597</v>
      </c>
      <c r="J58" s="28">
        <f>Option4!J$36*conv_2026*J$7</f>
        <v>3272272.7145519597</v>
      </c>
      <c r="K58" s="28">
        <f>Option4!K$36*conv_2026*K$7</f>
        <v>3272272.7145519597</v>
      </c>
      <c r="L58" s="28">
        <f>Option4!L$36*conv_2026*L$7</f>
        <v>3272272.7145519597</v>
      </c>
      <c r="M58" s="28">
        <f>Option4!M$36*conv_2026*M$7</f>
        <v>3272272.7145519597</v>
      </c>
      <c r="N58" s="28">
        <f>Option4!N$36*conv_2026*N$7</f>
        <v>1706988.7558172706</v>
      </c>
      <c r="O58" s="28">
        <f>Option4!O$36*conv_2026*O$7</f>
        <v>1706988.7558172706</v>
      </c>
      <c r="P58" s="28">
        <f>Option4!P$36*conv_2026*P$7</f>
        <v>1706988.7558172706</v>
      </c>
      <c r="Q58" s="28">
        <f>Option4!Q$36*conv_2026*Q$7</f>
        <v>1706988.7558172706</v>
      </c>
      <c r="R58" s="28">
        <f>Option4!R$36*conv_2026*R$7</f>
        <v>1706988.7558172706</v>
      </c>
      <c r="S58" s="28">
        <f>Option4!S$36*conv_2026*S$7</f>
        <v>1706988.7558172706</v>
      </c>
      <c r="T58" s="28">
        <f>Option4!T$36*conv_2026*T$7</f>
        <v>1706988.7558172706</v>
      </c>
      <c r="U58" s="28">
        <f>Option4!U$36*conv_2026*U$7</f>
        <v>1706988.7558172706</v>
      </c>
      <c r="V58" s="28">
        <f>Option4!V$36*conv_2026*V$7</f>
        <v>1706988.7558172706</v>
      </c>
      <c r="W58" s="28">
        <f>Option4!W$36*conv_2026*W$7</f>
        <v>1706988.7558172706</v>
      </c>
      <c r="X58" s="28">
        <f>Option4!X$36*conv_2026*X$7</f>
        <v>1706988.7558172706</v>
      </c>
      <c r="Y58" s="28">
        <f>Option4!Y$36*conv_2026*Y$7</f>
        <v>1706988.7558172706</v>
      </c>
      <c r="Z58" s="28">
        <f>Option4!Z$36*conv_2026*Z$7</f>
        <v>1706988.7558172706</v>
      </c>
      <c r="AA58" s="28">
        <f>Option4!AA$36*conv_2026*AA$7</f>
        <v>1706988.7558172706</v>
      </c>
      <c r="AB58" s="28">
        <f>Option4!AB$36*conv_2026*AB$7</f>
        <v>1706988.7558172706</v>
      </c>
      <c r="AC58" s="28">
        <f>Option4!AC$36*conv_2026*AC$7</f>
        <v>1706988.7558172706</v>
      </c>
      <c r="AD58" s="28">
        <f>Option4!AD$36*conv_2026*AD$7</f>
        <v>1706988.7558172706</v>
      </c>
      <c r="AE58" s="28">
        <f>Option4!AE$36*conv_2026*AE$7</f>
        <v>1706988.7558172706</v>
      </c>
      <c r="AF58" s="28">
        <f>Option4!AF$36*conv_2026*AF$7</f>
        <v>0</v>
      </c>
      <c r="AG58" s="28">
        <f>Option4!AG$36*conv_2026*AG$7</f>
        <v>0</v>
      </c>
    </row>
    <row r="59" spans="1:33" s="2" customFormat="1" x14ac:dyDescent="0.2">
      <c r="A59" s="116" t="str">
        <f t="shared" si="15"/>
        <v>Option 4</v>
      </c>
      <c r="B59" s="116"/>
      <c r="C59" s="12"/>
      <c r="D59" s="34" t="str">
        <f t="shared" si="14"/>
        <v>Option 4</v>
      </c>
      <c r="E59" s="1"/>
      <c r="F59"/>
      <c r="G59" s="201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2" customFormat="1" x14ac:dyDescent="0.2">
      <c r="A60" s="116" t="str">
        <f t="shared" si="15"/>
        <v>Option 4</v>
      </c>
      <c r="B60" s="116"/>
      <c r="C60" s="52" t="str">
        <f>Option4!C$82</f>
        <v>Annualised capex</v>
      </c>
      <c r="D60" s="34" t="str">
        <f t="shared" si="14"/>
        <v>Option 4Annualised capex</v>
      </c>
      <c r="E60" s="1"/>
      <c r="F60" s="84">
        <f>SUMPRODUCT($H60:$AG60, $H$5:$AG$5)</f>
        <v>-14174319.843220832</v>
      </c>
      <c r="G60" s="200">
        <f t="shared" ref="G60:G67" si="16">output_dollars</f>
        <v>46203</v>
      </c>
      <c r="H60" s="28"/>
      <c r="I60" s="28">
        <f>Option4!I$82*conv_2026*I$7</f>
        <v>0</v>
      </c>
      <c r="J60" s="28">
        <f>Option4!J$82*conv_2026*J$7</f>
        <v>0</v>
      </c>
      <c r="K60" s="28">
        <f>Option4!K$82*conv_2026*K$7</f>
        <v>0</v>
      </c>
      <c r="L60" s="28">
        <f>Option4!L$82*conv_2026*L$7</f>
        <v>0</v>
      </c>
      <c r="M60" s="28">
        <f>Option4!M$82*conv_2026*M$7</f>
        <v>-604380.51651805569</v>
      </c>
      <c r="N60" s="28">
        <f>Option4!N$82*conv_2026*N$7</f>
        <v>-1208761.0330361114</v>
      </c>
      <c r="O60" s="28">
        <f>Option4!O$82*conv_2026*O$7</f>
        <v>-1208761.0330361114</v>
      </c>
      <c r="P60" s="28">
        <f>Option4!P$82*conv_2026*P$7</f>
        <v>-1208761.0330361114</v>
      </c>
      <c r="Q60" s="28">
        <f>Option4!Q$82*conv_2026*Q$7</f>
        <v>-1208761.0330361114</v>
      </c>
      <c r="R60" s="28">
        <f>Option4!R$82*conv_2026*R$7</f>
        <v>-1208761.0330361114</v>
      </c>
      <c r="S60" s="28">
        <f>Option4!S$82*conv_2026*S$7</f>
        <v>-1208761.0330361114</v>
      </c>
      <c r="T60" s="28">
        <f>Option4!T$82*conv_2026*T$7</f>
        <v>-1208761.0330361114</v>
      </c>
      <c r="U60" s="28">
        <f>Option4!U$82*conv_2026*U$7</f>
        <v>-1208761.0330361114</v>
      </c>
      <c r="V60" s="28">
        <f>Option4!V$82*conv_2026*V$7</f>
        <v>-1208761.0330361114</v>
      </c>
      <c r="W60" s="28">
        <f>Option4!W$82*conv_2026*W$7</f>
        <v>-1208761.0330361114</v>
      </c>
      <c r="X60" s="28">
        <f>Option4!X$82*conv_2026*X$7</f>
        <v>-1208761.0330361114</v>
      </c>
      <c r="Y60" s="28">
        <f>Option4!Y$82*conv_2026*Y$7</f>
        <v>-1208761.0330361114</v>
      </c>
      <c r="Z60" s="28">
        <f>Option4!Z$82*conv_2026*Z$7</f>
        <v>-1208761.0330361114</v>
      </c>
      <c r="AA60" s="28">
        <f>Option4!AA$82*conv_2026*AA$7</f>
        <v>-1208761.0330361114</v>
      </c>
      <c r="AB60" s="28">
        <f>Option4!AB$82*conv_2026*AB$7</f>
        <v>-1208761.0330361114</v>
      </c>
      <c r="AC60" s="28">
        <f>Option4!AC$82*conv_2026*AC$7</f>
        <v>-1208761.0330361114</v>
      </c>
      <c r="AD60" s="28">
        <f>Option4!AD$82*conv_2026*AD$7</f>
        <v>-1208761.0330361114</v>
      </c>
      <c r="AE60" s="28">
        <f>Option4!AE$82*conv_2026*AE$7</f>
        <v>-1208761.0330361114</v>
      </c>
      <c r="AF60" s="28">
        <f>Option4!AF$82*conv_2026*AF$7</f>
        <v>0</v>
      </c>
      <c r="AG60" s="28">
        <f>Option4!AG$82*conv_2026*AG$7</f>
        <v>0</v>
      </c>
    </row>
    <row r="61" spans="1:33" s="2" customFormat="1" x14ac:dyDescent="0.2">
      <c r="A61" s="116" t="str">
        <f t="shared" si="15"/>
        <v>Option 4</v>
      </c>
      <c r="B61" s="116"/>
      <c r="C61" s="52" t="str">
        <f>Option4!C$83</f>
        <v>Operating expenditure</v>
      </c>
      <c r="D61" s="34" t="str">
        <f t="shared" si="14"/>
        <v>Option 4Operating expenditure</v>
      </c>
      <c r="E61" s="1"/>
      <c r="F61" s="84">
        <f>SUMPRODUCT($H61:$AG61, $H$5:$AG$5)</f>
        <v>0</v>
      </c>
      <c r="G61" s="200">
        <f t="shared" si="16"/>
        <v>46203</v>
      </c>
      <c r="H61" s="28"/>
      <c r="I61" s="28">
        <f>Option4!I$83*conv_2026*I$7</f>
        <v>0</v>
      </c>
      <c r="J61" s="28">
        <f>Option4!J$83*conv_2026*J$7</f>
        <v>0</v>
      </c>
      <c r="K61" s="28">
        <f>Option4!K$83*conv_2026*K$7</f>
        <v>0</v>
      </c>
      <c r="L61" s="28">
        <f>Option4!L$83*conv_2026*L$7</f>
        <v>0</v>
      </c>
      <c r="M61" s="28">
        <f>Option4!M$83*conv_2026*M$7</f>
        <v>0</v>
      </c>
      <c r="N61" s="28">
        <f>Option4!N$83*conv_2026*N$7</f>
        <v>0</v>
      </c>
      <c r="O61" s="28">
        <f>Option4!O$83*conv_2026*O$7</f>
        <v>0</v>
      </c>
      <c r="P61" s="28">
        <f>Option4!P$83*conv_2026*P$7</f>
        <v>0</v>
      </c>
      <c r="Q61" s="28">
        <f>Option4!Q$83*conv_2026*Q$7</f>
        <v>0</v>
      </c>
      <c r="R61" s="28">
        <f>Option4!R$83*conv_2026*R$7</f>
        <v>0</v>
      </c>
      <c r="S61" s="28">
        <f>Option4!S$83*conv_2026*S$7</f>
        <v>0</v>
      </c>
      <c r="T61" s="28">
        <f>Option4!T$83*conv_2026*T$7</f>
        <v>0</v>
      </c>
      <c r="U61" s="28">
        <f>Option4!U$83*conv_2026*U$7</f>
        <v>0</v>
      </c>
      <c r="V61" s="28">
        <f>Option4!V$83*conv_2026*V$7</f>
        <v>0</v>
      </c>
      <c r="W61" s="28">
        <f>Option4!W$83*conv_2026*W$7</f>
        <v>0</v>
      </c>
      <c r="X61" s="28">
        <f>Option4!X$83*conv_2026*X$7</f>
        <v>0</v>
      </c>
      <c r="Y61" s="28">
        <f>Option4!Y$83*conv_2026*Y$7</f>
        <v>0</v>
      </c>
      <c r="Z61" s="28">
        <f>Option4!Z$83*conv_2026*Z$7</f>
        <v>0</v>
      </c>
      <c r="AA61" s="28">
        <f>Option4!AA$83*conv_2026*AA$7</f>
        <v>0</v>
      </c>
      <c r="AB61" s="28">
        <f>Option4!AB$83*conv_2026*AB$7</f>
        <v>0</v>
      </c>
      <c r="AC61" s="28">
        <f>Option4!AC$83*conv_2026*AC$7</f>
        <v>0</v>
      </c>
      <c r="AD61" s="28">
        <f>Option4!AD$83*conv_2026*AD$7</f>
        <v>0</v>
      </c>
      <c r="AE61" s="28">
        <f>Option4!AE$83*conv_2026*AE$7</f>
        <v>0</v>
      </c>
      <c r="AF61" s="28">
        <f>Option4!AF$83*conv_2026*AF$7</f>
        <v>0</v>
      </c>
      <c r="AG61" s="28">
        <f>Option4!AG$83*conv_2026*AG$7</f>
        <v>0</v>
      </c>
    </row>
    <row r="62" spans="1:33" s="2" customFormat="1" x14ac:dyDescent="0.2">
      <c r="A62" s="116" t="str">
        <f t="shared" si="15"/>
        <v>Option 4</v>
      </c>
      <c r="B62" s="116"/>
      <c r="C62" s="52" t="str">
        <f>Option4!C$84</f>
        <v>Risk mitigated</v>
      </c>
      <c r="D62" s="34" t="str">
        <f t="shared" si="14"/>
        <v>Option 4Risk mitigated</v>
      </c>
      <c r="E62" s="1"/>
      <c r="F62" s="84">
        <f>SUMPRODUCT($H62:$AG62, $H$5:$AG$5)</f>
        <v>17684625.869044576</v>
      </c>
      <c r="G62" s="200">
        <f t="shared" si="16"/>
        <v>46203</v>
      </c>
      <c r="H62" s="28"/>
      <c r="I62" s="28">
        <f>Option4!I$84*conv_2026*I$7</f>
        <v>0</v>
      </c>
      <c r="J62" s="28">
        <f>Option4!J$84*conv_2026*J$7</f>
        <v>0</v>
      </c>
      <c r="K62" s="28">
        <f>Option4!K$84*conv_2026*K$7</f>
        <v>0</v>
      </c>
      <c r="L62" s="28">
        <f>Option4!L$84*conv_2026*L$7</f>
        <v>0</v>
      </c>
      <c r="M62" s="28">
        <f>Option4!M$84*conv_2026*M$7</f>
        <v>0</v>
      </c>
      <c r="N62" s="28">
        <f>Option4!N$84*conv_2026*N$7</f>
        <v>1565283.9587346893</v>
      </c>
      <c r="O62" s="28">
        <f>Option4!O$84*conv_2026*O$7</f>
        <v>1565283.9587346893</v>
      </c>
      <c r="P62" s="28">
        <f>Option4!P$84*conv_2026*P$7</f>
        <v>1565283.9587346893</v>
      </c>
      <c r="Q62" s="28">
        <f>Option4!Q$84*conv_2026*Q$7</f>
        <v>1565283.9587346893</v>
      </c>
      <c r="R62" s="28">
        <f>Option4!R$84*conv_2026*R$7</f>
        <v>1565283.9587346893</v>
      </c>
      <c r="S62" s="28">
        <f>Option4!S$84*conv_2026*S$7</f>
        <v>1565283.9587346893</v>
      </c>
      <c r="T62" s="28">
        <f>Option4!T$84*conv_2026*T$7</f>
        <v>1565283.9587346893</v>
      </c>
      <c r="U62" s="28">
        <f>Option4!U$84*conv_2026*U$7</f>
        <v>1565283.9587346893</v>
      </c>
      <c r="V62" s="28">
        <f>Option4!V$84*conv_2026*V$7</f>
        <v>1565283.9587346893</v>
      </c>
      <c r="W62" s="28">
        <f>Option4!W$84*conv_2026*W$7</f>
        <v>1565283.9587346893</v>
      </c>
      <c r="X62" s="28">
        <f>Option4!X$84*conv_2026*X$7</f>
        <v>1565283.9587346893</v>
      </c>
      <c r="Y62" s="28">
        <f>Option4!Y$84*conv_2026*Y$7</f>
        <v>1565283.9587346893</v>
      </c>
      <c r="Z62" s="28">
        <f>Option4!Z$84*conv_2026*Z$7</f>
        <v>1565283.9587346893</v>
      </c>
      <c r="AA62" s="28">
        <f>Option4!AA$84*conv_2026*AA$7</f>
        <v>1565283.9587346893</v>
      </c>
      <c r="AB62" s="28">
        <f>Option4!AB$84*conv_2026*AB$7</f>
        <v>1565283.9587346893</v>
      </c>
      <c r="AC62" s="28">
        <f>Option4!AC$84*conv_2026*AC$7</f>
        <v>1565283.9587346893</v>
      </c>
      <c r="AD62" s="28">
        <f>Option4!AD$84*conv_2026*AD$7</f>
        <v>1565283.9587346893</v>
      </c>
      <c r="AE62" s="28">
        <f>Option4!AE$84*conv_2026*AE$7</f>
        <v>1565283.9587346893</v>
      </c>
      <c r="AF62" s="28">
        <f>Option4!AF$84*conv_2026*AF$7</f>
        <v>0</v>
      </c>
      <c r="AG62" s="28">
        <f>Option4!AG$84*conv_2026*AG$7</f>
        <v>0</v>
      </c>
    </row>
    <row r="63" spans="1:33" s="2" customFormat="1" x14ac:dyDescent="0.2">
      <c r="A63" s="116" t="str">
        <f t="shared" si="15"/>
        <v>Option 4</v>
      </c>
      <c r="B63" s="116"/>
      <c r="C63" s="52" t="str">
        <f>Option4!C$85</f>
        <v>Other benefits value</v>
      </c>
      <c r="D63" s="34" t="str">
        <f t="shared" si="14"/>
        <v>Option 4Other benefits value</v>
      </c>
      <c r="E63" s="1"/>
      <c r="F63" s="84">
        <f>SUMPRODUCT($H63:$AG63, $H$5:$AG$5)</f>
        <v>0</v>
      </c>
      <c r="G63" s="200">
        <f t="shared" si="16"/>
        <v>46203</v>
      </c>
      <c r="H63" s="28"/>
      <c r="I63" s="28">
        <f>Option4!I$85*conv_2026*I$7</f>
        <v>0</v>
      </c>
      <c r="J63" s="28">
        <f>Option4!J$85*conv_2026*J$7</f>
        <v>0</v>
      </c>
      <c r="K63" s="28">
        <f>Option4!K$85*conv_2026*K$7</f>
        <v>0</v>
      </c>
      <c r="L63" s="28">
        <f>Option4!L$85*conv_2026*L$7</f>
        <v>0</v>
      </c>
      <c r="M63" s="28">
        <f>Option4!M$85*conv_2026*M$7</f>
        <v>0</v>
      </c>
      <c r="N63" s="28">
        <f>Option4!N$85*conv_2026*N$7</f>
        <v>0</v>
      </c>
      <c r="O63" s="28">
        <f>Option4!O$85*conv_2026*O$7</f>
        <v>0</v>
      </c>
      <c r="P63" s="28">
        <f>Option4!P$85*conv_2026*P$7</f>
        <v>0</v>
      </c>
      <c r="Q63" s="28">
        <f>Option4!Q$85*conv_2026*Q$7</f>
        <v>0</v>
      </c>
      <c r="R63" s="28">
        <f>Option4!R$85*conv_2026*R$7</f>
        <v>0</v>
      </c>
      <c r="S63" s="28">
        <f>Option4!S$85*conv_2026*S$7</f>
        <v>0</v>
      </c>
      <c r="T63" s="28">
        <f>Option4!T$85*conv_2026*T$7</f>
        <v>0</v>
      </c>
      <c r="U63" s="28">
        <f>Option4!U$85*conv_2026*U$7</f>
        <v>0</v>
      </c>
      <c r="V63" s="28">
        <f>Option4!V$85*conv_2026*V$7</f>
        <v>0</v>
      </c>
      <c r="W63" s="28">
        <f>Option4!W$85*conv_2026*W$7</f>
        <v>0</v>
      </c>
      <c r="X63" s="28">
        <f>Option4!X$85*conv_2026*X$7</f>
        <v>0</v>
      </c>
      <c r="Y63" s="28">
        <f>Option4!Y$85*conv_2026*Y$7</f>
        <v>0</v>
      </c>
      <c r="Z63" s="28">
        <f>Option4!Z$85*conv_2026*Z$7</f>
        <v>0</v>
      </c>
      <c r="AA63" s="28">
        <f>Option4!AA$85*conv_2026*AA$7</f>
        <v>0</v>
      </c>
      <c r="AB63" s="28">
        <f>Option4!AB$85*conv_2026*AB$7</f>
        <v>0</v>
      </c>
      <c r="AC63" s="28">
        <f>Option4!AC$85*conv_2026*AC$7</f>
        <v>0</v>
      </c>
      <c r="AD63" s="28">
        <f>Option4!AD$85*conv_2026*AD$7</f>
        <v>0</v>
      </c>
      <c r="AE63" s="28">
        <f>Option4!AE$85*conv_2026*AE$7</f>
        <v>0</v>
      </c>
      <c r="AF63" s="28">
        <f>Option4!AF$85*conv_2026*AF$7</f>
        <v>0</v>
      </c>
      <c r="AG63" s="28">
        <f>Option4!AG$85*conv_2026*AG$7</f>
        <v>0</v>
      </c>
    </row>
    <row r="64" spans="1:33" s="2" customFormat="1" x14ac:dyDescent="0.2">
      <c r="A64" s="116" t="str">
        <f t="shared" si="15"/>
        <v>Option 4</v>
      </c>
      <c r="B64" s="116"/>
      <c r="C64" s="104" t="str">
        <f>Option4!C87</f>
        <v>Net benefits</v>
      </c>
      <c r="D64" s="96" t="str">
        <f t="shared" si="14"/>
        <v>Option 4Net benefits</v>
      </c>
      <c r="E64" s="97"/>
      <c r="F64" s="123"/>
      <c r="G64" s="202">
        <f t="shared" si="16"/>
        <v>46203</v>
      </c>
      <c r="H64" s="46"/>
      <c r="I64" s="46">
        <f t="shared" ref="I64:AB64" si="17">SUM(I60:I63)</f>
        <v>0</v>
      </c>
      <c r="J64" s="46">
        <f t="shared" si="17"/>
        <v>0</v>
      </c>
      <c r="K64" s="46">
        <f t="shared" si="17"/>
        <v>0</v>
      </c>
      <c r="L64" s="46">
        <f t="shared" si="17"/>
        <v>0</v>
      </c>
      <c r="M64" s="46">
        <f t="shared" si="17"/>
        <v>-604380.51651805569</v>
      </c>
      <c r="N64" s="46">
        <f t="shared" si="17"/>
        <v>356522.92569857789</v>
      </c>
      <c r="O64" s="46">
        <f t="shared" si="17"/>
        <v>356522.92569857789</v>
      </c>
      <c r="P64" s="46">
        <f t="shared" si="17"/>
        <v>356522.92569857789</v>
      </c>
      <c r="Q64" s="46">
        <f t="shared" si="17"/>
        <v>356522.92569857789</v>
      </c>
      <c r="R64" s="46">
        <f t="shared" si="17"/>
        <v>356522.92569857789</v>
      </c>
      <c r="S64" s="46">
        <f t="shared" si="17"/>
        <v>356522.92569857789</v>
      </c>
      <c r="T64" s="46">
        <f t="shared" si="17"/>
        <v>356522.92569857789</v>
      </c>
      <c r="U64" s="46">
        <f t="shared" si="17"/>
        <v>356522.92569857789</v>
      </c>
      <c r="V64" s="46">
        <f t="shared" si="17"/>
        <v>356522.92569857789</v>
      </c>
      <c r="W64" s="46">
        <f t="shared" si="17"/>
        <v>356522.92569857789</v>
      </c>
      <c r="X64" s="46">
        <f t="shared" si="17"/>
        <v>356522.92569857789</v>
      </c>
      <c r="Y64" s="46">
        <f t="shared" si="17"/>
        <v>356522.92569857789</v>
      </c>
      <c r="Z64" s="46">
        <f t="shared" si="17"/>
        <v>356522.92569857789</v>
      </c>
      <c r="AA64" s="46">
        <f t="shared" si="17"/>
        <v>356522.92569857789</v>
      </c>
      <c r="AB64" s="46">
        <f t="shared" si="17"/>
        <v>356522.92569857789</v>
      </c>
      <c r="AC64" s="46">
        <f>SUM(AC60:AC63)</f>
        <v>356522.92569857789</v>
      </c>
      <c r="AD64" s="46">
        <f>SUM(AD60:AD63)</f>
        <v>356522.92569857789</v>
      </c>
      <c r="AE64" s="46">
        <f>SUM(AE60:AE63)</f>
        <v>356522.92569857789</v>
      </c>
      <c r="AF64" s="46">
        <f>SUM(AF60:AF63)</f>
        <v>0</v>
      </c>
      <c r="AG64" s="46">
        <f>SUM(AG60:AG63)</f>
        <v>0</v>
      </c>
    </row>
    <row r="65" spans="1:33" s="2" customFormat="1" x14ac:dyDescent="0.2">
      <c r="A65" s="116" t="str">
        <f t="shared" si="15"/>
        <v>Option 4</v>
      </c>
      <c r="B65" s="116"/>
      <c r="C65" s="6" t="s">
        <v>7</v>
      </c>
      <c r="D65" s="34" t="str">
        <f t="shared" si="14"/>
        <v>Option 4NPV</v>
      </c>
      <c r="E65" s="1"/>
      <c r="F65" s="95" cm="1">
        <f t="array" ref="F65">SUMPRODUCT(($H64:$AG64)*($H$5:$AG$5)*($H$7:$AG$7))</f>
        <v>3510306.0258237412</v>
      </c>
      <c r="G65" s="200">
        <f t="shared" si="16"/>
        <v>46203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 s="2" customFormat="1" x14ac:dyDescent="0.2">
      <c r="A66" s="116" t="str">
        <f t="shared" si="15"/>
        <v>Option 4</v>
      </c>
      <c r="B66" s="116"/>
      <c r="C66" s="6" t="s">
        <v>10</v>
      </c>
      <c r="D66" s="34" t="str">
        <f t="shared" si="14"/>
        <v>Option 4PV of costs</v>
      </c>
      <c r="E66" s="1"/>
      <c r="F66" s="95">
        <f>SUM(F60:F61)</f>
        <v>-14174319.843220832</v>
      </c>
      <c r="G66" s="200">
        <f t="shared" si="16"/>
        <v>46203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 s="2" customFormat="1" x14ac:dyDescent="0.2">
      <c r="A67" s="116" t="str">
        <f t="shared" si="15"/>
        <v>Option 4</v>
      </c>
      <c r="B67" s="116"/>
      <c r="C67" s="6" t="s">
        <v>11</v>
      </c>
      <c r="D67" s="34" t="str">
        <f t="shared" si="14"/>
        <v>Option 4PV of benefits</v>
      </c>
      <c r="E67" s="1"/>
      <c r="F67" s="95">
        <f>SUM(F62:F63)</f>
        <v>17684625.869044576</v>
      </c>
      <c r="G67" s="200">
        <f t="shared" si="16"/>
        <v>46203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 s="2" customFormat="1" x14ac:dyDescent="0.2">
      <c r="A68" s="116"/>
      <c r="B68" s="116"/>
      <c r="C68" s="1"/>
      <c r="D68" s="34"/>
      <c r="E68" s="1"/>
      <c r="F68" s="95"/>
      <c r="G68" s="203"/>
      <c r="H68" s="1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</row>
    <row r="69" spans="1:33" s="2" customFormat="1" x14ac:dyDescent="0.2">
      <c r="A69" s="52"/>
      <c r="B69" s="52"/>
      <c r="C69" s="52"/>
      <c r="D69" s="34" t="str">
        <f t="shared" ref="D69:D81" si="18">A69&amp;C69</f>
        <v/>
      </c>
      <c r="F69" s="7"/>
      <c r="G69" s="196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</row>
    <row r="70" spans="1:33" s="2" customFormat="1" x14ac:dyDescent="0.2">
      <c r="A70" s="52" t="str">
        <f>A71</f>
        <v>Option 5</v>
      </c>
      <c r="B70" s="52"/>
      <c r="C70" s="52" t="s">
        <v>100</v>
      </c>
      <c r="D70" s="34" t="str">
        <f t="shared" si="18"/>
        <v>Option 5Energy at risk value</v>
      </c>
      <c r="F70" s="84">
        <f>SUMPRODUCT($H70:$AG70, $H$5:$AG$5)</f>
        <v>0</v>
      </c>
      <c r="G70" s="200">
        <f>output_dollars</f>
        <v>46203</v>
      </c>
      <c r="H70" s="28"/>
      <c r="I70" s="28">
        <f>Option5!I$28*conv_2026</f>
        <v>0</v>
      </c>
      <c r="J70" s="28">
        <f>Option5!J$28*conv_2026</f>
        <v>0</v>
      </c>
      <c r="K70" s="28">
        <f>Option5!K$28*conv_2026</f>
        <v>0</v>
      </c>
      <c r="L70" s="28">
        <f>Option5!L$28*conv_2026</f>
        <v>0</v>
      </c>
      <c r="M70" s="28">
        <f>Option5!M$28*conv_2026</f>
        <v>0</v>
      </c>
      <c r="N70" s="28">
        <f>Option5!N$28*conv_2026</f>
        <v>0</v>
      </c>
      <c r="O70" s="28">
        <f>Option5!O$28*conv_2026</f>
        <v>0</v>
      </c>
      <c r="P70" s="28">
        <f>Option5!P$28*conv_2026</f>
        <v>0</v>
      </c>
      <c r="Q70" s="28">
        <f>Option5!Q$28*conv_2026</f>
        <v>0</v>
      </c>
      <c r="R70" s="28">
        <f>Option5!R$28*conv_2026</f>
        <v>0</v>
      </c>
      <c r="S70" s="28">
        <f>Option5!S$28*conv_2026</f>
        <v>0</v>
      </c>
      <c r="T70" s="28">
        <f>Option5!T$28*conv_2026</f>
        <v>0</v>
      </c>
      <c r="U70" s="28">
        <f>Option5!U$28*conv_2026</f>
        <v>0</v>
      </c>
      <c r="V70" s="28">
        <f>Option5!V$28*conv_2026</f>
        <v>0</v>
      </c>
      <c r="W70" s="28">
        <f>Option5!W$28*conv_2026</f>
        <v>0</v>
      </c>
      <c r="X70" s="28">
        <f>Option5!X$28*conv_2026</f>
        <v>0</v>
      </c>
      <c r="Y70" s="28">
        <f>Option5!Y$28*conv_2026</f>
        <v>0</v>
      </c>
      <c r="Z70" s="28">
        <f>Option5!Z$28*conv_2026</f>
        <v>0</v>
      </c>
      <c r="AA70" s="28">
        <f>Option5!AA$28*conv_2026</f>
        <v>0</v>
      </c>
      <c r="AB70" s="28">
        <f>Option5!AB$28*conv_2026</f>
        <v>0</v>
      </c>
      <c r="AC70" s="28">
        <f>Option5!AC$28*conv_2026</f>
        <v>0</v>
      </c>
      <c r="AD70" s="28">
        <f>Option5!AD$28*conv_2026</f>
        <v>0</v>
      </c>
      <c r="AE70" s="28">
        <f>Option5!AE$28*conv_2026</f>
        <v>0</v>
      </c>
      <c r="AF70" s="28">
        <f>Option5!AF$28*conv_2026</f>
        <v>0</v>
      </c>
      <c r="AG70" s="28">
        <f>Option5!AG$28*conv_2026</f>
        <v>0</v>
      </c>
    </row>
    <row r="71" spans="1:33" s="2" customFormat="1" x14ac:dyDescent="0.2">
      <c r="A71" s="116" t="str">
        <f>Data!B13</f>
        <v>Option 5</v>
      </c>
      <c r="B71" s="116"/>
      <c r="C71" s="52" t="str">
        <f>Option5!C$66</f>
        <v>Capital expenditure</v>
      </c>
      <c r="D71" s="34" t="str">
        <f t="shared" si="18"/>
        <v>Option 5Capital expenditure</v>
      </c>
      <c r="E71" s="1"/>
      <c r="F71" s="84">
        <f>SUMPRODUCT($H71:$AG71, $H$5:$AG$5)</f>
        <v>0</v>
      </c>
      <c r="G71" s="200">
        <f>output_dollars</f>
        <v>46203</v>
      </c>
      <c r="H71" s="28"/>
      <c r="I71" s="28">
        <f>SUM(Option5!I$67:I$69)*conv_2026*I$7</f>
        <v>0</v>
      </c>
      <c r="J71" s="28">
        <f>SUM(Option5!J$67:J$69)*conv_2026*J$7</f>
        <v>0</v>
      </c>
      <c r="K71" s="28">
        <f>SUM(Option5!K$67:K$69)*conv_2026*K$7</f>
        <v>0</v>
      </c>
      <c r="L71" s="28">
        <f>SUM(Option5!L$67:L$69)*conv_2026*L$7</f>
        <v>0</v>
      </c>
      <c r="M71" s="28">
        <f>SUM(Option5!M$67:M$69)*conv_2026*M$7</f>
        <v>0</v>
      </c>
      <c r="N71" s="28">
        <f>SUM(Option5!N$67:N$69)*conv_2026*N$7</f>
        <v>0</v>
      </c>
      <c r="O71" s="28">
        <f>SUM(Option5!O$67:O$69)*conv_2026*O$7</f>
        <v>0</v>
      </c>
      <c r="P71" s="28">
        <f>SUM(Option5!P$67:P$69)*conv_2026*P$7</f>
        <v>0</v>
      </c>
      <c r="Q71" s="28">
        <f>SUM(Option5!Q$67:Q$69)*conv_2026*Q$7</f>
        <v>0</v>
      </c>
      <c r="R71" s="28">
        <f>SUM(Option5!R$67:R$69)*conv_2026*R$7</f>
        <v>0</v>
      </c>
      <c r="S71" s="28">
        <f>SUM(Option5!S$67:S$69)*conv_2026*S$7</f>
        <v>0</v>
      </c>
      <c r="T71" s="28">
        <f>SUM(Option5!T$67:T$69)*conv_2026*T$7</f>
        <v>0</v>
      </c>
      <c r="U71" s="28">
        <f>SUM(Option5!U$67:U$69)*conv_2026*U$7</f>
        <v>0</v>
      </c>
      <c r="V71" s="28">
        <f>SUM(Option5!V$67:V$69)*conv_2026*V$7</f>
        <v>0</v>
      </c>
      <c r="W71" s="28">
        <f>SUM(Option5!W$67:W$69)*conv_2026*W$7</f>
        <v>0</v>
      </c>
      <c r="X71" s="28">
        <f>SUM(Option5!X$67:X$69)*conv_2026*X$7</f>
        <v>0</v>
      </c>
      <c r="Y71" s="28">
        <f>SUM(Option5!Y$67:Y$69)*conv_2026*Y$7</f>
        <v>0</v>
      </c>
      <c r="Z71" s="28">
        <f>SUM(Option5!Z$67:Z$69)*conv_2026*Z$7</f>
        <v>0</v>
      </c>
      <c r="AA71" s="28">
        <f>SUM(Option5!AA$67:AA$69)*conv_2026*AA$7</f>
        <v>0</v>
      </c>
      <c r="AB71" s="28">
        <f>SUM(Option5!AB$67:AB$69)*conv_2026*AB$7</f>
        <v>0</v>
      </c>
      <c r="AC71" s="28">
        <f>SUM(Option5!AC$67:AC$69)*conv_2026*AC$7</f>
        <v>0</v>
      </c>
      <c r="AD71" s="28">
        <f>SUM(Option5!AD$67:AD$69)*conv_2026*AD$7</f>
        <v>0</v>
      </c>
      <c r="AE71" s="28">
        <f>SUM(Option5!AE$67:AE$69)*conv_2026*AE$7</f>
        <v>0</v>
      </c>
      <c r="AF71" s="28">
        <f>SUM(Option5!AF$67:AF$69)*conv_2026*AF$7</f>
        <v>0</v>
      </c>
      <c r="AG71" s="28">
        <f>SUM(Option5!AG$67:AG$69)*conv_2026*AG$7</f>
        <v>0</v>
      </c>
    </row>
    <row r="72" spans="1:33" s="2" customFormat="1" x14ac:dyDescent="0.2">
      <c r="A72" s="116" t="str">
        <f t="shared" ref="A72:A81" si="19">A71</f>
        <v>Option 5</v>
      </c>
      <c r="B72" s="116"/>
      <c r="C72" s="52" t="str">
        <f>'Option1 (base case)'!C$36</f>
        <v>Total risk cost</v>
      </c>
      <c r="D72" s="34" t="str">
        <f t="shared" si="18"/>
        <v>Option 5Total risk cost</v>
      </c>
      <c r="E72" s="1"/>
      <c r="F72" s="84">
        <f>SUMPRODUCT($H72:$AG72, $H$5:$AG$5)</f>
        <v>0</v>
      </c>
      <c r="G72" s="200">
        <f>output_dollars</f>
        <v>46203</v>
      </c>
      <c r="H72" s="28"/>
      <c r="I72" s="28">
        <f>Option5!I$36*conv_2026*I$7</f>
        <v>0</v>
      </c>
      <c r="J72" s="28">
        <f>Option5!J$36*conv_2026*J$7</f>
        <v>0</v>
      </c>
      <c r="K72" s="28">
        <f>Option5!K$36*conv_2026*K$7</f>
        <v>0</v>
      </c>
      <c r="L72" s="28">
        <f>Option5!L$36*conv_2026*L$7</f>
        <v>0</v>
      </c>
      <c r="M72" s="28">
        <f>Option5!M$36*conv_2026*M$7</f>
        <v>0</v>
      </c>
      <c r="N72" s="28">
        <f>Option5!N$36*conv_2026*N$7</f>
        <v>0</v>
      </c>
      <c r="O72" s="28">
        <f>Option5!O$36*conv_2026*O$7</f>
        <v>0</v>
      </c>
      <c r="P72" s="28">
        <f>Option5!P$36*conv_2026*P$7</f>
        <v>0</v>
      </c>
      <c r="Q72" s="28">
        <f>Option5!Q$36*conv_2026*Q$7</f>
        <v>0</v>
      </c>
      <c r="R72" s="28">
        <f>Option5!R$36*conv_2026*R$7</f>
        <v>0</v>
      </c>
      <c r="S72" s="28">
        <f>Option5!S$36*conv_2026*S$7</f>
        <v>0</v>
      </c>
      <c r="T72" s="28">
        <f>Option5!T$36*conv_2026*T$7</f>
        <v>0</v>
      </c>
      <c r="U72" s="28">
        <f>Option5!U$36*conv_2026*U$7</f>
        <v>0</v>
      </c>
      <c r="V72" s="28">
        <f>Option5!V$36*conv_2026*V$7</f>
        <v>0</v>
      </c>
      <c r="W72" s="28">
        <f>Option5!W$36*conv_2026*W$7</f>
        <v>0</v>
      </c>
      <c r="X72" s="28">
        <f>Option5!X$36*conv_2026*X$7</f>
        <v>0</v>
      </c>
      <c r="Y72" s="28">
        <f>Option5!Y$36*conv_2026*Y$7</f>
        <v>0</v>
      </c>
      <c r="Z72" s="28">
        <f>Option5!Z$36*conv_2026*Z$7</f>
        <v>0</v>
      </c>
      <c r="AA72" s="28">
        <f>Option5!AA$36*conv_2026*AA$7</f>
        <v>0</v>
      </c>
      <c r="AB72" s="28">
        <f>Option5!AB$36*conv_2026*AB$7</f>
        <v>0</v>
      </c>
      <c r="AC72" s="28">
        <f>Option5!AC$36*conv_2026*AC$7</f>
        <v>0</v>
      </c>
      <c r="AD72" s="28">
        <f>Option5!AD$36*conv_2026*AD$7</f>
        <v>0</v>
      </c>
      <c r="AE72" s="28">
        <f>Option5!AE$36*conv_2026*AE$7</f>
        <v>0</v>
      </c>
      <c r="AF72" s="28">
        <f>Option5!AF$36*conv_2026*AF$7</f>
        <v>0</v>
      </c>
      <c r="AG72" s="28">
        <f>Option5!AG$36*conv_2026*AG$7</f>
        <v>0</v>
      </c>
    </row>
    <row r="73" spans="1:33" s="2" customFormat="1" x14ac:dyDescent="0.2">
      <c r="A73" s="116" t="str">
        <f t="shared" si="19"/>
        <v>Option 5</v>
      </c>
      <c r="B73" s="116"/>
      <c r="C73" s="12"/>
      <c r="D73" s="34" t="str">
        <f t="shared" si="18"/>
        <v>Option 5</v>
      </c>
      <c r="E73" s="1"/>
      <c r="F73"/>
      <c r="G73" s="201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2" customFormat="1" x14ac:dyDescent="0.2">
      <c r="A74" s="116" t="str">
        <f t="shared" si="19"/>
        <v>Option 5</v>
      </c>
      <c r="B74" s="116"/>
      <c r="C74" s="52" t="str">
        <f>Option5!C$82</f>
        <v>Annualised capex</v>
      </c>
      <c r="D74" s="34" t="str">
        <f t="shared" si="18"/>
        <v>Option 5Annualised capex</v>
      </c>
      <c r="E74" s="1"/>
      <c r="F74" s="95" cm="1">
        <f t="array" ref="F74">SUMPRODUCT(($H74:$AG74)*($H$5:$AG$5)*($H$7:$AG$7))</f>
        <v>0</v>
      </c>
      <c r="G74" s="200">
        <f t="shared" ref="G74:G81" si="20">output_dollars</f>
        <v>46203</v>
      </c>
      <c r="H74" s="28"/>
      <c r="I74" s="28">
        <f>Option5!I$82*conv_2026*I$7</f>
        <v>0</v>
      </c>
      <c r="J74" s="28">
        <f>Option5!J$82*conv_2026*J$7</f>
        <v>0</v>
      </c>
      <c r="K74" s="28">
        <f>Option5!K$82*conv_2026*K$7</f>
        <v>0</v>
      </c>
      <c r="L74" s="28">
        <f>Option5!L$82*conv_2026*L$7</f>
        <v>0</v>
      </c>
      <c r="M74" s="28">
        <f>Option5!M$82*conv_2026*M$7</f>
        <v>0</v>
      </c>
      <c r="N74" s="28">
        <f>Option5!N$82*conv_2026*N$7</f>
        <v>0</v>
      </c>
      <c r="O74" s="28">
        <f>Option5!O$82*conv_2026*O$7</f>
        <v>0</v>
      </c>
      <c r="P74" s="28">
        <f>Option5!P$82*conv_2026*P$7</f>
        <v>0</v>
      </c>
      <c r="Q74" s="28">
        <f>Option5!Q$82*conv_2026*Q$7</f>
        <v>0</v>
      </c>
      <c r="R74" s="28">
        <f>Option5!R$82*conv_2026*R$7</f>
        <v>0</v>
      </c>
      <c r="S74" s="28">
        <f>Option5!S$82*conv_2026*S$7</f>
        <v>0</v>
      </c>
      <c r="T74" s="28">
        <f>Option5!T$82*conv_2026*T$7</f>
        <v>0</v>
      </c>
      <c r="U74" s="28">
        <f>Option5!U$82*conv_2026*U$7</f>
        <v>0</v>
      </c>
      <c r="V74" s="28">
        <f>Option5!V$82*conv_2026*V$7</f>
        <v>0</v>
      </c>
      <c r="W74" s="28">
        <f>Option5!W$82*conv_2026*W$7</f>
        <v>0</v>
      </c>
      <c r="X74" s="28">
        <f>Option5!X$82*conv_2026*X$7</f>
        <v>0</v>
      </c>
      <c r="Y74" s="28">
        <f>Option5!Y$82*conv_2026*Y$7</f>
        <v>0</v>
      </c>
      <c r="Z74" s="28">
        <f>Option5!Z$82*conv_2026*Z$7</f>
        <v>0</v>
      </c>
      <c r="AA74" s="28">
        <f>Option5!AA$82*conv_2026*AA$7</f>
        <v>0</v>
      </c>
      <c r="AB74" s="28">
        <f>Option5!AB$82*conv_2026*AB$7</f>
        <v>0</v>
      </c>
      <c r="AC74" s="28">
        <f>Option5!AC$82*conv_2026*AC$7</f>
        <v>0</v>
      </c>
      <c r="AD74" s="28">
        <f>Option5!AD$82*conv_2026*AD$7</f>
        <v>0</v>
      </c>
      <c r="AE74" s="28">
        <f>Option5!AE$82*conv_2026*AE$7</f>
        <v>0</v>
      </c>
      <c r="AF74" s="28">
        <f>Option5!AF$82*conv_2026*AF$7</f>
        <v>0</v>
      </c>
      <c r="AG74" s="28">
        <f>Option5!AG$82*conv_2026*AG$7</f>
        <v>0</v>
      </c>
    </row>
    <row r="75" spans="1:33" s="2" customFormat="1" x14ac:dyDescent="0.2">
      <c r="A75" s="116" t="str">
        <f t="shared" si="19"/>
        <v>Option 5</v>
      </c>
      <c r="B75" s="116"/>
      <c r="C75" s="52" t="str">
        <f>Option5!C$83</f>
        <v>Operating expenditure</v>
      </c>
      <c r="D75" s="34" t="str">
        <f t="shared" si="18"/>
        <v>Option 5Operating expenditure</v>
      </c>
      <c r="E75" s="1"/>
      <c r="F75" s="95" cm="1">
        <f t="array" ref="F75">SUMPRODUCT(($H75:$AG75)*($H$5:$AG$5)*($H$7:$AG$7))</f>
        <v>0</v>
      </c>
      <c r="G75" s="200">
        <f t="shared" si="20"/>
        <v>46203</v>
      </c>
      <c r="H75" s="28"/>
      <c r="I75" s="28">
        <f>Option5!I$83*conv_2026*I$7</f>
        <v>0</v>
      </c>
      <c r="J75" s="28">
        <f>Option5!J$83*conv_2026*J$7</f>
        <v>0</v>
      </c>
      <c r="K75" s="28">
        <f>Option5!K$83*conv_2026*K$7</f>
        <v>0</v>
      </c>
      <c r="L75" s="28">
        <f>Option5!L$83*conv_2026*L$7</f>
        <v>0</v>
      </c>
      <c r="M75" s="28">
        <f>Option5!M$83*conv_2026*M$7</f>
        <v>0</v>
      </c>
      <c r="N75" s="28">
        <f>Option5!N$83*conv_2026*N$7</f>
        <v>0</v>
      </c>
      <c r="O75" s="28">
        <f>Option5!O$83*conv_2026*O$7</f>
        <v>0</v>
      </c>
      <c r="P75" s="28">
        <f>Option5!P$83*conv_2026*P$7</f>
        <v>0</v>
      </c>
      <c r="Q75" s="28">
        <f>Option5!Q$83*conv_2026*Q$7</f>
        <v>0</v>
      </c>
      <c r="R75" s="28">
        <f>Option5!R$83*conv_2026*R$7</f>
        <v>0</v>
      </c>
      <c r="S75" s="28">
        <f>Option5!S$83*conv_2026*S$7</f>
        <v>0</v>
      </c>
      <c r="T75" s="28">
        <f>Option5!T$83*conv_2026*T$7</f>
        <v>0</v>
      </c>
      <c r="U75" s="28">
        <f>Option5!U$83*conv_2026*U$7</f>
        <v>0</v>
      </c>
      <c r="V75" s="28">
        <f>Option5!V$83*conv_2026*V$7</f>
        <v>0</v>
      </c>
      <c r="W75" s="28">
        <f>Option5!W$83*conv_2026*W$7</f>
        <v>0</v>
      </c>
      <c r="X75" s="28">
        <f>Option5!X$83*conv_2026*X$7</f>
        <v>0</v>
      </c>
      <c r="Y75" s="28">
        <f>Option5!Y$83*conv_2026*Y$7</f>
        <v>0</v>
      </c>
      <c r="Z75" s="28">
        <f>Option5!Z$83*conv_2026*Z$7</f>
        <v>0</v>
      </c>
      <c r="AA75" s="28">
        <f>Option5!AA$83*conv_2026*AA$7</f>
        <v>0</v>
      </c>
      <c r="AB75" s="28">
        <f>Option5!AB$83*conv_2026*AB$7</f>
        <v>0</v>
      </c>
      <c r="AC75" s="28">
        <f>Option5!AC$83*conv_2026*AC$7</f>
        <v>0</v>
      </c>
      <c r="AD75" s="28">
        <f>Option5!AD$83*conv_2026*AD$7</f>
        <v>0</v>
      </c>
      <c r="AE75" s="28">
        <f>Option5!AE$83*conv_2026*AE$7</f>
        <v>0</v>
      </c>
      <c r="AF75" s="28">
        <f>Option5!AF$83*conv_2026*AF$7</f>
        <v>0</v>
      </c>
      <c r="AG75" s="28">
        <f>Option5!AG$83*conv_2026*AG$7</f>
        <v>0</v>
      </c>
    </row>
    <row r="76" spans="1:33" s="2" customFormat="1" x14ac:dyDescent="0.2">
      <c r="A76" s="116" t="str">
        <f t="shared" si="19"/>
        <v>Option 5</v>
      </c>
      <c r="B76" s="116"/>
      <c r="C76" s="52" t="str">
        <f>Option5!C$84</f>
        <v>Risk mitigated</v>
      </c>
      <c r="D76" s="34" t="str">
        <f t="shared" si="18"/>
        <v>Option 5Risk mitigated</v>
      </c>
      <c r="E76" s="1"/>
      <c r="F76" s="84">
        <f>SUMPRODUCT($H76:$AG76, $H$5:$AG$5)</f>
        <v>0</v>
      </c>
      <c r="G76" s="200">
        <f t="shared" si="20"/>
        <v>46203</v>
      </c>
      <c r="H76" s="28"/>
      <c r="I76" s="28">
        <f>Option5!I$84*conv_2026*I$7</f>
        <v>0</v>
      </c>
      <c r="J76" s="28">
        <f>Option5!J$84*conv_2026*J$7</f>
        <v>0</v>
      </c>
      <c r="K76" s="28">
        <f>Option5!K$84*conv_2026*K$7</f>
        <v>0</v>
      </c>
      <c r="L76" s="28">
        <f>Option5!L$84*conv_2026*L$7</f>
        <v>0</v>
      </c>
      <c r="M76" s="28">
        <f>Option5!M$84*conv_2026*M$7</f>
        <v>0</v>
      </c>
      <c r="N76" s="28">
        <f>Option5!N$84*conv_2026*N$7</f>
        <v>0</v>
      </c>
      <c r="O76" s="28">
        <f>Option5!O$84*conv_2026*O$7</f>
        <v>0</v>
      </c>
      <c r="P76" s="28">
        <f>Option5!P$84*conv_2026*P$7</f>
        <v>0</v>
      </c>
      <c r="Q76" s="28">
        <f>Option5!Q$84*conv_2026*Q$7</f>
        <v>0</v>
      </c>
      <c r="R76" s="28">
        <f>Option5!R$84*conv_2026*R$7</f>
        <v>0</v>
      </c>
      <c r="S76" s="28">
        <f>Option5!S$84*conv_2026*S$7</f>
        <v>0</v>
      </c>
      <c r="T76" s="28">
        <f>Option5!T$84*conv_2026*T$7</f>
        <v>0</v>
      </c>
      <c r="U76" s="28">
        <f>Option5!U$84*conv_2026*U$7</f>
        <v>0</v>
      </c>
      <c r="V76" s="28">
        <f>Option5!V$84*conv_2026*V$7</f>
        <v>0</v>
      </c>
      <c r="W76" s="28">
        <f>Option5!W$84*conv_2026*W$7</f>
        <v>0</v>
      </c>
      <c r="X76" s="28">
        <f>Option5!X$84*conv_2026*X$7</f>
        <v>0</v>
      </c>
      <c r="Y76" s="28">
        <f>Option5!Y$84*conv_2026*Y$7</f>
        <v>0</v>
      </c>
      <c r="Z76" s="28">
        <f>Option5!Z$84*conv_2026*Z$7</f>
        <v>0</v>
      </c>
      <c r="AA76" s="28">
        <f>Option5!AA$84*conv_2026*AA$7</f>
        <v>0</v>
      </c>
      <c r="AB76" s="28">
        <f>Option5!AB$84*conv_2026*AB$7</f>
        <v>0</v>
      </c>
      <c r="AC76" s="28">
        <f>Option5!AC$84*conv_2026*AC$7</f>
        <v>0</v>
      </c>
      <c r="AD76" s="28">
        <f>Option5!AD$84*conv_2026*AD$7</f>
        <v>0</v>
      </c>
      <c r="AE76" s="28">
        <f>Option5!AE$84*conv_2026*AE$7</f>
        <v>0</v>
      </c>
      <c r="AF76" s="28">
        <f>Option5!AF$84*conv_2026*AF$7</f>
        <v>0</v>
      </c>
      <c r="AG76" s="28">
        <f>Option5!AG$84*conv_2026*AG$7</f>
        <v>0</v>
      </c>
    </row>
    <row r="77" spans="1:33" s="2" customFormat="1" x14ac:dyDescent="0.2">
      <c r="A77" s="116" t="str">
        <f t="shared" si="19"/>
        <v>Option 5</v>
      </c>
      <c r="B77" s="116"/>
      <c r="C77" s="52" t="str">
        <f>Option5!C$85</f>
        <v>Other benefits value</v>
      </c>
      <c r="D77" s="34" t="str">
        <f t="shared" si="18"/>
        <v>Option 5Other benefits value</v>
      </c>
      <c r="E77" s="1"/>
      <c r="F77" s="84">
        <f>SUMPRODUCT($H77:$AG77, $H$5:$AG$5)</f>
        <v>0</v>
      </c>
      <c r="G77" s="200">
        <f t="shared" si="20"/>
        <v>46203</v>
      </c>
      <c r="H77" s="28"/>
      <c r="I77" s="28">
        <f>Option5!I$85*conv_2026*I$7</f>
        <v>0</v>
      </c>
      <c r="J77" s="28">
        <f>Option5!J$85*conv_2026*J$7</f>
        <v>0</v>
      </c>
      <c r="K77" s="28">
        <f>Option5!K$85*conv_2026*K$7</f>
        <v>0</v>
      </c>
      <c r="L77" s="28">
        <f>Option5!L$85*conv_2026*L$7</f>
        <v>0</v>
      </c>
      <c r="M77" s="28">
        <f>Option5!M$85*conv_2026*M$7</f>
        <v>0</v>
      </c>
      <c r="N77" s="28">
        <f>Option5!N$85*conv_2026*N$7</f>
        <v>0</v>
      </c>
      <c r="O77" s="28">
        <f>Option5!O$85*conv_2026*O$7</f>
        <v>0</v>
      </c>
      <c r="P77" s="28">
        <f>Option5!P$85*conv_2026*P$7</f>
        <v>0</v>
      </c>
      <c r="Q77" s="28">
        <f>Option5!Q$85*conv_2026*Q$7</f>
        <v>0</v>
      </c>
      <c r="R77" s="28">
        <f>Option5!R$85*conv_2026*R$7</f>
        <v>0</v>
      </c>
      <c r="S77" s="28">
        <f>Option5!S$85*conv_2026*S$7</f>
        <v>0</v>
      </c>
      <c r="T77" s="28">
        <f>Option5!T$85*conv_2026*T$7</f>
        <v>0</v>
      </c>
      <c r="U77" s="28">
        <f>Option5!U$85*conv_2026*U$7</f>
        <v>0</v>
      </c>
      <c r="V77" s="28">
        <f>Option5!V$85*conv_2026*V$7</f>
        <v>0</v>
      </c>
      <c r="W77" s="28">
        <f>Option5!W$85*conv_2026*W$7</f>
        <v>0</v>
      </c>
      <c r="X77" s="28">
        <f>Option5!X$85*conv_2026*X$7</f>
        <v>0</v>
      </c>
      <c r="Y77" s="28">
        <f>Option5!Y$85*conv_2026*Y$7</f>
        <v>0</v>
      </c>
      <c r="Z77" s="28">
        <f>Option5!Z$85*conv_2026*Z$7</f>
        <v>0</v>
      </c>
      <c r="AA77" s="28">
        <f>Option5!AA$85*conv_2026*AA$7</f>
        <v>0</v>
      </c>
      <c r="AB77" s="28">
        <f>Option5!AB$85*conv_2026*AB$7</f>
        <v>0</v>
      </c>
      <c r="AC77" s="28">
        <f>Option5!AC$85*conv_2026*AC$7</f>
        <v>0</v>
      </c>
      <c r="AD77" s="28">
        <f>Option5!AD$85*conv_2026*AD$7</f>
        <v>0</v>
      </c>
      <c r="AE77" s="28">
        <f>Option5!AE$85*conv_2026*AE$7</f>
        <v>0</v>
      </c>
      <c r="AF77" s="28">
        <f>Option5!AF$85*conv_2026*AF$7</f>
        <v>0</v>
      </c>
      <c r="AG77" s="28">
        <f>Option5!AG$85*conv_2026*AG$7</f>
        <v>0</v>
      </c>
    </row>
    <row r="78" spans="1:33" s="2" customFormat="1" x14ac:dyDescent="0.2">
      <c r="A78" s="116" t="str">
        <f t="shared" si="19"/>
        <v>Option 5</v>
      </c>
      <c r="B78" s="116"/>
      <c r="C78" s="104" t="str">
        <f>Option5!C87</f>
        <v>Net benefits</v>
      </c>
      <c r="D78" s="96" t="str">
        <f t="shared" si="18"/>
        <v>Option 5Net benefits</v>
      </c>
      <c r="E78" s="97"/>
      <c r="F78" s="123"/>
      <c r="G78" s="202">
        <f t="shared" si="20"/>
        <v>46203</v>
      </c>
      <c r="H78" s="46"/>
      <c r="I78" s="46">
        <f t="shared" ref="I78:AB78" si="21">SUM(I74:I77)</f>
        <v>0</v>
      </c>
      <c r="J78" s="46">
        <f t="shared" si="21"/>
        <v>0</v>
      </c>
      <c r="K78" s="46">
        <f t="shared" si="21"/>
        <v>0</v>
      </c>
      <c r="L78" s="46">
        <f t="shared" si="21"/>
        <v>0</v>
      </c>
      <c r="M78" s="46">
        <f t="shared" si="21"/>
        <v>0</v>
      </c>
      <c r="N78" s="46">
        <f t="shared" si="21"/>
        <v>0</v>
      </c>
      <c r="O78" s="46">
        <f t="shared" si="21"/>
        <v>0</v>
      </c>
      <c r="P78" s="46">
        <f t="shared" si="21"/>
        <v>0</v>
      </c>
      <c r="Q78" s="46">
        <f t="shared" si="21"/>
        <v>0</v>
      </c>
      <c r="R78" s="46">
        <f t="shared" si="21"/>
        <v>0</v>
      </c>
      <c r="S78" s="46">
        <f t="shared" si="21"/>
        <v>0</v>
      </c>
      <c r="T78" s="46">
        <f t="shared" si="21"/>
        <v>0</v>
      </c>
      <c r="U78" s="46">
        <f t="shared" si="21"/>
        <v>0</v>
      </c>
      <c r="V78" s="46">
        <f t="shared" si="21"/>
        <v>0</v>
      </c>
      <c r="W78" s="46">
        <f t="shared" si="21"/>
        <v>0</v>
      </c>
      <c r="X78" s="46">
        <f t="shared" si="21"/>
        <v>0</v>
      </c>
      <c r="Y78" s="46">
        <f t="shared" si="21"/>
        <v>0</v>
      </c>
      <c r="Z78" s="46">
        <f t="shared" si="21"/>
        <v>0</v>
      </c>
      <c r="AA78" s="46">
        <f t="shared" si="21"/>
        <v>0</v>
      </c>
      <c r="AB78" s="46">
        <f t="shared" si="21"/>
        <v>0</v>
      </c>
      <c r="AC78" s="46">
        <f>SUM(AC74:AC77)</f>
        <v>0</v>
      </c>
      <c r="AD78" s="46">
        <f>SUM(AD74:AD77)</f>
        <v>0</v>
      </c>
      <c r="AE78" s="46">
        <f>SUM(AE74:AE77)</f>
        <v>0</v>
      </c>
      <c r="AF78" s="46">
        <f>SUM(AF74:AF77)</f>
        <v>0</v>
      </c>
      <c r="AG78" s="46">
        <f>SUM(AG74:AG77)</f>
        <v>0</v>
      </c>
    </row>
    <row r="79" spans="1:33" s="2" customFormat="1" x14ac:dyDescent="0.2">
      <c r="A79" s="116" t="str">
        <f t="shared" si="19"/>
        <v>Option 5</v>
      </c>
      <c r="B79" s="116"/>
      <c r="C79" s="6" t="s">
        <v>7</v>
      </c>
      <c r="D79" s="34" t="str">
        <f t="shared" si="18"/>
        <v>Option 5NPV</v>
      </c>
      <c r="E79" s="1"/>
      <c r="F79" s="95" cm="1">
        <f t="array" ref="F79">SUMPRODUCT(($H78:$AG78)*($H$5:$AG$5)*($H$7:$AG$7))</f>
        <v>0</v>
      </c>
      <c r="G79" s="200">
        <f t="shared" si="20"/>
        <v>46203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s="2" customFormat="1" x14ac:dyDescent="0.2">
      <c r="A80" s="116" t="str">
        <f t="shared" si="19"/>
        <v>Option 5</v>
      </c>
      <c r="B80" s="116"/>
      <c r="C80" s="6" t="s">
        <v>10</v>
      </c>
      <c r="D80" s="34" t="str">
        <f t="shared" si="18"/>
        <v>Option 5PV of costs</v>
      </c>
      <c r="E80" s="1"/>
      <c r="F80" s="95">
        <f>SUM(F74:F75)</f>
        <v>0</v>
      </c>
      <c r="G80" s="200">
        <f t="shared" si="20"/>
        <v>46203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s="2" customFormat="1" x14ac:dyDescent="0.2">
      <c r="A81" s="116" t="str">
        <f t="shared" si="19"/>
        <v>Option 5</v>
      </c>
      <c r="B81" s="116"/>
      <c r="C81" s="6" t="s">
        <v>11</v>
      </c>
      <c r="D81" s="34" t="str">
        <f t="shared" si="18"/>
        <v>Option 5PV of benefits</v>
      </c>
      <c r="E81" s="1"/>
      <c r="F81" s="95">
        <f>SUM(F76:F77)</f>
        <v>0</v>
      </c>
      <c r="G81" s="200">
        <f t="shared" si="20"/>
        <v>46203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s="2" customFormat="1" x14ac:dyDescent="0.2">
      <c r="A82" s="103"/>
      <c r="B82" s="103"/>
      <c r="C82" s="103"/>
      <c r="D82" s="34" t="str">
        <f>A82&amp;C82</f>
        <v/>
      </c>
      <c r="F82" s="7"/>
      <c r="G82" s="196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</row>
    <row r="83" spans="1:33" ht="12" x14ac:dyDescent="0.2">
      <c r="E83" s="74"/>
      <c r="G83" s="204"/>
    </row>
    <row r="84" spans="1:33" ht="12" x14ac:dyDescent="0.2">
      <c r="E84" s="74"/>
      <c r="G84" s="204"/>
    </row>
    <row r="85" spans="1:33" ht="12" x14ac:dyDescent="0.2">
      <c r="E85" s="74"/>
      <c r="G85" s="204"/>
    </row>
    <row r="86" spans="1:33" ht="12" x14ac:dyDescent="0.2">
      <c r="E86" s="74"/>
      <c r="G86" s="204"/>
    </row>
    <row r="87" spans="1:33" ht="12" x14ac:dyDescent="0.2">
      <c r="E87" s="8"/>
      <c r="G87" s="204"/>
    </row>
    <row r="88" spans="1:33" ht="15" x14ac:dyDescent="0.25">
      <c r="A88" s="178" t="s">
        <v>145</v>
      </c>
      <c r="B88" s="48"/>
      <c r="C88" s="17"/>
      <c r="D88" s="17"/>
      <c r="E88" s="73"/>
      <c r="F88" s="17"/>
      <c r="G88" s="198"/>
      <c r="H88" s="198"/>
      <c r="I88" s="177" t="str">
        <f>"FY"&amp;RIGHT(I$9,2)</f>
        <v>FY27</v>
      </c>
      <c r="J88" s="177" t="str">
        <f t="shared" ref="J88:AG88" si="22">"FY"&amp;RIGHT(J$9,2)</f>
        <v>FY28</v>
      </c>
      <c r="K88" s="177" t="str">
        <f t="shared" si="22"/>
        <v>FY29</v>
      </c>
      <c r="L88" s="177" t="str">
        <f t="shared" si="22"/>
        <v>FY30</v>
      </c>
      <c r="M88" s="177" t="str">
        <f t="shared" si="22"/>
        <v>FY31</v>
      </c>
      <c r="N88" s="177" t="str">
        <f t="shared" si="22"/>
        <v>FY32</v>
      </c>
      <c r="O88" s="177" t="str">
        <f t="shared" si="22"/>
        <v>FY33</v>
      </c>
      <c r="P88" s="177" t="str">
        <f t="shared" si="22"/>
        <v>FY34</v>
      </c>
      <c r="Q88" s="177" t="str">
        <f t="shared" si="22"/>
        <v>FY35</v>
      </c>
      <c r="R88" s="177" t="str">
        <f t="shared" si="22"/>
        <v>FY36</v>
      </c>
      <c r="S88" s="177" t="str">
        <f t="shared" si="22"/>
        <v>FY37</v>
      </c>
      <c r="T88" s="177" t="str">
        <f t="shared" si="22"/>
        <v>FY38</v>
      </c>
      <c r="U88" s="177" t="str">
        <f t="shared" si="22"/>
        <v>FY39</v>
      </c>
      <c r="V88" s="177" t="str">
        <f t="shared" si="22"/>
        <v>FY40</v>
      </c>
      <c r="W88" s="177" t="str">
        <f t="shared" si="22"/>
        <v>FY41</v>
      </c>
      <c r="X88" s="177" t="str">
        <f t="shared" si="22"/>
        <v>FY42</v>
      </c>
      <c r="Y88" s="177" t="str">
        <f t="shared" si="22"/>
        <v>FY43</v>
      </c>
      <c r="Z88" s="177" t="str">
        <f t="shared" si="22"/>
        <v>FY44</v>
      </c>
      <c r="AA88" s="177" t="str">
        <f t="shared" si="22"/>
        <v>FY45</v>
      </c>
      <c r="AB88" s="177" t="str">
        <f t="shared" si="22"/>
        <v>FY46</v>
      </c>
      <c r="AC88" s="177" t="str">
        <f t="shared" si="22"/>
        <v>FY47</v>
      </c>
      <c r="AD88" s="177" t="str">
        <f t="shared" si="22"/>
        <v>FY48</v>
      </c>
      <c r="AE88" s="177" t="str">
        <f t="shared" si="22"/>
        <v>FY49</v>
      </c>
      <c r="AF88" s="177" t="str">
        <f t="shared" si="22"/>
        <v>FY50</v>
      </c>
      <c r="AG88" s="177" t="str">
        <f t="shared" si="22"/>
        <v>FY51</v>
      </c>
    </row>
    <row r="89" spans="1:33" ht="12" x14ac:dyDescent="0.2">
      <c r="E89" s="74"/>
      <c r="G89" s="204"/>
    </row>
    <row r="90" spans="1:33" ht="12" x14ac:dyDescent="0.2">
      <c r="E90" s="74"/>
    </row>
    <row r="91" spans="1:33" x14ac:dyDescent="0.2">
      <c r="A91" s="176" t="str">
        <f>Summary!$C$26</f>
        <v>Option 2</v>
      </c>
      <c r="B91" s="119"/>
      <c r="C91" s="174" t="s">
        <v>128</v>
      </c>
      <c r="D91" s="7">
        <f>INDEX(Data!$C$30:$C$36, MATCH(C91, Data!$B$30:$B$36,0))</f>
        <v>-1</v>
      </c>
      <c r="E91" s="2"/>
      <c r="F91" s="7"/>
      <c r="G91" s="28"/>
      <c r="H91" s="28" t="str">
        <f>A91&amp;" "&amp;LOWER(C91)</f>
        <v>Option 2 annualised capex</v>
      </c>
      <c r="I91" s="92" cm="1">
        <f t="array" ref="I91">MAX($D91*INDEX(I$15:W$81, MATCH($A91&amp;$C91, $D$15:$D$81,0),))/mill_conv</f>
        <v>0.99117357502455716</v>
      </c>
      <c r="J91" s="92" cm="1">
        <f t="array" ref="J91">MAX($D91*INDEX(J$15:X$81, MATCH($A91&amp;$C91, $D$15:$D$81,0),))/mill_conv</f>
        <v>0.99117357502455716</v>
      </c>
      <c r="K91" s="92" cm="1">
        <f t="array" ref="K91">MAX($D91*INDEX(K$15:Y$81, MATCH($A91&amp;$C91, $D$15:$D$81,0),))/mill_conv</f>
        <v>0.99117357502455716</v>
      </c>
      <c r="L91" s="92" cm="1">
        <f t="array" ref="L91">MAX($D91*INDEX(L$15:Z$81, MATCH($A91&amp;$C91, $D$15:$D$81,0),))/mill_conv</f>
        <v>0.99117357502455716</v>
      </c>
      <c r="M91" s="92" cm="1">
        <f t="array" ref="M91">MAX($D91*INDEX(M$15:AA$81, MATCH($A91&amp;$C91, $D$15:$D$81,0),))/mill_conv</f>
        <v>0.99117357502455716</v>
      </c>
      <c r="N91" s="92" cm="1">
        <f t="array" ref="N91">MAX($D91*INDEX(N$15:AB$81, MATCH($A91&amp;$C91, $D$15:$D$81,0),))/mill_conv</f>
        <v>0.99117357502455716</v>
      </c>
      <c r="O91" s="92" cm="1">
        <f t="array" ref="O91">MAX($D91*INDEX(O$15:AC$81, MATCH($A91&amp;$C91, $D$15:$D$81,0),))/mill_conv</f>
        <v>0.99117357502455716</v>
      </c>
      <c r="P91" s="92" cm="1">
        <f t="array" ref="P91">MAX($D91*INDEX(P$15:AD$81, MATCH($A91&amp;$C91, $D$15:$D$81,0),))/mill_conv</f>
        <v>0.99117357502455716</v>
      </c>
      <c r="Q91" s="92" cm="1">
        <f t="array" ref="Q91">MAX($D91*INDEX(Q$15:AE$81, MATCH($A91&amp;$C91, $D$15:$D$81,0),))/mill_conv</f>
        <v>0.99117357502455716</v>
      </c>
      <c r="R91" s="92" cm="1">
        <f t="array" ref="R91">MAX($D91*INDEX(R$15:AF$81, MATCH($A91&amp;$C91, $D$15:$D$81,0),))/mill_conv</f>
        <v>0.99117357502455716</v>
      </c>
      <c r="S91" s="92" cm="1">
        <f t="array" ref="S91">MAX($D91*INDEX(S$15:AG$81, MATCH($A91&amp;$C91, $D$15:$D$81,0),))/mill_conv</f>
        <v>0.99117357502455716</v>
      </c>
      <c r="T91" s="92" cm="1">
        <f t="array" ref="T91">MAX($D91*INDEX(T$15:AH$81, MATCH($A91&amp;$C91, $D$15:$D$81,0),))/mill_conv</f>
        <v>0.99117357502455716</v>
      </c>
      <c r="U91" s="92" cm="1">
        <f t="array" ref="U91">MAX($D91*INDEX(U$15:AI$81, MATCH($A91&amp;$C91, $D$15:$D$81,0),))/mill_conv</f>
        <v>0.99117357502455716</v>
      </c>
      <c r="V91" s="92" cm="1">
        <f t="array" ref="V91">MAX($D91*INDEX(V$15:AJ$81, MATCH($A91&amp;$C91, $D$15:$D$81,0),))/mill_conv</f>
        <v>0.99117357502455716</v>
      </c>
      <c r="W91" s="92" cm="1">
        <f t="array" ref="W91">MAX($D91*INDEX(W$15:AK$81, MATCH($A91&amp;$C91, $D$15:$D$81,0),))/mill_conv</f>
        <v>0.99117357502455716</v>
      </c>
      <c r="X91" s="92" cm="1">
        <f t="array" ref="X91">MAX($D91*INDEX(X$15:AL$81, MATCH($A91&amp;$C91, $D$15:$D$81,0),))/mill_conv</f>
        <v>0.99117357502455716</v>
      </c>
      <c r="Y91" s="92" cm="1">
        <f t="array" ref="Y91">MAX($D91*INDEX(Y$15:AM$81, MATCH($A91&amp;$C91, $D$15:$D$81,0),))/mill_conv</f>
        <v>0.99117357502455716</v>
      </c>
      <c r="Z91" s="92" cm="1">
        <f t="array" ref="Z91">MAX($D91*INDEX(Z$15:AN$81, MATCH($A91&amp;$C91, $D$15:$D$81,0),))/mill_conv</f>
        <v>0.99117357502455716</v>
      </c>
      <c r="AA91" s="92" cm="1">
        <f t="array" ref="AA91">MAX($D91*INDEX(AA$15:AO$81, MATCH($A91&amp;$C91, $D$15:$D$81,0),))/mill_conv</f>
        <v>0.99117357502455716</v>
      </c>
      <c r="AB91" s="92" cm="1">
        <f t="array" ref="AB91">MAX($D91*INDEX(AB$15:AP$81, MATCH($A91&amp;$C91, $D$15:$D$81,0),))/mill_conv</f>
        <v>0.99117357502455716</v>
      </c>
      <c r="AC91" s="92" cm="1">
        <f t="array" ref="AC91">MAX($D91*INDEX(AC$15:AQ$81, MATCH($A91&amp;$C91, $D$15:$D$81,0),))/mill_conv</f>
        <v>0.99117357502455716</v>
      </c>
      <c r="AD91" s="92" cm="1">
        <f t="array" ref="AD91">MAX($D91*INDEX(AD$15:AR$81, MATCH($A91&amp;$C91, $D$15:$D$81,0),))/mill_conv</f>
        <v>0.99117357502455716</v>
      </c>
      <c r="AE91" s="92" cm="1">
        <f t="array" ref="AE91">MAX($D91*INDEX(AE$15:AS$81, MATCH($A91&amp;$C91, $D$15:$D$81,0),))/mill_conv</f>
        <v>0.99117357502455716</v>
      </c>
      <c r="AF91" s="92" cm="1">
        <f t="array" ref="AF91">MAX($D91*INDEX(AF$15:AT$81, MATCH($A91&amp;$C91, $D$15:$D$81,0),))/mill_conv</f>
        <v>0</v>
      </c>
      <c r="AG91" s="92" cm="1">
        <f t="array" ref="AG91">MAX($D91*INDEX(AG$15:AU$81, MATCH($A91&amp;$C91, $D$15:$D$81,0),))/mill_conv</f>
        <v>0</v>
      </c>
    </row>
    <row r="92" spans="1:33" x14ac:dyDescent="0.2">
      <c r="A92" s="175" t="str">
        <f>A16</f>
        <v>Option 1 (base case)</v>
      </c>
      <c r="B92" s="119"/>
      <c r="C92" s="175" t="s">
        <v>5</v>
      </c>
      <c r="D92" s="7">
        <f>INDEX(Data!$C$30:$C$36, MATCH(C92, Data!$B$30:$B$36,0))</f>
        <v>1</v>
      </c>
      <c r="E92" s="74"/>
      <c r="H92" s="28" t="str">
        <f>A92&amp;" risk cost"</f>
        <v>Option 1 (base case) risk cost</v>
      </c>
      <c r="I92" s="92">
        <f t="shared" ref="I92:R92" si="23">$D92*INDEX(I$15:I$81, MATCH($A92&amp;$C92, $D$15:$D$81,0))/mill_conv</f>
        <v>3.2722727145519594</v>
      </c>
      <c r="J92" s="92">
        <f t="shared" si="23"/>
        <v>3.2722727145519594</v>
      </c>
      <c r="K92" s="92">
        <f t="shared" si="23"/>
        <v>3.2722727145519594</v>
      </c>
      <c r="L92" s="92">
        <f t="shared" si="23"/>
        <v>3.2722727145519594</v>
      </c>
      <c r="M92" s="92">
        <f t="shared" si="23"/>
        <v>3.2722727145519594</v>
      </c>
      <c r="N92" s="92">
        <f t="shared" si="23"/>
        <v>3.2722727145519594</v>
      </c>
      <c r="O92" s="92">
        <f t="shared" si="23"/>
        <v>3.2722727145519594</v>
      </c>
      <c r="P92" s="92">
        <f t="shared" si="23"/>
        <v>3.2722727145519594</v>
      </c>
      <c r="Q92" s="92">
        <f t="shared" si="23"/>
        <v>3.2722727145519594</v>
      </c>
      <c r="R92" s="92">
        <f t="shared" si="23"/>
        <v>3.2722727145519594</v>
      </c>
      <c r="S92" s="92">
        <f t="shared" ref="S92:AG92" si="24">$D92*INDEX(S$15:S$81, MATCH($A92&amp;$C92, $D$15:$D$81,0))/mill_conv</f>
        <v>3.2722727145519594</v>
      </c>
      <c r="T92" s="92">
        <f t="shared" si="24"/>
        <v>3.2722727145519594</v>
      </c>
      <c r="U92" s="92">
        <f t="shared" si="24"/>
        <v>3.2722727145519594</v>
      </c>
      <c r="V92" s="92">
        <f t="shared" si="24"/>
        <v>3.2722727145519594</v>
      </c>
      <c r="W92" s="92">
        <f t="shared" si="24"/>
        <v>3.2722727145519594</v>
      </c>
      <c r="X92" s="92">
        <f t="shared" si="24"/>
        <v>3.2722727145519594</v>
      </c>
      <c r="Y92" s="92">
        <f t="shared" si="24"/>
        <v>3.2722727145519594</v>
      </c>
      <c r="Z92" s="92">
        <f t="shared" si="24"/>
        <v>3.2722727145519594</v>
      </c>
      <c r="AA92" s="92">
        <f t="shared" si="24"/>
        <v>3.2722727145519594</v>
      </c>
      <c r="AB92" s="92">
        <f t="shared" si="24"/>
        <v>3.2722727145519594</v>
      </c>
      <c r="AC92" s="92">
        <f t="shared" si="24"/>
        <v>3.2722727145519594</v>
      </c>
      <c r="AD92" s="92">
        <f t="shared" si="24"/>
        <v>3.2722727145519594</v>
      </c>
      <c r="AE92" s="92">
        <f t="shared" si="24"/>
        <v>3.2722727145519594</v>
      </c>
      <c r="AF92" s="92">
        <f t="shared" si="24"/>
        <v>3.2722727145519594</v>
      </c>
      <c r="AG92" s="92">
        <f t="shared" si="24"/>
        <v>3.2722727145519594</v>
      </c>
    </row>
    <row r="93" spans="1:33" ht="12" x14ac:dyDescent="0.2">
      <c r="E93" s="74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0"/>
      <c r="V93" s="130"/>
      <c r="W93" s="130"/>
      <c r="X93" s="130"/>
      <c r="Y93" s="130"/>
      <c r="Z93" s="130"/>
      <c r="AA93" s="130"/>
      <c r="AB93" s="130"/>
      <c r="AC93" s="130"/>
      <c r="AD93" s="130"/>
      <c r="AE93" s="130"/>
      <c r="AF93" s="130"/>
      <c r="AG93" s="130"/>
    </row>
    <row r="94" spans="1:33" ht="12" x14ac:dyDescent="0.2">
      <c r="E94" s="74"/>
    </row>
    <row r="95" spans="1:33" ht="12" x14ac:dyDescent="0.2">
      <c r="E95" s="74"/>
    </row>
    <row r="96" spans="1:33" ht="12" x14ac:dyDescent="0.2">
      <c r="E96" s="74"/>
    </row>
    <row r="97" spans="1:33" ht="12" x14ac:dyDescent="0.2">
      <c r="E97" s="74"/>
      <c r="I97" s="251" t="str">
        <f>I88</f>
        <v>FY27</v>
      </c>
      <c r="J97" s="251" t="str">
        <f t="shared" ref="J97:AG97" si="25">J88</f>
        <v>FY28</v>
      </c>
      <c r="K97" s="251" t="str">
        <f t="shared" si="25"/>
        <v>FY29</v>
      </c>
      <c r="L97" s="251" t="str">
        <f t="shared" si="25"/>
        <v>FY30</v>
      </c>
      <c r="M97" s="251" t="str">
        <f t="shared" si="25"/>
        <v>FY31</v>
      </c>
      <c r="N97" s="251" t="str">
        <f t="shared" si="25"/>
        <v>FY32</v>
      </c>
      <c r="O97" s="251" t="str">
        <f t="shared" si="25"/>
        <v>FY33</v>
      </c>
      <c r="P97" s="251" t="str">
        <f t="shared" si="25"/>
        <v>FY34</v>
      </c>
      <c r="Q97" s="251" t="str">
        <f t="shared" si="25"/>
        <v>FY35</v>
      </c>
      <c r="R97" s="251" t="str">
        <f t="shared" si="25"/>
        <v>FY36</v>
      </c>
      <c r="S97" s="251" t="str">
        <f t="shared" si="25"/>
        <v>FY37</v>
      </c>
      <c r="T97" s="251" t="str">
        <f t="shared" si="25"/>
        <v>FY38</v>
      </c>
      <c r="U97" s="251" t="str">
        <f t="shared" si="25"/>
        <v>FY39</v>
      </c>
      <c r="V97" s="251" t="str">
        <f t="shared" si="25"/>
        <v>FY40</v>
      </c>
      <c r="W97" s="251" t="str">
        <f t="shared" si="25"/>
        <v>FY41</v>
      </c>
      <c r="X97" s="251" t="str">
        <f t="shared" si="25"/>
        <v>FY42</v>
      </c>
      <c r="Y97" s="251" t="str">
        <f t="shared" si="25"/>
        <v>FY43</v>
      </c>
      <c r="Z97" s="251" t="str">
        <f t="shared" si="25"/>
        <v>FY44</v>
      </c>
      <c r="AA97" s="251" t="str">
        <f t="shared" si="25"/>
        <v>FY45</v>
      </c>
      <c r="AB97" s="251" t="str">
        <f t="shared" si="25"/>
        <v>FY46</v>
      </c>
      <c r="AC97" s="251" t="str">
        <f t="shared" si="25"/>
        <v>FY47</v>
      </c>
      <c r="AD97" s="251" t="str">
        <f t="shared" si="25"/>
        <v>FY48</v>
      </c>
      <c r="AE97" s="251" t="str">
        <f t="shared" si="25"/>
        <v>FY49</v>
      </c>
      <c r="AF97" s="251" t="str">
        <f t="shared" si="25"/>
        <v>FY50</v>
      </c>
      <c r="AG97" s="251" t="str">
        <f t="shared" si="25"/>
        <v>FY51</v>
      </c>
    </row>
    <row r="98" spans="1:33" x14ac:dyDescent="0.2">
      <c r="A98" s="176" t="s">
        <v>146</v>
      </c>
      <c r="B98" s="119"/>
      <c r="C98" s="174" t="s">
        <v>98</v>
      </c>
      <c r="D98" s="168">
        <f>MAX(H98:AG98)</f>
        <v>0</v>
      </c>
      <c r="E98" s="250"/>
      <c r="F98" s="7"/>
      <c r="G98" s="28"/>
      <c r="H98" s="28" t="str">
        <f>A98&amp;" "&amp;LOWER(C98)</f>
        <v>Energy at risk energy at risk (weighted)</v>
      </c>
      <c r="I98" s="28">
        <f>INDEX('Option1 (base case)'!I$14:I$87, MATCH($C98, 'Option1 (base case)'!$C$14:$C$87,0))</f>
        <v>0</v>
      </c>
      <c r="J98" s="28">
        <f>INDEX('Option1 (base case)'!J$14:J$87, MATCH($C98, 'Option1 (base case)'!$C$14:$C$87,0))</f>
        <v>0</v>
      </c>
      <c r="K98" s="28">
        <f>INDEX('Option1 (base case)'!K$14:K$87, MATCH($C98, 'Option1 (base case)'!$C$14:$C$87,0))</f>
        <v>0</v>
      </c>
      <c r="L98" s="28">
        <f>INDEX('Option1 (base case)'!L$14:L$87, MATCH($C98, 'Option1 (base case)'!$C$14:$C$87,0))</f>
        <v>0</v>
      </c>
      <c r="M98" s="28">
        <f>INDEX('Option1 (base case)'!M$14:M$87, MATCH($C98, 'Option1 (base case)'!$C$14:$C$87,0))</f>
        <v>0</v>
      </c>
      <c r="N98" s="28">
        <f>INDEX('Option1 (base case)'!N$14:N$87, MATCH($C98, 'Option1 (base case)'!$C$14:$C$87,0))</f>
        <v>0</v>
      </c>
      <c r="O98" s="28">
        <f>INDEX('Option1 (base case)'!O$14:O$87, MATCH($C98, 'Option1 (base case)'!$C$14:$C$87,0))</f>
        <v>0</v>
      </c>
      <c r="P98" s="28">
        <f>INDEX('Option1 (base case)'!P$14:P$87, MATCH($C98, 'Option1 (base case)'!$C$14:$C$87,0))</f>
        <v>0</v>
      </c>
      <c r="Q98" s="28">
        <f>INDEX('Option1 (base case)'!Q$14:Q$87, MATCH($C98, 'Option1 (base case)'!$C$14:$C$87,0))</f>
        <v>0</v>
      </c>
      <c r="R98" s="28">
        <f>INDEX('Option1 (base case)'!R$14:R$87, MATCH($C98, 'Option1 (base case)'!$C$14:$C$87,0))</f>
        <v>0</v>
      </c>
      <c r="S98" s="28">
        <f>INDEX('Option1 (base case)'!S$14:S$87, MATCH($C98, 'Option1 (base case)'!$C$14:$C$87,0))</f>
        <v>0</v>
      </c>
      <c r="T98" s="28">
        <f>INDEX('Option1 (base case)'!T$14:T$87, MATCH($C98, 'Option1 (base case)'!$C$14:$C$87,0))</f>
        <v>0</v>
      </c>
      <c r="U98" s="28">
        <f>INDEX('Option1 (base case)'!U$14:U$87, MATCH($C98, 'Option1 (base case)'!$C$14:$C$87,0))</f>
        <v>0</v>
      </c>
      <c r="V98" s="28">
        <f>INDEX('Option1 (base case)'!V$14:V$87, MATCH($C98, 'Option1 (base case)'!$C$14:$C$87,0))</f>
        <v>0</v>
      </c>
      <c r="W98" s="28">
        <f>INDEX('Option1 (base case)'!W$14:W$87, MATCH($C98, 'Option1 (base case)'!$C$14:$C$87,0))</f>
        <v>0</v>
      </c>
      <c r="X98" s="28">
        <f>INDEX('Option1 (base case)'!X$14:X$87, MATCH($C98, 'Option1 (base case)'!$C$14:$C$87,0))</f>
        <v>0</v>
      </c>
      <c r="Y98" s="28">
        <f>INDEX('Option1 (base case)'!Y$14:Y$87, MATCH($C98, 'Option1 (base case)'!$C$14:$C$87,0))</f>
        <v>0</v>
      </c>
      <c r="Z98" s="28">
        <f>INDEX('Option1 (base case)'!Z$14:Z$87, MATCH($C98, 'Option1 (base case)'!$C$14:$C$87,0))</f>
        <v>0</v>
      </c>
      <c r="AA98" s="28">
        <f>INDEX('Option1 (base case)'!AA$14:AA$87, MATCH($C98, 'Option1 (base case)'!$C$14:$C$87,0))</f>
        <v>0</v>
      </c>
      <c r="AB98" s="28">
        <f>INDEX('Option1 (base case)'!AB$14:AB$87, MATCH($C98, 'Option1 (base case)'!$C$14:$C$87,0))</f>
        <v>0</v>
      </c>
      <c r="AC98" s="28">
        <f>INDEX('Option1 (base case)'!AC$14:AC$87, MATCH($C98, 'Option1 (base case)'!$C$14:$C$87,0))</f>
        <v>0</v>
      </c>
      <c r="AD98" s="28">
        <f>INDEX('Option1 (base case)'!AD$14:AD$87, MATCH($C98, 'Option1 (base case)'!$C$14:$C$87,0))</f>
        <v>0</v>
      </c>
      <c r="AE98" s="28">
        <f>INDEX('Option1 (base case)'!AE$14:AE$87, MATCH($C98, 'Option1 (base case)'!$C$14:$C$87,0))</f>
        <v>0</v>
      </c>
      <c r="AF98" s="28">
        <f>INDEX('Option1 (base case)'!AF$14:AF$87, MATCH($C98, 'Option1 (base case)'!$C$14:$C$87,0))</f>
        <v>0</v>
      </c>
      <c r="AG98" s="28">
        <f>INDEX('Option1 (base case)'!AG$14:AG$87, MATCH($C98, 'Option1 (base case)'!$C$14:$C$87,0))</f>
        <v>0</v>
      </c>
    </row>
    <row r="99" spans="1:33" x14ac:dyDescent="0.2">
      <c r="A99" s="175" t="str">
        <f>A23</f>
        <v>Option 1 (base case)</v>
      </c>
      <c r="B99" s="119"/>
      <c r="C99" s="175" t="s">
        <v>100</v>
      </c>
      <c r="D99" s="168">
        <f>MAX(H99:AG99)</f>
        <v>0</v>
      </c>
      <c r="E99" s="250"/>
      <c r="H99" s="28" t="str">
        <f>A99&amp;" risk cost"</f>
        <v>Option 1 (base case) risk cost</v>
      </c>
      <c r="I99" s="28">
        <f>INDEX('Option1 (base case)'!I$14:I$87, MATCH($C99, 'Option1 (base case)'!$C$14:$C$87,0))/10^6</f>
        <v>0</v>
      </c>
      <c r="J99" s="28">
        <f>INDEX('Option1 (base case)'!J$14:J$87, MATCH($C99, 'Option1 (base case)'!$C$14:$C$87,0))/10^6</f>
        <v>0</v>
      </c>
      <c r="K99" s="28">
        <f>INDEX('Option1 (base case)'!K$14:K$87, MATCH($C99, 'Option1 (base case)'!$C$14:$C$87,0))/10^6</f>
        <v>0</v>
      </c>
      <c r="L99" s="28">
        <f>INDEX('Option1 (base case)'!L$14:L$87, MATCH($C99, 'Option1 (base case)'!$C$14:$C$87,0))/10^6</f>
        <v>0</v>
      </c>
      <c r="M99" s="28">
        <f>INDEX('Option1 (base case)'!M$14:M$87, MATCH($C99, 'Option1 (base case)'!$C$14:$C$87,0))/10^6</f>
        <v>0</v>
      </c>
      <c r="N99" s="28">
        <f>INDEX('Option1 (base case)'!N$14:N$87, MATCH($C99, 'Option1 (base case)'!$C$14:$C$87,0))/10^6</f>
        <v>0</v>
      </c>
      <c r="O99" s="28">
        <f>INDEX('Option1 (base case)'!O$14:O$87, MATCH($C99, 'Option1 (base case)'!$C$14:$C$87,0))/10^6</f>
        <v>0</v>
      </c>
      <c r="P99" s="28">
        <f>INDEX('Option1 (base case)'!P$14:P$87, MATCH($C99, 'Option1 (base case)'!$C$14:$C$87,0))/10^6</f>
        <v>0</v>
      </c>
      <c r="Q99" s="28">
        <f>INDEX('Option1 (base case)'!Q$14:Q$87, MATCH($C99, 'Option1 (base case)'!$C$14:$C$87,0))/10^6</f>
        <v>0</v>
      </c>
      <c r="R99" s="28">
        <f>INDEX('Option1 (base case)'!R$14:R$87, MATCH($C99, 'Option1 (base case)'!$C$14:$C$87,0))/10^6</f>
        <v>0</v>
      </c>
      <c r="S99" s="28">
        <f>INDEX('Option1 (base case)'!S$14:S$87, MATCH($C99, 'Option1 (base case)'!$C$14:$C$87,0))/10^6</f>
        <v>0</v>
      </c>
      <c r="T99" s="28">
        <f>INDEX('Option1 (base case)'!T$14:T$87, MATCH($C99, 'Option1 (base case)'!$C$14:$C$87,0))/10^6</f>
        <v>0</v>
      </c>
      <c r="U99" s="28">
        <f>INDEX('Option1 (base case)'!U$14:U$87, MATCH($C99, 'Option1 (base case)'!$C$14:$C$87,0))/10^6</f>
        <v>0</v>
      </c>
      <c r="V99" s="28">
        <f>INDEX('Option1 (base case)'!V$14:V$87, MATCH($C99, 'Option1 (base case)'!$C$14:$C$87,0))/10^6</f>
        <v>0</v>
      </c>
      <c r="W99" s="28">
        <f>INDEX('Option1 (base case)'!W$14:W$87, MATCH($C99, 'Option1 (base case)'!$C$14:$C$87,0))/10^6</f>
        <v>0</v>
      </c>
      <c r="X99" s="28">
        <f>INDEX('Option1 (base case)'!X$14:X$87, MATCH($C99, 'Option1 (base case)'!$C$14:$C$87,0))/10^6</f>
        <v>0</v>
      </c>
      <c r="Y99" s="28">
        <f>INDEX('Option1 (base case)'!Y$14:Y$87, MATCH($C99, 'Option1 (base case)'!$C$14:$C$87,0))/10^6</f>
        <v>0</v>
      </c>
      <c r="Z99" s="28">
        <f>INDEX('Option1 (base case)'!Z$14:Z$87, MATCH($C99, 'Option1 (base case)'!$C$14:$C$87,0))/10^6</f>
        <v>0</v>
      </c>
      <c r="AA99" s="28">
        <f>INDEX('Option1 (base case)'!AA$14:AA$87, MATCH($C99, 'Option1 (base case)'!$C$14:$C$87,0))/10^6</f>
        <v>0</v>
      </c>
      <c r="AB99" s="28">
        <f>INDEX('Option1 (base case)'!AB$14:AB$87, MATCH($C99, 'Option1 (base case)'!$C$14:$C$87,0))/10^6</f>
        <v>0</v>
      </c>
      <c r="AC99" s="28">
        <f>INDEX('Option1 (base case)'!AC$14:AC$87, MATCH($C99, 'Option1 (base case)'!$C$14:$C$87,0))/10^6</f>
        <v>0</v>
      </c>
      <c r="AD99" s="28">
        <f>INDEX('Option1 (base case)'!AD$14:AD$87, MATCH($C99, 'Option1 (base case)'!$C$14:$C$87,0))/10^6</f>
        <v>0</v>
      </c>
      <c r="AE99" s="28">
        <f>INDEX('Option1 (base case)'!AE$14:AE$87, MATCH($C99, 'Option1 (base case)'!$C$14:$C$87,0))/10^6</f>
        <v>0</v>
      </c>
      <c r="AF99" s="28">
        <f>INDEX('Option1 (base case)'!AF$14:AF$87, MATCH($C99, 'Option1 (base case)'!$C$14:$C$87,0))/10^6</f>
        <v>0</v>
      </c>
      <c r="AG99" s="28">
        <f>INDEX('Option1 (base case)'!AG$14:AG$87, MATCH($C99, 'Option1 (base case)'!$C$14:$C$87,0))/10^6</f>
        <v>0</v>
      </c>
    </row>
    <row r="100" spans="1:33" ht="12" x14ac:dyDescent="0.2">
      <c r="E100" s="8"/>
    </row>
    <row r="101" spans="1:33" s="252" customFormat="1" ht="12" x14ac:dyDescent="0.2"/>
    <row r="102" spans="1:33" ht="12" x14ac:dyDescent="0.2">
      <c r="E102" s="8"/>
    </row>
    <row r="103" spans="1:33" ht="12" x14ac:dyDescent="0.2">
      <c r="E103" s="8"/>
      <c r="I103" s="252"/>
    </row>
    <row r="104" spans="1:33" ht="12" x14ac:dyDescent="0.2">
      <c r="E104" s="8"/>
      <c r="H104" s="130"/>
    </row>
    <row r="105" spans="1:33" ht="12" x14ac:dyDescent="0.2">
      <c r="E105" s="8"/>
      <c r="H105" s="130"/>
    </row>
    <row r="106" spans="1:33" ht="12" x14ac:dyDescent="0.2">
      <c r="D106" s="168"/>
      <c r="E106" s="8"/>
    </row>
    <row r="107" spans="1:33" ht="12" x14ac:dyDescent="0.2">
      <c r="D107" s="168"/>
      <c r="E107" s="8"/>
    </row>
    <row r="108" spans="1:33" ht="12" x14ac:dyDescent="0.2">
      <c r="D108" s="168"/>
      <c r="E108" s="74"/>
    </row>
    <row r="109" spans="1:33" ht="12" x14ac:dyDescent="0.2">
      <c r="C109" s="103"/>
      <c r="D109" s="168"/>
      <c r="E109" s="168"/>
    </row>
    <row r="110" spans="1:33" ht="12" x14ac:dyDescent="0.2">
      <c r="D110" s="168"/>
      <c r="E110" s="74"/>
    </row>
    <row r="111" spans="1:33" ht="12" x14ac:dyDescent="0.2">
      <c r="D111" s="168"/>
      <c r="E111" s="74"/>
    </row>
    <row r="112" spans="1:33" ht="12" x14ac:dyDescent="0.2">
      <c r="D112" s="168"/>
      <c r="E112" s="74"/>
    </row>
    <row r="113" spans="4:5" ht="12" x14ac:dyDescent="0.2">
      <c r="D113" s="168"/>
      <c r="E113" s="74"/>
    </row>
    <row r="114" spans="4:5" ht="12" x14ac:dyDescent="0.2">
      <c r="D114" s="168"/>
      <c r="E114" s="74"/>
    </row>
    <row r="115" spans="4:5" ht="12" x14ac:dyDescent="0.2">
      <c r="D115" s="168"/>
      <c r="E115" s="74"/>
    </row>
    <row r="116" spans="4:5" ht="12" x14ac:dyDescent="0.2">
      <c r="D116" s="168"/>
      <c r="E116" s="74"/>
    </row>
    <row r="117" spans="4:5" ht="12" x14ac:dyDescent="0.2">
      <c r="D117" s="168"/>
      <c r="E117" s="74"/>
    </row>
    <row r="118" spans="4:5" ht="12" x14ac:dyDescent="0.2">
      <c r="D118" s="168"/>
      <c r="E118" s="74"/>
    </row>
    <row r="119" spans="4:5" ht="12" x14ac:dyDescent="0.2">
      <c r="D119" s="168"/>
      <c r="E119" s="74"/>
    </row>
    <row r="120" spans="4:5" ht="12" x14ac:dyDescent="0.2">
      <c r="D120" s="168"/>
      <c r="E120" s="74"/>
    </row>
    <row r="121" spans="4:5" ht="12" x14ac:dyDescent="0.2">
      <c r="D121" s="168"/>
      <c r="E121" s="74"/>
    </row>
    <row r="122" spans="4:5" ht="12" x14ac:dyDescent="0.2">
      <c r="D122" s="168"/>
      <c r="E122" s="74"/>
    </row>
    <row r="123" spans="4:5" ht="12" x14ac:dyDescent="0.2">
      <c r="D123" s="168"/>
      <c r="E123" s="74"/>
    </row>
    <row r="124" spans="4:5" ht="12" x14ac:dyDescent="0.2">
      <c r="D124" s="168"/>
      <c r="E124" s="74"/>
    </row>
    <row r="125" spans="4:5" ht="12" x14ac:dyDescent="0.2">
      <c r="D125" s="168"/>
      <c r="E125" s="74"/>
    </row>
    <row r="126" spans="4:5" ht="12" x14ac:dyDescent="0.2">
      <c r="D126" s="168"/>
      <c r="E126" s="74"/>
    </row>
    <row r="127" spans="4:5" ht="12" x14ac:dyDescent="0.2">
      <c r="D127" s="168"/>
      <c r="E127" s="74"/>
    </row>
    <row r="128" spans="4:5" ht="12" x14ac:dyDescent="0.2">
      <c r="D128" s="168"/>
      <c r="E128" s="74"/>
    </row>
    <row r="129" spans="4:5" ht="12" x14ac:dyDescent="0.2">
      <c r="D129" s="168"/>
      <c r="E129" s="74"/>
    </row>
    <row r="130" spans="4:5" ht="12" x14ac:dyDescent="0.2">
      <c r="D130" s="168"/>
      <c r="E130" s="74"/>
    </row>
    <row r="131" spans="4:5" ht="12" x14ac:dyDescent="0.2">
      <c r="D131" s="168"/>
      <c r="E131" s="74"/>
    </row>
    <row r="132" spans="4:5" ht="12" x14ac:dyDescent="0.2">
      <c r="D132" s="168"/>
      <c r="E132" s="74"/>
    </row>
    <row r="133" spans="4:5" ht="12" x14ac:dyDescent="0.2">
      <c r="D133" s="168"/>
      <c r="E133" s="74"/>
    </row>
    <row r="134" spans="4:5" ht="12" x14ac:dyDescent="0.2">
      <c r="D134" s="168"/>
      <c r="E134" s="74"/>
    </row>
    <row r="135" spans="4:5" ht="12" x14ac:dyDescent="0.2">
      <c r="D135" s="168"/>
      <c r="E135" s="74"/>
    </row>
    <row r="136" spans="4:5" ht="12" x14ac:dyDescent="0.2">
      <c r="D136" s="168"/>
      <c r="E136" s="74"/>
    </row>
    <row r="137" spans="4:5" ht="12" x14ac:dyDescent="0.2">
      <c r="D137" s="168"/>
      <c r="E137" s="74"/>
    </row>
    <row r="138" spans="4:5" ht="12" x14ac:dyDescent="0.2">
      <c r="E138" s="74"/>
    </row>
    <row r="139" spans="4:5" ht="12" x14ac:dyDescent="0.2">
      <c r="E139" s="74"/>
    </row>
    <row r="140" spans="4:5" ht="12" x14ac:dyDescent="0.2">
      <c r="E140" s="74"/>
    </row>
    <row r="141" spans="4:5" ht="12" x14ac:dyDescent="0.2">
      <c r="E141" s="74"/>
    </row>
    <row r="142" spans="4:5" ht="12" x14ac:dyDescent="0.2">
      <c r="E142" s="74"/>
    </row>
    <row r="143" spans="4:5" ht="12" x14ac:dyDescent="0.2">
      <c r="E143" s="74"/>
    </row>
    <row r="144" spans="4:5" ht="12" x14ac:dyDescent="0.2">
      <c r="E144" s="74"/>
    </row>
    <row r="145" spans="5:5" ht="12" x14ac:dyDescent="0.2">
      <c r="E145" s="74"/>
    </row>
    <row r="146" spans="5:5" ht="12" x14ac:dyDescent="0.2">
      <c r="E146" s="74"/>
    </row>
    <row r="147" spans="5:5" ht="12" x14ac:dyDescent="0.2">
      <c r="E147" s="74"/>
    </row>
    <row r="148" spans="5:5" ht="12" x14ac:dyDescent="0.2">
      <c r="E148" s="74"/>
    </row>
    <row r="149" spans="5:5" ht="12" x14ac:dyDescent="0.2">
      <c r="E149" s="74"/>
    </row>
    <row r="150" spans="5:5" ht="12" x14ac:dyDescent="0.2">
      <c r="E150" s="74"/>
    </row>
    <row r="151" spans="5:5" ht="12" x14ac:dyDescent="0.2">
      <c r="E151" s="74"/>
    </row>
    <row r="152" spans="5:5" ht="12" x14ac:dyDescent="0.2">
      <c r="E152" s="74"/>
    </row>
    <row r="153" spans="5:5" ht="12" x14ac:dyDescent="0.2">
      <c r="E153" s="74"/>
    </row>
    <row r="154" spans="5:5" ht="12" x14ac:dyDescent="0.2">
      <c r="E154" s="74"/>
    </row>
    <row r="155" spans="5:5" ht="12" x14ac:dyDescent="0.2">
      <c r="E155" s="74"/>
    </row>
    <row r="156" spans="5:5" ht="12" x14ac:dyDescent="0.2">
      <c r="E156" s="74"/>
    </row>
    <row r="157" spans="5:5" ht="12" x14ac:dyDescent="0.2">
      <c r="E157" s="74"/>
    </row>
    <row r="158" spans="5:5" ht="12" x14ac:dyDescent="0.2">
      <c r="E158" s="74"/>
    </row>
    <row r="159" spans="5:5" ht="12" x14ac:dyDescent="0.2">
      <c r="E159" s="74"/>
    </row>
    <row r="160" spans="5:5" ht="12" x14ac:dyDescent="0.2">
      <c r="E160" s="74"/>
    </row>
    <row r="161" spans="5:5" ht="12" x14ac:dyDescent="0.2">
      <c r="E161" s="74"/>
    </row>
    <row r="162" spans="5:5" ht="12" x14ac:dyDescent="0.2">
      <c r="E162" s="74"/>
    </row>
    <row r="163" spans="5:5" ht="12" x14ac:dyDescent="0.2">
      <c r="E163" s="74"/>
    </row>
    <row r="164" spans="5:5" ht="12" x14ac:dyDescent="0.2">
      <c r="E164" s="74"/>
    </row>
    <row r="165" spans="5:5" ht="12" x14ac:dyDescent="0.2">
      <c r="E165" s="74"/>
    </row>
    <row r="166" spans="5:5" ht="12" x14ac:dyDescent="0.2">
      <c r="E166" s="74"/>
    </row>
    <row r="167" spans="5:5" ht="12" x14ac:dyDescent="0.2">
      <c r="E167" s="74"/>
    </row>
    <row r="168" spans="5:5" ht="12" x14ac:dyDescent="0.2">
      <c r="E168" s="74"/>
    </row>
    <row r="169" spans="5:5" ht="12" x14ac:dyDescent="0.2">
      <c r="E169" s="74"/>
    </row>
    <row r="170" spans="5:5" ht="12" x14ac:dyDescent="0.2">
      <c r="E170" s="74"/>
    </row>
    <row r="171" spans="5:5" ht="12" x14ac:dyDescent="0.2">
      <c r="E171" s="74"/>
    </row>
    <row r="172" spans="5:5" ht="12" x14ac:dyDescent="0.2">
      <c r="E172" s="74"/>
    </row>
    <row r="173" spans="5:5" ht="12" x14ac:dyDescent="0.2">
      <c r="E173" s="74"/>
    </row>
    <row r="174" spans="5:5" ht="12" x14ac:dyDescent="0.2">
      <c r="E174" s="74"/>
    </row>
    <row r="175" spans="5:5" ht="12" x14ac:dyDescent="0.2">
      <c r="E175" s="74"/>
    </row>
    <row r="176" spans="5:5" ht="12" x14ac:dyDescent="0.2">
      <c r="E176" s="74"/>
    </row>
    <row r="177" spans="5:5" ht="12" x14ac:dyDescent="0.2">
      <c r="E177" s="74"/>
    </row>
    <row r="178" spans="5:5" ht="12" x14ac:dyDescent="0.2">
      <c r="E178" s="74"/>
    </row>
    <row r="179" spans="5:5" ht="12" x14ac:dyDescent="0.2">
      <c r="E179" s="74"/>
    </row>
    <row r="180" spans="5:5" ht="12" x14ac:dyDescent="0.2">
      <c r="E180" s="74"/>
    </row>
    <row r="181" spans="5:5" ht="12" x14ac:dyDescent="0.2">
      <c r="E181" s="74"/>
    </row>
    <row r="182" spans="5:5" ht="12" x14ac:dyDescent="0.2">
      <c r="E182" s="74"/>
    </row>
    <row r="183" spans="5:5" ht="12" x14ac:dyDescent="0.2">
      <c r="E183" s="74"/>
    </row>
    <row r="184" spans="5:5" ht="12" x14ac:dyDescent="0.2">
      <c r="E184" s="74"/>
    </row>
    <row r="185" spans="5:5" ht="12" x14ac:dyDescent="0.2">
      <c r="E185" s="74"/>
    </row>
    <row r="186" spans="5:5" ht="12" x14ac:dyDescent="0.2">
      <c r="E186" s="74"/>
    </row>
    <row r="187" spans="5:5" ht="12" x14ac:dyDescent="0.2">
      <c r="E187" s="74"/>
    </row>
    <row r="188" spans="5:5" ht="12" x14ac:dyDescent="0.2">
      <c r="E188" s="74"/>
    </row>
    <row r="189" spans="5:5" ht="12" x14ac:dyDescent="0.2">
      <c r="E189" s="74"/>
    </row>
    <row r="190" spans="5:5" ht="12" x14ac:dyDescent="0.2">
      <c r="E190" s="74"/>
    </row>
    <row r="191" spans="5:5" ht="12" x14ac:dyDescent="0.2">
      <c r="E191" s="74"/>
    </row>
    <row r="192" spans="5:5" ht="12" x14ac:dyDescent="0.2">
      <c r="E192" s="74"/>
    </row>
    <row r="193" spans="5:5" ht="12" x14ac:dyDescent="0.2">
      <c r="E193" s="74"/>
    </row>
    <row r="194" spans="5:5" ht="12" x14ac:dyDescent="0.2">
      <c r="E194" s="74"/>
    </row>
    <row r="195" spans="5:5" ht="12" x14ac:dyDescent="0.2">
      <c r="E195" s="74"/>
    </row>
    <row r="196" spans="5:5" ht="12" x14ac:dyDescent="0.2">
      <c r="E196" s="74"/>
    </row>
    <row r="197" spans="5:5" ht="12" x14ac:dyDescent="0.2">
      <c r="E197" s="74"/>
    </row>
    <row r="198" spans="5:5" ht="12" x14ac:dyDescent="0.2">
      <c r="E198" s="74"/>
    </row>
    <row r="199" spans="5:5" ht="12" x14ac:dyDescent="0.2">
      <c r="E199" s="74"/>
    </row>
    <row r="200" spans="5:5" ht="12" x14ac:dyDescent="0.2">
      <c r="E200" s="74"/>
    </row>
    <row r="201" spans="5:5" ht="12" x14ac:dyDescent="0.2">
      <c r="E201" s="74"/>
    </row>
    <row r="202" spans="5:5" ht="12" x14ac:dyDescent="0.2">
      <c r="E202" s="74"/>
    </row>
    <row r="203" spans="5:5" ht="12" x14ac:dyDescent="0.2">
      <c r="E203" s="74"/>
    </row>
    <row r="204" spans="5:5" ht="12" x14ac:dyDescent="0.2">
      <c r="E204" s="74"/>
    </row>
    <row r="205" spans="5:5" ht="12" x14ac:dyDescent="0.2">
      <c r="E205" s="74"/>
    </row>
    <row r="206" spans="5:5" ht="12" x14ac:dyDescent="0.2">
      <c r="E206" s="74"/>
    </row>
    <row r="207" spans="5:5" ht="12" x14ac:dyDescent="0.2">
      <c r="E207" s="74"/>
    </row>
    <row r="208" spans="5:5" ht="12" x14ac:dyDescent="0.2">
      <c r="E208" s="74"/>
    </row>
    <row r="209" spans="5:5" ht="12" x14ac:dyDescent="0.2">
      <c r="E209" s="74"/>
    </row>
    <row r="210" spans="5:5" ht="12" x14ac:dyDescent="0.2">
      <c r="E210" s="74"/>
    </row>
    <row r="211" spans="5:5" ht="12" x14ac:dyDescent="0.2">
      <c r="E211" s="74"/>
    </row>
    <row r="212" spans="5:5" ht="12" x14ac:dyDescent="0.2">
      <c r="E212" s="74"/>
    </row>
    <row r="213" spans="5:5" ht="12" x14ac:dyDescent="0.2">
      <c r="E213" s="74"/>
    </row>
    <row r="214" spans="5:5" ht="12" x14ac:dyDescent="0.2">
      <c r="E214" s="74"/>
    </row>
    <row r="215" spans="5:5" ht="12" x14ac:dyDescent="0.2">
      <c r="E215" s="74"/>
    </row>
    <row r="216" spans="5:5" ht="12" x14ac:dyDescent="0.2">
      <c r="E216" s="74"/>
    </row>
    <row r="217" spans="5:5" ht="12" x14ac:dyDescent="0.2">
      <c r="E217" s="74"/>
    </row>
    <row r="218" spans="5:5" ht="12" x14ac:dyDescent="0.2">
      <c r="E218" s="74"/>
    </row>
    <row r="219" spans="5:5" ht="12" x14ac:dyDescent="0.2">
      <c r="E219" s="74"/>
    </row>
    <row r="220" spans="5:5" ht="12" x14ac:dyDescent="0.2">
      <c r="E220" s="74"/>
    </row>
    <row r="221" spans="5:5" ht="12" x14ac:dyDescent="0.2">
      <c r="E221" s="74"/>
    </row>
    <row r="222" spans="5:5" ht="12" x14ac:dyDescent="0.2">
      <c r="E222" s="74"/>
    </row>
    <row r="223" spans="5:5" ht="12" x14ac:dyDescent="0.2">
      <c r="E223" s="74"/>
    </row>
    <row r="224" spans="5:5" ht="12" x14ac:dyDescent="0.2">
      <c r="E224" s="74"/>
    </row>
    <row r="225" spans="5:5" ht="12" x14ac:dyDescent="0.2">
      <c r="E225" s="74"/>
    </row>
    <row r="226" spans="5:5" ht="12" x14ac:dyDescent="0.2">
      <c r="E226" s="74"/>
    </row>
    <row r="227" spans="5:5" ht="12" x14ac:dyDescent="0.2">
      <c r="E227" s="74"/>
    </row>
    <row r="228" spans="5:5" ht="12" x14ac:dyDescent="0.2">
      <c r="E228" s="74"/>
    </row>
    <row r="229" spans="5:5" ht="12" x14ac:dyDescent="0.2">
      <c r="E229" s="74"/>
    </row>
    <row r="230" spans="5:5" ht="12" x14ac:dyDescent="0.2">
      <c r="E230" s="74"/>
    </row>
    <row r="231" spans="5:5" ht="12" x14ac:dyDescent="0.2">
      <c r="E231" s="74"/>
    </row>
    <row r="232" spans="5:5" ht="12" x14ac:dyDescent="0.2">
      <c r="E232" s="74"/>
    </row>
    <row r="233" spans="5:5" ht="12" x14ac:dyDescent="0.2">
      <c r="E233" s="74"/>
    </row>
    <row r="234" spans="5:5" ht="12" x14ac:dyDescent="0.2">
      <c r="E234" s="74"/>
    </row>
    <row r="235" spans="5:5" ht="12" x14ac:dyDescent="0.2">
      <c r="E235" s="74"/>
    </row>
    <row r="236" spans="5:5" ht="12" x14ac:dyDescent="0.2">
      <c r="E236" s="74"/>
    </row>
    <row r="237" spans="5:5" ht="12" x14ac:dyDescent="0.2">
      <c r="E237" s="74"/>
    </row>
    <row r="238" spans="5:5" ht="12" x14ac:dyDescent="0.2">
      <c r="E238" s="74"/>
    </row>
    <row r="239" spans="5:5" ht="12" x14ac:dyDescent="0.2">
      <c r="E239" s="74"/>
    </row>
    <row r="240" spans="5:5" ht="12" x14ac:dyDescent="0.2">
      <c r="E240" s="74"/>
    </row>
    <row r="241" spans="5:5" ht="12" x14ac:dyDescent="0.2">
      <c r="E241" s="74"/>
    </row>
    <row r="242" spans="5:5" ht="12" x14ac:dyDescent="0.2">
      <c r="E242" s="74"/>
    </row>
    <row r="243" spans="5:5" ht="12" x14ac:dyDescent="0.2">
      <c r="E243" s="74"/>
    </row>
    <row r="244" spans="5:5" ht="12" x14ac:dyDescent="0.2">
      <c r="E244" s="74"/>
    </row>
    <row r="245" spans="5:5" ht="12" x14ac:dyDescent="0.2">
      <c r="E245" s="74"/>
    </row>
    <row r="246" spans="5:5" ht="12" x14ac:dyDescent="0.2">
      <c r="E246" s="74"/>
    </row>
    <row r="247" spans="5:5" ht="12" x14ac:dyDescent="0.2">
      <c r="E247" s="74"/>
    </row>
    <row r="248" spans="5:5" ht="12" x14ac:dyDescent="0.2">
      <c r="E248" s="74"/>
    </row>
    <row r="249" spans="5:5" ht="12" x14ac:dyDescent="0.2">
      <c r="E249" s="74"/>
    </row>
    <row r="250" spans="5:5" ht="12" x14ac:dyDescent="0.2">
      <c r="E250" s="74"/>
    </row>
    <row r="251" spans="5:5" ht="12" x14ac:dyDescent="0.2">
      <c r="E251" s="74"/>
    </row>
    <row r="252" spans="5:5" x14ac:dyDescent="0.2"/>
    <row r="253" spans="5:5" x14ac:dyDescent="0.2"/>
    <row r="254" spans="5:5" x14ac:dyDescent="0.2"/>
    <row r="255" spans="5:5" x14ac:dyDescent="0.2"/>
    <row r="256" spans="5:5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</sheetData>
  <pageMargins left="0.25" right="0.25" top="0.75" bottom="0.75" header="0.3" footer="0.3"/>
  <pageSetup paperSize="9" scale="3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24</vt:i4>
      </vt:variant>
    </vt:vector>
  </HeadingPairs>
  <TitlesOfParts>
    <vt:vector size="39" baseType="lpstr">
      <vt:lpstr>Cover</vt:lpstr>
      <vt:lpstr>Summary</vt:lpstr>
      <vt:lpstr>Assumptions</vt:lpstr>
      <vt:lpstr>Option1 (base case)</vt:lpstr>
      <vt:lpstr>Option2</vt:lpstr>
      <vt:lpstr>Option3</vt:lpstr>
      <vt:lpstr>Option4</vt:lpstr>
      <vt:lpstr>Option5</vt:lpstr>
      <vt:lpstr>Consol</vt:lpstr>
      <vt:lpstr>Sensitivity_calcs</vt:lpstr>
      <vt:lpstr>Workings_risks</vt:lpstr>
      <vt:lpstr>Workings_costs</vt:lpstr>
      <vt:lpstr>Cost_inputs</vt:lpstr>
      <vt:lpstr>Misc_calcs</vt:lpstr>
      <vt:lpstr>Data</vt:lpstr>
      <vt:lpstr>bus</vt:lpstr>
      <vt:lpstr>compliance</vt:lpstr>
      <vt:lpstr>conv_2026</vt:lpstr>
      <vt:lpstr>custval_date</vt:lpstr>
      <vt:lpstr>CY_years</vt:lpstr>
      <vt:lpstr>first_year</vt:lpstr>
      <vt:lpstr>hy_dates</vt:lpstr>
      <vt:lpstr>hy_escalation</vt:lpstr>
      <vt:lpstr>input_dollars</vt:lpstr>
      <vt:lpstr>mill_conv</vt:lpstr>
      <vt:lpstr>options</vt:lpstr>
      <vt:lpstr>output_dollars</vt:lpstr>
      <vt:lpstr>preferred</vt:lpstr>
      <vt:lpstr>Assumptions!Print_Area</vt:lpstr>
      <vt:lpstr>proj</vt:lpstr>
      <vt:lpstr>real_disc</vt:lpstr>
      <vt:lpstr>sheets</vt:lpstr>
      <vt:lpstr>start</vt:lpstr>
      <vt:lpstr>start_year</vt:lpstr>
      <vt:lpstr>thous_conv</vt:lpstr>
      <vt:lpstr>update</vt:lpstr>
      <vt:lpstr>vcr_date</vt:lpstr>
      <vt:lpstr>vcr_esc</vt:lpstr>
      <vt:lpstr>years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2025-11-30T05:34:29Z</dcterms:created>
  <dcterms:modified xsi:type="dcterms:W3CDTF">2025-11-30T12:29:33Z</dcterms:modified>
  <cp:category/>
  <cp:contentStatus/>
</cp:coreProperties>
</file>